
<file path=[Content_Types].xml><?xml version="1.0" encoding="utf-8"?>
<Types xmlns="http://schemas.openxmlformats.org/package/2006/content-types">
  <Default Extension="bin" ContentType="application/vnd.openxmlformats-officedocument.spreadsheetml.printerSettings"/>
  <Override PartName="/xl/activeX/activeX2.bin" ContentType="application/vnd.ms-office.activeX"/>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Override PartName="/xl/comments8.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Default Extension="emf" ContentType="image/x-emf"/>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activeX/activeX2.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saveExternalLinkValues="0" codeName="ThisWorkbook"/>
  <bookViews>
    <workbookView xWindow="32760" yWindow="32760" windowWidth="23040" windowHeight="9060" tabRatio="829"/>
  </bookViews>
  <sheets>
    <sheet name="Overview" sheetId="4" r:id="rId1"/>
    <sheet name="Population" sheetId="2" r:id="rId2"/>
    <sheet name="Production" sheetId="1" r:id="rId3"/>
    <sheet name="Construction" sheetId="5" r:id="rId4"/>
    <sheet name="Explore" sheetId="7" r:id="rId5"/>
    <sheet name="Military" sheetId="8" r:id="rId6"/>
    <sheet name="Rezone" sheetId="10" r:id="rId7"/>
    <sheet name="Magic" sheetId="9" r:id="rId8"/>
    <sheet name="Techs" sheetId="14" r:id="rId9"/>
    <sheet name="Imps" sheetId="11" r:id="rId10"/>
    <sheet name="Log" sheetId="13" r:id="rId11"/>
    <sheet name="Constants" sheetId="6" r:id="rId12"/>
    <sheet name="Races" sheetId="3" r:id="rId13"/>
    <sheet name="calc" sheetId="12" r:id="rId14"/>
  </sheets>
  <definedNames>
    <definedName name="adept_dp_bonus">Constants!$C$133</definedName>
    <definedName name="adept_dp_cap">Constants!$F$133</definedName>
    <definedName name="adept_op_bonus">Constants!$C$132</definedName>
    <definedName name="adept_op_cap">Constants!$F$132</definedName>
    <definedName name="alch_plat">Constants!$B$4</definedName>
    <definedName name="alchemist_flame_bonus">Constants!$F$84</definedName>
    <definedName name="ant_explore_penalty">Constants!$M$63</definedName>
    <definedName name="ants">Military!$DV$12</definedName>
    <definedName name="ants_spell_cost">Constants!$B$99</definedName>
    <definedName name="ants_spell_time">Constants!$D$99</definedName>
    <definedName name="archmage_plat">Overview!$D$28</definedName>
    <definedName name="ares_call_bonus">Constants!$F$74</definedName>
    <definedName name="armada_spell_cost">Constants!$B$100</definedName>
    <definedName name="armada_spell_time">Constants!$D$100</definedName>
    <definedName name="banshee_bonus">Constants!$C$144</definedName>
    <definedName name="banshee_cap">Constants!$F$144</definedName>
    <definedName name="barracks_size">Constants!$B$61</definedName>
    <definedName name="beast">Military!$DV$13</definedName>
    <definedName name="blackorc">Military!$DV$19</definedName>
    <definedName name="blizzard_bonus">Constants!$F$83</definedName>
    <definedName name="bloodrage_bonus">Constants!$F$88</definedName>
    <definedName name="boat_size">Constants!$B$106</definedName>
    <definedName name="building_employment">Constants!$B$156</definedName>
    <definedName name="cant_build">Races!$F$177:$F$178</definedName>
    <definedName name="cant_invest">Races!$G$177</definedName>
    <definedName name="crusade_bonus">Constants!$F$86</definedName>
    <definedName name="dark_elf">Military!$DV$7</definedName>
    <definedName name="days_late">Overview!$B$18</definedName>
    <definedName name="days_late_def_specs">Constants!$E$49</definedName>
    <definedName name="days_late_draftees">Constants!$E$50</definedName>
    <definedName name="days_late_food">Constants!$E$45</definedName>
    <definedName name="days_late_lumber">Constants!$E$46</definedName>
    <definedName name="days_late_mana">Constants!$E$48</definedName>
    <definedName name="days_late_ore">Constants!$E$47</definedName>
    <definedName name="days_late_peasants">Constants!$E$43</definedName>
    <definedName name="days_late_plat">Constants!$E$44</definedName>
    <definedName name="dm_gems">Constants!$B$8</definedName>
    <definedName name="dock_boats_hr">Constants!$B$10</definedName>
    <definedName name="dock_food">Constants!$D$10</definedName>
    <definedName name="double_mana">Races!$E$177:$E$181</definedName>
    <definedName name="druid_dp_bonus">Constants!$C$129</definedName>
    <definedName name="druid_dp_cap">Constants!$F$129</definedName>
    <definedName name="druid_op_bonus">Constants!$C$128</definedName>
    <definedName name="druid_op_cap">Constants!$F$128</definedName>
    <definedName name="dryad_bonus">Constants!$C$130</definedName>
    <definedName name="dryad_cap">Constants!$F$130</definedName>
    <definedName name="dwarf_spell_cost">Constants!$B$77</definedName>
    <definedName name="dwarf_spell_time">Constants!$D$77</definedName>
    <definedName name="elite1_boats">Overview!$J$24</definedName>
    <definedName name="elite1_dp">Overview!$C$24</definedName>
    <definedName name="elite1_food">Overview!$I$24</definedName>
    <definedName name="elite1_gems">Overview!$G$24</definedName>
    <definedName name="elite1_lumber">Overview!$F$24</definedName>
    <definedName name="elite1_mana">Overview!$H$24</definedName>
    <definedName name="elite1_name">Overview!$A$24</definedName>
    <definedName name="elite1_op">Overview!$B$24</definedName>
    <definedName name="elite1_ore">Overview!$E$24</definedName>
    <definedName name="elite1_plat">Overview!$D$24</definedName>
    <definedName name="elite2_boats">Overview!$J$25</definedName>
    <definedName name="elite2_dp">Overview!$C$25</definedName>
    <definedName name="elite2_food">Overview!$I$25</definedName>
    <definedName name="elite2_gems">Overview!$G$25</definedName>
    <definedName name="elite2_lumber">Overview!$F$25</definedName>
    <definedName name="elite2_mana">Overview!$H$25</definedName>
    <definedName name="elite2_name">Overview!$A$25</definedName>
    <definedName name="elite2_op">Overview!$B$25</definedName>
    <definedName name="elite2_ore">Overview!$E$25</definedName>
    <definedName name="elite2_plat">Overview!$D$25</definedName>
    <definedName name="extra_ore">Races!$A$177:$A$178</definedName>
    <definedName name="facs_constr_factor">Constants!$B$19</definedName>
    <definedName name="facs_constr_max">Constants!$D$19</definedName>
    <definedName name="facs_rezone_factor">Constants!$B$20</definedName>
    <definedName name="facs_rezone_max">Constants!$D$20</definedName>
    <definedName name="fanatic_bonus">Constants!$C$141</definedName>
    <definedName name="fanatic_cap">Constants!$F$141</definedName>
    <definedName name="farm_food">Constants!$B$5</definedName>
    <definedName name="fh_peas_dp">Constants!$B$13</definedName>
    <definedName name="firewalker_spell_cost">Constants!$B$84</definedName>
    <definedName name="firewalker_spell_time">Constants!$D$84</definedName>
    <definedName name="flying_ant_bonus">Constants!$C$138</definedName>
    <definedName name="flying_ant_cap">Constants!$F$138</definedName>
    <definedName name="food_decay">Constants!$B$52</definedName>
    <definedName name="food_per_person">Constants!$B$57</definedName>
    <definedName name="frenzy_bonus">Constants!$F$79</definedName>
    <definedName name="frost_mage_bonus">Constants!$C$134</definedName>
    <definedName name="frost_mage_cap">Constants!$F$134</definedName>
    <definedName name="gaias_blessing_food">Constants!$F$81</definedName>
    <definedName name="gaias_blessing_lumber">Constants!$H$81</definedName>
    <definedName name="gaias_watch_bonus">Constants!$F$72</definedName>
    <definedName name="gn_bonus">Constants!$B$12</definedName>
    <definedName name="gn_bonus_cap">Constants!$D$12</definedName>
    <definedName name="gnome">Military!$DV$6</definedName>
    <definedName name="goat_witch_bonus">Constants!$C$139</definedName>
    <definedName name="goat_witch_cap">Constants!$F$139</definedName>
    <definedName name="goblin_spell_cost">Constants!$B$87</definedName>
    <definedName name="goblin_spell_time">Constants!$D$87</definedName>
    <definedName name="growth_spell_cost">Constants!$B$102</definedName>
    <definedName name="growth_spell_time">Constants!$D$102</definedName>
    <definedName name="gt_bonus">Constants!$B$11</definedName>
    <definedName name="gt_bonus_cap">Constants!$D$11</definedName>
    <definedName name="halfer">Military!$DV$17</definedName>
    <definedName name="halfling_spell_cost">Constants!$B$79</definedName>
    <definedName name="halfling_spell_time">Constants!$D$79</definedName>
    <definedName name="harbor_towers_cap">Constants!$D$119</definedName>
    <definedName name="harbor_towers_param">Constants!$D$124</definedName>
    <definedName name="harmony_bonus">Constants!$F$75</definedName>
    <definedName name="holy_warrior_bonus">Constants!$C$143</definedName>
    <definedName name="holy_warrior_cap">Constants!$F$143</definedName>
    <definedName name="home_land">Overview!$B$67</definedName>
    <definedName name="howling_dp_bonus">Constants!$H$82</definedName>
    <definedName name="howling_op_bonus">Constants!$F$82</definedName>
    <definedName name="human_spell_cost">Constants!$B$86</definedName>
    <definedName name="human_spell_time">Constants!$D$86</definedName>
    <definedName name="ice_elem_bonus">Constants!$C$135</definedName>
    <definedName name="ice_elem_cap">Constants!$F$135</definedName>
    <definedName name="icekin">Military!$DV$9</definedName>
    <definedName name="icekin_spell_cost">Constants!$B$83</definedName>
    <definedName name="icekin_spell_time">Constants!$D$83</definedName>
    <definedName name="impgnome_spell_cost">Constants!$B$103</definedName>
    <definedName name="impgnome_spell_time">Constants!$D$103</definedName>
    <definedName name="Imps">Imps!$CD$34:$CD$39</definedName>
    <definedName name="keep_cap">Constants!$D$116</definedName>
    <definedName name="keep_param">Constants!$D$121</definedName>
    <definedName name="killingrage_bonus">Constants!$F$87</definedName>
    <definedName name="kobold">Military!$DV$8</definedName>
    <definedName name="kobold_spell_cost">Constants!$B$82</definedName>
    <definedName name="kobold_spell_time">Constants!$D$82</definedName>
    <definedName name="lizardman_bonus">Constants!$C$152</definedName>
    <definedName name="lizardman_cap">Constants!$F$152</definedName>
    <definedName name="lizzie">Military!$DV$20</definedName>
    <definedName name="lumber_rot">Constants!$B$53</definedName>
    <definedName name="lux_spell_cost">Constants!$B$101</definedName>
    <definedName name="lux_spell_time">Constants!$D$101</definedName>
    <definedName name="ly_lumber">Constants!$B$6</definedName>
    <definedName name="mana_drain">Constants!$B$54</definedName>
    <definedName name="mason_bonus">Constants!$B$18</definedName>
    <definedName name="midas_bonus">Constants!$F$76</definedName>
    <definedName name="min_tech_cost">Constants!$M$61</definedName>
    <definedName name="miners_sight_bonus">Constants!$F$77</definedName>
    <definedName name="mining_strength_bonus">Constants!$F$73</definedName>
    <definedName name="minotaur_bonus">Constants!$C$140</definedName>
    <definedName name="minotaur_cap">Constants!$F$140</definedName>
    <definedName name="mystic_bonus">Constants!$C$127</definedName>
    <definedName name="mystic_cap">Constants!$F$127</definedName>
    <definedName name="nightfall_bonus">Constants!$F$85</definedName>
    <definedName name="nightshade_bonus">Constants!$C$137</definedName>
    <definedName name="no_boats">Races!$D$177:$D$184</definedName>
    <definedName name="no_food">Races!$C$177:$C$178</definedName>
    <definedName name="no_ore">Races!$B$177:$B$187</definedName>
    <definedName name="norse">Military!$DV$18</definedName>
    <definedName name="nox">Military!$DV$11</definedName>
    <definedName name="nox_nightshade_cap">Constants!$F$137</definedName>
    <definedName name="nox_nightshade_swamp_bonus">Constants!$C$137</definedName>
    <definedName name="nox_spell_cost">Constants!$B$85</definedName>
    <definedName name="nox_spell_time">Constants!$D$85</definedName>
    <definedName name="om_ore">Constants!$B$7</definedName>
    <definedName name="orc">Military!$DV$10</definedName>
    <definedName name="orc_spell_cost">Constants!$B$88</definedName>
    <definedName name="orc_spell_time">Constants!$D$88</definedName>
    <definedName name="phantom_bonus">Constants!$C$146</definedName>
    <definedName name="phantom_cap">Constants!$F$146</definedName>
    <definedName name="pop_in_building">Constants!$B$65</definedName>
    <definedName name="pop_in_home">Constants!$B$62</definedName>
    <definedName name="pop_on_barren">Constants!$B$66</definedName>
    <definedName name="prestige_food_bonus">Constants!$B$110</definedName>
    <definedName name="prestige_multiplier">Constants!$B$111</definedName>
    <definedName name="prestige_offense_bonus">Constants!$B$112</definedName>
    <definedName name="prestige_pop_multiplier">Constants!$B$111</definedName>
    <definedName name="race">Overview!$B$14</definedName>
    <definedName name="race_construction_cost">Overview!$O$30</definedName>
    <definedName name="race_defense">Overview!$O$24</definedName>
    <definedName name="race_food_bonus">Overview!$O$18</definedName>
    <definedName name="race_food_consumption">Overview!$O$23</definedName>
    <definedName name="race_gem_bonus">Overview!$O$22</definedName>
    <definedName name="race_invest_bonus">Overview!$O$28</definedName>
    <definedName name="race_lumber_bonus">Overview!$O$19</definedName>
    <definedName name="race_mana_bonus">Overview!$O$20</definedName>
    <definedName name="race_offense">Overview!$O$25</definedName>
    <definedName name="race_ore_bonus">Overview!$O$21</definedName>
    <definedName name="race_platinum_bonus">Overview!$O$17</definedName>
    <definedName name="race_pop_bonus">Overview!$O$15</definedName>
    <definedName name="race_pop_growth">Overview!$O$16</definedName>
    <definedName name="race_rezone_cost">Overview!$O$29</definedName>
    <definedName name="race_spy_strength">Overview!$O$26</definedName>
    <definedName name="race_wizard_strength">Overview!$O$27</definedName>
    <definedName name="races">Races!$A$142:$A$175</definedName>
    <definedName name="raw_drafting">Constants!$B$51</definedName>
    <definedName name="raw_pop_growth">Constants!$B$50</definedName>
    <definedName name="resources">Imps!$CD$29:$CD$32</definedName>
    <definedName name="rocka_bonus">Constants!$C$131</definedName>
    <definedName name="rocka_cap">Constants!$F$131</definedName>
    <definedName name="sacred">Military!$DV$14</definedName>
    <definedName name="science_cap">Constants!$D$117</definedName>
    <definedName name="science_param">Constants!$D$122</definedName>
    <definedName name="smithy_bonus">Constants!$B$17</definedName>
    <definedName name="smithy_bonus_cap">Constants!$D$17</definedName>
    <definedName name="solver_adj" localSheetId="4" hidden="1">Explore!$M$36:$M$49</definedName>
    <definedName name="solver_adj" localSheetId="5" hidden="1">Military!$AI$63</definedName>
    <definedName name="solver_cvg" localSheetId="4" hidden="1">0.0001</definedName>
    <definedName name="solver_cvg" localSheetId="5" hidden="1">0.001</definedName>
    <definedName name="solver_drv" localSheetId="4" hidden="1">1</definedName>
    <definedName name="solver_drv" localSheetId="5" hidden="1">1</definedName>
    <definedName name="solver_est" localSheetId="4" hidden="1">1</definedName>
    <definedName name="solver_est" localSheetId="5" hidden="1">1</definedName>
    <definedName name="solver_itr" localSheetId="4" hidden="1">100</definedName>
    <definedName name="solver_itr" localSheetId="5" hidden="1">100</definedName>
    <definedName name="solver_lhs1" localSheetId="4" hidden="1">Explore!$M$36:$M$49</definedName>
    <definedName name="solver_lhs1" localSheetId="5" hidden="1">Military!$AN$66</definedName>
    <definedName name="solver_lhs2" localSheetId="5" hidden="1">Military!$AI$63</definedName>
    <definedName name="solver_lin" localSheetId="4" hidden="1">2</definedName>
    <definedName name="solver_lin" localSheetId="5" hidden="1">2</definedName>
    <definedName name="solver_neg" localSheetId="4" hidden="1">2</definedName>
    <definedName name="solver_neg" localSheetId="5" hidden="1">2</definedName>
    <definedName name="solver_num" localSheetId="4" hidden="1">1</definedName>
    <definedName name="solver_num" localSheetId="5" hidden="1">2</definedName>
    <definedName name="solver_nwt" localSheetId="4" hidden="1">1</definedName>
    <definedName name="solver_nwt" localSheetId="5" hidden="1">1</definedName>
    <definedName name="solver_opt" localSheetId="4" hidden="1">Explore!$M$31</definedName>
    <definedName name="solver_opt" localSheetId="5" hidden="1">Military!$AI$63</definedName>
    <definedName name="solver_pre" localSheetId="4" hidden="1">0.000001</definedName>
    <definedName name="solver_pre" localSheetId="5" hidden="1">0.000001</definedName>
    <definedName name="solver_rel1" localSheetId="4" hidden="1">3</definedName>
    <definedName name="solver_rel1" localSheetId="5" hidden="1">3</definedName>
    <definedName name="solver_rel2" localSheetId="5" hidden="1">4</definedName>
    <definedName name="solver_rhs1" localSheetId="4" hidden="1">0</definedName>
    <definedName name="solver_rhs1" localSheetId="5" hidden="1">0</definedName>
    <definedName name="solver_rhs2" localSheetId="5" hidden="1">integer</definedName>
    <definedName name="solver_scl" localSheetId="4" hidden="1">2</definedName>
    <definedName name="solver_scl" localSheetId="5" hidden="1">2</definedName>
    <definedName name="solver_sho" localSheetId="4" hidden="1">2</definedName>
    <definedName name="solver_sho" localSheetId="5" hidden="1">2</definedName>
    <definedName name="solver_tim" localSheetId="4" hidden="1">100</definedName>
    <definedName name="solver_tim" localSheetId="5" hidden="1">100</definedName>
    <definedName name="solver_tol" localSheetId="4" hidden="1">0.05</definedName>
    <definedName name="solver_tol" localSheetId="5" hidden="1">0.05</definedName>
    <definedName name="solver_typ" localSheetId="4" hidden="1">1</definedName>
    <definedName name="solver_typ" localSheetId="5" hidden="1">1</definedName>
    <definedName name="solver_val" localSheetId="4" hidden="1">0</definedName>
    <definedName name="solver_val" localSheetId="5" hidden="1">0</definedName>
    <definedName name="spec_dp">Overview!$C$23</definedName>
    <definedName name="spec_dp_name">Overview!$A$23</definedName>
    <definedName name="spec_dp_ore">Overview!$E$23</definedName>
    <definedName name="spec_dp_plat">Overview!$D$23</definedName>
    <definedName name="spec_op">Overview!$B$22</definedName>
    <definedName name="spec_op_name">Overview!$A$22</definedName>
    <definedName name="spec_op_ore">Overview!$E$22</definedName>
    <definedName name="spec_op_plat">Overview!$D$22</definedName>
    <definedName name="spec1_food">Overview!$I$22</definedName>
    <definedName name="spec1_gems">Overview!$G$22</definedName>
    <definedName name="spec1_lumber">Overview!$F$22</definedName>
    <definedName name="spec1_mana">Overview!$H$22</definedName>
    <definedName name="spec2_food">Overview!$I$23</definedName>
    <definedName name="spec2_gems">Overview!$G$23</definedName>
    <definedName name="spec2_lumber">Overview!$F$23</definedName>
    <definedName name="spec2_mana">Overview!$H$23</definedName>
    <definedName name="spirit">Military!$DV$15</definedName>
    <definedName name="spy_plat">Overview!$D$26</definedName>
    <definedName name="staff_bonus">Constants!$C$149</definedName>
    <definedName name="staff_cap">Constants!$F$149</definedName>
    <definedName name="start_alchs">Constants!$B$23</definedName>
    <definedName name="start_ams">Constants!$B$38</definedName>
    <definedName name="start_boats">Constants!$B$47</definedName>
    <definedName name="start_caverns">Constants!$F$27</definedName>
    <definedName name="start_dm">Constants!$Q$23</definedName>
    <definedName name="start_docks">Constants!$S$23</definedName>
    <definedName name="start_dp_specs">Constants!$B$33</definedName>
    <definedName name="start_draftees">Constants!$B$31</definedName>
    <definedName name="start_elite1s">Constants!$B$34</definedName>
    <definedName name="start_elite2s">Constants!$B$35</definedName>
    <definedName name="start_facs">Constants!$J$23</definedName>
    <definedName name="start_farms">Constants!$C$23</definedName>
    <definedName name="start_food">Constants!$B$42</definedName>
    <definedName name="start_forest">Constants!$B$27</definedName>
    <definedName name="start_gems">Constants!$B$46</definedName>
    <definedName name="start_gn">Constants!$I$23</definedName>
    <definedName name="start_gt">Constants!$K$23</definedName>
    <definedName name="start_havens">Constants!$G$23</definedName>
    <definedName name="start_hills">Constants!$D$27</definedName>
    <definedName name="start_homes">Constants!$A$23</definedName>
    <definedName name="start_lumber">Constants!$B$43</definedName>
    <definedName name="start_ly">Constants!$F$23</definedName>
    <definedName name="start_mana">Constants!$B$44</definedName>
    <definedName name="start_masons">Constants!$E$23</definedName>
    <definedName name="start_mountains">Constants!$C$27</definedName>
    <definedName name="start_om">Constants!$H$23</definedName>
    <definedName name="start_op_specs">Constants!$B$32</definedName>
    <definedName name="start_ore">Constants!$B$45</definedName>
    <definedName name="start_peasants">Constants!$B$30</definedName>
    <definedName name="start_plains">Constants!$A$27</definedName>
    <definedName name="start_plat">Constants!$B$41</definedName>
    <definedName name="start_prestige">Constants!$B$109</definedName>
    <definedName name="start_rax">Constants!$L$23</definedName>
    <definedName name="start_schools">Constants!$R$23</definedName>
    <definedName name="start_shrines">Constants!$M$23</definedName>
    <definedName name="start_smithies">Constants!$D$23</definedName>
    <definedName name="start_spies">Constants!$B$36</definedName>
    <definedName name="start_swamp">Constants!$E$27</definedName>
    <definedName name="start_temples">Constants!$O$23</definedName>
    <definedName name="start_towers">Constants!$N$23</definedName>
    <definedName name="start_water">Constants!$G$27</definedName>
    <definedName name="start_wg">Constants!$P$23</definedName>
    <definedName name="start_wizards">Constants!$B$37</definedName>
    <definedName name="sylvan">Military!$DV$5</definedName>
    <definedName name="sylvan_spell_cost">Constants!$B$80</definedName>
    <definedName name="sylvan_spell_time">Constants!$D$80</definedName>
    <definedName name="tax">Constants!$B$58</definedName>
    <definedName name="tech_conquerors_crafts">Constants!$M$52</definedName>
    <definedName name="tech_construction">Constants!$M$36</definedName>
    <definedName name="tech_construction_pop">Constants!$M$38</definedName>
    <definedName name="tech_construction_rezone">Constants!$M$37</definedName>
    <definedName name="tech_cost_per_acre">Constants!$M$59</definedName>
    <definedName name="tech_enchanted_lands_explore">Constants!$M$53</definedName>
    <definedName name="tech_enchanted_lands_mana">Constants!$O$53</definedName>
    <definedName name="tech_explore_cost">Constants!$M$33</definedName>
    <definedName name="tech_explore_cost2">Constants!$M$35</definedName>
    <definedName name="tech_explore_draft1">Constants!$M$34</definedName>
    <definedName name="tech_explore_draft2">Constants!$O$35</definedName>
    <definedName name="tech_fruits_of_labor_gems">Constants!$O$49</definedName>
    <definedName name="tech_fruits_of_labor1">Constants!$M$49</definedName>
    <definedName name="tech_magical_weaponry_op">Constants!$M$55</definedName>
    <definedName name="tech_magical_weaponry_wiz">Constants!$O$55</definedName>
    <definedName name="tech_master_of_frugality">Constants!$M$48</definedName>
    <definedName name="tech_military_offense">Constants!$M$41</definedName>
    <definedName name="tech_production_food">Constants!$M$30</definedName>
    <definedName name="tech_production_gems">Constants!$M$31</definedName>
    <definedName name="tech_production_plat">Constants!$M$32</definedName>
    <definedName name="tech_spy_cost">Constants!$M$43</definedName>
    <definedName name="tech_treasure_hunt_plat">Constants!$M$51</definedName>
    <definedName name="tech_urban_mastery_pop">Constants!$M$50</definedName>
    <definedName name="tech_wizard_cost">Constants!$M$46</definedName>
    <definedName name="tower_mana">Constants!$B$9</definedName>
    <definedName name="undead">Military!$DV$16</definedName>
    <definedName name="useless_spell_races">Constants!$P$89:$P$101</definedName>
    <definedName name="valkyrja_bonus">Constants!$C$150</definedName>
    <definedName name="valkyrja_cap">Constants!$F$150</definedName>
    <definedName name="voodoo_magi_bonus">Constants!$C$136</definedName>
    <definedName name="voodoo_magi_cap">Constants!$F$136</definedName>
    <definedName name="walls_forges_cap">Constants!$D$118</definedName>
    <definedName name="walls_forges_param">Constants!$D$123</definedName>
    <definedName name="warlock_bonus">Constants!$C$151</definedName>
    <definedName name="warlock_cap">Constants!$F$151</definedName>
    <definedName name="warsong_bonus">Constants!$F$80</definedName>
    <definedName name="waves">Races!$D$143:$D$148</definedName>
    <definedName name="wg_spell_cost_cap">Constants!$D$15</definedName>
    <definedName name="wg_spell_cost_red">Constants!$B$15</definedName>
    <definedName name="wg_wiz_cost_bonus">Constants!$B$16</definedName>
    <definedName name="wg_wiz_cost_cap">Constants!$D$16</definedName>
    <definedName name="wizard_plat">Overview!$D$27</definedName>
    <definedName name="woodelf_spell_cost">Constants!$B$81</definedName>
    <definedName name="woodelf_spell_time">Constants!$D$81</definedName>
    <definedName name="woodie">Military!$DV$4</definedName>
    <definedName name="wraith_bonus">Constants!$C$148</definedName>
    <definedName name="wraith_cap">Constants!$F$148</definedName>
  </definedNames>
  <calcPr calcId="125725"/>
</workbook>
</file>

<file path=xl/calcChain.xml><?xml version="1.0" encoding="utf-8"?>
<calcChain xmlns="http://schemas.openxmlformats.org/spreadsheetml/2006/main">
  <c r="D17" i="6"/>
  <c r="B17"/>
  <c r="E3" i="8"/>
  <c r="E89" i="4"/>
  <c r="E90"/>
  <c r="E91"/>
  <c r="E92"/>
  <c r="E93"/>
  <c r="E94"/>
  <c r="E83"/>
  <c r="E84"/>
  <c r="E85"/>
  <c r="E86"/>
  <c r="E87"/>
  <c r="E88"/>
  <c r="A22"/>
  <c r="AD135" i="1"/>
  <c r="AF135"/>
  <c r="AE135"/>
  <c r="DV20" i="8"/>
  <c r="DV19"/>
  <c r="DV18"/>
  <c r="DV17"/>
  <c r="BJ3" i="1"/>
  <c r="CW135" i="5"/>
  <c r="CW134"/>
  <c r="CW133"/>
  <c r="CW132"/>
  <c r="CW131"/>
  <c r="CW130"/>
  <c r="CW129"/>
  <c r="CW128"/>
  <c r="CW127"/>
  <c r="CW126"/>
  <c r="CW125"/>
  <c r="CW124"/>
  <c r="CW123"/>
  <c r="CW122"/>
  <c r="CW121"/>
  <c r="CW120"/>
  <c r="CW119"/>
  <c r="CW118"/>
  <c r="CW117"/>
  <c r="CW116"/>
  <c r="CW115"/>
  <c r="CW114"/>
  <c r="CW113"/>
  <c r="CW112"/>
  <c r="CW111"/>
  <c r="CW110"/>
  <c r="CW109"/>
  <c r="CW108"/>
  <c r="CW107"/>
  <c r="CW106"/>
  <c r="CW105"/>
  <c r="CW104"/>
  <c r="CW103"/>
  <c r="CW102"/>
  <c r="CW101"/>
  <c r="CW100"/>
  <c r="CW99"/>
  <c r="CW98"/>
  <c r="CW97"/>
  <c r="CW96"/>
  <c r="CW95"/>
  <c r="CW94"/>
  <c r="CW93"/>
  <c r="CW92"/>
  <c r="CW91"/>
  <c r="CW90"/>
  <c r="CW89"/>
  <c r="CW88"/>
  <c r="CW87"/>
  <c r="CW86"/>
  <c r="CW85"/>
  <c r="CW84"/>
  <c r="CW83"/>
  <c r="CW82"/>
  <c r="CW81"/>
  <c r="CW80"/>
  <c r="CW79"/>
  <c r="CW78"/>
  <c r="CW77"/>
  <c r="CW76"/>
  <c r="CW75"/>
  <c r="CW74"/>
  <c r="CW73"/>
  <c r="CW72"/>
  <c r="CW71"/>
  <c r="CW70"/>
  <c r="CW69"/>
  <c r="CW68"/>
  <c r="CW67"/>
  <c r="CW66"/>
  <c r="CW65"/>
  <c r="CW64"/>
  <c r="CW63"/>
  <c r="CW62"/>
  <c r="CW61"/>
  <c r="CW60"/>
  <c r="CW59"/>
  <c r="CW58"/>
  <c r="CW57"/>
  <c r="CW56"/>
  <c r="CW55"/>
  <c r="CW54"/>
  <c r="CW53"/>
  <c r="CW52"/>
  <c r="CW51"/>
  <c r="CW50"/>
  <c r="CW49"/>
  <c r="CW48"/>
  <c r="CW47"/>
  <c r="CW46"/>
  <c r="CW45"/>
  <c r="CW44"/>
  <c r="CW43"/>
  <c r="CW42"/>
  <c r="CW41"/>
  <c r="CW40"/>
  <c r="CW39"/>
  <c r="CW38"/>
  <c r="CW37"/>
  <c r="CW36"/>
  <c r="CW35"/>
  <c r="CW34"/>
  <c r="CW33"/>
  <c r="CW32"/>
  <c r="CW31"/>
  <c r="CW30"/>
  <c r="CW29"/>
  <c r="CW28"/>
  <c r="CW27"/>
  <c r="CW26"/>
  <c r="CW25"/>
  <c r="CW24"/>
  <c r="CW23"/>
  <c r="CW22"/>
  <c r="CW21"/>
  <c r="CW20"/>
  <c r="CW19"/>
  <c r="CW18"/>
  <c r="CW17"/>
  <c r="CW16"/>
  <c r="CW15"/>
  <c r="CW14"/>
  <c r="CW13"/>
  <c r="CW12"/>
  <c r="CW11"/>
  <c r="CW10"/>
  <c r="CW9"/>
  <c r="CW8"/>
  <c r="CW7"/>
  <c r="CW6"/>
  <c r="CW5"/>
  <c r="CW4"/>
  <c r="CW3"/>
  <c r="AR3" i="11"/>
  <c r="BB3" i="9"/>
  <c r="BB4" s="1"/>
  <c r="BB5" s="1"/>
  <c r="BB6" s="1"/>
  <c r="BB7" s="1"/>
  <c r="BB8" s="1"/>
  <c r="BB9" s="1"/>
  <c r="BB10" s="1"/>
  <c r="BB11" s="1"/>
  <c r="BB12" s="1"/>
  <c r="BB13" s="1"/>
  <c r="BB14" s="1"/>
  <c r="BB15" s="1"/>
  <c r="BB16" s="1"/>
  <c r="BB17" s="1"/>
  <c r="BB18" s="1"/>
  <c r="BB19" s="1"/>
  <c r="BB20" s="1"/>
  <c r="BB21" s="1"/>
  <c r="BB22" s="1"/>
  <c r="BB23" s="1"/>
  <c r="BB24" s="1"/>
  <c r="BB25" s="1"/>
  <c r="BB26" s="1"/>
  <c r="BB27" s="1"/>
  <c r="BB28" s="1"/>
  <c r="BB29" s="1"/>
  <c r="BB30" s="1"/>
  <c r="BB31" s="1"/>
  <c r="BB32" s="1"/>
  <c r="BB33" s="1"/>
  <c r="BB34" s="1"/>
  <c r="BB35" s="1"/>
  <c r="BB36" s="1"/>
  <c r="BB37" s="1"/>
  <c r="BB38" s="1"/>
  <c r="BB39" s="1"/>
  <c r="BB40" s="1"/>
  <c r="BB41" s="1"/>
  <c r="BB42" s="1"/>
  <c r="BB43" s="1"/>
  <c r="BB44" s="1"/>
  <c r="BB45" s="1"/>
  <c r="BB46" s="1"/>
  <c r="BB47" s="1"/>
  <c r="BB48" s="1"/>
  <c r="BB49" s="1"/>
  <c r="BB50" s="1"/>
  <c r="BB51" s="1"/>
  <c r="BB52" s="1"/>
  <c r="BB53" s="1"/>
  <c r="BB54" s="1"/>
  <c r="BB55" s="1"/>
  <c r="BB56" s="1"/>
  <c r="BB57" s="1"/>
  <c r="BB58" s="1"/>
  <c r="BB59" s="1"/>
  <c r="BB60" s="1"/>
  <c r="BB61" s="1"/>
  <c r="BB62" s="1"/>
  <c r="BB63" s="1"/>
  <c r="BB64" s="1"/>
  <c r="BB65" s="1"/>
  <c r="BB66" s="1"/>
  <c r="BB67" s="1"/>
  <c r="BB68" s="1"/>
  <c r="BB69" s="1"/>
  <c r="BB70" s="1"/>
  <c r="BB71" s="1"/>
  <c r="BB72" s="1"/>
  <c r="BB73" s="1"/>
  <c r="BB74" s="1"/>
  <c r="BB75" s="1"/>
  <c r="BB76" s="1"/>
  <c r="BB77" s="1"/>
  <c r="BB78" s="1"/>
  <c r="BB79" s="1"/>
  <c r="BB80" s="1"/>
  <c r="BB81" s="1"/>
  <c r="BB82" s="1"/>
  <c r="BB83" s="1"/>
  <c r="BB84" s="1"/>
  <c r="BB85" s="1"/>
  <c r="BB86" s="1"/>
  <c r="BB87" s="1"/>
  <c r="BB88" s="1"/>
  <c r="BB89" s="1"/>
  <c r="BB90" s="1"/>
  <c r="BB91" s="1"/>
  <c r="BB92" s="1"/>
  <c r="BB93" s="1"/>
  <c r="BB94" s="1"/>
  <c r="BB95" s="1"/>
  <c r="BB96" s="1"/>
  <c r="BB97" s="1"/>
  <c r="BB98" s="1"/>
  <c r="BB99" s="1"/>
  <c r="BB100" s="1"/>
  <c r="BB101" s="1"/>
  <c r="BB102" s="1"/>
  <c r="BB103" s="1"/>
  <c r="BB104" s="1"/>
  <c r="BB105" s="1"/>
  <c r="BB106" s="1"/>
  <c r="BB107" s="1"/>
  <c r="BB108" s="1"/>
  <c r="BB109" s="1"/>
  <c r="BB110" s="1"/>
  <c r="BB111" s="1"/>
  <c r="BB112" s="1"/>
  <c r="BB113" s="1"/>
  <c r="BB114" s="1"/>
  <c r="BB115" s="1"/>
  <c r="BB116" s="1"/>
  <c r="BB117" s="1"/>
  <c r="BB118" s="1"/>
  <c r="BB119" s="1"/>
  <c r="BB120" s="1"/>
  <c r="BB121" s="1"/>
  <c r="BB122" s="1"/>
  <c r="BB123" s="1"/>
  <c r="BB124" s="1"/>
  <c r="BB125" s="1"/>
  <c r="BB126" s="1"/>
  <c r="BB127" s="1"/>
  <c r="BB128" s="1"/>
  <c r="BB129" s="1"/>
  <c r="BB130" s="1"/>
  <c r="BB131" s="1"/>
  <c r="BB132" s="1"/>
  <c r="BB133" s="1"/>
  <c r="BB134" s="1"/>
  <c r="BB135" s="1"/>
  <c r="BA3"/>
  <c r="BA4" s="1"/>
  <c r="BA5" s="1"/>
  <c r="BA6" s="1"/>
  <c r="BA7" s="1"/>
  <c r="BA8" s="1"/>
  <c r="BA9" s="1"/>
  <c r="BA10" s="1"/>
  <c r="BA11" s="1"/>
  <c r="BA12" s="1"/>
  <c r="BA13" s="1"/>
  <c r="BA14" s="1"/>
  <c r="BA15" s="1"/>
  <c r="BA16" s="1"/>
  <c r="BA17" s="1"/>
  <c r="BA18" s="1"/>
  <c r="BA19" s="1"/>
  <c r="BA20" s="1"/>
  <c r="BA21" s="1"/>
  <c r="BA22" s="1"/>
  <c r="BA23" s="1"/>
  <c r="BA24" s="1"/>
  <c r="BA25" s="1"/>
  <c r="BA26" s="1"/>
  <c r="BA27" s="1"/>
  <c r="BA28" s="1"/>
  <c r="BA29" s="1"/>
  <c r="BA30" s="1"/>
  <c r="BA31" s="1"/>
  <c r="BA32" s="1"/>
  <c r="BA33" s="1"/>
  <c r="BA34" s="1"/>
  <c r="BA35" s="1"/>
  <c r="BA36" s="1"/>
  <c r="BA37" s="1"/>
  <c r="BA38" s="1"/>
  <c r="BA39" s="1"/>
  <c r="BA40" s="1"/>
  <c r="BA41" s="1"/>
  <c r="BA42" s="1"/>
  <c r="BA43" s="1"/>
  <c r="BA44" s="1"/>
  <c r="BA45" s="1"/>
  <c r="BA46" s="1"/>
  <c r="BA47" s="1"/>
  <c r="BA48" s="1"/>
  <c r="BA49" s="1"/>
  <c r="BA50" s="1"/>
  <c r="BA51" s="1"/>
  <c r="BA52" s="1"/>
  <c r="BA53" s="1"/>
  <c r="BA54" s="1"/>
  <c r="BA55" s="1"/>
  <c r="BA56" s="1"/>
  <c r="BA57" s="1"/>
  <c r="BA58" s="1"/>
  <c r="BA59" s="1"/>
  <c r="BA60" s="1"/>
  <c r="BA61" s="1"/>
  <c r="BA62" s="1"/>
  <c r="BA63" s="1"/>
  <c r="BA64" s="1"/>
  <c r="BA65" s="1"/>
  <c r="BA66" s="1"/>
  <c r="BA67" s="1"/>
  <c r="BA68" s="1"/>
  <c r="BA69" s="1"/>
  <c r="BA70" s="1"/>
  <c r="BA71" s="1"/>
  <c r="BA72" s="1"/>
  <c r="BA73" s="1"/>
  <c r="BA74" s="1"/>
  <c r="BA75" s="1"/>
  <c r="BA76" s="1"/>
  <c r="BA77" s="1"/>
  <c r="BA78" s="1"/>
  <c r="BA79" s="1"/>
  <c r="BA80" s="1"/>
  <c r="BA81" s="1"/>
  <c r="BA82" s="1"/>
  <c r="BA83" s="1"/>
  <c r="BA84" s="1"/>
  <c r="BA85" s="1"/>
  <c r="BA86" s="1"/>
  <c r="BA87" s="1"/>
  <c r="BA88" s="1"/>
  <c r="BA89" s="1"/>
  <c r="BA90" s="1"/>
  <c r="BA91" s="1"/>
  <c r="BA92" s="1"/>
  <c r="BA93" s="1"/>
  <c r="BA94" s="1"/>
  <c r="BA95" s="1"/>
  <c r="BA96" s="1"/>
  <c r="BA97" s="1"/>
  <c r="BA98" s="1"/>
  <c r="BA99" s="1"/>
  <c r="BA100" s="1"/>
  <c r="BA101" s="1"/>
  <c r="BA102" s="1"/>
  <c r="BA103" s="1"/>
  <c r="BA104" s="1"/>
  <c r="BA105" s="1"/>
  <c r="BA106" s="1"/>
  <c r="BA107" s="1"/>
  <c r="BA108" s="1"/>
  <c r="BA109" s="1"/>
  <c r="BA110" s="1"/>
  <c r="BA111" s="1"/>
  <c r="BA112" s="1"/>
  <c r="BA113" s="1"/>
  <c r="BA114" s="1"/>
  <c r="BA115" s="1"/>
  <c r="BA116" s="1"/>
  <c r="BA117" s="1"/>
  <c r="BA118" s="1"/>
  <c r="BA119" s="1"/>
  <c r="BA120" s="1"/>
  <c r="BA121" s="1"/>
  <c r="BA122" s="1"/>
  <c r="BA123" s="1"/>
  <c r="BA124" s="1"/>
  <c r="BA125" s="1"/>
  <c r="BA126" s="1"/>
  <c r="BA127" s="1"/>
  <c r="BA128" s="1"/>
  <c r="BA129" s="1"/>
  <c r="BA130" s="1"/>
  <c r="BA131" s="1"/>
  <c r="BA132" s="1"/>
  <c r="BA133" s="1"/>
  <c r="BA134" s="1"/>
  <c r="BA135" s="1"/>
  <c r="AZ3"/>
  <c r="AZ4" s="1"/>
  <c r="AZ5" s="1"/>
  <c r="AZ6" s="1"/>
  <c r="AZ7" s="1"/>
  <c r="AZ8" s="1"/>
  <c r="AZ9" s="1"/>
  <c r="AZ10" s="1"/>
  <c r="AZ11" s="1"/>
  <c r="AZ12" s="1"/>
  <c r="AZ13" s="1"/>
  <c r="AZ14" s="1"/>
  <c r="AZ15" s="1"/>
  <c r="AZ16" s="1"/>
  <c r="AZ17" s="1"/>
  <c r="AZ18" s="1"/>
  <c r="AZ19" s="1"/>
  <c r="AZ20" s="1"/>
  <c r="AZ21" s="1"/>
  <c r="AZ22" s="1"/>
  <c r="AZ23" s="1"/>
  <c r="AZ24" s="1"/>
  <c r="AZ25" s="1"/>
  <c r="AZ26" s="1"/>
  <c r="AZ27" s="1"/>
  <c r="AZ28" s="1"/>
  <c r="AZ29" s="1"/>
  <c r="AZ30" s="1"/>
  <c r="AZ31" s="1"/>
  <c r="AZ32" s="1"/>
  <c r="AZ33" s="1"/>
  <c r="AZ34" s="1"/>
  <c r="AZ35" s="1"/>
  <c r="AZ36" s="1"/>
  <c r="AZ37" s="1"/>
  <c r="AZ38" s="1"/>
  <c r="AZ39" s="1"/>
  <c r="AZ40" s="1"/>
  <c r="AZ41" s="1"/>
  <c r="AZ42" s="1"/>
  <c r="AZ43" s="1"/>
  <c r="AZ44" s="1"/>
  <c r="AZ45" s="1"/>
  <c r="AZ46" s="1"/>
  <c r="AZ47" s="1"/>
  <c r="AZ48" s="1"/>
  <c r="AZ49" s="1"/>
  <c r="AZ50" s="1"/>
  <c r="AZ51" s="1"/>
  <c r="AZ52" s="1"/>
  <c r="AZ53" s="1"/>
  <c r="AZ54" s="1"/>
  <c r="AZ55" s="1"/>
  <c r="AZ56" s="1"/>
  <c r="AZ57" s="1"/>
  <c r="AZ58" s="1"/>
  <c r="AZ59" s="1"/>
  <c r="AZ60" s="1"/>
  <c r="AZ61" s="1"/>
  <c r="AZ62" s="1"/>
  <c r="AZ63" s="1"/>
  <c r="AZ64" s="1"/>
  <c r="AZ65" s="1"/>
  <c r="AZ66" s="1"/>
  <c r="AZ67" s="1"/>
  <c r="AZ68" s="1"/>
  <c r="AZ69" s="1"/>
  <c r="AZ70" s="1"/>
  <c r="AZ71" s="1"/>
  <c r="AZ72" s="1"/>
  <c r="AZ73" s="1"/>
  <c r="AZ74" s="1"/>
  <c r="AZ75" s="1"/>
  <c r="AZ76" s="1"/>
  <c r="AZ77" s="1"/>
  <c r="AZ78" s="1"/>
  <c r="AZ79" s="1"/>
  <c r="AZ80" s="1"/>
  <c r="AZ81" s="1"/>
  <c r="AZ82" s="1"/>
  <c r="AZ83" s="1"/>
  <c r="AZ84" s="1"/>
  <c r="AZ85" s="1"/>
  <c r="AZ86" s="1"/>
  <c r="AZ87" s="1"/>
  <c r="AZ88" s="1"/>
  <c r="AZ89" s="1"/>
  <c r="AZ90" s="1"/>
  <c r="AZ91" s="1"/>
  <c r="AZ92" s="1"/>
  <c r="AZ93" s="1"/>
  <c r="AZ94" s="1"/>
  <c r="AZ95" s="1"/>
  <c r="AZ96" s="1"/>
  <c r="AZ97" s="1"/>
  <c r="AZ98" s="1"/>
  <c r="AZ99" s="1"/>
  <c r="AZ100" s="1"/>
  <c r="AZ101" s="1"/>
  <c r="AZ102" s="1"/>
  <c r="AZ103" s="1"/>
  <c r="AZ104" s="1"/>
  <c r="AZ105" s="1"/>
  <c r="AZ106" s="1"/>
  <c r="AZ107" s="1"/>
  <c r="AZ108" s="1"/>
  <c r="AZ109" s="1"/>
  <c r="AZ110" s="1"/>
  <c r="AZ111" s="1"/>
  <c r="AZ112" s="1"/>
  <c r="AZ113" s="1"/>
  <c r="AZ114" s="1"/>
  <c r="AZ115" s="1"/>
  <c r="AZ116" s="1"/>
  <c r="AZ117" s="1"/>
  <c r="AZ118" s="1"/>
  <c r="AZ119" s="1"/>
  <c r="AZ120" s="1"/>
  <c r="AZ121" s="1"/>
  <c r="AZ122" s="1"/>
  <c r="AZ123" s="1"/>
  <c r="AZ124" s="1"/>
  <c r="AZ125" s="1"/>
  <c r="AZ126" s="1"/>
  <c r="AZ127" s="1"/>
  <c r="AZ128" s="1"/>
  <c r="AZ129" s="1"/>
  <c r="AZ130" s="1"/>
  <c r="AZ131" s="1"/>
  <c r="AZ132" s="1"/>
  <c r="AZ133" s="1"/>
  <c r="AZ134" s="1"/>
  <c r="AZ135" s="1"/>
  <c r="AY3"/>
  <c r="AY4" s="1"/>
  <c r="AY5" s="1"/>
  <c r="AY6" s="1"/>
  <c r="AY7" s="1"/>
  <c r="AY8" s="1"/>
  <c r="AY9" s="1"/>
  <c r="AY10" s="1"/>
  <c r="AY11" s="1"/>
  <c r="AY12" s="1"/>
  <c r="AY13" s="1"/>
  <c r="AY14" s="1"/>
  <c r="AY15" s="1"/>
  <c r="AY16" s="1"/>
  <c r="AY17" s="1"/>
  <c r="AY18" s="1"/>
  <c r="AY19" s="1"/>
  <c r="AY20" s="1"/>
  <c r="AY21" s="1"/>
  <c r="AY22" s="1"/>
  <c r="AY23" s="1"/>
  <c r="AY24" s="1"/>
  <c r="AY25" s="1"/>
  <c r="AY26" s="1"/>
  <c r="AY27" s="1"/>
  <c r="AY28" s="1"/>
  <c r="AY29" s="1"/>
  <c r="AY30" s="1"/>
  <c r="AY31" s="1"/>
  <c r="AY32" s="1"/>
  <c r="AY33" s="1"/>
  <c r="AY34" s="1"/>
  <c r="AY35" s="1"/>
  <c r="AY36" s="1"/>
  <c r="AY37" s="1"/>
  <c r="AY38" s="1"/>
  <c r="AY39" s="1"/>
  <c r="AY40" s="1"/>
  <c r="AY41" s="1"/>
  <c r="AY42" s="1"/>
  <c r="AY43" s="1"/>
  <c r="AY44" s="1"/>
  <c r="AY45" s="1"/>
  <c r="AY46" s="1"/>
  <c r="AY47" s="1"/>
  <c r="AY48" s="1"/>
  <c r="AY49" s="1"/>
  <c r="AY50" s="1"/>
  <c r="AY51" s="1"/>
  <c r="AY52" s="1"/>
  <c r="AY53" s="1"/>
  <c r="AY54" s="1"/>
  <c r="AY55" s="1"/>
  <c r="AY56" s="1"/>
  <c r="AY57" s="1"/>
  <c r="AY58" s="1"/>
  <c r="AY59" s="1"/>
  <c r="AY60" s="1"/>
  <c r="AY61" s="1"/>
  <c r="AY62" s="1"/>
  <c r="AY63" s="1"/>
  <c r="AY64" s="1"/>
  <c r="AY65" s="1"/>
  <c r="AY66" s="1"/>
  <c r="AY67" s="1"/>
  <c r="AY68" s="1"/>
  <c r="AY69" s="1"/>
  <c r="AY70" s="1"/>
  <c r="AY71" s="1"/>
  <c r="AY72" s="1"/>
  <c r="AY73" s="1"/>
  <c r="AY74" s="1"/>
  <c r="AY75" s="1"/>
  <c r="AY76" s="1"/>
  <c r="AY77" s="1"/>
  <c r="AY78" s="1"/>
  <c r="AY79" s="1"/>
  <c r="AY80" s="1"/>
  <c r="AY81" s="1"/>
  <c r="AY82" s="1"/>
  <c r="AY83" s="1"/>
  <c r="AY84" s="1"/>
  <c r="AY85" s="1"/>
  <c r="AY86" s="1"/>
  <c r="AY87" s="1"/>
  <c r="AY88" s="1"/>
  <c r="AY89" s="1"/>
  <c r="AY90" s="1"/>
  <c r="AY91" s="1"/>
  <c r="AY92" s="1"/>
  <c r="AY93" s="1"/>
  <c r="AY94" s="1"/>
  <c r="AY95" s="1"/>
  <c r="AY96" s="1"/>
  <c r="AY97" s="1"/>
  <c r="AY98" s="1"/>
  <c r="AY99" s="1"/>
  <c r="AY100" s="1"/>
  <c r="AY101" s="1"/>
  <c r="AY102" s="1"/>
  <c r="AY103" s="1"/>
  <c r="AY104" s="1"/>
  <c r="AY105" s="1"/>
  <c r="AY106" s="1"/>
  <c r="AY107" s="1"/>
  <c r="AY108" s="1"/>
  <c r="AY109" s="1"/>
  <c r="AY110" s="1"/>
  <c r="AY111" s="1"/>
  <c r="AY112" s="1"/>
  <c r="AY113" s="1"/>
  <c r="AY114" s="1"/>
  <c r="AY115" s="1"/>
  <c r="AY116" s="1"/>
  <c r="AY117" s="1"/>
  <c r="AY118" s="1"/>
  <c r="AY119" s="1"/>
  <c r="AY120" s="1"/>
  <c r="AY121" s="1"/>
  <c r="AY122" s="1"/>
  <c r="AY123" s="1"/>
  <c r="AY124" s="1"/>
  <c r="AY125" s="1"/>
  <c r="AY126" s="1"/>
  <c r="AY127" s="1"/>
  <c r="AY128" s="1"/>
  <c r="AY129" s="1"/>
  <c r="AY130" s="1"/>
  <c r="AY131" s="1"/>
  <c r="AY132" s="1"/>
  <c r="AY133" s="1"/>
  <c r="AY134" s="1"/>
  <c r="AY135" s="1"/>
  <c r="AX3"/>
  <c r="AX4" s="1"/>
  <c r="AX5" s="1"/>
  <c r="AX6" s="1"/>
  <c r="AX7" s="1"/>
  <c r="AX8" s="1"/>
  <c r="AX9" s="1"/>
  <c r="AX10" s="1"/>
  <c r="AX11" s="1"/>
  <c r="AX12" s="1"/>
  <c r="AX13" s="1"/>
  <c r="AX14" s="1"/>
  <c r="AX15" s="1"/>
  <c r="AX16" s="1"/>
  <c r="AX17" s="1"/>
  <c r="AX18" s="1"/>
  <c r="AX19" s="1"/>
  <c r="AX20" s="1"/>
  <c r="AX21" s="1"/>
  <c r="AX22" s="1"/>
  <c r="AX23" s="1"/>
  <c r="AX24" s="1"/>
  <c r="AX25" s="1"/>
  <c r="AX26" s="1"/>
  <c r="AX27" s="1"/>
  <c r="AX28" s="1"/>
  <c r="AX29" s="1"/>
  <c r="AX30" s="1"/>
  <c r="AX31" s="1"/>
  <c r="AX32" s="1"/>
  <c r="AX33" s="1"/>
  <c r="AX34" s="1"/>
  <c r="AX35" s="1"/>
  <c r="AX36" s="1"/>
  <c r="AX37" s="1"/>
  <c r="AX38" s="1"/>
  <c r="AX39" s="1"/>
  <c r="AX40" s="1"/>
  <c r="AX41" s="1"/>
  <c r="AX42" s="1"/>
  <c r="AX43" s="1"/>
  <c r="AX44" s="1"/>
  <c r="AX45" s="1"/>
  <c r="AX46" s="1"/>
  <c r="AX47" s="1"/>
  <c r="AX48" s="1"/>
  <c r="AX49" s="1"/>
  <c r="AX50" s="1"/>
  <c r="AX51" s="1"/>
  <c r="AX52" s="1"/>
  <c r="AX53" s="1"/>
  <c r="AX54" s="1"/>
  <c r="AX55" s="1"/>
  <c r="AX56" s="1"/>
  <c r="AX57" s="1"/>
  <c r="AX58" s="1"/>
  <c r="AX59" s="1"/>
  <c r="AX60" s="1"/>
  <c r="AX61" s="1"/>
  <c r="AX62" s="1"/>
  <c r="AX63" s="1"/>
  <c r="AX64" s="1"/>
  <c r="AX65" s="1"/>
  <c r="AX66" s="1"/>
  <c r="AX67" s="1"/>
  <c r="AX68" s="1"/>
  <c r="AX69" s="1"/>
  <c r="AX70" s="1"/>
  <c r="AX71" s="1"/>
  <c r="AX72" s="1"/>
  <c r="AX73" s="1"/>
  <c r="AX74" s="1"/>
  <c r="AX75" s="1"/>
  <c r="AX76" s="1"/>
  <c r="AX77" s="1"/>
  <c r="AX78" s="1"/>
  <c r="AX79" s="1"/>
  <c r="AX80" s="1"/>
  <c r="AX81" s="1"/>
  <c r="AX82" s="1"/>
  <c r="AX83" s="1"/>
  <c r="AX84" s="1"/>
  <c r="AX85" s="1"/>
  <c r="AX86" s="1"/>
  <c r="AX87" s="1"/>
  <c r="AX88" s="1"/>
  <c r="AX89" s="1"/>
  <c r="AX90" s="1"/>
  <c r="AX91" s="1"/>
  <c r="AX92" s="1"/>
  <c r="AX93" s="1"/>
  <c r="AX94" s="1"/>
  <c r="AX95" s="1"/>
  <c r="AX96" s="1"/>
  <c r="AX97" s="1"/>
  <c r="AX98" s="1"/>
  <c r="AX99" s="1"/>
  <c r="AX100" s="1"/>
  <c r="AX101" s="1"/>
  <c r="AX102" s="1"/>
  <c r="AX103" s="1"/>
  <c r="AX104" s="1"/>
  <c r="AX105" s="1"/>
  <c r="AX106" s="1"/>
  <c r="AX107" s="1"/>
  <c r="AX108" s="1"/>
  <c r="AX109" s="1"/>
  <c r="AX110" s="1"/>
  <c r="AX111" s="1"/>
  <c r="AX112" s="1"/>
  <c r="AX113" s="1"/>
  <c r="AX114" s="1"/>
  <c r="AX115" s="1"/>
  <c r="AX116" s="1"/>
  <c r="AX117" s="1"/>
  <c r="AX118" s="1"/>
  <c r="AX119" s="1"/>
  <c r="AX120" s="1"/>
  <c r="AX121" s="1"/>
  <c r="AX122" s="1"/>
  <c r="AX123" s="1"/>
  <c r="AX124" s="1"/>
  <c r="AX125" s="1"/>
  <c r="AX126" s="1"/>
  <c r="AX127" s="1"/>
  <c r="AX128" s="1"/>
  <c r="AX129" s="1"/>
  <c r="AX130" s="1"/>
  <c r="AX131" s="1"/>
  <c r="AX132" s="1"/>
  <c r="AX133" s="1"/>
  <c r="AX134" s="1"/>
  <c r="AX135" s="1"/>
  <c r="AW3"/>
  <c r="AW4" s="1"/>
  <c r="AW5" s="1"/>
  <c r="AW6" s="1"/>
  <c r="AW7" s="1"/>
  <c r="AW8" s="1"/>
  <c r="AW9" s="1"/>
  <c r="AW10" s="1"/>
  <c r="AW11" s="1"/>
  <c r="AW12" s="1"/>
  <c r="AW13" s="1"/>
  <c r="AW14" s="1"/>
  <c r="AW15" s="1"/>
  <c r="AW16" s="1"/>
  <c r="AW17" s="1"/>
  <c r="AW18" s="1"/>
  <c r="AW19" s="1"/>
  <c r="AW20" s="1"/>
  <c r="AW21" s="1"/>
  <c r="AW22" s="1"/>
  <c r="AW23" s="1"/>
  <c r="AW24" s="1"/>
  <c r="AW25" s="1"/>
  <c r="AW26" s="1"/>
  <c r="AW27" s="1"/>
  <c r="AW28" s="1"/>
  <c r="AW29" s="1"/>
  <c r="AW30" s="1"/>
  <c r="AW31" s="1"/>
  <c r="AW32" s="1"/>
  <c r="AW33" s="1"/>
  <c r="AW34" s="1"/>
  <c r="AW35" s="1"/>
  <c r="AW36" s="1"/>
  <c r="AW37" s="1"/>
  <c r="AW38" s="1"/>
  <c r="AW39" s="1"/>
  <c r="AW40" s="1"/>
  <c r="AW41" s="1"/>
  <c r="AW42" s="1"/>
  <c r="AW43" s="1"/>
  <c r="AW44" s="1"/>
  <c r="AW45" s="1"/>
  <c r="AW46" s="1"/>
  <c r="AW47" s="1"/>
  <c r="AW48" s="1"/>
  <c r="AW49" s="1"/>
  <c r="AW50" s="1"/>
  <c r="AW51" s="1"/>
  <c r="AW52" s="1"/>
  <c r="AW53" s="1"/>
  <c r="AW54" s="1"/>
  <c r="AW55" s="1"/>
  <c r="AW56" s="1"/>
  <c r="AW57" s="1"/>
  <c r="AW58" s="1"/>
  <c r="AW59" s="1"/>
  <c r="AW60" s="1"/>
  <c r="AW61" s="1"/>
  <c r="AW62" s="1"/>
  <c r="AW63" s="1"/>
  <c r="AW64" s="1"/>
  <c r="AW65" s="1"/>
  <c r="AW66" s="1"/>
  <c r="AW67" s="1"/>
  <c r="AW68" s="1"/>
  <c r="AW69" s="1"/>
  <c r="AW70" s="1"/>
  <c r="AW71" s="1"/>
  <c r="AW72" s="1"/>
  <c r="AW73" s="1"/>
  <c r="AW74" s="1"/>
  <c r="AW75" s="1"/>
  <c r="AW76" s="1"/>
  <c r="AW77" s="1"/>
  <c r="AW78" s="1"/>
  <c r="AW79" s="1"/>
  <c r="AW80" s="1"/>
  <c r="AW81" s="1"/>
  <c r="AW82" s="1"/>
  <c r="AW83" s="1"/>
  <c r="AW84" s="1"/>
  <c r="AW85" s="1"/>
  <c r="AW86" s="1"/>
  <c r="AW87" s="1"/>
  <c r="AW88" s="1"/>
  <c r="AW89" s="1"/>
  <c r="AW90" s="1"/>
  <c r="AW91" s="1"/>
  <c r="AW92" s="1"/>
  <c r="AW93" s="1"/>
  <c r="AW94" s="1"/>
  <c r="AW95" s="1"/>
  <c r="AW96" s="1"/>
  <c r="AW97" s="1"/>
  <c r="AW98" s="1"/>
  <c r="AW99" s="1"/>
  <c r="AW100" s="1"/>
  <c r="AW101" s="1"/>
  <c r="AW102" s="1"/>
  <c r="AW103" s="1"/>
  <c r="AW104" s="1"/>
  <c r="AW105" s="1"/>
  <c r="AW106" s="1"/>
  <c r="AW107" s="1"/>
  <c r="AW108" s="1"/>
  <c r="AW109" s="1"/>
  <c r="AW110" s="1"/>
  <c r="AW111" s="1"/>
  <c r="AW112" s="1"/>
  <c r="AW113" s="1"/>
  <c r="AW114" s="1"/>
  <c r="AW115" s="1"/>
  <c r="AW116" s="1"/>
  <c r="AW117" s="1"/>
  <c r="AW118" s="1"/>
  <c r="AW119" s="1"/>
  <c r="AW120" s="1"/>
  <c r="AW121" s="1"/>
  <c r="AW122" s="1"/>
  <c r="AW123" s="1"/>
  <c r="AW124" s="1"/>
  <c r="AW125" s="1"/>
  <c r="AW126" s="1"/>
  <c r="AW127" s="1"/>
  <c r="AW128" s="1"/>
  <c r="AW129" s="1"/>
  <c r="AW130" s="1"/>
  <c r="AW131" s="1"/>
  <c r="AW132" s="1"/>
  <c r="AW133" s="1"/>
  <c r="AW134" s="1"/>
  <c r="AW135" s="1"/>
  <c r="AV3"/>
  <c r="AV4" s="1"/>
  <c r="AV5" s="1"/>
  <c r="AV6" s="1"/>
  <c r="AV7" s="1"/>
  <c r="AV8" s="1"/>
  <c r="AV9" s="1"/>
  <c r="AV10" s="1"/>
  <c r="AV11" s="1"/>
  <c r="AV12" s="1"/>
  <c r="AV13" s="1"/>
  <c r="AV14" s="1"/>
  <c r="AV15" s="1"/>
  <c r="AV16" s="1"/>
  <c r="AV17" s="1"/>
  <c r="AV18" s="1"/>
  <c r="AV19" s="1"/>
  <c r="AV20" s="1"/>
  <c r="AV21" s="1"/>
  <c r="AV22" s="1"/>
  <c r="AV23" s="1"/>
  <c r="AV24" s="1"/>
  <c r="AV25" s="1"/>
  <c r="AV26" s="1"/>
  <c r="AV27" s="1"/>
  <c r="AV28" s="1"/>
  <c r="AV29" s="1"/>
  <c r="AV30" s="1"/>
  <c r="AV31" s="1"/>
  <c r="AV32" s="1"/>
  <c r="AV33" s="1"/>
  <c r="AV34" s="1"/>
  <c r="AV35" s="1"/>
  <c r="AV36" s="1"/>
  <c r="AV37" s="1"/>
  <c r="AV38" s="1"/>
  <c r="AV39" s="1"/>
  <c r="AV40" s="1"/>
  <c r="AV41" s="1"/>
  <c r="AV42" s="1"/>
  <c r="AV43" s="1"/>
  <c r="AV44" s="1"/>
  <c r="AV45" s="1"/>
  <c r="AV46" s="1"/>
  <c r="AV47" s="1"/>
  <c r="AV48" s="1"/>
  <c r="AV49" s="1"/>
  <c r="AV50" s="1"/>
  <c r="AV51" s="1"/>
  <c r="AV52" s="1"/>
  <c r="AV53" s="1"/>
  <c r="AV54" s="1"/>
  <c r="AV55" s="1"/>
  <c r="AV56" s="1"/>
  <c r="AV57" s="1"/>
  <c r="AV58" s="1"/>
  <c r="AV59" s="1"/>
  <c r="AV60" s="1"/>
  <c r="AV61" s="1"/>
  <c r="AV62" s="1"/>
  <c r="AV63" s="1"/>
  <c r="AV64" s="1"/>
  <c r="AV65" s="1"/>
  <c r="AV66" s="1"/>
  <c r="AV67" s="1"/>
  <c r="AV68" s="1"/>
  <c r="AV69" s="1"/>
  <c r="AV70" s="1"/>
  <c r="AV71" s="1"/>
  <c r="AV72" s="1"/>
  <c r="AV73" s="1"/>
  <c r="AV74" s="1"/>
  <c r="AV75" s="1"/>
  <c r="AV76" s="1"/>
  <c r="AV77" s="1"/>
  <c r="AV78" s="1"/>
  <c r="AV79" s="1"/>
  <c r="AV80" s="1"/>
  <c r="AV81" s="1"/>
  <c r="AV82" s="1"/>
  <c r="AV83" s="1"/>
  <c r="AV84" s="1"/>
  <c r="AV85" s="1"/>
  <c r="AV86" s="1"/>
  <c r="AV87" s="1"/>
  <c r="AV88" s="1"/>
  <c r="AV89" s="1"/>
  <c r="AV90" s="1"/>
  <c r="AV91" s="1"/>
  <c r="AV92" s="1"/>
  <c r="AV93" s="1"/>
  <c r="AV94" s="1"/>
  <c r="AV95" s="1"/>
  <c r="AV96" s="1"/>
  <c r="AV97" s="1"/>
  <c r="AV98" s="1"/>
  <c r="AV99" s="1"/>
  <c r="AV100" s="1"/>
  <c r="AV101" s="1"/>
  <c r="AV102" s="1"/>
  <c r="AV103" s="1"/>
  <c r="AV104" s="1"/>
  <c r="AV105" s="1"/>
  <c r="AV106" s="1"/>
  <c r="AV107" s="1"/>
  <c r="AV108" s="1"/>
  <c r="AV109" s="1"/>
  <c r="AV110" s="1"/>
  <c r="AV111" s="1"/>
  <c r="AV112" s="1"/>
  <c r="AV113" s="1"/>
  <c r="AV114" s="1"/>
  <c r="AV115" s="1"/>
  <c r="AV116" s="1"/>
  <c r="AV117" s="1"/>
  <c r="AV118" s="1"/>
  <c r="AV119" s="1"/>
  <c r="AV120" s="1"/>
  <c r="AV121" s="1"/>
  <c r="AV122" s="1"/>
  <c r="AV123" s="1"/>
  <c r="AV124" s="1"/>
  <c r="AV125" s="1"/>
  <c r="AV126" s="1"/>
  <c r="AV127" s="1"/>
  <c r="AV128" s="1"/>
  <c r="AV129" s="1"/>
  <c r="AV130" s="1"/>
  <c r="AV131" s="1"/>
  <c r="AV132" s="1"/>
  <c r="AV133" s="1"/>
  <c r="AV134" s="1"/>
  <c r="AV135" s="1"/>
  <c r="AU3"/>
  <c r="AU4" s="1"/>
  <c r="AU5" s="1"/>
  <c r="AU6" s="1"/>
  <c r="AU7" s="1"/>
  <c r="AU8" s="1"/>
  <c r="AU9" s="1"/>
  <c r="AU10" s="1"/>
  <c r="AU11" s="1"/>
  <c r="AU12" s="1"/>
  <c r="AU13" s="1"/>
  <c r="AU14" s="1"/>
  <c r="AU15" s="1"/>
  <c r="AU16" s="1"/>
  <c r="AU17" s="1"/>
  <c r="AU18" s="1"/>
  <c r="AU19" s="1"/>
  <c r="AU20" s="1"/>
  <c r="AU21" s="1"/>
  <c r="AU22" s="1"/>
  <c r="AU23" s="1"/>
  <c r="AU24" s="1"/>
  <c r="AU25" s="1"/>
  <c r="AU26" s="1"/>
  <c r="AU27" s="1"/>
  <c r="AU28" s="1"/>
  <c r="AU29" s="1"/>
  <c r="AU30" s="1"/>
  <c r="AU31" s="1"/>
  <c r="AU32" s="1"/>
  <c r="AU33" s="1"/>
  <c r="AU34" s="1"/>
  <c r="AU35" s="1"/>
  <c r="AU36" s="1"/>
  <c r="AU37" s="1"/>
  <c r="AU38" s="1"/>
  <c r="AU39" s="1"/>
  <c r="AU40" s="1"/>
  <c r="AU41" s="1"/>
  <c r="AU42" s="1"/>
  <c r="AU43" s="1"/>
  <c r="AU44" s="1"/>
  <c r="AU45" s="1"/>
  <c r="AU46" s="1"/>
  <c r="AU47" s="1"/>
  <c r="AU48" s="1"/>
  <c r="AU49" s="1"/>
  <c r="AU50" s="1"/>
  <c r="AU51" s="1"/>
  <c r="AU52" s="1"/>
  <c r="AU53" s="1"/>
  <c r="AU54" s="1"/>
  <c r="AU55" s="1"/>
  <c r="AU56" s="1"/>
  <c r="AU57" s="1"/>
  <c r="AU58" s="1"/>
  <c r="AU59" s="1"/>
  <c r="AU60" s="1"/>
  <c r="AU61" s="1"/>
  <c r="AU62" s="1"/>
  <c r="AU63" s="1"/>
  <c r="AU64" s="1"/>
  <c r="AU65" s="1"/>
  <c r="AU66" s="1"/>
  <c r="AU67" s="1"/>
  <c r="AU68" s="1"/>
  <c r="AU69" s="1"/>
  <c r="AU70" s="1"/>
  <c r="AU71" s="1"/>
  <c r="AU72" s="1"/>
  <c r="AU73" s="1"/>
  <c r="AU74" s="1"/>
  <c r="AU75" s="1"/>
  <c r="AU76" s="1"/>
  <c r="AU77" s="1"/>
  <c r="AU78" s="1"/>
  <c r="AU79" s="1"/>
  <c r="AU80" s="1"/>
  <c r="AU81" s="1"/>
  <c r="AU82" s="1"/>
  <c r="AU83" s="1"/>
  <c r="AU84" s="1"/>
  <c r="AU85" s="1"/>
  <c r="AU86" s="1"/>
  <c r="AU87" s="1"/>
  <c r="AU88" s="1"/>
  <c r="AU89" s="1"/>
  <c r="AU90" s="1"/>
  <c r="AU91" s="1"/>
  <c r="AU92" s="1"/>
  <c r="AU93" s="1"/>
  <c r="AU94" s="1"/>
  <c r="AU95" s="1"/>
  <c r="AU96" s="1"/>
  <c r="AU97" s="1"/>
  <c r="AU98" s="1"/>
  <c r="AU99" s="1"/>
  <c r="AU100" s="1"/>
  <c r="AU101" s="1"/>
  <c r="AU102" s="1"/>
  <c r="AU103" s="1"/>
  <c r="AU104" s="1"/>
  <c r="AU105" s="1"/>
  <c r="AU106" s="1"/>
  <c r="AU107" s="1"/>
  <c r="AU108" s="1"/>
  <c r="AU109" s="1"/>
  <c r="AU110" s="1"/>
  <c r="AU111" s="1"/>
  <c r="AU112" s="1"/>
  <c r="AU113" s="1"/>
  <c r="AU114" s="1"/>
  <c r="AU115" s="1"/>
  <c r="AU116" s="1"/>
  <c r="AU117" s="1"/>
  <c r="AU118" s="1"/>
  <c r="AU119" s="1"/>
  <c r="AU120" s="1"/>
  <c r="AU121" s="1"/>
  <c r="AU122" s="1"/>
  <c r="AU123" s="1"/>
  <c r="AU124" s="1"/>
  <c r="AU125" s="1"/>
  <c r="AU126" s="1"/>
  <c r="AU127" s="1"/>
  <c r="AU128" s="1"/>
  <c r="AU129" s="1"/>
  <c r="AU130" s="1"/>
  <c r="AU131" s="1"/>
  <c r="AU132" s="1"/>
  <c r="AU133" s="1"/>
  <c r="AU134" s="1"/>
  <c r="AU135" s="1"/>
  <c r="AT3"/>
  <c r="AT4" s="1"/>
  <c r="AT5" s="1"/>
  <c r="AT6" s="1"/>
  <c r="AT7" s="1"/>
  <c r="AT8" s="1"/>
  <c r="AT9" s="1"/>
  <c r="AT10" s="1"/>
  <c r="AT11" s="1"/>
  <c r="AT12" s="1"/>
  <c r="AT13" s="1"/>
  <c r="AT14" s="1"/>
  <c r="AT15" s="1"/>
  <c r="AT16" s="1"/>
  <c r="AT17" s="1"/>
  <c r="AT18" s="1"/>
  <c r="AT19" s="1"/>
  <c r="AT20" s="1"/>
  <c r="AT21" s="1"/>
  <c r="AT22" s="1"/>
  <c r="AT23" s="1"/>
  <c r="AT24" s="1"/>
  <c r="AT25" s="1"/>
  <c r="AT26" s="1"/>
  <c r="AT27" s="1"/>
  <c r="AT28" s="1"/>
  <c r="AT29" s="1"/>
  <c r="AT30" s="1"/>
  <c r="AT31" s="1"/>
  <c r="AT32" s="1"/>
  <c r="AT33" s="1"/>
  <c r="AT34" s="1"/>
  <c r="AT35" s="1"/>
  <c r="AT36" s="1"/>
  <c r="AT37" s="1"/>
  <c r="AT38" s="1"/>
  <c r="AT39" s="1"/>
  <c r="AT40" s="1"/>
  <c r="AT41" s="1"/>
  <c r="AT42" s="1"/>
  <c r="AT43" s="1"/>
  <c r="AT44" s="1"/>
  <c r="AT45" s="1"/>
  <c r="AT46" s="1"/>
  <c r="AT47" s="1"/>
  <c r="AT48" s="1"/>
  <c r="AT49" s="1"/>
  <c r="AT50" s="1"/>
  <c r="AT51" s="1"/>
  <c r="AT52" s="1"/>
  <c r="AT53" s="1"/>
  <c r="AT54" s="1"/>
  <c r="AT55" s="1"/>
  <c r="AT56" s="1"/>
  <c r="AT57" s="1"/>
  <c r="AT58" s="1"/>
  <c r="AT59" s="1"/>
  <c r="AT60" s="1"/>
  <c r="AT61" s="1"/>
  <c r="AT62" s="1"/>
  <c r="AT63" s="1"/>
  <c r="AT64" s="1"/>
  <c r="AT65" s="1"/>
  <c r="AT66" s="1"/>
  <c r="AT67" s="1"/>
  <c r="AT68" s="1"/>
  <c r="AT69" s="1"/>
  <c r="AT70" s="1"/>
  <c r="AT71" s="1"/>
  <c r="AT72" s="1"/>
  <c r="AT73" s="1"/>
  <c r="AT74" s="1"/>
  <c r="AT75" s="1"/>
  <c r="AT76" s="1"/>
  <c r="AT77" s="1"/>
  <c r="AT78" s="1"/>
  <c r="AT79" s="1"/>
  <c r="AT80" s="1"/>
  <c r="AT81" s="1"/>
  <c r="AT82" s="1"/>
  <c r="AT83" s="1"/>
  <c r="AT84" s="1"/>
  <c r="AT85" s="1"/>
  <c r="AT86" s="1"/>
  <c r="AT87" s="1"/>
  <c r="AT88" s="1"/>
  <c r="AT89" s="1"/>
  <c r="AT90" s="1"/>
  <c r="AT91" s="1"/>
  <c r="AT92" s="1"/>
  <c r="AT93" s="1"/>
  <c r="AT94" s="1"/>
  <c r="AT95" s="1"/>
  <c r="AT96" s="1"/>
  <c r="AT97" s="1"/>
  <c r="AT98" s="1"/>
  <c r="AT99" s="1"/>
  <c r="AT100" s="1"/>
  <c r="AT101" s="1"/>
  <c r="AT102" s="1"/>
  <c r="AT103" s="1"/>
  <c r="AT104" s="1"/>
  <c r="AT105" s="1"/>
  <c r="AT106" s="1"/>
  <c r="AT107" s="1"/>
  <c r="AT108" s="1"/>
  <c r="AT109" s="1"/>
  <c r="AT110" s="1"/>
  <c r="AT111" s="1"/>
  <c r="AT112" s="1"/>
  <c r="AT113" s="1"/>
  <c r="AT114" s="1"/>
  <c r="AT115" s="1"/>
  <c r="AT116" s="1"/>
  <c r="AT117" s="1"/>
  <c r="AT118" s="1"/>
  <c r="AT119" s="1"/>
  <c r="AT120" s="1"/>
  <c r="AT121" s="1"/>
  <c r="AT122" s="1"/>
  <c r="AT123" s="1"/>
  <c r="AT124" s="1"/>
  <c r="AT125" s="1"/>
  <c r="AT126" s="1"/>
  <c r="AT127" s="1"/>
  <c r="AT128" s="1"/>
  <c r="AT129" s="1"/>
  <c r="AT130" s="1"/>
  <c r="AT131" s="1"/>
  <c r="AT132" s="1"/>
  <c r="AT133" s="1"/>
  <c r="AT134" s="1"/>
  <c r="AT135" s="1"/>
  <c r="AS3"/>
  <c r="AS4" s="1"/>
  <c r="AS5" s="1"/>
  <c r="AS6" s="1"/>
  <c r="AS7" s="1"/>
  <c r="AS8" s="1"/>
  <c r="AS9" s="1"/>
  <c r="AS10" s="1"/>
  <c r="AS11" s="1"/>
  <c r="AS12" s="1"/>
  <c r="AS13" s="1"/>
  <c r="AS14" s="1"/>
  <c r="AS15" s="1"/>
  <c r="AS16" s="1"/>
  <c r="AS17" s="1"/>
  <c r="AS18" s="1"/>
  <c r="AS19" s="1"/>
  <c r="AS20" s="1"/>
  <c r="AS21" s="1"/>
  <c r="AS22" s="1"/>
  <c r="AS23" s="1"/>
  <c r="AS24" s="1"/>
  <c r="AS25" s="1"/>
  <c r="AS26" s="1"/>
  <c r="AS27" s="1"/>
  <c r="AS28" s="1"/>
  <c r="AS29" s="1"/>
  <c r="AS30" s="1"/>
  <c r="AS31" s="1"/>
  <c r="AS32" s="1"/>
  <c r="AS33" s="1"/>
  <c r="AS34" s="1"/>
  <c r="AS35" s="1"/>
  <c r="AS36" s="1"/>
  <c r="AS37" s="1"/>
  <c r="AS38" s="1"/>
  <c r="AS39" s="1"/>
  <c r="AS40" s="1"/>
  <c r="AS41" s="1"/>
  <c r="AS42" s="1"/>
  <c r="AS43" s="1"/>
  <c r="AS44" s="1"/>
  <c r="AS45" s="1"/>
  <c r="AS46" s="1"/>
  <c r="AS47" s="1"/>
  <c r="AS48" s="1"/>
  <c r="AS49" s="1"/>
  <c r="AS50" s="1"/>
  <c r="AS51" s="1"/>
  <c r="AS52" s="1"/>
  <c r="AS53" s="1"/>
  <c r="AS54" s="1"/>
  <c r="AS55" s="1"/>
  <c r="AS56" s="1"/>
  <c r="AS57" s="1"/>
  <c r="AS58" s="1"/>
  <c r="AS59" s="1"/>
  <c r="AS60" s="1"/>
  <c r="AS61" s="1"/>
  <c r="AS62" s="1"/>
  <c r="AS63" s="1"/>
  <c r="AS64" s="1"/>
  <c r="AS65" s="1"/>
  <c r="AS66" s="1"/>
  <c r="AS67" s="1"/>
  <c r="AS68" s="1"/>
  <c r="AS69" s="1"/>
  <c r="AS70" s="1"/>
  <c r="AS71" s="1"/>
  <c r="AS72" s="1"/>
  <c r="AS73" s="1"/>
  <c r="AS74" s="1"/>
  <c r="AS75" s="1"/>
  <c r="AS76" s="1"/>
  <c r="AS77" s="1"/>
  <c r="AS78" s="1"/>
  <c r="AS79" s="1"/>
  <c r="AS80" s="1"/>
  <c r="AS81" s="1"/>
  <c r="AS82" s="1"/>
  <c r="AS83" s="1"/>
  <c r="AS84" s="1"/>
  <c r="AS85" s="1"/>
  <c r="AS86" s="1"/>
  <c r="AS87" s="1"/>
  <c r="AS88" s="1"/>
  <c r="AS89" s="1"/>
  <c r="AS90" s="1"/>
  <c r="AS91" s="1"/>
  <c r="AS92" s="1"/>
  <c r="AS93" s="1"/>
  <c r="AS94" s="1"/>
  <c r="AS95" s="1"/>
  <c r="AS96" s="1"/>
  <c r="AS97" s="1"/>
  <c r="AS98" s="1"/>
  <c r="AS99" s="1"/>
  <c r="AS100" s="1"/>
  <c r="AS101" s="1"/>
  <c r="AS102" s="1"/>
  <c r="AS103" s="1"/>
  <c r="AS104" s="1"/>
  <c r="AS105" s="1"/>
  <c r="AS106" s="1"/>
  <c r="AS107" s="1"/>
  <c r="AS108" s="1"/>
  <c r="AS109" s="1"/>
  <c r="AS110" s="1"/>
  <c r="AS111" s="1"/>
  <c r="AS112" s="1"/>
  <c r="AS113" s="1"/>
  <c r="AS114" s="1"/>
  <c r="AS115" s="1"/>
  <c r="AS116" s="1"/>
  <c r="AS117" s="1"/>
  <c r="AS118" s="1"/>
  <c r="AS119" s="1"/>
  <c r="AS120" s="1"/>
  <c r="AS121" s="1"/>
  <c r="AS122" s="1"/>
  <c r="AS123" s="1"/>
  <c r="AS124" s="1"/>
  <c r="AS125" s="1"/>
  <c r="AS126" s="1"/>
  <c r="AS127" s="1"/>
  <c r="AS128" s="1"/>
  <c r="AS129" s="1"/>
  <c r="AS130" s="1"/>
  <c r="AS131" s="1"/>
  <c r="AS132" s="1"/>
  <c r="AS133" s="1"/>
  <c r="AS134" s="1"/>
  <c r="AS135" s="1"/>
  <c r="AR3"/>
  <c r="AR4" s="1"/>
  <c r="AR5" s="1"/>
  <c r="AR6" s="1"/>
  <c r="AR7" s="1"/>
  <c r="AR8" s="1"/>
  <c r="AR9" s="1"/>
  <c r="AR10" s="1"/>
  <c r="AR11" s="1"/>
  <c r="AR12" s="1"/>
  <c r="AR13" s="1"/>
  <c r="AR14" s="1"/>
  <c r="AR15" s="1"/>
  <c r="AR16" s="1"/>
  <c r="AR17" s="1"/>
  <c r="AR18" s="1"/>
  <c r="AR19" s="1"/>
  <c r="AR20" s="1"/>
  <c r="AR21" s="1"/>
  <c r="AR22" s="1"/>
  <c r="AR23" s="1"/>
  <c r="AR24" s="1"/>
  <c r="AR25" s="1"/>
  <c r="AR26" s="1"/>
  <c r="AR27" s="1"/>
  <c r="AR28" s="1"/>
  <c r="AR29" s="1"/>
  <c r="AR30" s="1"/>
  <c r="AR31" s="1"/>
  <c r="AR32" s="1"/>
  <c r="AR33" s="1"/>
  <c r="AR34" s="1"/>
  <c r="AR35" s="1"/>
  <c r="AR36" s="1"/>
  <c r="AR37" s="1"/>
  <c r="AR38" s="1"/>
  <c r="AR39" s="1"/>
  <c r="AR40" s="1"/>
  <c r="AR41" s="1"/>
  <c r="AR42" s="1"/>
  <c r="AR43" s="1"/>
  <c r="AR44" s="1"/>
  <c r="AR45" s="1"/>
  <c r="AR46" s="1"/>
  <c r="AR47" s="1"/>
  <c r="AR48" s="1"/>
  <c r="AR49" s="1"/>
  <c r="AR50" s="1"/>
  <c r="AR51" s="1"/>
  <c r="AR52" s="1"/>
  <c r="AR53" s="1"/>
  <c r="AR54" s="1"/>
  <c r="AR55" s="1"/>
  <c r="AR56" s="1"/>
  <c r="AR57" s="1"/>
  <c r="AR58" s="1"/>
  <c r="AR59" s="1"/>
  <c r="AR60" s="1"/>
  <c r="AR61" s="1"/>
  <c r="AR62" s="1"/>
  <c r="AR63" s="1"/>
  <c r="AR64" s="1"/>
  <c r="AR65" s="1"/>
  <c r="AR66" s="1"/>
  <c r="AR67" s="1"/>
  <c r="AR68" s="1"/>
  <c r="AR69" s="1"/>
  <c r="AR70" s="1"/>
  <c r="AR71" s="1"/>
  <c r="AR72" s="1"/>
  <c r="AR73" s="1"/>
  <c r="AR74" s="1"/>
  <c r="AR75" s="1"/>
  <c r="AR76" s="1"/>
  <c r="AR77" s="1"/>
  <c r="AR78" s="1"/>
  <c r="AR79" s="1"/>
  <c r="AR80" s="1"/>
  <c r="AR81" s="1"/>
  <c r="AR82" s="1"/>
  <c r="AR83" s="1"/>
  <c r="AR84" s="1"/>
  <c r="AR85" s="1"/>
  <c r="AR86" s="1"/>
  <c r="AR87" s="1"/>
  <c r="AR88" s="1"/>
  <c r="AR89" s="1"/>
  <c r="AR90" s="1"/>
  <c r="AR91" s="1"/>
  <c r="AR92" s="1"/>
  <c r="AR93" s="1"/>
  <c r="AR94" s="1"/>
  <c r="AR95" s="1"/>
  <c r="AR96" s="1"/>
  <c r="AR97" s="1"/>
  <c r="AR98" s="1"/>
  <c r="AR99" s="1"/>
  <c r="AR100" s="1"/>
  <c r="AR101" s="1"/>
  <c r="AR102" s="1"/>
  <c r="AR103" s="1"/>
  <c r="AR104" s="1"/>
  <c r="AR105" s="1"/>
  <c r="AR106" s="1"/>
  <c r="AR107" s="1"/>
  <c r="AR108" s="1"/>
  <c r="AR109" s="1"/>
  <c r="AR110" s="1"/>
  <c r="AR111" s="1"/>
  <c r="AR112" s="1"/>
  <c r="AR113" s="1"/>
  <c r="AR114" s="1"/>
  <c r="AR115" s="1"/>
  <c r="AR116" s="1"/>
  <c r="AR117" s="1"/>
  <c r="AR118" s="1"/>
  <c r="AR119" s="1"/>
  <c r="AR120" s="1"/>
  <c r="AR121" s="1"/>
  <c r="AR122" s="1"/>
  <c r="AR123" s="1"/>
  <c r="AR124" s="1"/>
  <c r="AR125" s="1"/>
  <c r="AR126" s="1"/>
  <c r="AR127" s="1"/>
  <c r="AR128" s="1"/>
  <c r="AR129" s="1"/>
  <c r="AR130" s="1"/>
  <c r="AR131" s="1"/>
  <c r="AR132" s="1"/>
  <c r="AR133" s="1"/>
  <c r="AR134" s="1"/>
  <c r="AR135" s="1"/>
  <c r="AQ3"/>
  <c r="AQ4" s="1"/>
  <c r="AQ5" s="1"/>
  <c r="AQ6" s="1"/>
  <c r="AQ7" s="1"/>
  <c r="AQ8" s="1"/>
  <c r="AQ9" s="1"/>
  <c r="AQ10" s="1"/>
  <c r="AQ11" s="1"/>
  <c r="AQ12" s="1"/>
  <c r="AQ13" s="1"/>
  <c r="AQ14" s="1"/>
  <c r="AQ15" s="1"/>
  <c r="AQ16" s="1"/>
  <c r="AQ17" s="1"/>
  <c r="AQ18" s="1"/>
  <c r="AQ19" s="1"/>
  <c r="AQ20" s="1"/>
  <c r="AQ21" s="1"/>
  <c r="AQ22" s="1"/>
  <c r="AQ23" s="1"/>
  <c r="AQ24" s="1"/>
  <c r="AQ25" s="1"/>
  <c r="AQ26" s="1"/>
  <c r="AQ27" s="1"/>
  <c r="AQ28" s="1"/>
  <c r="AQ29" s="1"/>
  <c r="AQ30" s="1"/>
  <c r="AQ31" s="1"/>
  <c r="AQ32" s="1"/>
  <c r="AQ33" s="1"/>
  <c r="AQ34" s="1"/>
  <c r="AQ35" s="1"/>
  <c r="AQ36" s="1"/>
  <c r="AQ37" s="1"/>
  <c r="AQ38" s="1"/>
  <c r="AQ39" s="1"/>
  <c r="AQ40" s="1"/>
  <c r="AQ41" s="1"/>
  <c r="AQ42" s="1"/>
  <c r="AQ43" s="1"/>
  <c r="AQ44" s="1"/>
  <c r="AQ45" s="1"/>
  <c r="AQ46" s="1"/>
  <c r="AQ47" s="1"/>
  <c r="AQ48" s="1"/>
  <c r="AQ49" s="1"/>
  <c r="AQ50" s="1"/>
  <c r="AQ51" s="1"/>
  <c r="AQ52" s="1"/>
  <c r="AQ53" s="1"/>
  <c r="AQ54" s="1"/>
  <c r="AQ55" s="1"/>
  <c r="AQ56" s="1"/>
  <c r="AQ57" s="1"/>
  <c r="AQ58" s="1"/>
  <c r="AQ59" s="1"/>
  <c r="AQ60" s="1"/>
  <c r="AQ61" s="1"/>
  <c r="AQ62" s="1"/>
  <c r="AQ63" s="1"/>
  <c r="AQ64" s="1"/>
  <c r="AQ65" s="1"/>
  <c r="AQ66" s="1"/>
  <c r="AQ67" s="1"/>
  <c r="AQ68" s="1"/>
  <c r="AQ69" s="1"/>
  <c r="AQ70" s="1"/>
  <c r="AQ71" s="1"/>
  <c r="AQ72" s="1"/>
  <c r="AQ73" s="1"/>
  <c r="AQ74" s="1"/>
  <c r="AQ75" s="1"/>
  <c r="AQ76" s="1"/>
  <c r="AQ77" s="1"/>
  <c r="AQ78" s="1"/>
  <c r="AQ79" s="1"/>
  <c r="AQ80" s="1"/>
  <c r="AQ81" s="1"/>
  <c r="AQ82" s="1"/>
  <c r="AQ83" s="1"/>
  <c r="AQ84" s="1"/>
  <c r="AQ85" s="1"/>
  <c r="AQ86" s="1"/>
  <c r="AQ87" s="1"/>
  <c r="AQ88" s="1"/>
  <c r="AQ89" s="1"/>
  <c r="AQ90" s="1"/>
  <c r="AQ91" s="1"/>
  <c r="AQ92" s="1"/>
  <c r="AQ93" s="1"/>
  <c r="AQ94" s="1"/>
  <c r="AQ95" s="1"/>
  <c r="AQ96" s="1"/>
  <c r="AQ97" s="1"/>
  <c r="AQ98" s="1"/>
  <c r="AQ99" s="1"/>
  <c r="AQ100" s="1"/>
  <c r="AQ101" s="1"/>
  <c r="AQ102" s="1"/>
  <c r="AQ103" s="1"/>
  <c r="AQ104" s="1"/>
  <c r="AQ105" s="1"/>
  <c r="AQ106" s="1"/>
  <c r="AQ107" s="1"/>
  <c r="AQ108" s="1"/>
  <c r="AQ109" s="1"/>
  <c r="AQ110" s="1"/>
  <c r="AQ111" s="1"/>
  <c r="AQ112" s="1"/>
  <c r="AQ113" s="1"/>
  <c r="AQ114" s="1"/>
  <c r="AQ115" s="1"/>
  <c r="AQ116" s="1"/>
  <c r="AQ117" s="1"/>
  <c r="AQ118" s="1"/>
  <c r="AQ119" s="1"/>
  <c r="AQ120" s="1"/>
  <c r="AQ121" s="1"/>
  <c r="AQ122" s="1"/>
  <c r="AQ123" s="1"/>
  <c r="AQ124" s="1"/>
  <c r="AQ125" s="1"/>
  <c r="AQ126" s="1"/>
  <c r="AQ127" s="1"/>
  <c r="AQ128" s="1"/>
  <c r="AQ129" s="1"/>
  <c r="AQ130" s="1"/>
  <c r="AQ131" s="1"/>
  <c r="AQ132" s="1"/>
  <c r="AQ133" s="1"/>
  <c r="AQ134" s="1"/>
  <c r="AQ135" s="1"/>
  <c r="AP3"/>
  <c r="AP4" s="1"/>
  <c r="AP5" s="1"/>
  <c r="AP6" s="1"/>
  <c r="AP7" s="1"/>
  <c r="AP8" s="1"/>
  <c r="AP9" s="1"/>
  <c r="AP10" s="1"/>
  <c r="AP11" s="1"/>
  <c r="AP12" s="1"/>
  <c r="AP13" s="1"/>
  <c r="AP14" s="1"/>
  <c r="AP15" s="1"/>
  <c r="AP16" s="1"/>
  <c r="AP17" s="1"/>
  <c r="AP18" s="1"/>
  <c r="AP19" s="1"/>
  <c r="AP20" s="1"/>
  <c r="AP21" s="1"/>
  <c r="AP22" s="1"/>
  <c r="AP23" s="1"/>
  <c r="AP24" s="1"/>
  <c r="AP25" s="1"/>
  <c r="AP26" s="1"/>
  <c r="AP27" s="1"/>
  <c r="AP28" s="1"/>
  <c r="AP29" s="1"/>
  <c r="AP30" s="1"/>
  <c r="AP31" s="1"/>
  <c r="AP32" s="1"/>
  <c r="AP33" s="1"/>
  <c r="AP34" s="1"/>
  <c r="AP35" s="1"/>
  <c r="AP36" s="1"/>
  <c r="AP37" s="1"/>
  <c r="AP38" s="1"/>
  <c r="AP39" s="1"/>
  <c r="AP40" s="1"/>
  <c r="AP41" s="1"/>
  <c r="AP42" s="1"/>
  <c r="AP43" s="1"/>
  <c r="AP44" s="1"/>
  <c r="AP45" s="1"/>
  <c r="AP46" s="1"/>
  <c r="AP47" s="1"/>
  <c r="AP48" s="1"/>
  <c r="AP49" s="1"/>
  <c r="AP50" s="1"/>
  <c r="AP51" s="1"/>
  <c r="AP52" s="1"/>
  <c r="AP53" s="1"/>
  <c r="AP54" s="1"/>
  <c r="AP55" s="1"/>
  <c r="AP56" s="1"/>
  <c r="AP57" s="1"/>
  <c r="AP58" s="1"/>
  <c r="AP59" s="1"/>
  <c r="AP60" s="1"/>
  <c r="AP61" s="1"/>
  <c r="AP62" s="1"/>
  <c r="AP63" s="1"/>
  <c r="AP64" s="1"/>
  <c r="AP65" s="1"/>
  <c r="AP66" s="1"/>
  <c r="AP67" s="1"/>
  <c r="AP68" s="1"/>
  <c r="AP69" s="1"/>
  <c r="AP70" s="1"/>
  <c r="AP71" s="1"/>
  <c r="AP72" s="1"/>
  <c r="AP73" s="1"/>
  <c r="AP74" s="1"/>
  <c r="AP75" s="1"/>
  <c r="AP76" s="1"/>
  <c r="AP77" s="1"/>
  <c r="AP78" s="1"/>
  <c r="AP79" s="1"/>
  <c r="AP80" s="1"/>
  <c r="AP81" s="1"/>
  <c r="AP82" s="1"/>
  <c r="AP83" s="1"/>
  <c r="AP84" s="1"/>
  <c r="AP85" s="1"/>
  <c r="AP86" s="1"/>
  <c r="AP87" s="1"/>
  <c r="AP88" s="1"/>
  <c r="AP89" s="1"/>
  <c r="AP90" s="1"/>
  <c r="AP91" s="1"/>
  <c r="AP92" s="1"/>
  <c r="AP93" s="1"/>
  <c r="AP94" s="1"/>
  <c r="AP95" s="1"/>
  <c r="AP96" s="1"/>
  <c r="AP97" s="1"/>
  <c r="AP98" s="1"/>
  <c r="AP99" s="1"/>
  <c r="AP100" s="1"/>
  <c r="AP101" s="1"/>
  <c r="AP102" s="1"/>
  <c r="AP103" s="1"/>
  <c r="AP104" s="1"/>
  <c r="AP105" s="1"/>
  <c r="AP106" s="1"/>
  <c r="AP107" s="1"/>
  <c r="AP108" s="1"/>
  <c r="AP109" s="1"/>
  <c r="AP110" s="1"/>
  <c r="AP111" s="1"/>
  <c r="AP112" s="1"/>
  <c r="AP113" s="1"/>
  <c r="AP114" s="1"/>
  <c r="AP115" s="1"/>
  <c r="AP116" s="1"/>
  <c r="AP117" s="1"/>
  <c r="AP118" s="1"/>
  <c r="AP119" s="1"/>
  <c r="AP120" s="1"/>
  <c r="AP121" s="1"/>
  <c r="AP122" s="1"/>
  <c r="AP123" s="1"/>
  <c r="AP124" s="1"/>
  <c r="AP125" s="1"/>
  <c r="AP126" s="1"/>
  <c r="AP127" s="1"/>
  <c r="AP128" s="1"/>
  <c r="AP129" s="1"/>
  <c r="AP130" s="1"/>
  <c r="AP131" s="1"/>
  <c r="AP132" s="1"/>
  <c r="AP133" s="1"/>
  <c r="AP134" s="1"/>
  <c r="AP135" s="1"/>
  <c r="AO3"/>
  <c r="AO4" s="1"/>
  <c r="AO5" s="1"/>
  <c r="AO6" s="1"/>
  <c r="AO7" s="1"/>
  <c r="AO8" s="1"/>
  <c r="AO9" s="1"/>
  <c r="AO10" s="1"/>
  <c r="AO11" s="1"/>
  <c r="AO12" s="1"/>
  <c r="AO13" s="1"/>
  <c r="AO14" s="1"/>
  <c r="AO15" s="1"/>
  <c r="AO16" s="1"/>
  <c r="AO17" s="1"/>
  <c r="AO18" s="1"/>
  <c r="AO19" s="1"/>
  <c r="AO20" s="1"/>
  <c r="AO21" s="1"/>
  <c r="AO22" s="1"/>
  <c r="AO23" s="1"/>
  <c r="AO24" s="1"/>
  <c r="AO25" s="1"/>
  <c r="AO26" s="1"/>
  <c r="AO27" s="1"/>
  <c r="AO28" s="1"/>
  <c r="AO29" s="1"/>
  <c r="AO30" s="1"/>
  <c r="AO31" s="1"/>
  <c r="AO32" s="1"/>
  <c r="AO33" s="1"/>
  <c r="AO34" s="1"/>
  <c r="AO35" s="1"/>
  <c r="AO36" s="1"/>
  <c r="AO37" s="1"/>
  <c r="AO38" s="1"/>
  <c r="AO39" s="1"/>
  <c r="AO40" s="1"/>
  <c r="AO41" s="1"/>
  <c r="AO42" s="1"/>
  <c r="AO43" s="1"/>
  <c r="AO44" s="1"/>
  <c r="AO45" s="1"/>
  <c r="AO46" s="1"/>
  <c r="AO47" s="1"/>
  <c r="AO48" s="1"/>
  <c r="AO49" s="1"/>
  <c r="AO50" s="1"/>
  <c r="AO51" s="1"/>
  <c r="AO52" s="1"/>
  <c r="AO53" s="1"/>
  <c r="AO54" s="1"/>
  <c r="AO55" s="1"/>
  <c r="AO56" s="1"/>
  <c r="AO57" s="1"/>
  <c r="AO58" s="1"/>
  <c r="AO59" s="1"/>
  <c r="AO60" s="1"/>
  <c r="AO61" s="1"/>
  <c r="AO62" s="1"/>
  <c r="AO63" s="1"/>
  <c r="AO64" s="1"/>
  <c r="AO65" s="1"/>
  <c r="AO66" s="1"/>
  <c r="AO67" s="1"/>
  <c r="AO68" s="1"/>
  <c r="AO69" s="1"/>
  <c r="AO70" s="1"/>
  <c r="AO71" s="1"/>
  <c r="AO72" s="1"/>
  <c r="AO73" s="1"/>
  <c r="AO74" s="1"/>
  <c r="AO75" s="1"/>
  <c r="AO76" s="1"/>
  <c r="AO77" s="1"/>
  <c r="AO78" s="1"/>
  <c r="AO79" s="1"/>
  <c r="AO80" s="1"/>
  <c r="AO81" s="1"/>
  <c r="AO82" s="1"/>
  <c r="AO83" s="1"/>
  <c r="AO84" s="1"/>
  <c r="AO85" s="1"/>
  <c r="AO86" s="1"/>
  <c r="AO87" s="1"/>
  <c r="AO88" s="1"/>
  <c r="AO89" s="1"/>
  <c r="AO90" s="1"/>
  <c r="AO91" s="1"/>
  <c r="AO92" s="1"/>
  <c r="AO93" s="1"/>
  <c r="AO94" s="1"/>
  <c r="AO95" s="1"/>
  <c r="AO96" s="1"/>
  <c r="AO97" s="1"/>
  <c r="AO98" s="1"/>
  <c r="AO99" s="1"/>
  <c r="AO100" s="1"/>
  <c r="AO101" s="1"/>
  <c r="AO102" s="1"/>
  <c r="AO103" s="1"/>
  <c r="AO104" s="1"/>
  <c r="AO105" s="1"/>
  <c r="AO106" s="1"/>
  <c r="AO107" s="1"/>
  <c r="AO108" s="1"/>
  <c r="AO109" s="1"/>
  <c r="AO110" s="1"/>
  <c r="AO111" s="1"/>
  <c r="AO112" s="1"/>
  <c r="AO113" s="1"/>
  <c r="AO114" s="1"/>
  <c r="AO115" s="1"/>
  <c r="AO116" s="1"/>
  <c r="AO117" s="1"/>
  <c r="AO118" s="1"/>
  <c r="AO119" s="1"/>
  <c r="AO120" s="1"/>
  <c r="AO121" s="1"/>
  <c r="AO122" s="1"/>
  <c r="AO123" s="1"/>
  <c r="AO124" s="1"/>
  <c r="AO125" s="1"/>
  <c r="AO126" s="1"/>
  <c r="AO127" s="1"/>
  <c r="AO128" s="1"/>
  <c r="AO129" s="1"/>
  <c r="AO130" s="1"/>
  <c r="AO131" s="1"/>
  <c r="AO132" s="1"/>
  <c r="AO133" s="1"/>
  <c r="AO134" s="1"/>
  <c r="AO135" s="1"/>
  <c r="AN3"/>
  <c r="AN4" s="1"/>
  <c r="AN5" s="1"/>
  <c r="AN6" s="1"/>
  <c r="AN7" s="1"/>
  <c r="AN8" s="1"/>
  <c r="AN9" s="1"/>
  <c r="AN10" s="1"/>
  <c r="AN11" s="1"/>
  <c r="AN12" s="1"/>
  <c r="AN13" s="1"/>
  <c r="AN14" s="1"/>
  <c r="AN15" s="1"/>
  <c r="AN16" s="1"/>
  <c r="AN17" s="1"/>
  <c r="AN18" s="1"/>
  <c r="AN19" s="1"/>
  <c r="AN20" s="1"/>
  <c r="AN21" s="1"/>
  <c r="AN22" s="1"/>
  <c r="AN23" s="1"/>
  <c r="AN24" s="1"/>
  <c r="AN25" s="1"/>
  <c r="AN26" s="1"/>
  <c r="AN27" s="1"/>
  <c r="AN28" s="1"/>
  <c r="AN29" s="1"/>
  <c r="AN30" s="1"/>
  <c r="AN31" s="1"/>
  <c r="AN32" s="1"/>
  <c r="AN33" s="1"/>
  <c r="AN34" s="1"/>
  <c r="AN35" s="1"/>
  <c r="AN36" s="1"/>
  <c r="AN37" s="1"/>
  <c r="AN38" s="1"/>
  <c r="AN39" s="1"/>
  <c r="AN40" s="1"/>
  <c r="AN41" s="1"/>
  <c r="AN42" s="1"/>
  <c r="AN43" s="1"/>
  <c r="AN44" s="1"/>
  <c r="AN45" s="1"/>
  <c r="AN46" s="1"/>
  <c r="AN47" s="1"/>
  <c r="AN48" s="1"/>
  <c r="AN49" s="1"/>
  <c r="AN50" s="1"/>
  <c r="AN51" s="1"/>
  <c r="AN52" s="1"/>
  <c r="AN53" s="1"/>
  <c r="AN54" s="1"/>
  <c r="AN55" s="1"/>
  <c r="AN56" s="1"/>
  <c r="AN57" s="1"/>
  <c r="AN58" s="1"/>
  <c r="AN59" s="1"/>
  <c r="AN60" s="1"/>
  <c r="AN61" s="1"/>
  <c r="AN62" s="1"/>
  <c r="AN63" s="1"/>
  <c r="AN64" s="1"/>
  <c r="AN65" s="1"/>
  <c r="AN66" s="1"/>
  <c r="AN67" s="1"/>
  <c r="AN68" s="1"/>
  <c r="AN69" s="1"/>
  <c r="AN70" s="1"/>
  <c r="AN71" s="1"/>
  <c r="AN72" s="1"/>
  <c r="AN73" s="1"/>
  <c r="AN74" s="1"/>
  <c r="AN75" s="1"/>
  <c r="AN76" s="1"/>
  <c r="AN77" s="1"/>
  <c r="AN78" s="1"/>
  <c r="AN79" s="1"/>
  <c r="AN80" s="1"/>
  <c r="AN81" s="1"/>
  <c r="AN82" s="1"/>
  <c r="AN83" s="1"/>
  <c r="AN84" s="1"/>
  <c r="AN85" s="1"/>
  <c r="AN86" s="1"/>
  <c r="AN87" s="1"/>
  <c r="AN88" s="1"/>
  <c r="AN89" s="1"/>
  <c r="AN90" s="1"/>
  <c r="AN91" s="1"/>
  <c r="AN92" s="1"/>
  <c r="AN93" s="1"/>
  <c r="AN94" s="1"/>
  <c r="AN95" s="1"/>
  <c r="AN96" s="1"/>
  <c r="AN97" s="1"/>
  <c r="AN98" s="1"/>
  <c r="AN99" s="1"/>
  <c r="AN100" s="1"/>
  <c r="AN101" s="1"/>
  <c r="AN102" s="1"/>
  <c r="AN103" s="1"/>
  <c r="AN104" s="1"/>
  <c r="AN105" s="1"/>
  <c r="AN106" s="1"/>
  <c r="AN107" s="1"/>
  <c r="AN108" s="1"/>
  <c r="AN109" s="1"/>
  <c r="AN110" s="1"/>
  <c r="AN111" s="1"/>
  <c r="AN112" s="1"/>
  <c r="AN113" s="1"/>
  <c r="AN114" s="1"/>
  <c r="AN115" s="1"/>
  <c r="AN116" s="1"/>
  <c r="AN117" s="1"/>
  <c r="AN118" s="1"/>
  <c r="AN119" s="1"/>
  <c r="AN120" s="1"/>
  <c r="AN121" s="1"/>
  <c r="AN122" s="1"/>
  <c r="AN123" s="1"/>
  <c r="AN124" s="1"/>
  <c r="AN125" s="1"/>
  <c r="AN126" s="1"/>
  <c r="AN127" s="1"/>
  <c r="AN128" s="1"/>
  <c r="AN129" s="1"/>
  <c r="AN130" s="1"/>
  <c r="AN131" s="1"/>
  <c r="AN132" s="1"/>
  <c r="AN133" s="1"/>
  <c r="AN134" s="1"/>
  <c r="AN135" s="1"/>
  <c r="AM3"/>
  <c r="AM4" s="1"/>
  <c r="AM5" s="1"/>
  <c r="AM6" s="1"/>
  <c r="AM7" s="1"/>
  <c r="AM8" s="1"/>
  <c r="AM9" s="1"/>
  <c r="AM10" s="1"/>
  <c r="AM11" s="1"/>
  <c r="AM12" s="1"/>
  <c r="AM13" s="1"/>
  <c r="AM14" s="1"/>
  <c r="AM15" s="1"/>
  <c r="AM16" s="1"/>
  <c r="AM17" s="1"/>
  <c r="AM18" s="1"/>
  <c r="AM19" s="1"/>
  <c r="AM20" s="1"/>
  <c r="AM21" s="1"/>
  <c r="AM22" s="1"/>
  <c r="AM23" s="1"/>
  <c r="AM24" s="1"/>
  <c r="AM25" s="1"/>
  <c r="AM26" s="1"/>
  <c r="AM27" s="1"/>
  <c r="AM28" s="1"/>
  <c r="AM29" s="1"/>
  <c r="AM30" s="1"/>
  <c r="AM31" s="1"/>
  <c r="AM32" s="1"/>
  <c r="AM33" s="1"/>
  <c r="AM34" s="1"/>
  <c r="AM35" s="1"/>
  <c r="AM36" s="1"/>
  <c r="AM37" s="1"/>
  <c r="AM38" s="1"/>
  <c r="AM39" s="1"/>
  <c r="AM40" s="1"/>
  <c r="AM41" s="1"/>
  <c r="AM42" s="1"/>
  <c r="AM43" s="1"/>
  <c r="AM44" s="1"/>
  <c r="AM45" s="1"/>
  <c r="AM46" s="1"/>
  <c r="AM47" s="1"/>
  <c r="AM48" s="1"/>
  <c r="AM49" s="1"/>
  <c r="AM50" s="1"/>
  <c r="AM51" s="1"/>
  <c r="AM52" s="1"/>
  <c r="AM53" s="1"/>
  <c r="AM54" s="1"/>
  <c r="AM55" s="1"/>
  <c r="AM56" s="1"/>
  <c r="AM57" s="1"/>
  <c r="AM58" s="1"/>
  <c r="AM59" s="1"/>
  <c r="AM60" s="1"/>
  <c r="AM61" s="1"/>
  <c r="AM62" s="1"/>
  <c r="AM63" s="1"/>
  <c r="AM64" s="1"/>
  <c r="AM65" s="1"/>
  <c r="AM66" s="1"/>
  <c r="AM67" s="1"/>
  <c r="AM68" s="1"/>
  <c r="AM69" s="1"/>
  <c r="AM70" s="1"/>
  <c r="AM71" s="1"/>
  <c r="AM72" s="1"/>
  <c r="AM73" s="1"/>
  <c r="AM74" s="1"/>
  <c r="AM75" s="1"/>
  <c r="AM76" s="1"/>
  <c r="AM77" s="1"/>
  <c r="AM78" s="1"/>
  <c r="AM79" s="1"/>
  <c r="AM80" s="1"/>
  <c r="AM81" s="1"/>
  <c r="AM82" s="1"/>
  <c r="AM83" s="1"/>
  <c r="AM84" s="1"/>
  <c r="AM85" s="1"/>
  <c r="AM86" s="1"/>
  <c r="AM87" s="1"/>
  <c r="AM88" s="1"/>
  <c r="AM89" s="1"/>
  <c r="AM90" s="1"/>
  <c r="AM91" s="1"/>
  <c r="AM92" s="1"/>
  <c r="AM93" s="1"/>
  <c r="AM94" s="1"/>
  <c r="AM95" s="1"/>
  <c r="AM96" s="1"/>
  <c r="AM97" s="1"/>
  <c r="AM98" s="1"/>
  <c r="AM99" s="1"/>
  <c r="AM100" s="1"/>
  <c r="AM101" s="1"/>
  <c r="AM102" s="1"/>
  <c r="AM103" s="1"/>
  <c r="AM104" s="1"/>
  <c r="AM105" s="1"/>
  <c r="AM106" s="1"/>
  <c r="AM107" s="1"/>
  <c r="AM108" s="1"/>
  <c r="AM109" s="1"/>
  <c r="AM110" s="1"/>
  <c r="AM111" s="1"/>
  <c r="AM112" s="1"/>
  <c r="AM113" s="1"/>
  <c r="AM114" s="1"/>
  <c r="AM115" s="1"/>
  <c r="AM116" s="1"/>
  <c r="AM117" s="1"/>
  <c r="AM118" s="1"/>
  <c r="AM119" s="1"/>
  <c r="AM120" s="1"/>
  <c r="AM121" s="1"/>
  <c r="AM122" s="1"/>
  <c r="AM123" s="1"/>
  <c r="AM124" s="1"/>
  <c r="AM125" s="1"/>
  <c r="AM126" s="1"/>
  <c r="AM127" s="1"/>
  <c r="AM128" s="1"/>
  <c r="AM129" s="1"/>
  <c r="AM130" s="1"/>
  <c r="AM131" s="1"/>
  <c r="AM132" s="1"/>
  <c r="AM133" s="1"/>
  <c r="AM134" s="1"/>
  <c r="AM135" s="1"/>
  <c r="AL3"/>
  <c r="AL4" s="1"/>
  <c r="AL5" s="1"/>
  <c r="AL6" s="1"/>
  <c r="AL7" s="1"/>
  <c r="AL8" s="1"/>
  <c r="AL9" s="1"/>
  <c r="AL10" s="1"/>
  <c r="AL11" s="1"/>
  <c r="AL12" s="1"/>
  <c r="AL13" s="1"/>
  <c r="AL14" s="1"/>
  <c r="AL15" s="1"/>
  <c r="AL16" s="1"/>
  <c r="AL17" s="1"/>
  <c r="AL18" s="1"/>
  <c r="AL19" s="1"/>
  <c r="AL20" s="1"/>
  <c r="AL21" s="1"/>
  <c r="AL22" s="1"/>
  <c r="AL23" s="1"/>
  <c r="AL24" s="1"/>
  <c r="AL25" s="1"/>
  <c r="AL26" s="1"/>
  <c r="AL27" s="1"/>
  <c r="AL28" s="1"/>
  <c r="AL29" s="1"/>
  <c r="AL30" s="1"/>
  <c r="AL31" s="1"/>
  <c r="AL32" s="1"/>
  <c r="AL33" s="1"/>
  <c r="AL34" s="1"/>
  <c r="AL35" s="1"/>
  <c r="AL36" s="1"/>
  <c r="AL37" s="1"/>
  <c r="AL38" s="1"/>
  <c r="AL39" s="1"/>
  <c r="AL40" s="1"/>
  <c r="AL41" s="1"/>
  <c r="AL42" s="1"/>
  <c r="AL43" s="1"/>
  <c r="AL44" s="1"/>
  <c r="AL45" s="1"/>
  <c r="AL46" s="1"/>
  <c r="AL47" s="1"/>
  <c r="AL48" s="1"/>
  <c r="AL49" s="1"/>
  <c r="AL50" s="1"/>
  <c r="AL51" s="1"/>
  <c r="AL52" s="1"/>
  <c r="AL53" s="1"/>
  <c r="AL54" s="1"/>
  <c r="AL55" s="1"/>
  <c r="AL56" s="1"/>
  <c r="AL57" s="1"/>
  <c r="AL58" s="1"/>
  <c r="AL59" s="1"/>
  <c r="AL60" s="1"/>
  <c r="AL61" s="1"/>
  <c r="AL62" s="1"/>
  <c r="AL63" s="1"/>
  <c r="AL64" s="1"/>
  <c r="AL65" s="1"/>
  <c r="AL66" s="1"/>
  <c r="AL67" s="1"/>
  <c r="AL68" s="1"/>
  <c r="AL69" s="1"/>
  <c r="AL70" s="1"/>
  <c r="AL71" s="1"/>
  <c r="AL72" s="1"/>
  <c r="AL73" s="1"/>
  <c r="AL74" s="1"/>
  <c r="AL75" s="1"/>
  <c r="AL76" s="1"/>
  <c r="AL77" s="1"/>
  <c r="AL78" s="1"/>
  <c r="AL79" s="1"/>
  <c r="AL80" s="1"/>
  <c r="AL81" s="1"/>
  <c r="AL82" s="1"/>
  <c r="AL83" s="1"/>
  <c r="AL84" s="1"/>
  <c r="AL85" s="1"/>
  <c r="AL86" s="1"/>
  <c r="AL87" s="1"/>
  <c r="AL88" s="1"/>
  <c r="AL89" s="1"/>
  <c r="AL90" s="1"/>
  <c r="AL91" s="1"/>
  <c r="AL92" s="1"/>
  <c r="AL93" s="1"/>
  <c r="AL94" s="1"/>
  <c r="AL95" s="1"/>
  <c r="AL96" s="1"/>
  <c r="AL97" s="1"/>
  <c r="AL98" s="1"/>
  <c r="AL99" s="1"/>
  <c r="AL100" s="1"/>
  <c r="AL101" s="1"/>
  <c r="AL102" s="1"/>
  <c r="AL103" s="1"/>
  <c r="AL104" s="1"/>
  <c r="AL105" s="1"/>
  <c r="AL106" s="1"/>
  <c r="AL107" s="1"/>
  <c r="AL108" s="1"/>
  <c r="AL109" s="1"/>
  <c r="AL110" s="1"/>
  <c r="AL111" s="1"/>
  <c r="AL112" s="1"/>
  <c r="AL113" s="1"/>
  <c r="AL114" s="1"/>
  <c r="AL115" s="1"/>
  <c r="AL116" s="1"/>
  <c r="AL117" s="1"/>
  <c r="AL118" s="1"/>
  <c r="AL119" s="1"/>
  <c r="AL120" s="1"/>
  <c r="AL121" s="1"/>
  <c r="AL122" s="1"/>
  <c r="AL123" s="1"/>
  <c r="AL124" s="1"/>
  <c r="AL125" s="1"/>
  <c r="AL126" s="1"/>
  <c r="AL127" s="1"/>
  <c r="AL128" s="1"/>
  <c r="AL129" s="1"/>
  <c r="AL130" s="1"/>
  <c r="AL131" s="1"/>
  <c r="AL132" s="1"/>
  <c r="AL133" s="1"/>
  <c r="AL134" s="1"/>
  <c r="AL135" s="1"/>
  <c r="AB2"/>
  <c r="BB2" s="1"/>
  <c r="AB1"/>
  <c r="BB1" s="1"/>
  <c r="B41" i="6"/>
  <c r="D98"/>
  <c r="C91"/>
  <c r="C90"/>
  <c r="C89"/>
  <c r="AI5" i="9"/>
  <c r="AI6" s="1"/>
  <c r="AI7" s="1"/>
  <c r="AI8" s="1"/>
  <c r="AI9" s="1"/>
  <c r="AI10" s="1"/>
  <c r="AI11" s="1"/>
  <c r="AI12" s="1"/>
  <c r="AI13" s="1"/>
  <c r="AI14" s="1"/>
  <c r="AI15" s="1"/>
  <c r="AI16" s="1"/>
  <c r="AI17" s="1"/>
  <c r="AI18" s="1"/>
  <c r="AI19" s="1"/>
  <c r="AI20" s="1"/>
  <c r="AI21" s="1"/>
  <c r="AI22" s="1"/>
  <c r="AI23" s="1"/>
  <c r="AI24" s="1"/>
  <c r="AI25" s="1"/>
  <c r="AI26" s="1"/>
  <c r="AI27" s="1"/>
  <c r="AI28" s="1"/>
  <c r="AI29" s="1"/>
  <c r="AI30" s="1"/>
  <c r="AI31" s="1"/>
  <c r="AI32" s="1"/>
  <c r="AI33" s="1"/>
  <c r="AI34" s="1"/>
  <c r="AI35" s="1"/>
  <c r="AI36" s="1"/>
  <c r="AI37" s="1"/>
  <c r="AI38" s="1"/>
  <c r="AI39" s="1"/>
  <c r="AI40" s="1"/>
  <c r="AI41" s="1"/>
  <c r="AI42" s="1"/>
  <c r="AI43" s="1"/>
  <c r="AI44" s="1"/>
  <c r="AI45" s="1"/>
  <c r="AI46" s="1"/>
  <c r="AI47" s="1"/>
  <c r="AI48" s="1"/>
  <c r="AI49" s="1"/>
  <c r="AI50" s="1"/>
  <c r="AI51" s="1"/>
  <c r="AI52" s="1"/>
  <c r="AI53" s="1"/>
  <c r="AI54" s="1"/>
  <c r="AI55" s="1"/>
  <c r="AI56" s="1"/>
  <c r="AI57" s="1"/>
  <c r="AI58" s="1"/>
  <c r="AI59" s="1"/>
  <c r="AI60" s="1"/>
  <c r="AI61" s="1"/>
  <c r="AI62" s="1"/>
  <c r="AI63" s="1"/>
  <c r="AI64" s="1"/>
  <c r="AI65" s="1"/>
  <c r="AI66" s="1"/>
  <c r="AI67" s="1"/>
  <c r="AI68" s="1"/>
  <c r="AI69" s="1"/>
  <c r="AI70" s="1"/>
  <c r="AI71" s="1"/>
  <c r="AI72" s="1"/>
  <c r="AI73" s="1"/>
  <c r="AI74" s="1"/>
  <c r="AI75" s="1"/>
  <c r="AI76" s="1"/>
  <c r="AI77" s="1"/>
  <c r="AI78" s="1"/>
  <c r="AI79" s="1"/>
  <c r="AI80" s="1"/>
  <c r="AI81" s="1"/>
  <c r="AI82" s="1"/>
  <c r="AI83" s="1"/>
  <c r="AI84" s="1"/>
  <c r="AI85" s="1"/>
  <c r="AI86" s="1"/>
  <c r="AI87" s="1"/>
  <c r="AI88" s="1"/>
  <c r="AI89" s="1"/>
  <c r="AI90" s="1"/>
  <c r="AI91" s="1"/>
  <c r="AI92" s="1"/>
  <c r="AI93" s="1"/>
  <c r="AI94" s="1"/>
  <c r="AI95" s="1"/>
  <c r="AI96" s="1"/>
  <c r="AI97" s="1"/>
  <c r="AI98" s="1"/>
  <c r="AI99" s="1"/>
  <c r="AI100" s="1"/>
  <c r="AI101" s="1"/>
  <c r="AI102" s="1"/>
  <c r="AI103" s="1"/>
  <c r="AI104" s="1"/>
  <c r="AI105" s="1"/>
  <c r="AI106" s="1"/>
  <c r="AI107" s="1"/>
  <c r="AI108" s="1"/>
  <c r="AI109" s="1"/>
  <c r="AI110" s="1"/>
  <c r="AI111" s="1"/>
  <c r="AI112" s="1"/>
  <c r="AI113" s="1"/>
  <c r="AI114" s="1"/>
  <c r="AI115" s="1"/>
  <c r="AI116" s="1"/>
  <c r="AI117" s="1"/>
  <c r="AI118" s="1"/>
  <c r="AI119" s="1"/>
  <c r="AI120" s="1"/>
  <c r="AI121" s="1"/>
  <c r="AI122" s="1"/>
  <c r="AI123" s="1"/>
  <c r="AI124" s="1"/>
  <c r="AI125" s="1"/>
  <c r="AI126" s="1"/>
  <c r="AI127" s="1"/>
  <c r="AI128" s="1"/>
  <c r="AI129" s="1"/>
  <c r="AI130" s="1"/>
  <c r="AI131" s="1"/>
  <c r="AI132" s="1"/>
  <c r="AI133" s="1"/>
  <c r="AI134" s="1"/>
  <c r="AI135" s="1"/>
  <c r="AK4"/>
  <c r="AK5" s="1"/>
  <c r="AK6" s="1"/>
  <c r="AK7" s="1"/>
  <c r="AK8" s="1"/>
  <c r="AK9" s="1"/>
  <c r="AK10" s="1"/>
  <c r="AK11" s="1"/>
  <c r="AK12" s="1"/>
  <c r="AK13" s="1"/>
  <c r="AK14" s="1"/>
  <c r="AK15" s="1"/>
  <c r="AK16" s="1"/>
  <c r="AK17" s="1"/>
  <c r="AK18" s="1"/>
  <c r="AK19" s="1"/>
  <c r="AK20" s="1"/>
  <c r="AK21" s="1"/>
  <c r="AK22" s="1"/>
  <c r="AK23" s="1"/>
  <c r="AK24" s="1"/>
  <c r="AK25" s="1"/>
  <c r="AK26" s="1"/>
  <c r="AK27" s="1"/>
  <c r="AK28" s="1"/>
  <c r="AK29" s="1"/>
  <c r="AK30" s="1"/>
  <c r="AK31" s="1"/>
  <c r="AK32" s="1"/>
  <c r="AK33" s="1"/>
  <c r="AK34" s="1"/>
  <c r="AK35" s="1"/>
  <c r="AK36" s="1"/>
  <c r="AK37" s="1"/>
  <c r="AK38" s="1"/>
  <c r="AK39" s="1"/>
  <c r="AK40" s="1"/>
  <c r="AK41" s="1"/>
  <c r="AK42" s="1"/>
  <c r="AK43" s="1"/>
  <c r="AK44" s="1"/>
  <c r="AK45" s="1"/>
  <c r="AK46" s="1"/>
  <c r="AK47" s="1"/>
  <c r="AK48" s="1"/>
  <c r="AK49" s="1"/>
  <c r="AK50" s="1"/>
  <c r="AK51" s="1"/>
  <c r="AK52" s="1"/>
  <c r="AK53" s="1"/>
  <c r="AK54" s="1"/>
  <c r="AK55" s="1"/>
  <c r="AK56" s="1"/>
  <c r="AK57" s="1"/>
  <c r="AK58" s="1"/>
  <c r="AK59" s="1"/>
  <c r="AK60" s="1"/>
  <c r="AK61" s="1"/>
  <c r="AK62" s="1"/>
  <c r="AK63" s="1"/>
  <c r="AK64" s="1"/>
  <c r="AK65" s="1"/>
  <c r="AK66" s="1"/>
  <c r="AK67" s="1"/>
  <c r="AK68" s="1"/>
  <c r="AK69" s="1"/>
  <c r="AK70" s="1"/>
  <c r="AK71" s="1"/>
  <c r="AK72" s="1"/>
  <c r="AK73" s="1"/>
  <c r="AK74" s="1"/>
  <c r="AK75" s="1"/>
  <c r="AK76" s="1"/>
  <c r="AK77" s="1"/>
  <c r="AK78" s="1"/>
  <c r="AK79" s="1"/>
  <c r="AK80" s="1"/>
  <c r="AK81" s="1"/>
  <c r="AK82" s="1"/>
  <c r="AK83" s="1"/>
  <c r="AK84" s="1"/>
  <c r="AK85" s="1"/>
  <c r="AK86" s="1"/>
  <c r="AK87" s="1"/>
  <c r="AK88" s="1"/>
  <c r="AK89" s="1"/>
  <c r="AK90" s="1"/>
  <c r="AK91" s="1"/>
  <c r="AK92" s="1"/>
  <c r="AK93" s="1"/>
  <c r="AK94" s="1"/>
  <c r="AK95" s="1"/>
  <c r="AK96" s="1"/>
  <c r="AK97" s="1"/>
  <c r="AK98" s="1"/>
  <c r="AK99" s="1"/>
  <c r="AK100" s="1"/>
  <c r="AK101" s="1"/>
  <c r="AK102" s="1"/>
  <c r="AK103" s="1"/>
  <c r="AK104" s="1"/>
  <c r="AK105" s="1"/>
  <c r="AK106" s="1"/>
  <c r="AK107" s="1"/>
  <c r="AK108" s="1"/>
  <c r="AK109" s="1"/>
  <c r="AK110" s="1"/>
  <c r="AK111" s="1"/>
  <c r="AK112" s="1"/>
  <c r="AK113" s="1"/>
  <c r="AK114" s="1"/>
  <c r="AK115" s="1"/>
  <c r="AK116" s="1"/>
  <c r="AK117" s="1"/>
  <c r="AK118" s="1"/>
  <c r="AK119" s="1"/>
  <c r="AK120" s="1"/>
  <c r="AK121" s="1"/>
  <c r="AK122" s="1"/>
  <c r="AK123" s="1"/>
  <c r="AK124" s="1"/>
  <c r="AK125" s="1"/>
  <c r="AK126" s="1"/>
  <c r="AK127" s="1"/>
  <c r="AK128" s="1"/>
  <c r="AK129" s="1"/>
  <c r="AK130" s="1"/>
  <c r="AK131" s="1"/>
  <c r="AK132" s="1"/>
  <c r="AK133" s="1"/>
  <c r="AK134" s="1"/>
  <c r="AK135" s="1"/>
  <c r="AJ4"/>
  <c r="AJ5" s="1"/>
  <c r="AJ6" s="1"/>
  <c r="AJ7" s="1"/>
  <c r="AJ8" s="1"/>
  <c r="AJ9" s="1"/>
  <c r="AJ10" s="1"/>
  <c r="AJ11" s="1"/>
  <c r="AJ12" s="1"/>
  <c r="AJ13" s="1"/>
  <c r="AJ14" s="1"/>
  <c r="AJ15" s="1"/>
  <c r="AJ16" s="1"/>
  <c r="AJ17" s="1"/>
  <c r="AJ18" s="1"/>
  <c r="AJ19" s="1"/>
  <c r="AJ20" s="1"/>
  <c r="AJ21" s="1"/>
  <c r="AJ22" s="1"/>
  <c r="AJ23" s="1"/>
  <c r="AJ24" s="1"/>
  <c r="AJ25" s="1"/>
  <c r="AJ26" s="1"/>
  <c r="AJ27" s="1"/>
  <c r="AJ28" s="1"/>
  <c r="AJ29" s="1"/>
  <c r="AJ30" s="1"/>
  <c r="AJ31" s="1"/>
  <c r="AJ32" s="1"/>
  <c r="AJ33" s="1"/>
  <c r="AJ34" s="1"/>
  <c r="AJ35" s="1"/>
  <c r="AJ36" s="1"/>
  <c r="AJ37" s="1"/>
  <c r="AJ38" s="1"/>
  <c r="AJ39" s="1"/>
  <c r="AJ40" s="1"/>
  <c r="AJ41" s="1"/>
  <c r="AJ42" s="1"/>
  <c r="AJ43" s="1"/>
  <c r="AJ44" s="1"/>
  <c r="AJ45" s="1"/>
  <c r="AJ46" s="1"/>
  <c r="AJ47" s="1"/>
  <c r="AJ48" s="1"/>
  <c r="AJ49" s="1"/>
  <c r="AJ50" s="1"/>
  <c r="AJ51" s="1"/>
  <c r="AJ52" s="1"/>
  <c r="AJ53" s="1"/>
  <c r="AJ54" s="1"/>
  <c r="AJ55" s="1"/>
  <c r="AJ56" s="1"/>
  <c r="AJ57" s="1"/>
  <c r="AJ58" s="1"/>
  <c r="AJ59" s="1"/>
  <c r="AJ60" s="1"/>
  <c r="AJ61" s="1"/>
  <c r="AJ62" s="1"/>
  <c r="AJ63" s="1"/>
  <c r="AJ64" s="1"/>
  <c r="AJ65" s="1"/>
  <c r="AJ66" s="1"/>
  <c r="AJ67" s="1"/>
  <c r="AJ68" s="1"/>
  <c r="AJ69" s="1"/>
  <c r="AJ70" s="1"/>
  <c r="AJ71" s="1"/>
  <c r="AJ72" s="1"/>
  <c r="AJ73" s="1"/>
  <c r="AJ74" s="1"/>
  <c r="AJ75" s="1"/>
  <c r="AJ76" s="1"/>
  <c r="AJ77" s="1"/>
  <c r="AJ78" s="1"/>
  <c r="AJ79" s="1"/>
  <c r="AJ80" s="1"/>
  <c r="AJ81" s="1"/>
  <c r="AJ82" s="1"/>
  <c r="AJ83" s="1"/>
  <c r="AJ84" s="1"/>
  <c r="AJ85" s="1"/>
  <c r="AJ86" s="1"/>
  <c r="AJ87" s="1"/>
  <c r="AJ88" s="1"/>
  <c r="AJ89" s="1"/>
  <c r="AJ90" s="1"/>
  <c r="AJ91" s="1"/>
  <c r="AJ92" s="1"/>
  <c r="AJ93" s="1"/>
  <c r="AJ94" s="1"/>
  <c r="AJ95" s="1"/>
  <c r="AJ96" s="1"/>
  <c r="AJ97" s="1"/>
  <c r="AJ98" s="1"/>
  <c r="AJ99" s="1"/>
  <c r="AJ100" s="1"/>
  <c r="AJ101" s="1"/>
  <c r="AJ102" s="1"/>
  <c r="AJ103" s="1"/>
  <c r="AJ104" s="1"/>
  <c r="AJ105" s="1"/>
  <c r="AJ106" s="1"/>
  <c r="AJ107" s="1"/>
  <c r="AJ108" s="1"/>
  <c r="AJ109" s="1"/>
  <c r="AJ110" s="1"/>
  <c r="AJ111" s="1"/>
  <c r="AJ112" s="1"/>
  <c r="AJ113" s="1"/>
  <c r="AJ114" s="1"/>
  <c r="AJ115" s="1"/>
  <c r="AJ116" s="1"/>
  <c r="AJ117" s="1"/>
  <c r="AJ118" s="1"/>
  <c r="AJ119" s="1"/>
  <c r="AJ120" s="1"/>
  <c r="AJ121" s="1"/>
  <c r="AJ122" s="1"/>
  <c r="AJ123" s="1"/>
  <c r="AJ124" s="1"/>
  <c r="AJ125" s="1"/>
  <c r="AJ126" s="1"/>
  <c r="AJ127" s="1"/>
  <c r="AJ128" s="1"/>
  <c r="AJ129" s="1"/>
  <c r="AJ130" s="1"/>
  <c r="AJ131" s="1"/>
  <c r="AJ132" s="1"/>
  <c r="AJ133" s="1"/>
  <c r="AJ134" s="1"/>
  <c r="AJ135" s="1"/>
  <c r="AI4"/>
  <c r="AH4"/>
  <c r="AH5" s="1"/>
  <c r="AH6" s="1"/>
  <c r="AH7" s="1"/>
  <c r="AH8" s="1"/>
  <c r="AH9" s="1"/>
  <c r="AH10" s="1"/>
  <c r="AH11" s="1"/>
  <c r="AH12" s="1"/>
  <c r="AH13" s="1"/>
  <c r="AH14" s="1"/>
  <c r="AH15" s="1"/>
  <c r="AH16" s="1"/>
  <c r="AH17" s="1"/>
  <c r="AH18" s="1"/>
  <c r="AH19" s="1"/>
  <c r="AH20" s="1"/>
  <c r="AH21" s="1"/>
  <c r="AH22" s="1"/>
  <c r="AH23" s="1"/>
  <c r="AH24" s="1"/>
  <c r="AH25" s="1"/>
  <c r="AH26" s="1"/>
  <c r="AH27" s="1"/>
  <c r="AH28" s="1"/>
  <c r="AH29" s="1"/>
  <c r="AH30" s="1"/>
  <c r="AH31" s="1"/>
  <c r="AH32" s="1"/>
  <c r="AH33" s="1"/>
  <c r="AH34" s="1"/>
  <c r="AH35" s="1"/>
  <c r="AH36" s="1"/>
  <c r="AH37" s="1"/>
  <c r="AH38" s="1"/>
  <c r="AH39" s="1"/>
  <c r="AH40" s="1"/>
  <c r="AH41" s="1"/>
  <c r="AH42" s="1"/>
  <c r="AH43" s="1"/>
  <c r="AH44" s="1"/>
  <c r="AH45" s="1"/>
  <c r="AH46" s="1"/>
  <c r="AH47" s="1"/>
  <c r="AH48" s="1"/>
  <c r="AH49" s="1"/>
  <c r="AH50" s="1"/>
  <c r="AH51" s="1"/>
  <c r="AH52" s="1"/>
  <c r="AH53" s="1"/>
  <c r="AH54" s="1"/>
  <c r="AH55" s="1"/>
  <c r="AH56" s="1"/>
  <c r="AH57" s="1"/>
  <c r="AH58" s="1"/>
  <c r="AH59" s="1"/>
  <c r="AH60" s="1"/>
  <c r="AH61" s="1"/>
  <c r="AH62" s="1"/>
  <c r="AH63" s="1"/>
  <c r="AH64" s="1"/>
  <c r="AH65" s="1"/>
  <c r="AH66" s="1"/>
  <c r="AH67" s="1"/>
  <c r="AH68" s="1"/>
  <c r="AH69" s="1"/>
  <c r="AH70" s="1"/>
  <c r="AH71" s="1"/>
  <c r="AH72" s="1"/>
  <c r="AH73" s="1"/>
  <c r="AH74" s="1"/>
  <c r="AH75" s="1"/>
  <c r="AH76" s="1"/>
  <c r="AH77" s="1"/>
  <c r="AH78" s="1"/>
  <c r="AH79" s="1"/>
  <c r="AH80" s="1"/>
  <c r="AH81" s="1"/>
  <c r="AH82" s="1"/>
  <c r="AH83" s="1"/>
  <c r="AH84" s="1"/>
  <c r="AH85" s="1"/>
  <c r="AH86" s="1"/>
  <c r="AH87" s="1"/>
  <c r="AH88" s="1"/>
  <c r="AH89" s="1"/>
  <c r="AH90" s="1"/>
  <c r="AH91" s="1"/>
  <c r="AH92" s="1"/>
  <c r="AH93" s="1"/>
  <c r="AH94" s="1"/>
  <c r="AH95" s="1"/>
  <c r="AH96" s="1"/>
  <c r="AH97" s="1"/>
  <c r="AH98" s="1"/>
  <c r="AH99" s="1"/>
  <c r="AH100" s="1"/>
  <c r="AH101" s="1"/>
  <c r="AH102" s="1"/>
  <c r="AH103" s="1"/>
  <c r="AH104" s="1"/>
  <c r="AH105" s="1"/>
  <c r="AH106" s="1"/>
  <c r="AH107" s="1"/>
  <c r="AH108" s="1"/>
  <c r="AH109" s="1"/>
  <c r="AH110" s="1"/>
  <c r="AH111" s="1"/>
  <c r="AH112" s="1"/>
  <c r="AH113" s="1"/>
  <c r="AH114" s="1"/>
  <c r="AH115" s="1"/>
  <c r="AH116" s="1"/>
  <c r="AH117" s="1"/>
  <c r="AH118" s="1"/>
  <c r="AH119" s="1"/>
  <c r="AH120" s="1"/>
  <c r="AH121" s="1"/>
  <c r="AH122" s="1"/>
  <c r="AH123" s="1"/>
  <c r="AH124" s="1"/>
  <c r="AH125" s="1"/>
  <c r="AH126" s="1"/>
  <c r="AH127" s="1"/>
  <c r="AH128" s="1"/>
  <c r="AH129" s="1"/>
  <c r="AH130" s="1"/>
  <c r="AH131" s="1"/>
  <c r="AH132" s="1"/>
  <c r="AH133" s="1"/>
  <c r="AH134" s="1"/>
  <c r="AH135" s="1"/>
  <c r="AK3"/>
  <c r="AJ3"/>
  <c r="AI3"/>
  <c r="AH3"/>
  <c r="AG3"/>
  <c r="AG4" s="1"/>
  <c r="AG5" s="1"/>
  <c r="AG6" s="1"/>
  <c r="AG7" s="1"/>
  <c r="AG8" s="1"/>
  <c r="AG9" s="1"/>
  <c r="AG10" s="1"/>
  <c r="AG11" s="1"/>
  <c r="AG12" s="1"/>
  <c r="AG13" s="1"/>
  <c r="AG14" s="1"/>
  <c r="AG15" s="1"/>
  <c r="AG16" s="1"/>
  <c r="AG17" s="1"/>
  <c r="AG18" s="1"/>
  <c r="AG19" s="1"/>
  <c r="AG20" s="1"/>
  <c r="AG21" s="1"/>
  <c r="AG22" s="1"/>
  <c r="AG23" s="1"/>
  <c r="AG24" s="1"/>
  <c r="AG25" s="1"/>
  <c r="AG26" s="1"/>
  <c r="AG27" s="1"/>
  <c r="AG28" s="1"/>
  <c r="AG29" s="1"/>
  <c r="AG30" s="1"/>
  <c r="AG31" s="1"/>
  <c r="AG32" s="1"/>
  <c r="AG33" s="1"/>
  <c r="AG34" s="1"/>
  <c r="AG35" s="1"/>
  <c r="AG36" s="1"/>
  <c r="AG37" s="1"/>
  <c r="AG38" s="1"/>
  <c r="AG39" s="1"/>
  <c r="AG40" s="1"/>
  <c r="AG41" s="1"/>
  <c r="AG42" s="1"/>
  <c r="AG43" s="1"/>
  <c r="AG44" s="1"/>
  <c r="AG45" s="1"/>
  <c r="AG46" s="1"/>
  <c r="AG47" s="1"/>
  <c r="AG48" s="1"/>
  <c r="AG49" s="1"/>
  <c r="AG50" s="1"/>
  <c r="AG51" s="1"/>
  <c r="AG52" s="1"/>
  <c r="AG53" s="1"/>
  <c r="AG54" s="1"/>
  <c r="AG55" s="1"/>
  <c r="AG56" s="1"/>
  <c r="AG57" s="1"/>
  <c r="AG58" s="1"/>
  <c r="AG59" s="1"/>
  <c r="AG60" s="1"/>
  <c r="AG61" s="1"/>
  <c r="AG62" s="1"/>
  <c r="AG63" s="1"/>
  <c r="AG64" s="1"/>
  <c r="AG65" s="1"/>
  <c r="AG66" s="1"/>
  <c r="AG67" s="1"/>
  <c r="AG68" s="1"/>
  <c r="AG69" s="1"/>
  <c r="AG70" s="1"/>
  <c r="AG71" s="1"/>
  <c r="AG72" s="1"/>
  <c r="AG73" s="1"/>
  <c r="AG74" s="1"/>
  <c r="AG75" s="1"/>
  <c r="AG76" s="1"/>
  <c r="AG77" s="1"/>
  <c r="AG78" s="1"/>
  <c r="AG79" s="1"/>
  <c r="AG80" s="1"/>
  <c r="AG81" s="1"/>
  <c r="AG82" s="1"/>
  <c r="AG83" s="1"/>
  <c r="AG84" s="1"/>
  <c r="AG85" s="1"/>
  <c r="AG86" s="1"/>
  <c r="AG87" s="1"/>
  <c r="AG88" s="1"/>
  <c r="AG89" s="1"/>
  <c r="AG90" s="1"/>
  <c r="AG91" s="1"/>
  <c r="AG92" s="1"/>
  <c r="AG93" s="1"/>
  <c r="AG94" s="1"/>
  <c r="AG95" s="1"/>
  <c r="AG96" s="1"/>
  <c r="AG97" s="1"/>
  <c r="AG98" s="1"/>
  <c r="AG99" s="1"/>
  <c r="AG100" s="1"/>
  <c r="AG101" s="1"/>
  <c r="AG102" s="1"/>
  <c r="AG103" s="1"/>
  <c r="AG104" s="1"/>
  <c r="AG105" s="1"/>
  <c r="AG106" s="1"/>
  <c r="AG107" s="1"/>
  <c r="AG108" s="1"/>
  <c r="AG109" s="1"/>
  <c r="AG110" s="1"/>
  <c r="AG111" s="1"/>
  <c r="AG112" s="1"/>
  <c r="AG113" s="1"/>
  <c r="AG114" s="1"/>
  <c r="AG115" s="1"/>
  <c r="AG116" s="1"/>
  <c r="AG117" s="1"/>
  <c r="AG118" s="1"/>
  <c r="AG119" s="1"/>
  <c r="AG120" s="1"/>
  <c r="AG121" s="1"/>
  <c r="AG122" s="1"/>
  <c r="AG123" s="1"/>
  <c r="AG124" s="1"/>
  <c r="AG125" s="1"/>
  <c r="AG126" s="1"/>
  <c r="AG127" s="1"/>
  <c r="AG128" s="1"/>
  <c r="AG129" s="1"/>
  <c r="AG130" s="1"/>
  <c r="AG131" s="1"/>
  <c r="AG132" s="1"/>
  <c r="AG133" s="1"/>
  <c r="AG134" s="1"/>
  <c r="AG135" s="1"/>
  <c r="AX26" i="1"/>
  <c r="A23" i="4"/>
  <c r="DV14" i="8" l="1"/>
  <c r="BD3" i="5"/>
  <c r="DV16" i="8"/>
  <c r="DV15"/>
  <c r="DV13"/>
  <c r="DV12"/>
  <c r="DV10"/>
  <c r="B42" i="6"/>
  <c r="Y3" i="8" l="1"/>
  <c r="Y4" s="1"/>
  <c r="Y5" s="1"/>
  <c r="Y6" s="1"/>
  <c r="Y7" s="1"/>
  <c r="Y8" s="1"/>
  <c r="Y9" s="1"/>
  <c r="Y10" s="1"/>
  <c r="Y11" s="1"/>
  <c r="Y12" s="1"/>
  <c r="Y13" s="1"/>
  <c r="Y14" s="1"/>
  <c r="Y15" s="1"/>
  <c r="Y16" s="1"/>
  <c r="Y17" s="1"/>
  <c r="Y18" s="1"/>
  <c r="Y19" s="1"/>
  <c r="Y20" s="1"/>
  <c r="Y21" s="1"/>
  <c r="Y22" s="1"/>
  <c r="Y23" s="1"/>
  <c r="Y24" s="1"/>
  <c r="Y25" s="1"/>
  <c r="Y26" s="1"/>
  <c r="Y27" s="1"/>
  <c r="Y28" s="1"/>
  <c r="Y29" s="1"/>
  <c r="Y30" s="1"/>
  <c r="Y31" s="1"/>
  <c r="Y32" s="1"/>
  <c r="Y33" s="1"/>
  <c r="Y34" s="1"/>
  <c r="Y35" s="1"/>
  <c r="Y36" s="1"/>
  <c r="Y37" s="1"/>
  <c r="Y38" s="1"/>
  <c r="Y39" s="1"/>
  <c r="Y40" s="1"/>
  <c r="Y41" s="1"/>
  <c r="Y42" s="1"/>
  <c r="Y43" s="1"/>
  <c r="Y44" s="1"/>
  <c r="Y45" s="1"/>
  <c r="Y46" s="1"/>
  <c r="Y47" s="1"/>
  <c r="Y48" s="1"/>
  <c r="Y49" s="1"/>
  <c r="Y50" s="1"/>
  <c r="Y51" s="1"/>
  <c r="Y52" s="1"/>
  <c r="Y53" s="1"/>
  <c r="Y54" s="1"/>
  <c r="Y55" s="1"/>
  <c r="Y56" s="1"/>
  <c r="Y57" s="1"/>
  <c r="Y58" s="1"/>
  <c r="Y59" s="1"/>
  <c r="Y60" s="1"/>
  <c r="Y61" s="1"/>
  <c r="Y62" s="1"/>
  <c r="Y63" s="1"/>
  <c r="Y64" s="1"/>
  <c r="Y65" s="1"/>
  <c r="Y66" s="1"/>
  <c r="Y67" s="1"/>
  <c r="Y68" s="1"/>
  <c r="Y69" s="1"/>
  <c r="Y70" s="1"/>
  <c r="Y71" s="1"/>
  <c r="Y72" s="1"/>
  <c r="Y73" s="1"/>
  <c r="Y74" s="1"/>
  <c r="Y75" s="1"/>
  <c r="Y76" s="1"/>
  <c r="Y77" s="1"/>
  <c r="Y78" s="1"/>
  <c r="Y79" s="1"/>
  <c r="Y80" s="1"/>
  <c r="Y81" s="1"/>
  <c r="Y82" s="1"/>
  <c r="Y83" s="1"/>
  <c r="Y84" s="1"/>
  <c r="Y85" s="1"/>
  <c r="Y86" s="1"/>
  <c r="Y87" s="1"/>
  <c r="Y88" s="1"/>
  <c r="Y89" s="1"/>
  <c r="Y90" s="1"/>
  <c r="Y91" s="1"/>
  <c r="Y92" s="1"/>
  <c r="Y93" s="1"/>
  <c r="Y94" s="1"/>
  <c r="Y95" s="1"/>
  <c r="Y96" s="1"/>
  <c r="Y97" s="1"/>
  <c r="Y98" s="1"/>
  <c r="Y99" s="1"/>
  <c r="Y100" s="1"/>
  <c r="Y101" s="1"/>
  <c r="Y102" s="1"/>
  <c r="Y103" s="1"/>
  <c r="Y104" s="1"/>
  <c r="Y105" s="1"/>
  <c r="Y106" s="1"/>
  <c r="Y107" s="1"/>
  <c r="Y108" s="1"/>
  <c r="Y109" s="1"/>
  <c r="Y110" s="1"/>
  <c r="Y111" s="1"/>
  <c r="Y112" s="1"/>
  <c r="Y113" s="1"/>
  <c r="Y114" s="1"/>
  <c r="Y115" s="1"/>
  <c r="Y116" s="1"/>
  <c r="Y117" s="1"/>
  <c r="Y118" s="1"/>
  <c r="Y119" s="1"/>
  <c r="Y120" s="1"/>
  <c r="Y121" s="1"/>
  <c r="Y122" s="1"/>
  <c r="Y123" s="1"/>
  <c r="Y124" s="1"/>
  <c r="Y125" s="1"/>
  <c r="Y126" s="1"/>
  <c r="Y127" s="1"/>
  <c r="Y128" s="1"/>
  <c r="Y129" s="1"/>
  <c r="Y130" s="1"/>
  <c r="Y131" s="1"/>
  <c r="Y132" s="1"/>
  <c r="Y133" s="1"/>
  <c r="Y134" s="1"/>
  <c r="Y135" s="1"/>
  <c r="B44" i="6"/>
  <c r="B46"/>
  <c r="B47"/>
  <c r="B43"/>
  <c r="B45"/>
  <c r="B66"/>
  <c r="E27"/>
  <c r="B27"/>
  <c r="A27"/>
  <c r="BE3" i="1"/>
  <c r="B66" i="4"/>
  <c r="B67"/>
  <c r="CQ25" i="5" s="1"/>
  <c r="N140" i="3"/>
  <c r="N139"/>
  <c r="N136"/>
  <c r="N135"/>
  <c r="N132"/>
  <c r="N131"/>
  <c r="N128"/>
  <c r="N127"/>
  <c r="N124"/>
  <c r="N123"/>
  <c r="N120"/>
  <c r="N119"/>
  <c r="N116"/>
  <c r="N115"/>
  <c r="N112"/>
  <c r="N111"/>
  <c r="N108"/>
  <c r="N107"/>
  <c r="N104"/>
  <c r="N103"/>
  <c r="N100"/>
  <c r="N99"/>
  <c r="N96"/>
  <c r="N95"/>
  <c r="N92"/>
  <c r="N91"/>
  <c r="N88"/>
  <c r="N87"/>
  <c r="N84"/>
  <c r="N83"/>
  <c r="N80"/>
  <c r="N79"/>
  <c r="N76"/>
  <c r="N75"/>
  <c r="N72"/>
  <c r="N71"/>
  <c r="N68"/>
  <c r="N67"/>
  <c r="N64"/>
  <c r="N63"/>
  <c r="N60"/>
  <c r="N59"/>
  <c r="N56"/>
  <c r="N55"/>
  <c r="N52"/>
  <c r="N51"/>
  <c r="N48"/>
  <c r="N47"/>
  <c r="N44"/>
  <c r="N43"/>
  <c r="N40"/>
  <c r="N39"/>
  <c r="N36"/>
  <c r="N35"/>
  <c r="N32"/>
  <c r="N31"/>
  <c r="N28"/>
  <c r="N27"/>
  <c r="N24"/>
  <c r="N23"/>
  <c r="N20"/>
  <c r="N19"/>
  <c r="N16"/>
  <c r="N15"/>
  <c r="N12"/>
  <c r="N11"/>
  <c r="N8"/>
  <c r="N7"/>
  <c r="O14" i="4"/>
  <c r="AS3" i="5"/>
  <c r="AS14"/>
  <c r="AS13"/>
  <c r="AS12"/>
  <c r="AS11"/>
  <c r="AS10"/>
  <c r="AS9"/>
  <c r="AS8"/>
  <c r="AS7"/>
  <c r="AS6"/>
  <c r="AS5"/>
  <c r="AS4"/>
  <c r="AS135"/>
  <c r="AS134"/>
  <c r="AS133"/>
  <c r="AS132"/>
  <c r="AS131"/>
  <c r="AS130"/>
  <c r="AS129"/>
  <c r="AS128"/>
  <c r="AS127"/>
  <c r="AS126"/>
  <c r="AS125"/>
  <c r="AS124"/>
  <c r="AS123"/>
  <c r="AS122"/>
  <c r="AS121"/>
  <c r="AS120"/>
  <c r="AS119"/>
  <c r="AS118"/>
  <c r="AS117"/>
  <c r="AS116"/>
  <c r="AS115"/>
  <c r="AS114"/>
  <c r="AS113"/>
  <c r="AS112"/>
  <c r="AS111"/>
  <c r="AS110"/>
  <c r="AS109"/>
  <c r="AS108"/>
  <c r="AS107"/>
  <c r="AS106"/>
  <c r="AS105"/>
  <c r="AS104"/>
  <c r="AS103"/>
  <c r="AS102"/>
  <c r="AS101"/>
  <c r="AS100"/>
  <c r="AS99"/>
  <c r="AS98"/>
  <c r="AS97"/>
  <c r="AS96"/>
  <c r="AS95"/>
  <c r="AS94"/>
  <c r="AS93"/>
  <c r="AS92"/>
  <c r="AS91"/>
  <c r="AS90"/>
  <c r="AS89"/>
  <c r="AS88"/>
  <c r="AS87"/>
  <c r="AS86"/>
  <c r="AS85"/>
  <c r="AS84"/>
  <c r="AS83"/>
  <c r="AS82"/>
  <c r="AS81"/>
  <c r="AS80"/>
  <c r="AS79"/>
  <c r="AS78"/>
  <c r="AS77"/>
  <c r="AS76"/>
  <c r="AS75"/>
  <c r="AS74"/>
  <c r="AS73"/>
  <c r="AS72"/>
  <c r="AS71"/>
  <c r="AS70"/>
  <c r="AS69"/>
  <c r="AS68"/>
  <c r="AS67"/>
  <c r="AS66"/>
  <c r="AS65"/>
  <c r="AS64"/>
  <c r="AS63"/>
  <c r="AS62"/>
  <c r="AS61"/>
  <c r="AS60"/>
  <c r="AS59"/>
  <c r="AS58"/>
  <c r="AS57"/>
  <c r="AS56"/>
  <c r="AS55"/>
  <c r="AS54"/>
  <c r="AS53"/>
  <c r="AS52"/>
  <c r="AS51"/>
  <c r="AS50"/>
  <c r="AS49"/>
  <c r="AS48"/>
  <c r="AS47"/>
  <c r="AS46"/>
  <c r="AS45"/>
  <c r="AS44"/>
  <c r="AS43"/>
  <c r="AS42"/>
  <c r="AS41"/>
  <c r="AS40"/>
  <c r="AS39"/>
  <c r="AS38"/>
  <c r="AS37"/>
  <c r="AS36"/>
  <c r="AS35"/>
  <c r="AS34"/>
  <c r="AS33"/>
  <c r="AS32"/>
  <c r="AS31"/>
  <c r="AS30"/>
  <c r="AS29"/>
  <c r="AS28"/>
  <c r="AS26"/>
  <c r="AS25"/>
  <c r="AS24"/>
  <c r="AS23"/>
  <c r="AS22"/>
  <c r="AS21"/>
  <c r="AS20"/>
  <c r="AS19"/>
  <c r="AS18"/>
  <c r="AS16"/>
  <c r="AS15"/>
  <c r="DV11" i="8"/>
  <c r="DV9"/>
  <c r="DV8"/>
  <c r="DV7"/>
  <c r="DV6"/>
  <c r="DV5"/>
  <c r="DV4"/>
  <c r="K3"/>
  <c r="K4" s="1"/>
  <c r="K5" s="1"/>
  <c r="J3"/>
  <c r="I3"/>
  <c r="H3"/>
  <c r="H4" s="1"/>
  <c r="H5" s="1"/>
  <c r="G3"/>
  <c r="O3" i="2" s="1"/>
  <c r="F3" i="8"/>
  <c r="M3" i="2"/>
  <c r="BP3" i="5"/>
  <c r="BP4" s="1"/>
  <c r="Y3" i="1" s="1"/>
  <c r="BO3" i="5"/>
  <c r="BO4" s="1"/>
  <c r="BO5" s="1"/>
  <c r="BO6" s="1"/>
  <c r="BO7" s="1"/>
  <c r="BO8" s="1"/>
  <c r="BO9" s="1"/>
  <c r="BO10" s="1"/>
  <c r="BO11" s="1"/>
  <c r="BO12" s="1"/>
  <c r="BO13" s="1"/>
  <c r="BO14" s="1"/>
  <c r="BO15" s="1"/>
  <c r="BO16" s="1"/>
  <c r="BO17" s="1"/>
  <c r="BO18" s="1"/>
  <c r="BO19" s="1"/>
  <c r="BO20" s="1"/>
  <c r="BO21" s="1"/>
  <c r="BO22" s="1"/>
  <c r="BO23" s="1"/>
  <c r="BO24" s="1"/>
  <c r="BO25" s="1"/>
  <c r="BO26" s="1"/>
  <c r="BO27" s="1"/>
  <c r="BO28" s="1"/>
  <c r="BO29" s="1"/>
  <c r="BO30" s="1"/>
  <c r="BO31" s="1"/>
  <c r="BO32" s="1"/>
  <c r="BO33" s="1"/>
  <c r="BO34" s="1"/>
  <c r="BO35" s="1"/>
  <c r="BO36" s="1"/>
  <c r="BO37" s="1"/>
  <c r="BO38" s="1"/>
  <c r="BO39" s="1"/>
  <c r="BO40" s="1"/>
  <c r="BO41" s="1"/>
  <c r="BO42" s="1"/>
  <c r="BO43" s="1"/>
  <c r="BO44" s="1"/>
  <c r="BO45" s="1"/>
  <c r="BO46" s="1"/>
  <c r="BO47" s="1"/>
  <c r="BO48" s="1"/>
  <c r="BO49" s="1"/>
  <c r="BO50" s="1"/>
  <c r="BO51" s="1"/>
  <c r="BO52" s="1"/>
  <c r="BO53" s="1"/>
  <c r="BO54" s="1"/>
  <c r="BO55" s="1"/>
  <c r="BO56" s="1"/>
  <c r="BO57" s="1"/>
  <c r="BO58" s="1"/>
  <c r="BO59" s="1"/>
  <c r="BO60" s="1"/>
  <c r="BO61" s="1"/>
  <c r="BO62" s="1"/>
  <c r="BO63" s="1"/>
  <c r="BO64" s="1"/>
  <c r="BO65" s="1"/>
  <c r="BO66" s="1"/>
  <c r="BO67" s="1"/>
  <c r="BO68" s="1"/>
  <c r="BO69" s="1"/>
  <c r="BO70" s="1"/>
  <c r="BO71" s="1"/>
  <c r="BO72" s="1"/>
  <c r="BO73" s="1"/>
  <c r="BO74" s="1"/>
  <c r="BO75" s="1"/>
  <c r="BO76" s="1"/>
  <c r="BO77" s="1"/>
  <c r="BO78" s="1"/>
  <c r="BO79" s="1"/>
  <c r="BO80" s="1"/>
  <c r="BO81" s="1"/>
  <c r="BO82" s="1"/>
  <c r="BO83" s="1"/>
  <c r="BO84" s="1"/>
  <c r="BO85" s="1"/>
  <c r="BO86" s="1"/>
  <c r="BO87" s="1"/>
  <c r="BO88" s="1"/>
  <c r="BO89" s="1"/>
  <c r="BO90" s="1"/>
  <c r="BO91" s="1"/>
  <c r="BO92" s="1"/>
  <c r="BO93" s="1"/>
  <c r="BO94" s="1"/>
  <c r="BO95" s="1"/>
  <c r="BO96" s="1"/>
  <c r="BO97" s="1"/>
  <c r="BO98" s="1"/>
  <c r="BO99" s="1"/>
  <c r="BO100" s="1"/>
  <c r="BO101" s="1"/>
  <c r="BO102" s="1"/>
  <c r="BO103" s="1"/>
  <c r="BO104" s="1"/>
  <c r="BO105" s="1"/>
  <c r="BO106" s="1"/>
  <c r="BO107" s="1"/>
  <c r="BO108" s="1"/>
  <c r="BO109" s="1"/>
  <c r="BO110" s="1"/>
  <c r="BO111" s="1"/>
  <c r="BO112" s="1"/>
  <c r="BO113" s="1"/>
  <c r="BO114" s="1"/>
  <c r="BO115" s="1"/>
  <c r="BO116" s="1"/>
  <c r="BO117" s="1"/>
  <c r="BO118" s="1"/>
  <c r="BO119" s="1"/>
  <c r="BO120" s="1"/>
  <c r="BO121" s="1"/>
  <c r="BO122" s="1"/>
  <c r="BO123" s="1"/>
  <c r="BO124" s="1"/>
  <c r="BO125" s="1"/>
  <c r="BO126" s="1"/>
  <c r="BO127" s="1"/>
  <c r="BO128" s="1"/>
  <c r="BO129" s="1"/>
  <c r="BO130" s="1"/>
  <c r="BO131" s="1"/>
  <c r="BO132" s="1"/>
  <c r="BO133" s="1"/>
  <c r="BO134" s="1"/>
  <c r="BO135" s="1"/>
  <c r="BN3"/>
  <c r="BN4" s="1"/>
  <c r="AF3" i="1" s="1"/>
  <c r="BM3" i="5"/>
  <c r="BL3"/>
  <c r="BL4" s="1"/>
  <c r="BL5" s="1"/>
  <c r="BL6" s="1"/>
  <c r="BL7" s="1"/>
  <c r="BL8" s="1"/>
  <c r="BL9" s="1"/>
  <c r="BL10" s="1"/>
  <c r="BL11" s="1"/>
  <c r="BL12" s="1"/>
  <c r="BL13" s="1"/>
  <c r="BL14" s="1"/>
  <c r="BL15" s="1"/>
  <c r="BL16" s="1"/>
  <c r="BL17" s="1"/>
  <c r="BL18" s="1"/>
  <c r="BL19" s="1"/>
  <c r="BL20" s="1"/>
  <c r="BL21" s="1"/>
  <c r="BL22" s="1"/>
  <c r="BL23" s="1"/>
  <c r="BL24" s="1"/>
  <c r="BL25" s="1"/>
  <c r="BL26" s="1"/>
  <c r="BL27" s="1"/>
  <c r="BL28" s="1"/>
  <c r="BL29" s="1"/>
  <c r="BL30" s="1"/>
  <c r="BL31" s="1"/>
  <c r="BL32" s="1"/>
  <c r="BL33" s="1"/>
  <c r="BL34" s="1"/>
  <c r="BL35" s="1"/>
  <c r="BL36" s="1"/>
  <c r="BL37" s="1"/>
  <c r="BL38" s="1"/>
  <c r="BL39" s="1"/>
  <c r="BL40" s="1"/>
  <c r="BL41" s="1"/>
  <c r="BL42" s="1"/>
  <c r="BL43" s="1"/>
  <c r="BL44" s="1"/>
  <c r="BL45" s="1"/>
  <c r="BL46" s="1"/>
  <c r="BL47" s="1"/>
  <c r="BL48" s="1"/>
  <c r="BL49" s="1"/>
  <c r="BL50" s="1"/>
  <c r="BL51" s="1"/>
  <c r="BL52" s="1"/>
  <c r="BL53" s="1"/>
  <c r="BL54" s="1"/>
  <c r="BL55" s="1"/>
  <c r="BL56" s="1"/>
  <c r="BL57" s="1"/>
  <c r="BL58" s="1"/>
  <c r="BL59" s="1"/>
  <c r="BL60" s="1"/>
  <c r="BL61" s="1"/>
  <c r="BL62" s="1"/>
  <c r="BL63" s="1"/>
  <c r="BL64" s="1"/>
  <c r="BL65" s="1"/>
  <c r="BL66" s="1"/>
  <c r="BL67" s="1"/>
  <c r="BL68" s="1"/>
  <c r="BL69" s="1"/>
  <c r="BL70" s="1"/>
  <c r="BL71" s="1"/>
  <c r="BL72" s="1"/>
  <c r="BL73" s="1"/>
  <c r="BL74" s="1"/>
  <c r="BL75" s="1"/>
  <c r="BL76" s="1"/>
  <c r="BL77" s="1"/>
  <c r="BL78" s="1"/>
  <c r="BL79" s="1"/>
  <c r="BL80" s="1"/>
  <c r="BL81" s="1"/>
  <c r="BL82" s="1"/>
  <c r="BL83" s="1"/>
  <c r="BL84" s="1"/>
  <c r="BL85" s="1"/>
  <c r="BL86" s="1"/>
  <c r="BL87" s="1"/>
  <c r="BL88" s="1"/>
  <c r="BL89" s="1"/>
  <c r="BL90" s="1"/>
  <c r="BL91" s="1"/>
  <c r="BL92" s="1"/>
  <c r="BL93" s="1"/>
  <c r="BL94" s="1"/>
  <c r="BL95" s="1"/>
  <c r="BL96" s="1"/>
  <c r="BL97" s="1"/>
  <c r="BL98" s="1"/>
  <c r="BL99" s="1"/>
  <c r="BL100" s="1"/>
  <c r="BL101" s="1"/>
  <c r="BL102" s="1"/>
  <c r="BL103" s="1"/>
  <c r="BL104" s="1"/>
  <c r="BL105" s="1"/>
  <c r="BL106" s="1"/>
  <c r="BL107" s="1"/>
  <c r="BL108" s="1"/>
  <c r="BL109" s="1"/>
  <c r="BL110" s="1"/>
  <c r="BL111" s="1"/>
  <c r="BL112" s="1"/>
  <c r="BL113" s="1"/>
  <c r="BL114" s="1"/>
  <c r="BL115" s="1"/>
  <c r="BL116" s="1"/>
  <c r="BL117" s="1"/>
  <c r="BL118" s="1"/>
  <c r="BL119" s="1"/>
  <c r="BL120" s="1"/>
  <c r="BL121" s="1"/>
  <c r="BL122" s="1"/>
  <c r="BL123" s="1"/>
  <c r="BL124" s="1"/>
  <c r="BL125" s="1"/>
  <c r="BL126" s="1"/>
  <c r="BL127" s="1"/>
  <c r="BL128" s="1"/>
  <c r="BL129" s="1"/>
  <c r="BL130" s="1"/>
  <c r="BL131" s="1"/>
  <c r="BL132" s="1"/>
  <c r="BL133" s="1"/>
  <c r="BL134" s="1"/>
  <c r="BL135" s="1"/>
  <c r="BK3"/>
  <c r="BK4" s="1"/>
  <c r="AD3" i="1" s="1"/>
  <c r="BJ3" i="5"/>
  <c r="BI3"/>
  <c r="BI4" s="1"/>
  <c r="BI5" s="1"/>
  <c r="BI6" s="1"/>
  <c r="BI7" s="1"/>
  <c r="BI8" s="1"/>
  <c r="BI9" s="1"/>
  <c r="BI10" s="1"/>
  <c r="BI11" s="1"/>
  <c r="BI12" s="1"/>
  <c r="BI13" s="1"/>
  <c r="BI14" s="1"/>
  <c r="BI15" s="1"/>
  <c r="BI16" s="1"/>
  <c r="BI17" s="1"/>
  <c r="BI18" s="1"/>
  <c r="BI19" s="1"/>
  <c r="BI20" s="1"/>
  <c r="BI21" s="1"/>
  <c r="BI22" s="1"/>
  <c r="BI23" s="1"/>
  <c r="BI24" s="1"/>
  <c r="BI25" s="1"/>
  <c r="BI26" s="1"/>
  <c r="BI27" s="1"/>
  <c r="BI28" s="1"/>
  <c r="BI29" s="1"/>
  <c r="BI30" s="1"/>
  <c r="BI31" s="1"/>
  <c r="BI32" s="1"/>
  <c r="BI33" s="1"/>
  <c r="BI34" s="1"/>
  <c r="BI35" s="1"/>
  <c r="BI36" s="1"/>
  <c r="BI37" s="1"/>
  <c r="BI38" s="1"/>
  <c r="BI39" s="1"/>
  <c r="BI40" s="1"/>
  <c r="BI41" s="1"/>
  <c r="BI42" s="1"/>
  <c r="BI43" s="1"/>
  <c r="BI44" s="1"/>
  <c r="BI45" s="1"/>
  <c r="BI46" s="1"/>
  <c r="BI47" s="1"/>
  <c r="BI48" s="1"/>
  <c r="BI49" s="1"/>
  <c r="BI50" s="1"/>
  <c r="BI51" s="1"/>
  <c r="BI52" s="1"/>
  <c r="BI53" s="1"/>
  <c r="BI54" s="1"/>
  <c r="BI55" s="1"/>
  <c r="BI56" s="1"/>
  <c r="BI57" s="1"/>
  <c r="BI58" s="1"/>
  <c r="BI59" s="1"/>
  <c r="BI60" s="1"/>
  <c r="BI61" s="1"/>
  <c r="BI62" s="1"/>
  <c r="BI63" s="1"/>
  <c r="BI64" s="1"/>
  <c r="BI65" s="1"/>
  <c r="BI66" s="1"/>
  <c r="BI67" s="1"/>
  <c r="BI68" s="1"/>
  <c r="BI69" s="1"/>
  <c r="BI70" s="1"/>
  <c r="BI71" s="1"/>
  <c r="BI72" s="1"/>
  <c r="BI73" s="1"/>
  <c r="BI74" s="1"/>
  <c r="BI75" s="1"/>
  <c r="BI76" s="1"/>
  <c r="BI77" s="1"/>
  <c r="BI78" s="1"/>
  <c r="BI79" s="1"/>
  <c r="BI80" s="1"/>
  <c r="BI81" s="1"/>
  <c r="BI82" s="1"/>
  <c r="BI83" s="1"/>
  <c r="BI84" s="1"/>
  <c r="BI85" s="1"/>
  <c r="BI86" s="1"/>
  <c r="BI87" s="1"/>
  <c r="BI88" s="1"/>
  <c r="BI89" s="1"/>
  <c r="BI90" s="1"/>
  <c r="BI91" s="1"/>
  <c r="BI92" s="1"/>
  <c r="BI93" s="1"/>
  <c r="BI94" s="1"/>
  <c r="BI95" s="1"/>
  <c r="BI96" s="1"/>
  <c r="BI97" s="1"/>
  <c r="BI98" s="1"/>
  <c r="BI99" s="1"/>
  <c r="BI100" s="1"/>
  <c r="BI101" s="1"/>
  <c r="BI102" s="1"/>
  <c r="BI103" s="1"/>
  <c r="BI104" s="1"/>
  <c r="BI105" s="1"/>
  <c r="BI106" s="1"/>
  <c r="BI107" s="1"/>
  <c r="BI108" s="1"/>
  <c r="BI109" s="1"/>
  <c r="BI110" s="1"/>
  <c r="BI111" s="1"/>
  <c r="BI112" s="1"/>
  <c r="BI113" s="1"/>
  <c r="BI114" s="1"/>
  <c r="BI115" s="1"/>
  <c r="BI116" s="1"/>
  <c r="BI117" s="1"/>
  <c r="BI118" s="1"/>
  <c r="BI119" s="1"/>
  <c r="BI120" s="1"/>
  <c r="BI121" s="1"/>
  <c r="BI122" s="1"/>
  <c r="BI123" s="1"/>
  <c r="BI124" s="1"/>
  <c r="BI125" s="1"/>
  <c r="BI126" s="1"/>
  <c r="BI127" s="1"/>
  <c r="BI128" s="1"/>
  <c r="BI129" s="1"/>
  <c r="BI130" s="1"/>
  <c r="BI131" s="1"/>
  <c r="BI132" s="1"/>
  <c r="BI133" s="1"/>
  <c r="BI134" s="1"/>
  <c r="BI135" s="1"/>
  <c r="BH3"/>
  <c r="BH4" s="1"/>
  <c r="BH5" s="1"/>
  <c r="BH6" s="1"/>
  <c r="BH7" s="1"/>
  <c r="BH8" s="1"/>
  <c r="BH9" s="1"/>
  <c r="BH10" s="1"/>
  <c r="BH11" s="1"/>
  <c r="BH12" s="1"/>
  <c r="BH13" s="1"/>
  <c r="BH14" s="1"/>
  <c r="BH15" s="1"/>
  <c r="BH16" s="1"/>
  <c r="BH17" s="1"/>
  <c r="BH18" s="1"/>
  <c r="BH19" s="1"/>
  <c r="BH20" s="1"/>
  <c r="BH21" s="1"/>
  <c r="BH22" s="1"/>
  <c r="BH23" s="1"/>
  <c r="BH24" s="1"/>
  <c r="BH25" s="1"/>
  <c r="BH26" s="1"/>
  <c r="BH27" s="1"/>
  <c r="BH28" s="1"/>
  <c r="BH29" s="1"/>
  <c r="BH30" s="1"/>
  <c r="BH31" s="1"/>
  <c r="BH32" s="1"/>
  <c r="BH33" s="1"/>
  <c r="BH34" s="1"/>
  <c r="BH35" s="1"/>
  <c r="BH36" s="1"/>
  <c r="BH37" s="1"/>
  <c r="BH38" s="1"/>
  <c r="BH39" s="1"/>
  <c r="BH40" s="1"/>
  <c r="BH41" s="1"/>
  <c r="BH42" s="1"/>
  <c r="BH43" s="1"/>
  <c r="BH44" s="1"/>
  <c r="BH45" s="1"/>
  <c r="BH46" s="1"/>
  <c r="BH47" s="1"/>
  <c r="BH48" s="1"/>
  <c r="BH49" s="1"/>
  <c r="BH50" s="1"/>
  <c r="BH51" s="1"/>
  <c r="BH52" s="1"/>
  <c r="BH53" s="1"/>
  <c r="BH54" s="1"/>
  <c r="BH55" s="1"/>
  <c r="BH56" s="1"/>
  <c r="BH57" s="1"/>
  <c r="BH58" s="1"/>
  <c r="BH59" s="1"/>
  <c r="BH60" s="1"/>
  <c r="BH61" s="1"/>
  <c r="BH62" s="1"/>
  <c r="BH63" s="1"/>
  <c r="BH64" s="1"/>
  <c r="BH65" s="1"/>
  <c r="BH66" s="1"/>
  <c r="BH67" s="1"/>
  <c r="BH68" s="1"/>
  <c r="BH69" s="1"/>
  <c r="BH70" s="1"/>
  <c r="BH71" s="1"/>
  <c r="BH72" s="1"/>
  <c r="BH73" s="1"/>
  <c r="BH74" s="1"/>
  <c r="BH75" s="1"/>
  <c r="BH76" s="1"/>
  <c r="BH77" s="1"/>
  <c r="BH78" s="1"/>
  <c r="BH79" s="1"/>
  <c r="BH80" s="1"/>
  <c r="BH81" s="1"/>
  <c r="BH82" s="1"/>
  <c r="BH83" s="1"/>
  <c r="BH84" s="1"/>
  <c r="BH85" s="1"/>
  <c r="BH86" s="1"/>
  <c r="BH87" s="1"/>
  <c r="BH88" s="1"/>
  <c r="BH89" s="1"/>
  <c r="BH90" s="1"/>
  <c r="BH91" s="1"/>
  <c r="BH92" s="1"/>
  <c r="BH93" s="1"/>
  <c r="BH94" s="1"/>
  <c r="BH95" s="1"/>
  <c r="BH96" s="1"/>
  <c r="BH97" s="1"/>
  <c r="BH98" s="1"/>
  <c r="BH99" s="1"/>
  <c r="BH100" s="1"/>
  <c r="BH101" s="1"/>
  <c r="BH102" s="1"/>
  <c r="BH103" s="1"/>
  <c r="BH104" s="1"/>
  <c r="BH105" s="1"/>
  <c r="BH106" s="1"/>
  <c r="BH107" s="1"/>
  <c r="BH108" s="1"/>
  <c r="BH109" s="1"/>
  <c r="BH110" s="1"/>
  <c r="BH111" s="1"/>
  <c r="BH112" s="1"/>
  <c r="BH113" s="1"/>
  <c r="BH114" s="1"/>
  <c r="BH115" s="1"/>
  <c r="BH116" s="1"/>
  <c r="BH117" s="1"/>
  <c r="BH118" s="1"/>
  <c r="BH119" s="1"/>
  <c r="BH120" s="1"/>
  <c r="BH121" s="1"/>
  <c r="BH122" s="1"/>
  <c r="BH123" s="1"/>
  <c r="BH124" s="1"/>
  <c r="BH125" s="1"/>
  <c r="BH126" s="1"/>
  <c r="BH127" s="1"/>
  <c r="BH128" s="1"/>
  <c r="BH129" s="1"/>
  <c r="BH130" s="1"/>
  <c r="BH131" s="1"/>
  <c r="BH132" s="1"/>
  <c r="BH133" s="1"/>
  <c r="BH134" s="1"/>
  <c r="BH135" s="1"/>
  <c r="BG3"/>
  <c r="BG4" s="1"/>
  <c r="BG5" s="1"/>
  <c r="BG6" s="1"/>
  <c r="BG7" s="1"/>
  <c r="BG8" s="1"/>
  <c r="BG9" s="1"/>
  <c r="BG10" s="1"/>
  <c r="BG11" s="1"/>
  <c r="BG12" s="1"/>
  <c r="BG13" s="1"/>
  <c r="BG14" s="1"/>
  <c r="BG15" s="1"/>
  <c r="BG16" s="1"/>
  <c r="BG17" s="1"/>
  <c r="BG18" s="1"/>
  <c r="BG19" s="1"/>
  <c r="BG20" s="1"/>
  <c r="BG21" s="1"/>
  <c r="BG22" s="1"/>
  <c r="BG23" s="1"/>
  <c r="BG24" s="1"/>
  <c r="BG25" s="1"/>
  <c r="BG26" s="1"/>
  <c r="BG27" s="1"/>
  <c r="BG28" s="1"/>
  <c r="BG29" s="1"/>
  <c r="BG30" s="1"/>
  <c r="BG31" s="1"/>
  <c r="BG32" s="1"/>
  <c r="BG33" s="1"/>
  <c r="BG34" s="1"/>
  <c r="BG35" s="1"/>
  <c r="BG36" s="1"/>
  <c r="BG37" s="1"/>
  <c r="BG38" s="1"/>
  <c r="BG39" s="1"/>
  <c r="BG40" s="1"/>
  <c r="BG41" s="1"/>
  <c r="BG42" s="1"/>
  <c r="BG43" s="1"/>
  <c r="BG44" s="1"/>
  <c r="BG45" s="1"/>
  <c r="BG46" s="1"/>
  <c r="BG47" s="1"/>
  <c r="BG48" s="1"/>
  <c r="BG49" s="1"/>
  <c r="BG50" s="1"/>
  <c r="BG51" s="1"/>
  <c r="BG52" s="1"/>
  <c r="BG53" s="1"/>
  <c r="BG54" s="1"/>
  <c r="BG55" s="1"/>
  <c r="BG56" s="1"/>
  <c r="BG57" s="1"/>
  <c r="BG58" s="1"/>
  <c r="BG59" s="1"/>
  <c r="BG60" s="1"/>
  <c r="BG61" s="1"/>
  <c r="BG62" s="1"/>
  <c r="BG63" s="1"/>
  <c r="BG64" s="1"/>
  <c r="BG65" s="1"/>
  <c r="BG66" s="1"/>
  <c r="BG67" s="1"/>
  <c r="BG68" s="1"/>
  <c r="BG69" s="1"/>
  <c r="BG70" s="1"/>
  <c r="BG71" s="1"/>
  <c r="BG72" s="1"/>
  <c r="BG73" s="1"/>
  <c r="BG74" s="1"/>
  <c r="BG75" s="1"/>
  <c r="BG76" s="1"/>
  <c r="BG77" s="1"/>
  <c r="BG78" s="1"/>
  <c r="BG79" s="1"/>
  <c r="BG80" s="1"/>
  <c r="BG81" s="1"/>
  <c r="BG82" s="1"/>
  <c r="BG83" s="1"/>
  <c r="BG84" s="1"/>
  <c r="BG85" s="1"/>
  <c r="BG86" s="1"/>
  <c r="BG87" s="1"/>
  <c r="BG88" s="1"/>
  <c r="BG89" s="1"/>
  <c r="BG90" s="1"/>
  <c r="BG91" s="1"/>
  <c r="BG92" s="1"/>
  <c r="BG93" s="1"/>
  <c r="BG94" s="1"/>
  <c r="BG95" s="1"/>
  <c r="BG96" s="1"/>
  <c r="BG97" s="1"/>
  <c r="BG98" s="1"/>
  <c r="BG99" s="1"/>
  <c r="BG100" s="1"/>
  <c r="BG101" s="1"/>
  <c r="BG102" s="1"/>
  <c r="BG103" s="1"/>
  <c r="BG104" s="1"/>
  <c r="BG105" s="1"/>
  <c r="BG106" s="1"/>
  <c r="BG107" s="1"/>
  <c r="BG108" s="1"/>
  <c r="BG109" s="1"/>
  <c r="BG110" s="1"/>
  <c r="BG111" s="1"/>
  <c r="BG112" s="1"/>
  <c r="BG113" s="1"/>
  <c r="BG114" s="1"/>
  <c r="BG115" s="1"/>
  <c r="BG116" s="1"/>
  <c r="BG117" s="1"/>
  <c r="BG118" s="1"/>
  <c r="BG119" s="1"/>
  <c r="BG120" s="1"/>
  <c r="BG121" s="1"/>
  <c r="BG122" s="1"/>
  <c r="BG123" s="1"/>
  <c r="BG124" s="1"/>
  <c r="BG125" s="1"/>
  <c r="BG126" s="1"/>
  <c r="BG127" s="1"/>
  <c r="BG128" s="1"/>
  <c r="BG129" s="1"/>
  <c r="BG130" s="1"/>
  <c r="BG131" s="1"/>
  <c r="BG132" s="1"/>
  <c r="BG133" s="1"/>
  <c r="BG134" s="1"/>
  <c r="BG135" s="1"/>
  <c r="BF3"/>
  <c r="BF4" s="1"/>
  <c r="BF5" s="1"/>
  <c r="BF6" s="1"/>
  <c r="BF7" s="1"/>
  <c r="BF8" s="1"/>
  <c r="BF9" s="1"/>
  <c r="BF10" s="1"/>
  <c r="BF11" s="1"/>
  <c r="BF12" s="1"/>
  <c r="BF13" s="1"/>
  <c r="BF14" s="1"/>
  <c r="BF15" s="1"/>
  <c r="BF16" s="1"/>
  <c r="BF17" s="1"/>
  <c r="BF18" s="1"/>
  <c r="BF19" s="1"/>
  <c r="BF20" s="1"/>
  <c r="BF21" s="1"/>
  <c r="BF22" s="1"/>
  <c r="BF23" s="1"/>
  <c r="BF24" s="1"/>
  <c r="BF25" s="1"/>
  <c r="BF26" s="1"/>
  <c r="BF27" s="1"/>
  <c r="BF28" s="1"/>
  <c r="BF29" s="1"/>
  <c r="BF30" s="1"/>
  <c r="BF31" s="1"/>
  <c r="BF32" s="1"/>
  <c r="BF33" s="1"/>
  <c r="BF34" s="1"/>
  <c r="BF35" s="1"/>
  <c r="BF36" s="1"/>
  <c r="BF37" s="1"/>
  <c r="BF38" s="1"/>
  <c r="BF39" s="1"/>
  <c r="BF40" s="1"/>
  <c r="BF41" s="1"/>
  <c r="BF42" s="1"/>
  <c r="BF43" s="1"/>
  <c r="BF44" s="1"/>
  <c r="BF45" s="1"/>
  <c r="BF46" s="1"/>
  <c r="BF47" s="1"/>
  <c r="BF48" s="1"/>
  <c r="BF49" s="1"/>
  <c r="BF50" s="1"/>
  <c r="BF51" s="1"/>
  <c r="BF52" s="1"/>
  <c r="BF53" s="1"/>
  <c r="BF54" s="1"/>
  <c r="BF55" s="1"/>
  <c r="BF56" s="1"/>
  <c r="BF57" s="1"/>
  <c r="BF58" s="1"/>
  <c r="BF59" s="1"/>
  <c r="BF60" s="1"/>
  <c r="BF61" s="1"/>
  <c r="BF62" s="1"/>
  <c r="BF63" s="1"/>
  <c r="BF64" s="1"/>
  <c r="BF65" s="1"/>
  <c r="BF66" s="1"/>
  <c r="BF67" s="1"/>
  <c r="BF68" s="1"/>
  <c r="BF69" s="1"/>
  <c r="BF70" s="1"/>
  <c r="BF71" s="1"/>
  <c r="BF72" s="1"/>
  <c r="BF73" s="1"/>
  <c r="BF74" s="1"/>
  <c r="BF75" s="1"/>
  <c r="BF76" s="1"/>
  <c r="BF77" s="1"/>
  <c r="BF78" s="1"/>
  <c r="BF79" s="1"/>
  <c r="BF80" s="1"/>
  <c r="BF81" s="1"/>
  <c r="BF82" s="1"/>
  <c r="BF83" s="1"/>
  <c r="BF84" s="1"/>
  <c r="BF85" s="1"/>
  <c r="BF86" s="1"/>
  <c r="BF87" s="1"/>
  <c r="BF88" s="1"/>
  <c r="BF89" s="1"/>
  <c r="BF90" s="1"/>
  <c r="BF91" s="1"/>
  <c r="BF92" s="1"/>
  <c r="BF93" s="1"/>
  <c r="BF94" s="1"/>
  <c r="BF95" s="1"/>
  <c r="BF96" s="1"/>
  <c r="BF97" s="1"/>
  <c r="BF98" s="1"/>
  <c r="BF99" s="1"/>
  <c r="BF100" s="1"/>
  <c r="BF101" s="1"/>
  <c r="BF102" s="1"/>
  <c r="BF103" s="1"/>
  <c r="BF104" s="1"/>
  <c r="BF105" s="1"/>
  <c r="BF106" s="1"/>
  <c r="BF107" s="1"/>
  <c r="BF108" s="1"/>
  <c r="BF109" s="1"/>
  <c r="BF110" s="1"/>
  <c r="BF111" s="1"/>
  <c r="BF112" s="1"/>
  <c r="BF113" s="1"/>
  <c r="BF114" s="1"/>
  <c r="BF115" s="1"/>
  <c r="BF116" s="1"/>
  <c r="BF117" s="1"/>
  <c r="BF118" s="1"/>
  <c r="BF119" s="1"/>
  <c r="BF120" s="1"/>
  <c r="BF121" s="1"/>
  <c r="BF122" s="1"/>
  <c r="BF123" s="1"/>
  <c r="BF124" s="1"/>
  <c r="BF125" s="1"/>
  <c r="BF126" s="1"/>
  <c r="BF127" s="1"/>
  <c r="BF128" s="1"/>
  <c r="BF129" s="1"/>
  <c r="BF130" s="1"/>
  <c r="BF131" s="1"/>
  <c r="BF132" s="1"/>
  <c r="BF133" s="1"/>
  <c r="BF134" s="1"/>
  <c r="BF135" s="1"/>
  <c r="BE3"/>
  <c r="BD4"/>
  <c r="BD5" s="1"/>
  <c r="BD6" s="1"/>
  <c r="BD7" s="1"/>
  <c r="BD8" s="1"/>
  <c r="BD9" s="1"/>
  <c r="BD10" s="1"/>
  <c r="BD11" s="1"/>
  <c r="BD12" s="1"/>
  <c r="BD13" s="1"/>
  <c r="BD14" s="1"/>
  <c r="BD15" s="1"/>
  <c r="BD16" s="1"/>
  <c r="BD17" s="1"/>
  <c r="BD18" s="1"/>
  <c r="BD19" s="1"/>
  <c r="BD20" s="1"/>
  <c r="BD21" s="1"/>
  <c r="BD22" s="1"/>
  <c r="BD23" s="1"/>
  <c r="BD24" s="1"/>
  <c r="BD25" s="1"/>
  <c r="BD26" s="1"/>
  <c r="BD27" s="1"/>
  <c r="BD28" s="1"/>
  <c r="BD29" s="1"/>
  <c r="BD30" s="1"/>
  <c r="BD31" s="1"/>
  <c r="BD32" s="1"/>
  <c r="BD33" s="1"/>
  <c r="BD34" s="1"/>
  <c r="BD35" s="1"/>
  <c r="BD36" s="1"/>
  <c r="BD37" s="1"/>
  <c r="BD38" s="1"/>
  <c r="BD39" s="1"/>
  <c r="BD40" s="1"/>
  <c r="BD41" s="1"/>
  <c r="BD42" s="1"/>
  <c r="BD43" s="1"/>
  <c r="BD44" s="1"/>
  <c r="BD45" s="1"/>
  <c r="BD46" s="1"/>
  <c r="BD47" s="1"/>
  <c r="BD48" s="1"/>
  <c r="BD49" s="1"/>
  <c r="BD50" s="1"/>
  <c r="BD51" s="1"/>
  <c r="BD52" s="1"/>
  <c r="BD53" s="1"/>
  <c r="BD54" s="1"/>
  <c r="BD55" s="1"/>
  <c r="BD56" s="1"/>
  <c r="BD57" s="1"/>
  <c r="BD58" s="1"/>
  <c r="BD59" s="1"/>
  <c r="BD60" s="1"/>
  <c r="BD61" s="1"/>
  <c r="BD62" s="1"/>
  <c r="BD63" s="1"/>
  <c r="BD64" s="1"/>
  <c r="BD65" s="1"/>
  <c r="BD66" s="1"/>
  <c r="BD67" s="1"/>
  <c r="BD68" s="1"/>
  <c r="BD69" s="1"/>
  <c r="BD70" s="1"/>
  <c r="BD71" s="1"/>
  <c r="BD72" s="1"/>
  <c r="BD73" s="1"/>
  <c r="BD74" s="1"/>
  <c r="BD75" s="1"/>
  <c r="BD76" s="1"/>
  <c r="BD77" s="1"/>
  <c r="BD78" s="1"/>
  <c r="BD79" s="1"/>
  <c r="BD80" s="1"/>
  <c r="BD81" s="1"/>
  <c r="BD82" s="1"/>
  <c r="BD83" s="1"/>
  <c r="BD84" s="1"/>
  <c r="BD85" s="1"/>
  <c r="BD86" s="1"/>
  <c r="BD87" s="1"/>
  <c r="BD88" s="1"/>
  <c r="BD89" s="1"/>
  <c r="BD90" s="1"/>
  <c r="BD91" s="1"/>
  <c r="BD92" s="1"/>
  <c r="BD93" s="1"/>
  <c r="BD94" s="1"/>
  <c r="BD95" s="1"/>
  <c r="BD96" s="1"/>
  <c r="BD97" s="1"/>
  <c r="BD98" s="1"/>
  <c r="BD99" s="1"/>
  <c r="BD100" s="1"/>
  <c r="BD101" s="1"/>
  <c r="BD102" s="1"/>
  <c r="BD103" s="1"/>
  <c r="BD104" s="1"/>
  <c r="BD105" s="1"/>
  <c r="BD106" s="1"/>
  <c r="BD107" s="1"/>
  <c r="BD108" s="1"/>
  <c r="BD109" s="1"/>
  <c r="BD110" s="1"/>
  <c r="BD111" s="1"/>
  <c r="BD112" s="1"/>
  <c r="BD113" s="1"/>
  <c r="BD114" s="1"/>
  <c r="BD115" s="1"/>
  <c r="BD116" s="1"/>
  <c r="BD117" s="1"/>
  <c r="BD118" s="1"/>
  <c r="BD119" s="1"/>
  <c r="BD120" s="1"/>
  <c r="BD121" s="1"/>
  <c r="BD122" s="1"/>
  <c r="BD123" s="1"/>
  <c r="BD124" s="1"/>
  <c r="BD125" s="1"/>
  <c r="BD126" s="1"/>
  <c r="BD127" s="1"/>
  <c r="BD128" s="1"/>
  <c r="BD129" s="1"/>
  <c r="BD130" s="1"/>
  <c r="BD131" s="1"/>
  <c r="BD132" s="1"/>
  <c r="BD133" s="1"/>
  <c r="BD134" s="1"/>
  <c r="BD135" s="1"/>
  <c r="BC3"/>
  <c r="BB3"/>
  <c r="BB4" s="1"/>
  <c r="BB5" s="1"/>
  <c r="BB6" s="1"/>
  <c r="BB7" s="1"/>
  <c r="BB8" s="1"/>
  <c r="BB9" s="1"/>
  <c r="BB10" s="1"/>
  <c r="BB11" s="1"/>
  <c r="BB12" s="1"/>
  <c r="BB13" s="1"/>
  <c r="BB14" s="1"/>
  <c r="BB15" s="1"/>
  <c r="BB16" s="1"/>
  <c r="BB17" s="1"/>
  <c r="BB18" s="1"/>
  <c r="BB19" s="1"/>
  <c r="BB20" s="1"/>
  <c r="BB21" s="1"/>
  <c r="BB22" s="1"/>
  <c r="BB23" s="1"/>
  <c r="BB24" s="1"/>
  <c r="BB25" s="1"/>
  <c r="BB26" s="1"/>
  <c r="BB27" s="1"/>
  <c r="BB28" s="1"/>
  <c r="BB29" s="1"/>
  <c r="BB30" s="1"/>
  <c r="BB31" s="1"/>
  <c r="BB32" s="1"/>
  <c r="BB33" s="1"/>
  <c r="BB34" s="1"/>
  <c r="BB35" s="1"/>
  <c r="BB36" s="1"/>
  <c r="BB37" s="1"/>
  <c r="BB38" s="1"/>
  <c r="BB39" s="1"/>
  <c r="BB40" s="1"/>
  <c r="BB41" s="1"/>
  <c r="BB42" s="1"/>
  <c r="BB43" s="1"/>
  <c r="BB44" s="1"/>
  <c r="BB45" s="1"/>
  <c r="BB46" s="1"/>
  <c r="BB47" s="1"/>
  <c r="BB48" s="1"/>
  <c r="BB49" s="1"/>
  <c r="BB50" s="1"/>
  <c r="BB51" s="1"/>
  <c r="BB52" s="1"/>
  <c r="BB53" s="1"/>
  <c r="BB54" s="1"/>
  <c r="BB55" s="1"/>
  <c r="BB56" s="1"/>
  <c r="BB57" s="1"/>
  <c r="BB58" s="1"/>
  <c r="BB59" s="1"/>
  <c r="BB60" s="1"/>
  <c r="BB61" s="1"/>
  <c r="BB62" s="1"/>
  <c r="BB63" s="1"/>
  <c r="BB64" s="1"/>
  <c r="BB65" s="1"/>
  <c r="BB66" s="1"/>
  <c r="BB67" s="1"/>
  <c r="BB68" s="1"/>
  <c r="BB69" s="1"/>
  <c r="BB70" s="1"/>
  <c r="BB71" s="1"/>
  <c r="BB72" s="1"/>
  <c r="BB73" s="1"/>
  <c r="BB74" s="1"/>
  <c r="BB75" s="1"/>
  <c r="BB76" s="1"/>
  <c r="BB77" s="1"/>
  <c r="BB78" s="1"/>
  <c r="BB79" s="1"/>
  <c r="BB80" s="1"/>
  <c r="BB81" s="1"/>
  <c r="BB82" s="1"/>
  <c r="BB83" s="1"/>
  <c r="BB84" s="1"/>
  <c r="BB85" s="1"/>
  <c r="BB86" s="1"/>
  <c r="BB87" s="1"/>
  <c r="BB88" s="1"/>
  <c r="BB89" s="1"/>
  <c r="BB90" s="1"/>
  <c r="BB91" s="1"/>
  <c r="BB92" s="1"/>
  <c r="BB93" s="1"/>
  <c r="BB94" s="1"/>
  <c r="BB95" s="1"/>
  <c r="BB96" s="1"/>
  <c r="BB97" s="1"/>
  <c r="BB98" s="1"/>
  <c r="BB99" s="1"/>
  <c r="BB100" s="1"/>
  <c r="BB101" s="1"/>
  <c r="BB102" s="1"/>
  <c r="BB103" s="1"/>
  <c r="BB104" s="1"/>
  <c r="BB105" s="1"/>
  <c r="BB106" s="1"/>
  <c r="BB107" s="1"/>
  <c r="BB108" s="1"/>
  <c r="BB109" s="1"/>
  <c r="BB110" s="1"/>
  <c r="BB111" s="1"/>
  <c r="BB112" s="1"/>
  <c r="BB113" s="1"/>
  <c r="BB114" s="1"/>
  <c r="BB115" s="1"/>
  <c r="BB116" s="1"/>
  <c r="BB117" s="1"/>
  <c r="BB118" s="1"/>
  <c r="BB119" s="1"/>
  <c r="BB120" s="1"/>
  <c r="BB121" s="1"/>
  <c r="BB122" s="1"/>
  <c r="BB123" s="1"/>
  <c r="BB124" s="1"/>
  <c r="BB125" s="1"/>
  <c r="BB126" s="1"/>
  <c r="BB127" s="1"/>
  <c r="BB128" s="1"/>
  <c r="BB129" s="1"/>
  <c r="BB130" s="1"/>
  <c r="BB131" s="1"/>
  <c r="BB132" s="1"/>
  <c r="BB133" s="1"/>
  <c r="BB134" s="1"/>
  <c r="BB135" s="1"/>
  <c r="BA3"/>
  <c r="BA4" s="1"/>
  <c r="AZ3"/>
  <c r="AY3"/>
  <c r="AY4" s="1"/>
  <c r="AY5" s="1"/>
  <c r="AY6" s="1"/>
  <c r="AX3"/>
  <c r="AX4" s="1"/>
  <c r="Y135" i="1"/>
  <c r="O3"/>
  <c r="E15" i="4"/>
  <c r="BY3" i="11" s="1"/>
  <c r="L3" s="1"/>
  <c r="L4" s="1"/>
  <c r="B4" i="1" s="1"/>
  <c r="BI4" s="1"/>
  <c r="AE135" i="9"/>
  <c r="AE134"/>
  <c r="AE133"/>
  <c r="AE132"/>
  <c r="AE131"/>
  <c r="AE130"/>
  <c r="AE129"/>
  <c r="AE128"/>
  <c r="AE127"/>
  <c r="AE126"/>
  <c r="AE125"/>
  <c r="AE124"/>
  <c r="AE123"/>
  <c r="AE122"/>
  <c r="AE121"/>
  <c r="AE120"/>
  <c r="AE119"/>
  <c r="AE118"/>
  <c r="AE117"/>
  <c r="AE116"/>
  <c r="AE115"/>
  <c r="AE114"/>
  <c r="AE113"/>
  <c r="AE112"/>
  <c r="AE111"/>
  <c r="AE110"/>
  <c r="AE109"/>
  <c r="AE108"/>
  <c r="AE107"/>
  <c r="AE106"/>
  <c r="AE105"/>
  <c r="AE104"/>
  <c r="AE103"/>
  <c r="AE102"/>
  <c r="AE101"/>
  <c r="AE100"/>
  <c r="AE99"/>
  <c r="AE98"/>
  <c r="AE97"/>
  <c r="AE96"/>
  <c r="AE95"/>
  <c r="AE94"/>
  <c r="AE93"/>
  <c r="AE92"/>
  <c r="AE91"/>
  <c r="AE90"/>
  <c r="AE89"/>
  <c r="AE88"/>
  <c r="AE87"/>
  <c r="AE86"/>
  <c r="AE85"/>
  <c r="AE84"/>
  <c r="AE83"/>
  <c r="AE82"/>
  <c r="AE81"/>
  <c r="AE80"/>
  <c r="AE79"/>
  <c r="AE78"/>
  <c r="AE77"/>
  <c r="AE76"/>
  <c r="AE75"/>
  <c r="AE74"/>
  <c r="AE73"/>
  <c r="AE72"/>
  <c r="AE71"/>
  <c r="AE70"/>
  <c r="AE69"/>
  <c r="AE68"/>
  <c r="AE67"/>
  <c r="AE66"/>
  <c r="AE65"/>
  <c r="AE64"/>
  <c r="AE63"/>
  <c r="AE62"/>
  <c r="AE61"/>
  <c r="AE60"/>
  <c r="AE59"/>
  <c r="AE58"/>
  <c r="AE57"/>
  <c r="AE56"/>
  <c r="AE55"/>
  <c r="AE54"/>
  <c r="AE53"/>
  <c r="AE52"/>
  <c r="AE51"/>
  <c r="AE50"/>
  <c r="AE49"/>
  <c r="AE48"/>
  <c r="AE47"/>
  <c r="AE46"/>
  <c r="AE45"/>
  <c r="AE44"/>
  <c r="AE43"/>
  <c r="AE42"/>
  <c r="AE41"/>
  <c r="AE40"/>
  <c r="AE39"/>
  <c r="AE38"/>
  <c r="AE37"/>
  <c r="AE36"/>
  <c r="AE35"/>
  <c r="AE34"/>
  <c r="AE33"/>
  <c r="AE32"/>
  <c r="AE31"/>
  <c r="AE30"/>
  <c r="AE29"/>
  <c r="AE28"/>
  <c r="AE27"/>
  <c r="AE26"/>
  <c r="AE25"/>
  <c r="AE24"/>
  <c r="AE23"/>
  <c r="AE22"/>
  <c r="AE21"/>
  <c r="AE20"/>
  <c r="AE19"/>
  <c r="AE18"/>
  <c r="AE17"/>
  <c r="AE16"/>
  <c r="AE14"/>
  <c r="AE13"/>
  <c r="AE12"/>
  <c r="AE11"/>
  <c r="AE10"/>
  <c r="AE9"/>
  <c r="AE8"/>
  <c r="AE7"/>
  <c r="AE6"/>
  <c r="AE5"/>
  <c r="AE4"/>
  <c r="AE3"/>
  <c r="D3" s="1"/>
  <c r="AE15"/>
  <c r="D28" i="4"/>
  <c r="F3" i="12"/>
  <c r="E3"/>
  <c r="J3"/>
  <c r="C4"/>
  <c r="C5" s="1"/>
  <c r="C6" s="1"/>
  <c r="C7" s="1"/>
  <c r="C8" s="1"/>
  <c r="C9" s="1"/>
  <c r="C10" s="1"/>
  <c r="C11" s="1"/>
  <c r="C12" s="1"/>
  <c r="C13" s="1"/>
  <c r="C14" s="1"/>
  <c r="C15" s="1"/>
  <c r="C16" s="1"/>
  <c r="C17" s="1"/>
  <c r="D4"/>
  <c r="F4" s="1"/>
  <c r="E4" s="1"/>
  <c r="I4"/>
  <c r="I5"/>
  <c r="J4"/>
  <c r="B9"/>
  <c r="B13"/>
  <c r="M22"/>
  <c r="C23"/>
  <c r="E24"/>
  <c r="F24"/>
  <c r="I24"/>
  <c r="I25"/>
  <c r="M25"/>
  <c r="C26"/>
  <c r="M26"/>
  <c r="K27"/>
  <c r="K28"/>
  <c r="K22" s="1"/>
  <c r="C34"/>
  <c r="I35"/>
  <c r="I36"/>
  <c r="M37"/>
  <c r="K38"/>
  <c r="K33" s="1"/>
  <c r="K39"/>
  <c r="F52"/>
  <c r="E52"/>
  <c r="F53"/>
  <c r="E53" s="1"/>
  <c r="F54"/>
  <c r="E54" s="1"/>
  <c r="F55"/>
  <c r="E55" s="1"/>
  <c r="C65" i="6"/>
  <c r="A69"/>
  <c r="C79"/>
  <c r="C92" s="1"/>
  <c r="C80"/>
  <c r="B106"/>
  <c r="C3" i="5"/>
  <c r="M3"/>
  <c r="C4"/>
  <c r="DH4"/>
  <c r="C5"/>
  <c r="DH5"/>
  <c r="C6"/>
  <c r="C7"/>
  <c r="C8"/>
  <c r="C9"/>
  <c r="C10"/>
  <c r="C11"/>
  <c r="C12"/>
  <c r="C13"/>
  <c r="C14"/>
  <c r="C15"/>
  <c r="C16"/>
  <c r="C17"/>
  <c r="C18"/>
  <c r="C19"/>
  <c r="C20"/>
  <c r="C21"/>
  <c r="C22"/>
  <c r="C23"/>
  <c r="C24"/>
  <c r="C25"/>
  <c r="C26"/>
  <c r="C27"/>
  <c r="C28"/>
  <c r="C29"/>
  <c r="C30"/>
  <c r="C31"/>
  <c r="C32"/>
  <c r="C33"/>
  <c r="C34"/>
  <c r="C35"/>
  <c r="C36"/>
  <c r="C37"/>
  <c r="C38"/>
  <c r="C39"/>
  <c r="C40"/>
  <c r="C41"/>
  <c r="CQ41"/>
  <c r="C42"/>
  <c r="C43"/>
  <c r="C44"/>
  <c r="C45"/>
  <c r="C46"/>
  <c r="C47"/>
  <c r="C48"/>
  <c r="C49"/>
  <c r="C50"/>
  <c r="C51"/>
  <c r="CV51"/>
  <c r="C52"/>
  <c r="C53"/>
  <c r="C54"/>
  <c r="C55"/>
  <c r="C56"/>
  <c r="C57"/>
  <c r="C58"/>
  <c r="C59"/>
  <c r="C60"/>
  <c r="C61"/>
  <c r="C62"/>
  <c r="C63"/>
  <c r="C64"/>
  <c r="C65"/>
  <c r="CV65"/>
  <c r="C66"/>
  <c r="C67"/>
  <c r="C68"/>
  <c r="C69"/>
  <c r="C70"/>
  <c r="C71"/>
  <c r="C72"/>
  <c r="C73"/>
  <c r="C74"/>
  <c r="C75"/>
  <c r="B65" i="4" s="1"/>
  <c r="E67" s="1"/>
  <c r="C76" i="5"/>
  <c r="C77"/>
  <c r="C78"/>
  <c r="C79"/>
  <c r="C80"/>
  <c r="C81"/>
  <c r="C82"/>
  <c r="C83"/>
  <c r="C84"/>
  <c r="C85"/>
  <c r="C86"/>
  <c r="C87"/>
  <c r="C88"/>
  <c r="C89"/>
  <c r="C90"/>
  <c r="C91"/>
  <c r="C92"/>
  <c r="C93"/>
  <c r="C94"/>
  <c r="C95"/>
  <c r="C96"/>
  <c r="C97"/>
  <c r="C98"/>
  <c r="C99"/>
  <c r="C100"/>
  <c r="C101"/>
  <c r="C102"/>
  <c r="C103"/>
  <c r="C104"/>
  <c r="C105"/>
  <c r="CV105"/>
  <c r="C106"/>
  <c r="C107"/>
  <c r="C108"/>
  <c r="C109"/>
  <c r="C110"/>
  <c r="C111"/>
  <c r="C112"/>
  <c r="C113"/>
  <c r="C114"/>
  <c r="C115"/>
  <c r="C116"/>
  <c r="C117"/>
  <c r="C118"/>
  <c r="C119"/>
  <c r="C120"/>
  <c r="C121"/>
  <c r="C122"/>
  <c r="C123"/>
  <c r="C124"/>
  <c r="C125"/>
  <c r="C126"/>
  <c r="C127"/>
  <c r="C128"/>
  <c r="C129"/>
  <c r="C130"/>
  <c r="C131"/>
  <c r="C132"/>
  <c r="C133"/>
  <c r="C134"/>
  <c r="C135"/>
  <c r="A3" i="7"/>
  <c r="R75"/>
  <c r="R76"/>
  <c r="R77"/>
  <c r="R78" s="1"/>
  <c r="R79" s="1"/>
  <c r="R80" s="1"/>
  <c r="R81" s="1"/>
  <c r="R82" s="1"/>
  <c r="R83" s="1"/>
  <c r="R84" s="1"/>
  <c r="R85" s="1"/>
  <c r="R86" s="1"/>
  <c r="R87" s="1"/>
  <c r="R88" s="1"/>
  <c r="R89" s="1"/>
  <c r="R90" s="1"/>
  <c r="R91" s="1"/>
  <c r="R92" s="1"/>
  <c r="R93" s="1"/>
  <c r="R94" s="1"/>
  <c r="R95" s="1"/>
  <c r="R96" s="1"/>
  <c r="R97" s="1"/>
  <c r="R98" s="1"/>
  <c r="R99" s="1"/>
  <c r="R100" s="1"/>
  <c r="R101" s="1"/>
  <c r="R102" s="1"/>
  <c r="R103" s="1"/>
  <c r="R104" s="1"/>
  <c r="R105" s="1"/>
  <c r="R106" s="1"/>
  <c r="R107" s="1"/>
  <c r="R108" s="1"/>
  <c r="R109" s="1"/>
  <c r="R110" s="1"/>
  <c r="R111" s="1"/>
  <c r="R112" s="1"/>
  <c r="R113" s="1"/>
  <c r="R114" s="1"/>
  <c r="R115" s="1"/>
  <c r="R116" s="1"/>
  <c r="R117" s="1"/>
  <c r="R118" s="1"/>
  <c r="R119" s="1"/>
  <c r="R120" s="1"/>
  <c r="R121" s="1"/>
  <c r="R122" s="1"/>
  <c r="R123" s="1"/>
  <c r="R124" s="1"/>
  <c r="R125" s="1"/>
  <c r="R126" s="1"/>
  <c r="R127" s="1"/>
  <c r="R128" s="1"/>
  <c r="R129" s="1"/>
  <c r="R130" s="1"/>
  <c r="R131" s="1"/>
  <c r="R132" s="1"/>
  <c r="R133" s="1"/>
  <c r="R134" s="1"/>
  <c r="R135" s="1"/>
  <c r="K3" i="11"/>
  <c r="AM3"/>
  <c r="AN3"/>
  <c r="AO3"/>
  <c r="AP3"/>
  <c r="AS3"/>
  <c r="AT3"/>
  <c r="AU3"/>
  <c r="AW3"/>
  <c r="AX3"/>
  <c r="AY3"/>
  <c r="AZ3"/>
  <c r="BB3"/>
  <c r="BC3"/>
  <c r="BD3"/>
  <c r="BE3"/>
  <c r="BG3"/>
  <c r="BH3"/>
  <c r="BI3"/>
  <c r="BJ3"/>
  <c r="BL3"/>
  <c r="BM3"/>
  <c r="BN3"/>
  <c r="BO3"/>
  <c r="BQ3"/>
  <c r="BR3"/>
  <c r="BS3"/>
  <c r="BT3"/>
  <c r="BV3"/>
  <c r="M3" s="1"/>
  <c r="AM4"/>
  <c r="AN4"/>
  <c r="AO4"/>
  <c r="AP4"/>
  <c r="AR4"/>
  <c r="AS4"/>
  <c r="AT4"/>
  <c r="AU4"/>
  <c r="AW4"/>
  <c r="AX4"/>
  <c r="AY4"/>
  <c r="AZ4"/>
  <c r="BB4"/>
  <c r="BC4"/>
  <c r="BD4"/>
  <c r="BE4"/>
  <c r="BG4"/>
  <c r="BH4"/>
  <c r="BI4"/>
  <c r="BJ4"/>
  <c r="BL4"/>
  <c r="BM4"/>
  <c r="BN4"/>
  <c r="BO4"/>
  <c r="BQ4"/>
  <c r="BR4"/>
  <c r="BS4"/>
  <c r="BT4"/>
  <c r="BV4"/>
  <c r="M4" s="1"/>
  <c r="BW4" s="1"/>
  <c r="AM5"/>
  <c r="AN5"/>
  <c r="AO5"/>
  <c r="AP5"/>
  <c r="AR5"/>
  <c r="AS5"/>
  <c r="AT5"/>
  <c r="AU5"/>
  <c r="AW5"/>
  <c r="AX5"/>
  <c r="AY5"/>
  <c r="AZ5"/>
  <c r="BB5"/>
  <c r="BC5"/>
  <c r="BD5"/>
  <c r="BE5"/>
  <c r="BG5"/>
  <c r="BH5"/>
  <c r="BI5"/>
  <c r="BJ5"/>
  <c r="BL5"/>
  <c r="BM5"/>
  <c r="BN5"/>
  <c r="BO5"/>
  <c r="BQ5"/>
  <c r="BR5"/>
  <c r="BS5"/>
  <c r="BT5"/>
  <c r="BV5"/>
  <c r="M5" s="1"/>
  <c r="BW5" s="1"/>
  <c r="AM6"/>
  <c r="AN6"/>
  <c r="AO6"/>
  <c r="AP6"/>
  <c r="AR6"/>
  <c r="AS6"/>
  <c r="AT6"/>
  <c r="AU6"/>
  <c r="AW6"/>
  <c r="AX6"/>
  <c r="AY6"/>
  <c r="AZ6"/>
  <c r="BB6"/>
  <c r="BC6"/>
  <c r="BD6"/>
  <c r="BE6"/>
  <c r="BG6"/>
  <c r="BH6"/>
  <c r="BI6"/>
  <c r="BJ6"/>
  <c r="BL6"/>
  <c r="BM6"/>
  <c r="BN6"/>
  <c r="BO6"/>
  <c r="BQ6"/>
  <c r="BR6"/>
  <c r="BS6"/>
  <c r="BT6"/>
  <c r="BV6"/>
  <c r="M6" s="1"/>
  <c r="BW6" s="1"/>
  <c r="AM7"/>
  <c r="AN7"/>
  <c r="AO7"/>
  <c r="AP7"/>
  <c r="AX7" i="1" s="1"/>
  <c r="AR7" i="11"/>
  <c r="AS7"/>
  <c r="AT7"/>
  <c r="AU7"/>
  <c r="AW7"/>
  <c r="AX7"/>
  <c r="AY7"/>
  <c r="AZ7"/>
  <c r="BB7"/>
  <c r="BC7"/>
  <c r="BD7"/>
  <c r="BE7"/>
  <c r="BG7"/>
  <c r="BH7"/>
  <c r="BI7"/>
  <c r="BJ7"/>
  <c r="BL7"/>
  <c r="BM7"/>
  <c r="BN7"/>
  <c r="BO7"/>
  <c r="BQ7"/>
  <c r="BR7"/>
  <c r="BS7"/>
  <c r="BT7"/>
  <c r="BV7"/>
  <c r="M7" s="1"/>
  <c r="BW7" s="1"/>
  <c r="AM8"/>
  <c r="AN8"/>
  <c r="AO8"/>
  <c r="AP8"/>
  <c r="AX8" i="1"/>
  <c r="AR8" i="11"/>
  <c r="AS8"/>
  <c r="AT8"/>
  <c r="AU8"/>
  <c r="AW8"/>
  <c r="AX8"/>
  <c r="AY8"/>
  <c r="AZ8"/>
  <c r="BB8"/>
  <c r="BC8"/>
  <c r="BD8"/>
  <c r="BE8"/>
  <c r="BG8"/>
  <c r="BH8"/>
  <c r="BI8"/>
  <c r="BJ8"/>
  <c r="BL8"/>
  <c r="BM8"/>
  <c r="BN8"/>
  <c r="BO8"/>
  <c r="BQ8"/>
  <c r="BR8"/>
  <c r="BS8"/>
  <c r="BT8"/>
  <c r="BV8"/>
  <c r="M8" s="1"/>
  <c r="BW8" s="1"/>
  <c r="AM9"/>
  <c r="AN9"/>
  <c r="AO9"/>
  <c r="AP9"/>
  <c r="AR9"/>
  <c r="AS9"/>
  <c r="AT9"/>
  <c r="AU9"/>
  <c r="AW9"/>
  <c r="AX9"/>
  <c r="AY9"/>
  <c r="AZ9"/>
  <c r="BB9"/>
  <c r="BC9"/>
  <c r="BD9"/>
  <c r="BE9"/>
  <c r="BG9"/>
  <c r="BH9"/>
  <c r="BI9"/>
  <c r="BJ9"/>
  <c r="BL9"/>
  <c r="BM9"/>
  <c r="BN9"/>
  <c r="BO9"/>
  <c r="BQ9"/>
  <c r="BR9"/>
  <c r="BS9"/>
  <c r="BT9"/>
  <c r="BV9"/>
  <c r="M9" s="1"/>
  <c r="BW9" s="1"/>
  <c r="AM10"/>
  <c r="AN10"/>
  <c r="AO10"/>
  <c r="AP10"/>
  <c r="AR10"/>
  <c r="AS10"/>
  <c r="AT10"/>
  <c r="AU10"/>
  <c r="AW10"/>
  <c r="AX10"/>
  <c r="AY10"/>
  <c r="AZ10"/>
  <c r="BB10"/>
  <c r="BC10"/>
  <c r="BD10"/>
  <c r="BE10"/>
  <c r="BG10"/>
  <c r="BH10"/>
  <c r="BI10"/>
  <c r="BJ10"/>
  <c r="BL10"/>
  <c r="BM10"/>
  <c r="BN10"/>
  <c r="BO10"/>
  <c r="BQ10"/>
  <c r="BR10"/>
  <c r="BS10"/>
  <c r="BT10"/>
  <c r="BV10"/>
  <c r="M10" s="1"/>
  <c r="AM11"/>
  <c r="AN11"/>
  <c r="AO11"/>
  <c r="AP11"/>
  <c r="AR11"/>
  <c r="AS11"/>
  <c r="AT11"/>
  <c r="AU11"/>
  <c r="AW11"/>
  <c r="AX11"/>
  <c r="AY11"/>
  <c r="AZ11"/>
  <c r="BB11"/>
  <c r="BC11"/>
  <c r="BD11"/>
  <c r="BE11"/>
  <c r="BG11"/>
  <c r="BH11"/>
  <c r="BI11"/>
  <c r="BJ11"/>
  <c r="BL11"/>
  <c r="BM11"/>
  <c r="BN11"/>
  <c r="BO11"/>
  <c r="BQ11"/>
  <c r="BR11"/>
  <c r="BS11"/>
  <c r="BT11"/>
  <c r="BV11"/>
  <c r="M11" s="1"/>
  <c r="BW11" s="1"/>
  <c r="AM12"/>
  <c r="AN12"/>
  <c r="AO12"/>
  <c r="AP12"/>
  <c r="AR12"/>
  <c r="AS12"/>
  <c r="AT12"/>
  <c r="AU12"/>
  <c r="AW12"/>
  <c r="AX12"/>
  <c r="AY12"/>
  <c r="AZ12"/>
  <c r="BB12"/>
  <c r="BC12"/>
  <c r="BD12"/>
  <c r="BE12"/>
  <c r="BG12"/>
  <c r="BH12"/>
  <c r="BI12"/>
  <c r="BJ12"/>
  <c r="BL12"/>
  <c r="BM12"/>
  <c r="BN12"/>
  <c r="BO12"/>
  <c r="BQ12"/>
  <c r="BR12"/>
  <c r="BS12"/>
  <c r="BT12"/>
  <c r="BV12"/>
  <c r="M12" s="1"/>
  <c r="BW12" s="1"/>
  <c r="AM13"/>
  <c r="AN13"/>
  <c r="AO13"/>
  <c r="AP13"/>
  <c r="AR13"/>
  <c r="AS13"/>
  <c r="AT13"/>
  <c r="AU13"/>
  <c r="AW13"/>
  <c r="AX13"/>
  <c r="AY13"/>
  <c r="AZ13"/>
  <c r="BB13"/>
  <c r="BC13"/>
  <c r="BD13"/>
  <c r="BE13"/>
  <c r="BG13"/>
  <c r="BH13"/>
  <c r="BI13"/>
  <c r="BJ13"/>
  <c r="BL13"/>
  <c r="BM13"/>
  <c r="BN13"/>
  <c r="BO13"/>
  <c r="BQ13"/>
  <c r="BR13"/>
  <c r="BS13"/>
  <c r="BT13"/>
  <c r="BV13"/>
  <c r="M13" s="1"/>
  <c r="BW13" s="1"/>
  <c r="AM14"/>
  <c r="AN14"/>
  <c r="AO14"/>
  <c r="AP14"/>
  <c r="AR14"/>
  <c r="AS14"/>
  <c r="AT14"/>
  <c r="AU14"/>
  <c r="AW14"/>
  <c r="AX14"/>
  <c r="AY14"/>
  <c r="AZ14"/>
  <c r="BB14"/>
  <c r="BC14"/>
  <c r="BD14"/>
  <c r="BE14"/>
  <c r="BG14"/>
  <c r="BH14"/>
  <c r="BI14"/>
  <c r="BJ14"/>
  <c r="BL14"/>
  <c r="BM14"/>
  <c r="BN14"/>
  <c r="BO14"/>
  <c r="BQ14"/>
  <c r="BR14"/>
  <c r="BS14"/>
  <c r="BT14"/>
  <c r="BV14"/>
  <c r="M14" s="1"/>
  <c r="BW14" s="1"/>
  <c r="AM15"/>
  <c r="AN15"/>
  <c r="AO15"/>
  <c r="AP15"/>
  <c r="AR15"/>
  <c r="AS15"/>
  <c r="AT15"/>
  <c r="AU15"/>
  <c r="AW15"/>
  <c r="AX15"/>
  <c r="AY15"/>
  <c r="AZ15"/>
  <c r="BB15"/>
  <c r="BC15"/>
  <c r="BD15"/>
  <c r="BE15"/>
  <c r="BG15"/>
  <c r="BH15"/>
  <c r="BI15"/>
  <c r="BJ15"/>
  <c r="BL15"/>
  <c r="BM15"/>
  <c r="BN15"/>
  <c r="BO15"/>
  <c r="BQ15"/>
  <c r="BR15"/>
  <c r="BS15"/>
  <c r="BT15"/>
  <c r="BV15"/>
  <c r="M15" s="1"/>
  <c r="BW15" s="1"/>
  <c r="AM16"/>
  <c r="AN16"/>
  <c r="AO16"/>
  <c r="AP16"/>
  <c r="AR16"/>
  <c r="AS16"/>
  <c r="AT16"/>
  <c r="AU16"/>
  <c r="AW16"/>
  <c r="AX16"/>
  <c r="AY16"/>
  <c r="AZ16"/>
  <c r="BB16"/>
  <c r="BC16"/>
  <c r="BD16"/>
  <c r="BE16"/>
  <c r="BG16"/>
  <c r="BH16"/>
  <c r="BI16"/>
  <c r="BJ16"/>
  <c r="BL16"/>
  <c r="BM16"/>
  <c r="BN16"/>
  <c r="BO16"/>
  <c r="BQ16"/>
  <c r="BR16"/>
  <c r="BS16"/>
  <c r="BT16"/>
  <c r="BV16"/>
  <c r="M16" s="1"/>
  <c r="BW16" s="1"/>
  <c r="AM17"/>
  <c r="AN17"/>
  <c r="AO17"/>
  <c r="AP17"/>
  <c r="AR17"/>
  <c r="AS17"/>
  <c r="AT17"/>
  <c r="AU17"/>
  <c r="AW17"/>
  <c r="AX17"/>
  <c r="AY17"/>
  <c r="AZ17"/>
  <c r="BB17"/>
  <c r="BC17"/>
  <c r="BD17"/>
  <c r="BE17"/>
  <c r="BG17"/>
  <c r="BH17"/>
  <c r="BI17"/>
  <c r="BJ17"/>
  <c r="BL17"/>
  <c r="BM17"/>
  <c r="BN17"/>
  <c r="BO17"/>
  <c r="BQ17"/>
  <c r="BR17"/>
  <c r="BS17"/>
  <c r="BT17"/>
  <c r="BV17"/>
  <c r="M17" s="1"/>
  <c r="BW17" s="1"/>
  <c r="AM18"/>
  <c r="AN18"/>
  <c r="AO18"/>
  <c r="AP18"/>
  <c r="AR18"/>
  <c r="AS18"/>
  <c r="AT18"/>
  <c r="AU18"/>
  <c r="AW18"/>
  <c r="AX18"/>
  <c r="AY18"/>
  <c r="AZ18"/>
  <c r="BB18"/>
  <c r="BC18"/>
  <c r="BD18"/>
  <c r="BE18"/>
  <c r="BG18"/>
  <c r="BH18"/>
  <c r="BI18"/>
  <c r="BJ18"/>
  <c r="BL18"/>
  <c r="BM18"/>
  <c r="BN18"/>
  <c r="BO18"/>
  <c r="BQ18"/>
  <c r="BR18"/>
  <c r="BS18"/>
  <c r="BT18"/>
  <c r="BV18"/>
  <c r="M18" s="1"/>
  <c r="BW18" s="1"/>
  <c r="AM19"/>
  <c r="AN19"/>
  <c r="AO19"/>
  <c r="AP19"/>
  <c r="AR19"/>
  <c r="AS19"/>
  <c r="AT19"/>
  <c r="AU19"/>
  <c r="AW19"/>
  <c r="AX19"/>
  <c r="AY19"/>
  <c r="AZ19"/>
  <c r="BB19"/>
  <c r="BC19"/>
  <c r="BD19"/>
  <c r="BE19"/>
  <c r="BG19"/>
  <c r="BH19"/>
  <c r="BI19"/>
  <c r="BJ19"/>
  <c r="BL19"/>
  <c r="BM19"/>
  <c r="BN19"/>
  <c r="BO19"/>
  <c r="BQ19"/>
  <c r="BR19"/>
  <c r="BS19"/>
  <c r="BT19"/>
  <c r="BV19"/>
  <c r="M19" s="1"/>
  <c r="BW19" s="1"/>
  <c r="AM20"/>
  <c r="AN20"/>
  <c r="AO20"/>
  <c r="AP20"/>
  <c r="AR20"/>
  <c r="AS20"/>
  <c r="AT20"/>
  <c r="AU20"/>
  <c r="AW20"/>
  <c r="AX20"/>
  <c r="AY20"/>
  <c r="AZ20"/>
  <c r="BB20"/>
  <c r="BC20"/>
  <c r="BD20"/>
  <c r="BE20"/>
  <c r="BG20"/>
  <c r="BH20"/>
  <c r="BI20"/>
  <c r="BJ20"/>
  <c r="BL20"/>
  <c r="BM20"/>
  <c r="BN20"/>
  <c r="BO20"/>
  <c r="BQ20"/>
  <c r="BR20"/>
  <c r="BS20"/>
  <c r="BT20"/>
  <c r="BV20"/>
  <c r="M20" s="1"/>
  <c r="BW20" s="1"/>
  <c r="AM21"/>
  <c r="AN21"/>
  <c r="AO21"/>
  <c r="AP21"/>
  <c r="AR21"/>
  <c r="AS21"/>
  <c r="AT21"/>
  <c r="AU21"/>
  <c r="AW21"/>
  <c r="AX21"/>
  <c r="AY21"/>
  <c r="AZ21"/>
  <c r="BB21"/>
  <c r="BC21"/>
  <c r="BD21"/>
  <c r="BE21"/>
  <c r="BG21"/>
  <c r="BH21"/>
  <c r="BI21"/>
  <c r="BJ21"/>
  <c r="BL21"/>
  <c r="BM21"/>
  <c r="BN21"/>
  <c r="BO21"/>
  <c r="BQ21"/>
  <c r="BR21"/>
  <c r="BS21"/>
  <c r="BT21"/>
  <c r="BV21"/>
  <c r="M21" s="1"/>
  <c r="AM22"/>
  <c r="AN22"/>
  <c r="AO22"/>
  <c r="AP22"/>
  <c r="AR22"/>
  <c r="AS22"/>
  <c r="AT22"/>
  <c r="AU22"/>
  <c r="AW22"/>
  <c r="AX22"/>
  <c r="AY22"/>
  <c r="AZ22"/>
  <c r="BB22"/>
  <c r="BC22"/>
  <c r="BD22"/>
  <c r="BE22"/>
  <c r="BG22"/>
  <c r="BH22"/>
  <c r="BI22"/>
  <c r="BJ22"/>
  <c r="BL22"/>
  <c r="BM22"/>
  <c r="BN22"/>
  <c r="BO22"/>
  <c r="BQ22"/>
  <c r="BR22"/>
  <c r="BS22"/>
  <c r="BT22"/>
  <c r="BV22"/>
  <c r="M22" s="1"/>
  <c r="BW22" s="1"/>
  <c r="AM23"/>
  <c r="AN23"/>
  <c r="AO23"/>
  <c r="AP23"/>
  <c r="AR23"/>
  <c r="AS23"/>
  <c r="AT23"/>
  <c r="AU23"/>
  <c r="AW23"/>
  <c r="AX23"/>
  <c r="AY23"/>
  <c r="AZ23"/>
  <c r="BB23"/>
  <c r="BC23"/>
  <c r="BD23"/>
  <c r="BE23"/>
  <c r="BG23"/>
  <c r="BH23"/>
  <c r="BI23"/>
  <c r="BJ23"/>
  <c r="BL23"/>
  <c r="BM23"/>
  <c r="BN23"/>
  <c r="BO23"/>
  <c r="BQ23"/>
  <c r="BR23"/>
  <c r="BS23"/>
  <c r="BT23"/>
  <c r="BV23"/>
  <c r="M23" s="1"/>
  <c r="BW23" s="1"/>
  <c r="AM24"/>
  <c r="AN24"/>
  <c r="AO24"/>
  <c r="AP24"/>
  <c r="AR24"/>
  <c r="AS24"/>
  <c r="AT24"/>
  <c r="AU24"/>
  <c r="AW24"/>
  <c r="AX24"/>
  <c r="AY24"/>
  <c r="AZ24"/>
  <c r="BB24"/>
  <c r="BC24"/>
  <c r="BD24"/>
  <c r="BE24"/>
  <c r="BG24"/>
  <c r="BH24"/>
  <c r="BI24"/>
  <c r="BJ24"/>
  <c r="BL24"/>
  <c r="BM24"/>
  <c r="BN24"/>
  <c r="BO24"/>
  <c r="BQ24"/>
  <c r="BR24"/>
  <c r="BS24"/>
  <c r="BT24"/>
  <c r="BV24"/>
  <c r="M24" s="1"/>
  <c r="BW24" s="1"/>
  <c r="AM25"/>
  <c r="AN25"/>
  <c r="AO25"/>
  <c r="AP25"/>
  <c r="AR25"/>
  <c r="AS25"/>
  <c r="AT25"/>
  <c r="AU25"/>
  <c r="AW25"/>
  <c r="AX25"/>
  <c r="AY25"/>
  <c r="AZ25"/>
  <c r="BB25"/>
  <c r="BC25"/>
  <c r="BD25"/>
  <c r="BE25"/>
  <c r="BG25"/>
  <c r="BH25"/>
  <c r="BI25"/>
  <c r="BJ25"/>
  <c r="BL25"/>
  <c r="BM25"/>
  <c r="BN25"/>
  <c r="BO25"/>
  <c r="BQ25"/>
  <c r="BR25"/>
  <c r="BS25"/>
  <c r="BT25"/>
  <c r="BV25"/>
  <c r="M25" s="1"/>
  <c r="BW25" s="1"/>
  <c r="AM26"/>
  <c r="AN26"/>
  <c r="AO26"/>
  <c r="AP26"/>
  <c r="AR26"/>
  <c r="AS26"/>
  <c r="AT26"/>
  <c r="AU26"/>
  <c r="AW26"/>
  <c r="AX26"/>
  <c r="AY26"/>
  <c r="AZ26"/>
  <c r="BB26"/>
  <c r="BC26"/>
  <c r="BD26"/>
  <c r="BE26"/>
  <c r="BG26"/>
  <c r="BH26"/>
  <c r="BI26"/>
  <c r="BJ26"/>
  <c r="BL26"/>
  <c r="BM26"/>
  <c r="BN26"/>
  <c r="BO26"/>
  <c r="BQ26"/>
  <c r="BR26"/>
  <c r="BS26"/>
  <c r="BT26"/>
  <c r="BV26"/>
  <c r="M26" s="1"/>
  <c r="BW26" s="1"/>
  <c r="AM27"/>
  <c r="AN27"/>
  <c r="AO27"/>
  <c r="AP27"/>
  <c r="AX27" i="1"/>
  <c r="AR27" i="11"/>
  <c r="AS27"/>
  <c r="AT27"/>
  <c r="AU27"/>
  <c r="AW27"/>
  <c r="AX27"/>
  <c r="AY27"/>
  <c r="AZ27"/>
  <c r="BB27"/>
  <c r="BC27"/>
  <c r="BD27"/>
  <c r="BE27"/>
  <c r="BG27"/>
  <c r="BH27"/>
  <c r="BI27"/>
  <c r="BJ27"/>
  <c r="BL27"/>
  <c r="BM27"/>
  <c r="BN27"/>
  <c r="BO27"/>
  <c r="BQ27"/>
  <c r="BR27"/>
  <c r="BS27"/>
  <c r="BT27"/>
  <c r="BV27"/>
  <c r="M27" s="1"/>
  <c r="BW27" s="1"/>
  <c r="AM28"/>
  <c r="AN28"/>
  <c r="AO28"/>
  <c r="AP28"/>
  <c r="AR28"/>
  <c r="AS28"/>
  <c r="AT28"/>
  <c r="AU28"/>
  <c r="AW28"/>
  <c r="AX28"/>
  <c r="AY28"/>
  <c r="AZ28"/>
  <c r="BB28"/>
  <c r="BC28"/>
  <c r="BD28"/>
  <c r="BE28"/>
  <c r="BG28"/>
  <c r="BH28"/>
  <c r="BI28"/>
  <c r="BJ28"/>
  <c r="BL28"/>
  <c r="BM28"/>
  <c r="BN28"/>
  <c r="BO28"/>
  <c r="BQ28"/>
  <c r="BR28"/>
  <c r="BS28"/>
  <c r="BT28"/>
  <c r="BV28"/>
  <c r="M28" s="1"/>
  <c r="BW28" s="1"/>
  <c r="AM29"/>
  <c r="AN29"/>
  <c r="AO29"/>
  <c r="AP29"/>
  <c r="AX29" i="1" s="1"/>
  <c r="AR29" i="11"/>
  <c r="AS29"/>
  <c r="AT29"/>
  <c r="AU29"/>
  <c r="AW29"/>
  <c r="AX29"/>
  <c r="AY29"/>
  <c r="AZ29"/>
  <c r="BB29"/>
  <c r="BC29"/>
  <c r="BD29"/>
  <c r="BE29"/>
  <c r="BG29"/>
  <c r="BH29"/>
  <c r="BI29"/>
  <c r="BJ29"/>
  <c r="BL29"/>
  <c r="BM29"/>
  <c r="BN29"/>
  <c r="BO29"/>
  <c r="BQ29"/>
  <c r="BR29"/>
  <c r="BS29"/>
  <c r="BT29"/>
  <c r="BV29"/>
  <c r="M29" s="1"/>
  <c r="BW29" s="1"/>
  <c r="AM30"/>
  <c r="AN30"/>
  <c r="AO30"/>
  <c r="AP30"/>
  <c r="AR30"/>
  <c r="AS30"/>
  <c r="AT30"/>
  <c r="AU30"/>
  <c r="AW30"/>
  <c r="AX30"/>
  <c r="AY30"/>
  <c r="AZ30"/>
  <c r="BB30"/>
  <c r="BC30"/>
  <c r="BD30"/>
  <c r="BE30"/>
  <c r="BG30"/>
  <c r="BH30"/>
  <c r="BI30"/>
  <c r="BJ30"/>
  <c r="BL30"/>
  <c r="BM30"/>
  <c r="BN30"/>
  <c r="BO30"/>
  <c r="BQ30"/>
  <c r="BR30"/>
  <c r="BS30"/>
  <c r="BT30"/>
  <c r="BV30"/>
  <c r="M30" s="1"/>
  <c r="BW30" s="1"/>
  <c r="AM31"/>
  <c r="AN31"/>
  <c r="AO31"/>
  <c r="AP31"/>
  <c r="AR31"/>
  <c r="AS31"/>
  <c r="AT31"/>
  <c r="AU31"/>
  <c r="AW31"/>
  <c r="AX31"/>
  <c r="AY31"/>
  <c r="AZ31"/>
  <c r="BB31"/>
  <c r="BC31"/>
  <c r="BD31"/>
  <c r="BE31"/>
  <c r="BG31"/>
  <c r="BH31"/>
  <c r="BI31"/>
  <c r="BJ31"/>
  <c r="BL31"/>
  <c r="BM31"/>
  <c r="BN31"/>
  <c r="BO31"/>
  <c r="BQ31"/>
  <c r="BR31"/>
  <c r="BS31"/>
  <c r="BT31"/>
  <c r="BV31"/>
  <c r="M31" s="1"/>
  <c r="BW31" s="1"/>
  <c r="AM32"/>
  <c r="AN32"/>
  <c r="AO32"/>
  <c r="AP32"/>
  <c r="AR32"/>
  <c r="AS32"/>
  <c r="AT32"/>
  <c r="AU32"/>
  <c r="AW32"/>
  <c r="AX32"/>
  <c r="AY32"/>
  <c r="AZ32"/>
  <c r="BB32"/>
  <c r="BC32"/>
  <c r="BD32"/>
  <c r="BE32"/>
  <c r="BG32"/>
  <c r="BH32"/>
  <c r="BI32"/>
  <c r="BJ32"/>
  <c r="BL32"/>
  <c r="BM32"/>
  <c r="BN32"/>
  <c r="BO32"/>
  <c r="BQ32"/>
  <c r="BR32"/>
  <c r="BS32"/>
  <c r="BT32"/>
  <c r="BV32"/>
  <c r="M32" s="1"/>
  <c r="BW32" s="1"/>
  <c r="AM33"/>
  <c r="AN33"/>
  <c r="AO33"/>
  <c r="AP33"/>
  <c r="AR33"/>
  <c r="AS33"/>
  <c r="AT33"/>
  <c r="AU33"/>
  <c r="AW33"/>
  <c r="AX33"/>
  <c r="AY33"/>
  <c r="AZ33"/>
  <c r="BB33"/>
  <c r="BC33"/>
  <c r="BD33"/>
  <c r="BE33"/>
  <c r="BG33"/>
  <c r="BH33"/>
  <c r="BI33"/>
  <c r="BJ33"/>
  <c r="BL33"/>
  <c r="BM33"/>
  <c r="BN33"/>
  <c r="BO33"/>
  <c r="BQ33"/>
  <c r="BR33"/>
  <c r="BS33"/>
  <c r="BT33"/>
  <c r="BV33"/>
  <c r="M33" s="1"/>
  <c r="BW33" s="1"/>
  <c r="AM34"/>
  <c r="AN34"/>
  <c r="AO34"/>
  <c r="AP34"/>
  <c r="AR34"/>
  <c r="AS34"/>
  <c r="AT34"/>
  <c r="AU34"/>
  <c r="AW34"/>
  <c r="AX34"/>
  <c r="AY34"/>
  <c r="AZ34"/>
  <c r="BB34"/>
  <c r="BC34"/>
  <c r="BD34"/>
  <c r="BE34"/>
  <c r="BG34"/>
  <c r="BH34"/>
  <c r="BI34"/>
  <c r="BJ34"/>
  <c r="BL34"/>
  <c r="BM34"/>
  <c r="BN34"/>
  <c r="BO34"/>
  <c r="BQ34"/>
  <c r="BR34"/>
  <c r="BS34"/>
  <c r="BT34"/>
  <c r="BV34"/>
  <c r="M34" s="1"/>
  <c r="BW34" s="1"/>
  <c r="AM35"/>
  <c r="AN35"/>
  <c r="AO35"/>
  <c r="AP35"/>
  <c r="AR35"/>
  <c r="AS35"/>
  <c r="AT35"/>
  <c r="AU35"/>
  <c r="AW35"/>
  <c r="AX35"/>
  <c r="AY35"/>
  <c r="AZ35"/>
  <c r="BB35"/>
  <c r="BC35"/>
  <c r="BD35"/>
  <c r="BE35"/>
  <c r="BG35"/>
  <c r="BH35"/>
  <c r="BI35"/>
  <c r="BJ35"/>
  <c r="BL35"/>
  <c r="BM35"/>
  <c r="BN35"/>
  <c r="BO35"/>
  <c r="BQ35"/>
  <c r="BR35"/>
  <c r="BS35"/>
  <c r="BT35"/>
  <c r="BV35"/>
  <c r="M35" s="1"/>
  <c r="BW35" s="1"/>
  <c r="AM36"/>
  <c r="AN36"/>
  <c r="AO36"/>
  <c r="AP36"/>
  <c r="AR36"/>
  <c r="AS36"/>
  <c r="AT36"/>
  <c r="AU36"/>
  <c r="AW36"/>
  <c r="AX36"/>
  <c r="AY36"/>
  <c r="AZ36"/>
  <c r="BB36"/>
  <c r="BC36"/>
  <c r="BD36"/>
  <c r="BE36"/>
  <c r="BG36"/>
  <c r="BH36"/>
  <c r="BI36"/>
  <c r="BJ36"/>
  <c r="BL36"/>
  <c r="BM36"/>
  <c r="BN36"/>
  <c r="BO36"/>
  <c r="BQ36"/>
  <c r="BR36"/>
  <c r="BS36"/>
  <c r="BT36"/>
  <c r="BV36"/>
  <c r="M36" s="1"/>
  <c r="BW36" s="1"/>
  <c r="AM37"/>
  <c r="AN37"/>
  <c r="AO37"/>
  <c r="AP37"/>
  <c r="AR37"/>
  <c r="AS37"/>
  <c r="AT37"/>
  <c r="AU37"/>
  <c r="AW37"/>
  <c r="AX37"/>
  <c r="AY37"/>
  <c r="AZ37"/>
  <c r="BB37"/>
  <c r="BC37"/>
  <c r="BD37"/>
  <c r="BE37"/>
  <c r="BG37"/>
  <c r="BH37"/>
  <c r="BI37"/>
  <c r="BJ37"/>
  <c r="BL37"/>
  <c r="BM37"/>
  <c r="BN37"/>
  <c r="BO37"/>
  <c r="BQ37"/>
  <c r="BR37"/>
  <c r="BS37"/>
  <c r="BT37"/>
  <c r="BV37"/>
  <c r="M37" s="1"/>
  <c r="BW37" s="1"/>
  <c r="AM38"/>
  <c r="AN38"/>
  <c r="AO38"/>
  <c r="AP38"/>
  <c r="AR38"/>
  <c r="AS38"/>
  <c r="AT38"/>
  <c r="AU38"/>
  <c r="AW38"/>
  <c r="AX38"/>
  <c r="AY38"/>
  <c r="AZ38"/>
  <c r="BB38"/>
  <c r="BC38"/>
  <c r="BD38"/>
  <c r="BE38"/>
  <c r="BG38"/>
  <c r="BH38"/>
  <c r="BI38"/>
  <c r="BJ38"/>
  <c r="BL38"/>
  <c r="BM38"/>
  <c r="BN38"/>
  <c r="BO38"/>
  <c r="BQ38"/>
  <c r="BR38"/>
  <c r="BS38"/>
  <c r="BT38"/>
  <c r="BV38"/>
  <c r="M38" s="1"/>
  <c r="BW38" s="1"/>
  <c r="AM39"/>
  <c r="AN39"/>
  <c r="AO39"/>
  <c r="AP39"/>
  <c r="AR39"/>
  <c r="AS39"/>
  <c r="AT39"/>
  <c r="AU39"/>
  <c r="AW39"/>
  <c r="AX39"/>
  <c r="AY39"/>
  <c r="AZ39"/>
  <c r="BB39"/>
  <c r="BC39"/>
  <c r="BD39"/>
  <c r="BE39"/>
  <c r="BG39"/>
  <c r="BH39"/>
  <c r="BI39"/>
  <c r="BJ39"/>
  <c r="BL39"/>
  <c r="BM39"/>
  <c r="BN39"/>
  <c r="BO39"/>
  <c r="BQ39"/>
  <c r="BR39"/>
  <c r="BS39"/>
  <c r="BT39"/>
  <c r="BV39"/>
  <c r="M39" s="1"/>
  <c r="BW39" s="1"/>
  <c r="AM40"/>
  <c r="AN40"/>
  <c r="AO40"/>
  <c r="AP40"/>
  <c r="AX40" i="1" s="1"/>
  <c r="AR40" i="11"/>
  <c r="AS40"/>
  <c r="AT40"/>
  <c r="AU40"/>
  <c r="AW40"/>
  <c r="AX40"/>
  <c r="AY40"/>
  <c r="AZ40"/>
  <c r="BB40"/>
  <c r="BC40"/>
  <c r="BD40"/>
  <c r="BE40"/>
  <c r="BG40"/>
  <c r="BH40"/>
  <c r="BI40"/>
  <c r="BJ40"/>
  <c r="BL40"/>
  <c r="BM40"/>
  <c r="BN40"/>
  <c r="BO40"/>
  <c r="BQ40"/>
  <c r="BR40"/>
  <c r="BS40"/>
  <c r="BT40"/>
  <c r="BV40"/>
  <c r="M40" s="1"/>
  <c r="BW40" s="1"/>
  <c r="AM41"/>
  <c r="AN41"/>
  <c r="AO41"/>
  <c r="AP41"/>
  <c r="AR41"/>
  <c r="AS41"/>
  <c r="AT41"/>
  <c r="AU41"/>
  <c r="AW41"/>
  <c r="AX41"/>
  <c r="AY41"/>
  <c r="AZ41"/>
  <c r="BB41"/>
  <c r="BC41"/>
  <c r="BD41"/>
  <c r="BE41"/>
  <c r="BG41"/>
  <c r="BH41"/>
  <c r="BI41"/>
  <c r="BJ41"/>
  <c r="BL41"/>
  <c r="BM41"/>
  <c r="BN41"/>
  <c r="BO41"/>
  <c r="BQ41"/>
  <c r="BR41"/>
  <c r="BS41"/>
  <c r="BT41"/>
  <c r="BV41"/>
  <c r="M41" s="1"/>
  <c r="BW41" s="1"/>
  <c r="AM42"/>
  <c r="AN42"/>
  <c r="AO42"/>
  <c r="AP42"/>
  <c r="AR42"/>
  <c r="AS42"/>
  <c r="AT42"/>
  <c r="AU42"/>
  <c r="AW42"/>
  <c r="AX42"/>
  <c r="AY42"/>
  <c r="AZ42"/>
  <c r="BB42"/>
  <c r="BC42"/>
  <c r="BD42"/>
  <c r="BE42"/>
  <c r="BG42"/>
  <c r="BH42"/>
  <c r="BI42"/>
  <c r="BJ42"/>
  <c r="BL42"/>
  <c r="BM42"/>
  <c r="BN42"/>
  <c r="BO42"/>
  <c r="BQ42"/>
  <c r="BR42"/>
  <c r="BS42"/>
  <c r="BT42"/>
  <c r="BV42"/>
  <c r="M42" s="1"/>
  <c r="BW42" s="1"/>
  <c r="AM43"/>
  <c r="AN43"/>
  <c r="AO43"/>
  <c r="AP43"/>
  <c r="AR43"/>
  <c r="AS43"/>
  <c r="AT43"/>
  <c r="AU43"/>
  <c r="AW43"/>
  <c r="AX43"/>
  <c r="AY43"/>
  <c r="AZ43"/>
  <c r="BB43"/>
  <c r="BC43"/>
  <c r="BD43"/>
  <c r="BE43"/>
  <c r="BG43"/>
  <c r="BH43"/>
  <c r="BI43"/>
  <c r="BJ43"/>
  <c r="BL43"/>
  <c r="BM43"/>
  <c r="BN43"/>
  <c r="BO43"/>
  <c r="BQ43"/>
  <c r="BR43"/>
  <c r="BS43"/>
  <c r="BT43"/>
  <c r="BV43"/>
  <c r="M43" s="1"/>
  <c r="BW43" s="1"/>
  <c r="AM44"/>
  <c r="AN44"/>
  <c r="AO44"/>
  <c r="AP44"/>
  <c r="AX44" i="1"/>
  <c r="AR44" i="11"/>
  <c r="AS44"/>
  <c r="AT44"/>
  <c r="AU44"/>
  <c r="AW44"/>
  <c r="AX44"/>
  <c r="AY44"/>
  <c r="AZ44"/>
  <c r="BB44"/>
  <c r="BC44"/>
  <c r="BD44"/>
  <c r="BE44"/>
  <c r="BG44"/>
  <c r="BH44"/>
  <c r="BI44"/>
  <c r="BJ44"/>
  <c r="BL44"/>
  <c r="BM44"/>
  <c r="BN44"/>
  <c r="BO44"/>
  <c r="BQ44"/>
  <c r="BR44"/>
  <c r="BS44"/>
  <c r="BT44"/>
  <c r="BV44"/>
  <c r="M44" s="1"/>
  <c r="BW44" s="1"/>
  <c r="AM45"/>
  <c r="AN45"/>
  <c r="AO45"/>
  <c r="AP45"/>
  <c r="AR45"/>
  <c r="AS45"/>
  <c r="AT45"/>
  <c r="AU45"/>
  <c r="AW45"/>
  <c r="AX45"/>
  <c r="AY45"/>
  <c r="AZ45"/>
  <c r="BB45"/>
  <c r="BC45"/>
  <c r="BD45"/>
  <c r="BE45"/>
  <c r="BG45"/>
  <c r="BH45"/>
  <c r="BI45"/>
  <c r="BJ45"/>
  <c r="BL45"/>
  <c r="BM45"/>
  <c r="BN45"/>
  <c r="BO45"/>
  <c r="BQ45"/>
  <c r="BR45"/>
  <c r="BS45"/>
  <c r="BT45"/>
  <c r="BV45"/>
  <c r="M45" s="1"/>
  <c r="BW45" s="1"/>
  <c r="AM46"/>
  <c r="AN46"/>
  <c r="AO46"/>
  <c r="AP46"/>
  <c r="AR46"/>
  <c r="AS46"/>
  <c r="AT46"/>
  <c r="AU46"/>
  <c r="AW46"/>
  <c r="AX46"/>
  <c r="AY46"/>
  <c r="AZ46"/>
  <c r="BB46"/>
  <c r="BC46"/>
  <c r="BD46"/>
  <c r="BE46"/>
  <c r="BG46"/>
  <c r="BH46"/>
  <c r="BI46"/>
  <c r="BJ46"/>
  <c r="BL46"/>
  <c r="BM46"/>
  <c r="BN46"/>
  <c r="BO46"/>
  <c r="BQ46"/>
  <c r="BR46"/>
  <c r="BS46"/>
  <c r="BT46"/>
  <c r="BV46"/>
  <c r="M46" s="1"/>
  <c r="BW46" s="1"/>
  <c r="AM47"/>
  <c r="AN47"/>
  <c r="AO47"/>
  <c r="AP47"/>
  <c r="AR47"/>
  <c r="AS47"/>
  <c r="AT47"/>
  <c r="AU47"/>
  <c r="AW47"/>
  <c r="AX47"/>
  <c r="AY47"/>
  <c r="AZ47"/>
  <c r="BB47"/>
  <c r="BC47"/>
  <c r="BD47"/>
  <c r="BE47"/>
  <c r="BG47"/>
  <c r="BH47"/>
  <c r="BI47"/>
  <c r="BJ47"/>
  <c r="BL47"/>
  <c r="BM47"/>
  <c r="BN47"/>
  <c r="BO47"/>
  <c r="BQ47"/>
  <c r="BR47"/>
  <c r="BS47"/>
  <c r="BT47"/>
  <c r="BV47"/>
  <c r="M47" s="1"/>
  <c r="BW47" s="1"/>
  <c r="AM48"/>
  <c r="AN48"/>
  <c r="AO48"/>
  <c r="AP48"/>
  <c r="AX48" i="1"/>
  <c r="AR48" i="11"/>
  <c r="AS48"/>
  <c r="AT48"/>
  <c r="AU48"/>
  <c r="AW48"/>
  <c r="AX48"/>
  <c r="AY48"/>
  <c r="AZ48"/>
  <c r="BB48"/>
  <c r="BC48"/>
  <c r="BD48"/>
  <c r="BE48"/>
  <c r="BG48"/>
  <c r="BH48"/>
  <c r="BI48"/>
  <c r="BJ48"/>
  <c r="BL48"/>
  <c r="BM48"/>
  <c r="BN48"/>
  <c r="BO48"/>
  <c r="BQ48"/>
  <c r="BR48"/>
  <c r="BS48"/>
  <c r="BT48"/>
  <c r="BV48"/>
  <c r="M48" s="1"/>
  <c r="BW48" s="1"/>
  <c r="AM49"/>
  <c r="AN49"/>
  <c r="AO49"/>
  <c r="AP49"/>
  <c r="AR49"/>
  <c r="AS49"/>
  <c r="AT49"/>
  <c r="AU49"/>
  <c r="AW49"/>
  <c r="AX49"/>
  <c r="AY49"/>
  <c r="AZ49"/>
  <c r="BB49"/>
  <c r="BC49"/>
  <c r="BD49"/>
  <c r="BE49"/>
  <c r="BG49"/>
  <c r="BH49"/>
  <c r="BI49"/>
  <c r="BJ49"/>
  <c r="BL49"/>
  <c r="BM49"/>
  <c r="BN49"/>
  <c r="BO49"/>
  <c r="BQ49"/>
  <c r="BR49"/>
  <c r="BS49"/>
  <c r="BT49"/>
  <c r="BV49"/>
  <c r="M49" s="1"/>
  <c r="BW49" s="1"/>
  <c r="AM50"/>
  <c r="AN50"/>
  <c r="AO50"/>
  <c r="AP50"/>
  <c r="AR50"/>
  <c r="AS50"/>
  <c r="AT50"/>
  <c r="AU50"/>
  <c r="AW50"/>
  <c r="AX50"/>
  <c r="AY50"/>
  <c r="AZ50"/>
  <c r="BB50"/>
  <c r="BC50"/>
  <c r="BD50"/>
  <c r="BE50"/>
  <c r="BG50"/>
  <c r="BH50"/>
  <c r="BI50"/>
  <c r="BJ50"/>
  <c r="BL50"/>
  <c r="BM50"/>
  <c r="BN50"/>
  <c r="BO50"/>
  <c r="BQ50"/>
  <c r="BR50"/>
  <c r="BS50"/>
  <c r="BT50"/>
  <c r="BV50"/>
  <c r="M50" s="1"/>
  <c r="BW50" s="1"/>
  <c r="AM51"/>
  <c r="AN51"/>
  <c r="AO51"/>
  <c r="AP51"/>
  <c r="AR51"/>
  <c r="AS51"/>
  <c r="AT51"/>
  <c r="AU51"/>
  <c r="AW51"/>
  <c r="AX51"/>
  <c r="AY51"/>
  <c r="AZ51"/>
  <c r="BB51"/>
  <c r="BC51"/>
  <c r="BD51"/>
  <c r="BE51"/>
  <c r="BG51"/>
  <c r="BH51"/>
  <c r="BI51"/>
  <c r="BJ51"/>
  <c r="BL51"/>
  <c r="BM51"/>
  <c r="BN51"/>
  <c r="BO51"/>
  <c r="BQ51"/>
  <c r="BR51"/>
  <c r="BS51"/>
  <c r="BT51"/>
  <c r="BV51"/>
  <c r="M51" s="1"/>
  <c r="BW51" s="1"/>
  <c r="AM52"/>
  <c r="AN52"/>
  <c r="AO52"/>
  <c r="AP52"/>
  <c r="AX52" i="1"/>
  <c r="AR52" i="11"/>
  <c r="AS52"/>
  <c r="AT52"/>
  <c r="AU52"/>
  <c r="AW52"/>
  <c r="AX52"/>
  <c r="AY52"/>
  <c r="AZ52"/>
  <c r="BB52"/>
  <c r="BC52"/>
  <c r="BD52"/>
  <c r="BE52"/>
  <c r="BG52"/>
  <c r="BH52"/>
  <c r="BI52"/>
  <c r="BJ52"/>
  <c r="BL52"/>
  <c r="BM52"/>
  <c r="BN52"/>
  <c r="BO52"/>
  <c r="BQ52"/>
  <c r="BR52"/>
  <c r="BS52"/>
  <c r="BT52"/>
  <c r="BV52"/>
  <c r="M52" s="1"/>
  <c r="BW52" s="1"/>
  <c r="AM53"/>
  <c r="AN53"/>
  <c r="AO53"/>
  <c r="AP53"/>
  <c r="AR53"/>
  <c r="AS53"/>
  <c r="AT53"/>
  <c r="AU53"/>
  <c r="AW53"/>
  <c r="AX53"/>
  <c r="AY53"/>
  <c r="AZ53"/>
  <c r="BB53"/>
  <c r="BC53"/>
  <c r="BD53"/>
  <c r="BE53"/>
  <c r="BG53"/>
  <c r="BH53"/>
  <c r="BI53"/>
  <c r="BJ53"/>
  <c r="BL53"/>
  <c r="BM53"/>
  <c r="BN53"/>
  <c r="BO53"/>
  <c r="BQ53"/>
  <c r="BR53"/>
  <c r="BS53"/>
  <c r="BT53"/>
  <c r="BV53"/>
  <c r="M53" s="1"/>
  <c r="BW53" s="1"/>
  <c r="AM54"/>
  <c r="AN54"/>
  <c r="AO54"/>
  <c r="AP54"/>
  <c r="AR54"/>
  <c r="AS54"/>
  <c r="AT54"/>
  <c r="AU54"/>
  <c r="AW54"/>
  <c r="AX54"/>
  <c r="AY54"/>
  <c r="AZ54"/>
  <c r="BB54"/>
  <c r="BC54"/>
  <c r="BD54"/>
  <c r="BE54"/>
  <c r="BG54"/>
  <c r="BH54"/>
  <c r="BI54"/>
  <c r="BJ54"/>
  <c r="BL54"/>
  <c r="BM54"/>
  <c r="BN54"/>
  <c r="BO54"/>
  <c r="BQ54"/>
  <c r="BR54"/>
  <c r="BS54"/>
  <c r="BT54"/>
  <c r="BV54"/>
  <c r="M54" s="1"/>
  <c r="BW54" s="1"/>
  <c r="AM55"/>
  <c r="AN55"/>
  <c r="AO55"/>
  <c r="AP55"/>
  <c r="AR55"/>
  <c r="AS55"/>
  <c r="AT55"/>
  <c r="AU55"/>
  <c r="AW55"/>
  <c r="AX55"/>
  <c r="AY55"/>
  <c r="AZ55"/>
  <c r="BB55"/>
  <c r="BC55"/>
  <c r="BD55"/>
  <c r="BE55"/>
  <c r="BG55"/>
  <c r="BH55"/>
  <c r="BI55"/>
  <c r="BJ55"/>
  <c r="BL55"/>
  <c r="BM55"/>
  <c r="BN55"/>
  <c r="BO55"/>
  <c r="BQ55"/>
  <c r="BR55"/>
  <c r="BS55"/>
  <c r="BT55"/>
  <c r="BV55"/>
  <c r="M55" s="1"/>
  <c r="BW55" s="1"/>
  <c r="AM56"/>
  <c r="AN56"/>
  <c r="AO56"/>
  <c r="AP56"/>
  <c r="AX56" i="1"/>
  <c r="AR56" i="11"/>
  <c r="AS56"/>
  <c r="AT56"/>
  <c r="AU56"/>
  <c r="AW56"/>
  <c r="AX56"/>
  <c r="AY56"/>
  <c r="AZ56"/>
  <c r="BB56"/>
  <c r="BC56"/>
  <c r="BD56"/>
  <c r="BE56"/>
  <c r="BG56"/>
  <c r="BH56"/>
  <c r="BI56"/>
  <c r="BJ56"/>
  <c r="BL56"/>
  <c r="BM56"/>
  <c r="BN56"/>
  <c r="BO56"/>
  <c r="BQ56"/>
  <c r="BR56"/>
  <c r="BS56"/>
  <c r="BT56"/>
  <c r="BV56"/>
  <c r="M56" s="1"/>
  <c r="BW56" s="1"/>
  <c r="AM57"/>
  <c r="AN57"/>
  <c r="AO57"/>
  <c r="AP57"/>
  <c r="AR57"/>
  <c r="AS57"/>
  <c r="AT57"/>
  <c r="AU57"/>
  <c r="AW57"/>
  <c r="AX57"/>
  <c r="AY57"/>
  <c r="AZ57"/>
  <c r="BB57"/>
  <c r="BC57"/>
  <c r="BD57"/>
  <c r="BE57"/>
  <c r="BG57"/>
  <c r="BH57"/>
  <c r="BI57"/>
  <c r="BJ57"/>
  <c r="BL57"/>
  <c r="BM57"/>
  <c r="BN57"/>
  <c r="BO57"/>
  <c r="BQ57"/>
  <c r="BR57"/>
  <c r="BS57"/>
  <c r="BT57"/>
  <c r="BV57"/>
  <c r="M57" s="1"/>
  <c r="BW57" s="1"/>
  <c r="AM58"/>
  <c r="AN58"/>
  <c r="AO58"/>
  <c r="AP58"/>
  <c r="AR58"/>
  <c r="AS58"/>
  <c r="AT58"/>
  <c r="AU58"/>
  <c r="AW58"/>
  <c r="AX58"/>
  <c r="AY58"/>
  <c r="AZ58"/>
  <c r="BB58"/>
  <c r="BC58"/>
  <c r="BD58"/>
  <c r="BE58"/>
  <c r="BG58"/>
  <c r="BH58"/>
  <c r="BI58"/>
  <c r="BJ58"/>
  <c r="BL58"/>
  <c r="BM58"/>
  <c r="BN58"/>
  <c r="BO58"/>
  <c r="BQ58"/>
  <c r="BR58"/>
  <c r="BS58"/>
  <c r="BT58"/>
  <c r="BV58"/>
  <c r="M58" s="1"/>
  <c r="BW58" s="1"/>
  <c r="AM59"/>
  <c r="AN59"/>
  <c r="AO59"/>
  <c r="AP59"/>
  <c r="AR59"/>
  <c r="AS59"/>
  <c r="AT59"/>
  <c r="AU59"/>
  <c r="AW59"/>
  <c r="AX59"/>
  <c r="AY59"/>
  <c r="AZ59"/>
  <c r="BB59"/>
  <c r="BC59"/>
  <c r="BD59"/>
  <c r="BE59"/>
  <c r="BG59"/>
  <c r="BH59"/>
  <c r="BI59"/>
  <c r="BJ59"/>
  <c r="BL59"/>
  <c r="BM59"/>
  <c r="BN59"/>
  <c r="BO59"/>
  <c r="BQ59"/>
  <c r="BR59"/>
  <c r="BS59"/>
  <c r="BT59"/>
  <c r="BV59"/>
  <c r="M59" s="1"/>
  <c r="BW59" s="1"/>
  <c r="AM60"/>
  <c r="AN60"/>
  <c r="AO60"/>
  <c r="AP60"/>
  <c r="AX60" i="1" s="1"/>
  <c r="AR60" i="11"/>
  <c r="AS60"/>
  <c r="AT60"/>
  <c r="AU60"/>
  <c r="AW60"/>
  <c r="AX60"/>
  <c r="AY60"/>
  <c r="AZ60"/>
  <c r="BB60"/>
  <c r="BC60"/>
  <c r="BD60"/>
  <c r="BE60"/>
  <c r="BG60"/>
  <c r="BH60"/>
  <c r="BI60"/>
  <c r="BJ60"/>
  <c r="BL60"/>
  <c r="BM60"/>
  <c r="BN60"/>
  <c r="BO60"/>
  <c r="BQ60"/>
  <c r="BR60"/>
  <c r="BS60"/>
  <c r="BT60"/>
  <c r="BV60"/>
  <c r="M60" s="1"/>
  <c r="BW60" s="1"/>
  <c r="AM61"/>
  <c r="AN61"/>
  <c r="AO61"/>
  <c r="AP61"/>
  <c r="AR61"/>
  <c r="AS61"/>
  <c r="AT61"/>
  <c r="AU61"/>
  <c r="AW61"/>
  <c r="AX61"/>
  <c r="AY61"/>
  <c r="AZ61"/>
  <c r="BB61"/>
  <c r="BC61"/>
  <c r="BD61"/>
  <c r="BE61"/>
  <c r="BG61"/>
  <c r="BH61"/>
  <c r="BI61"/>
  <c r="BJ61"/>
  <c r="BL61"/>
  <c r="BM61"/>
  <c r="BN61"/>
  <c r="BO61"/>
  <c r="BQ61"/>
  <c r="BR61"/>
  <c r="BS61"/>
  <c r="BT61"/>
  <c r="BV61"/>
  <c r="M61" s="1"/>
  <c r="BW61" s="1"/>
  <c r="AM62"/>
  <c r="AN62"/>
  <c r="AO62"/>
  <c r="AP62"/>
  <c r="AR62"/>
  <c r="AS62"/>
  <c r="AT62"/>
  <c r="AU62"/>
  <c r="AW62"/>
  <c r="AX62"/>
  <c r="AY62"/>
  <c r="AZ62"/>
  <c r="BB62"/>
  <c r="BC62"/>
  <c r="BD62"/>
  <c r="BE62"/>
  <c r="BG62"/>
  <c r="BH62"/>
  <c r="BI62"/>
  <c r="BJ62"/>
  <c r="BL62"/>
  <c r="BM62"/>
  <c r="BN62"/>
  <c r="BO62"/>
  <c r="BQ62"/>
  <c r="BR62"/>
  <c r="BS62"/>
  <c r="BT62"/>
  <c r="BV62"/>
  <c r="M62" s="1"/>
  <c r="BW62" s="1"/>
  <c r="AM63"/>
  <c r="AN63"/>
  <c r="AO63"/>
  <c r="AP63"/>
  <c r="AR63"/>
  <c r="AS63"/>
  <c r="AT63"/>
  <c r="AU63"/>
  <c r="AW63"/>
  <c r="AX63"/>
  <c r="AY63"/>
  <c r="AZ63"/>
  <c r="BB63"/>
  <c r="BC63"/>
  <c r="BD63"/>
  <c r="BE63"/>
  <c r="BG63"/>
  <c r="BH63"/>
  <c r="BI63"/>
  <c r="BJ63"/>
  <c r="BL63"/>
  <c r="BM63"/>
  <c r="BN63"/>
  <c r="BO63"/>
  <c r="BQ63"/>
  <c r="BR63"/>
  <c r="BS63"/>
  <c r="BT63"/>
  <c r="BV63"/>
  <c r="M63" s="1"/>
  <c r="BW63" s="1"/>
  <c r="AM64"/>
  <c r="AN64"/>
  <c r="AO64"/>
  <c r="AP64"/>
  <c r="AX64" i="1" s="1"/>
  <c r="AR64" i="11"/>
  <c r="AS64"/>
  <c r="AT64"/>
  <c r="AU64"/>
  <c r="AW64"/>
  <c r="AX64"/>
  <c r="AY64"/>
  <c r="AZ64"/>
  <c r="BB64"/>
  <c r="BC64"/>
  <c r="BD64"/>
  <c r="BE64"/>
  <c r="BG64"/>
  <c r="BH64"/>
  <c r="BI64"/>
  <c r="BJ64"/>
  <c r="BL64"/>
  <c r="BM64"/>
  <c r="BN64"/>
  <c r="BO64"/>
  <c r="BQ64"/>
  <c r="BR64"/>
  <c r="BS64"/>
  <c r="BT64"/>
  <c r="BV64"/>
  <c r="M64" s="1"/>
  <c r="BW64" s="1"/>
  <c r="AM65"/>
  <c r="AN65"/>
  <c r="AO65"/>
  <c r="AP65"/>
  <c r="AR65"/>
  <c r="AS65"/>
  <c r="AT65"/>
  <c r="AU65"/>
  <c r="AW65"/>
  <c r="AX65"/>
  <c r="AY65"/>
  <c r="AZ65"/>
  <c r="BB65"/>
  <c r="BC65"/>
  <c r="BD65"/>
  <c r="BE65"/>
  <c r="BG65"/>
  <c r="BH65"/>
  <c r="BI65"/>
  <c r="BJ65"/>
  <c r="BL65"/>
  <c r="BM65"/>
  <c r="BN65"/>
  <c r="BO65"/>
  <c r="BQ65"/>
  <c r="BR65"/>
  <c r="BS65"/>
  <c r="BT65"/>
  <c r="BV65"/>
  <c r="M65" s="1"/>
  <c r="BW65" s="1"/>
  <c r="AM66"/>
  <c r="AN66"/>
  <c r="AO66"/>
  <c r="AP66"/>
  <c r="AR66"/>
  <c r="AS66"/>
  <c r="AT66"/>
  <c r="AU66"/>
  <c r="AW66"/>
  <c r="AX66"/>
  <c r="AY66"/>
  <c r="AZ66"/>
  <c r="BB66"/>
  <c r="BC66"/>
  <c r="BD66"/>
  <c r="BE66"/>
  <c r="BG66"/>
  <c r="BH66"/>
  <c r="BI66"/>
  <c r="BJ66"/>
  <c r="BL66"/>
  <c r="BM66"/>
  <c r="BN66"/>
  <c r="BO66"/>
  <c r="BQ66"/>
  <c r="BR66"/>
  <c r="BS66"/>
  <c r="BT66"/>
  <c r="BV66"/>
  <c r="M66" s="1"/>
  <c r="BW66" s="1"/>
  <c r="AM67"/>
  <c r="AN67"/>
  <c r="AO67"/>
  <c r="AP67"/>
  <c r="AX67" i="1" s="1"/>
  <c r="AR67" i="11"/>
  <c r="AS67"/>
  <c r="AT67"/>
  <c r="AU67"/>
  <c r="AW67"/>
  <c r="AX67"/>
  <c r="AY67"/>
  <c r="AZ67"/>
  <c r="BB67"/>
  <c r="BC67"/>
  <c r="BD67"/>
  <c r="BE67"/>
  <c r="BG67"/>
  <c r="BH67"/>
  <c r="BI67"/>
  <c r="BJ67"/>
  <c r="BL67"/>
  <c r="BM67"/>
  <c r="BN67"/>
  <c r="BO67"/>
  <c r="BQ67"/>
  <c r="BR67"/>
  <c r="BS67"/>
  <c r="BT67"/>
  <c r="BV67"/>
  <c r="M67" s="1"/>
  <c r="BW67" s="1"/>
  <c r="AM68"/>
  <c r="AN68"/>
  <c r="AO68"/>
  <c r="AP68"/>
  <c r="AX68" i="1" s="1"/>
  <c r="AR68" i="11"/>
  <c r="AS68"/>
  <c r="AT68"/>
  <c r="AU68"/>
  <c r="AW68"/>
  <c r="AX68"/>
  <c r="AY68"/>
  <c r="AZ68"/>
  <c r="BB68"/>
  <c r="BC68"/>
  <c r="BD68"/>
  <c r="BE68"/>
  <c r="BG68"/>
  <c r="BH68"/>
  <c r="BI68"/>
  <c r="BJ68"/>
  <c r="BL68"/>
  <c r="BM68"/>
  <c r="BN68"/>
  <c r="BO68"/>
  <c r="BQ68"/>
  <c r="BR68"/>
  <c r="BS68"/>
  <c r="BT68"/>
  <c r="BV68"/>
  <c r="M68" s="1"/>
  <c r="BW68" s="1"/>
  <c r="AM69"/>
  <c r="AN69"/>
  <c r="AO69"/>
  <c r="AP69"/>
  <c r="AR69"/>
  <c r="AS69"/>
  <c r="AT69"/>
  <c r="AU69"/>
  <c r="AW69"/>
  <c r="AX69"/>
  <c r="AY69"/>
  <c r="AZ69"/>
  <c r="BB69"/>
  <c r="BC69"/>
  <c r="BD69"/>
  <c r="BE69"/>
  <c r="BG69"/>
  <c r="BH69"/>
  <c r="BI69"/>
  <c r="BJ69"/>
  <c r="BL69"/>
  <c r="BM69"/>
  <c r="BN69"/>
  <c r="BO69"/>
  <c r="BQ69"/>
  <c r="BR69"/>
  <c r="BS69"/>
  <c r="BT69"/>
  <c r="BV69"/>
  <c r="M69" s="1"/>
  <c r="BW69" s="1"/>
  <c r="AM70"/>
  <c r="AN70"/>
  <c r="AO70"/>
  <c r="AP70"/>
  <c r="AX70" i="1" s="1"/>
  <c r="AR70" i="11"/>
  <c r="AS70"/>
  <c r="AT70"/>
  <c r="AU70"/>
  <c r="AW70"/>
  <c r="AX70"/>
  <c r="AY70"/>
  <c r="AZ70"/>
  <c r="BB70"/>
  <c r="BC70"/>
  <c r="BD70"/>
  <c r="BE70"/>
  <c r="BG70"/>
  <c r="BH70"/>
  <c r="BI70"/>
  <c r="BJ70"/>
  <c r="BL70"/>
  <c r="BM70"/>
  <c r="BN70"/>
  <c r="BO70"/>
  <c r="BQ70"/>
  <c r="BR70"/>
  <c r="BS70"/>
  <c r="BT70"/>
  <c r="BV70"/>
  <c r="M70" s="1"/>
  <c r="BW70" s="1"/>
  <c r="AM71"/>
  <c r="AN71"/>
  <c r="AO71"/>
  <c r="AP71"/>
  <c r="AX71" i="1"/>
  <c r="AR71" i="11"/>
  <c r="AS71"/>
  <c r="AT71"/>
  <c r="AU71"/>
  <c r="AW71"/>
  <c r="AX71"/>
  <c r="AY71"/>
  <c r="AZ71"/>
  <c r="BB71"/>
  <c r="BC71"/>
  <c r="BD71"/>
  <c r="BE71"/>
  <c r="BG71"/>
  <c r="BH71"/>
  <c r="BI71"/>
  <c r="BJ71"/>
  <c r="BL71"/>
  <c r="BM71"/>
  <c r="BN71"/>
  <c r="BO71"/>
  <c r="BQ71"/>
  <c r="BR71"/>
  <c r="BS71"/>
  <c r="BT71"/>
  <c r="BV71"/>
  <c r="M71" s="1"/>
  <c r="BW71" s="1"/>
  <c r="AM72"/>
  <c r="AN72"/>
  <c r="AO72"/>
  <c r="AP72"/>
  <c r="AX72" i="1"/>
  <c r="AR72" i="11"/>
  <c r="AS72"/>
  <c r="AT72"/>
  <c r="AU72"/>
  <c r="AW72"/>
  <c r="AX72"/>
  <c r="AY72"/>
  <c r="AZ72"/>
  <c r="BB72"/>
  <c r="BC72"/>
  <c r="BD72"/>
  <c r="BE72"/>
  <c r="BG72"/>
  <c r="BH72"/>
  <c r="BI72"/>
  <c r="BJ72"/>
  <c r="BL72"/>
  <c r="BM72"/>
  <c r="BN72"/>
  <c r="BO72"/>
  <c r="BQ72"/>
  <c r="BR72"/>
  <c r="BS72"/>
  <c r="BT72"/>
  <c r="BV72"/>
  <c r="M72" s="1"/>
  <c r="BW72" s="1"/>
  <c r="AM73"/>
  <c r="AN73"/>
  <c r="AO73"/>
  <c r="AP73"/>
  <c r="AR73"/>
  <c r="AS73"/>
  <c r="AT73"/>
  <c r="AU73"/>
  <c r="AW73"/>
  <c r="AX73"/>
  <c r="AY73"/>
  <c r="AZ73"/>
  <c r="BB73"/>
  <c r="BC73"/>
  <c r="BD73"/>
  <c r="BE73"/>
  <c r="BG73"/>
  <c r="BH73"/>
  <c r="BI73"/>
  <c r="BJ73"/>
  <c r="BL73"/>
  <c r="BM73"/>
  <c r="BN73"/>
  <c r="BO73"/>
  <c r="BQ73"/>
  <c r="BR73"/>
  <c r="BS73"/>
  <c r="BT73"/>
  <c r="BV73"/>
  <c r="M73" s="1"/>
  <c r="BW73" s="1"/>
  <c r="AM74"/>
  <c r="AN74"/>
  <c r="AO74"/>
  <c r="AP74"/>
  <c r="AR74"/>
  <c r="AS74"/>
  <c r="AT74"/>
  <c r="AU74"/>
  <c r="AW74"/>
  <c r="AX74"/>
  <c r="AY74"/>
  <c r="AZ74"/>
  <c r="BB74"/>
  <c r="BC74"/>
  <c r="BD74"/>
  <c r="BE74"/>
  <c r="BG74"/>
  <c r="BH74"/>
  <c r="BI74"/>
  <c r="BJ74"/>
  <c r="BL74"/>
  <c r="BM74"/>
  <c r="BN74"/>
  <c r="BO74"/>
  <c r="BQ74"/>
  <c r="BR74"/>
  <c r="BS74"/>
  <c r="BT74"/>
  <c r="BV74"/>
  <c r="M74" s="1"/>
  <c r="BW74" s="1"/>
  <c r="AM75"/>
  <c r="AN75"/>
  <c r="AO75"/>
  <c r="AP75"/>
  <c r="AX75" i="1" s="1"/>
  <c r="AR75" i="11"/>
  <c r="AS75"/>
  <c r="AT75"/>
  <c r="AU75"/>
  <c r="AW75"/>
  <c r="AX75"/>
  <c r="AY75"/>
  <c r="AZ75"/>
  <c r="BB75"/>
  <c r="BC75"/>
  <c r="BD75"/>
  <c r="BE75"/>
  <c r="BG75"/>
  <c r="BH75"/>
  <c r="BI75"/>
  <c r="BJ75"/>
  <c r="BL75"/>
  <c r="BM75"/>
  <c r="BN75"/>
  <c r="BO75"/>
  <c r="BQ75"/>
  <c r="BR75"/>
  <c r="BS75"/>
  <c r="BT75"/>
  <c r="BV75"/>
  <c r="M75" s="1"/>
  <c r="BW75" s="1"/>
  <c r="AM76"/>
  <c r="AN76"/>
  <c r="AO76"/>
  <c r="AP76"/>
  <c r="AX76" i="1" s="1"/>
  <c r="AR76" i="11"/>
  <c r="AS76"/>
  <c r="AT76"/>
  <c r="AU76"/>
  <c r="AW76"/>
  <c r="AX76"/>
  <c r="AY76"/>
  <c r="AZ76"/>
  <c r="BB76"/>
  <c r="BC76"/>
  <c r="BD76"/>
  <c r="BE76"/>
  <c r="BG76"/>
  <c r="BH76"/>
  <c r="BI76"/>
  <c r="BJ76"/>
  <c r="BL76"/>
  <c r="BM76"/>
  <c r="BN76"/>
  <c r="BO76"/>
  <c r="BQ76"/>
  <c r="BR76"/>
  <c r="BS76"/>
  <c r="BT76"/>
  <c r="BV76"/>
  <c r="M76" s="1"/>
  <c r="BW76" s="1"/>
  <c r="AM77"/>
  <c r="AN77"/>
  <c r="AO77"/>
  <c r="AP77"/>
  <c r="AR77"/>
  <c r="AS77"/>
  <c r="AT77"/>
  <c r="AU77"/>
  <c r="AW77"/>
  <c r="AX77"/>
  <c r="AY77"/>
  <c r="AZ77"/>
  <c r="BB77"/>
  <c r="BC77"/>
  <c r="BD77"/>
  <c r="BE77"/>
  <c r="BG77"/>
  <c r="BH77"/>
  <c r="BI77"/>
  <c r="BJ77"/>
  <c r="BL77"/>
  <c r="BM77"/>
  <c r="BN77"/>
  <c r="BO77"/>
  <c r="BQ77"/>
  <c r="BR77"/>
  <c r="BS77"/>
  <c r="BT77"/>
  <c r="BV77"/>
  <c r="M77" s="1"/>
  <c r="BW77" s="1"/>
  <c r="AM78"/>
  <c r="AN78"/>
  <c r="AO78"/>
  <c r="AP78"/>
  <c r="AR78"/>
  <c r="AS78"/>
  <c r="AT78"/>
  <c r="AU78"/>
  <c r="AW78"/>
  <c r="AX78"/>
  <c r="AY78"/>
  <c r="AZ78"/>
  <c r="BB78"/>
  <c r="BC78"/>
  <c r="BD78"/>
  <c r="BE78"/>
  <c r="BG78"/>
  <c r="BH78"/>
  <c r="BI78"/>
  <c r="BJ78"/>
  <c r="BL78"/>
  <c r="BM78"/>
  <c r="BN78"/>
  <c r="BO78"/>
  <c r="BQ78"/>
  <c r="BR78"/>
  <c r="BS78"/>
  <c r="BT78"/>
  <c r="BV78"/>
  <c r="M78" s="1"/>
  <c r="BW78" s="1"/>
  <c r="AM79"/>
  <c r="AN79"/>
  <c r="AO79"/>
  <c r="AP79"/>
  <c r="AX79" i="1" s="1"/>
  <c r="AR79" i="11"/>
  <c r="AS79"/>
  <c r="AT79"/>
  <c r="AU79"/>
  <c r="AW79"/>
  <c r="AX79"/>
  <c r="AY79"/>
  <c r="AZ79"/>
  <c r="BB79"/>
  <c r="BC79"/>
  <c r="BD79"/>
  <c r="BE79"/>
  <c r="BG79"/>
  <c r="BH79"/>
  <c r="BI79"/>
  <c r="BJ79"/>
  <c r="BL79"/>
  <c r="BM79"/>
  <c r="BN79"/>
  <c r="BO79"/>
  <c r="BQ79"/>
  <c r="BR79"/>
  <c r="BS79"/>
  <c r="BT79"/>
  <c r="BV79"/>
  <c r="M79" s="1"/>
  <c r="BW79" s="1"/>
  <c r="AM80"/>
  <c r="AN80"/>
  <c r="AO80"/>
  <c r="AP80"/>
  <c r="AX80" i="1" s="1"/>
  <c r="AR80" i="11"/>
  <c r="AS80"/>
  <c r="AT80"/>
  <c r="AU80"/>
  <c r="AW80"/>
  <c r="AX80"/>
  <c r="AY80"/>
  <c r="AZ80"/>
  <c r="BB80"/>
  <c r="BC80"/>
  <c r="BD80"/>
  <c r="BE80"/>
  <c r="BG80"/>
  <c r="BH80"/>
  <c r="BI80"/>
  <c r="BJ80"/>
  <c r="BL80"/>
  <c r="BM80"/>
  <c r="BN80"/>
  <c r="BO80"/>
  <c r="BQ80"/>
  <c r="BR80"/>
  <c r="BS80"/>
  <c r="BT80"/>
  <c r="BV80"/>
  <c r="M80" s="1"/>
  <c r="BW80" s="1"/>
  <c r="AM81"/>
  <c r="AN81"/>
  <c r="AO81"/>
  <c r="AP81"/>
  <c r="AR81"/>
  <c r="AS81"/>
  <c r="AT81"/>
  <c r="AU81"/>
  <c r="AW81"/>
  <c r="AX81"/>
  <c r="AY81"/>
  <c r="AZ81"/>
  <c r="BB81"/>
  <c r="BC81"/>
  <c r="BD81"/>
  <c r="BE81"/>
  <c r="BG81"/>
  <c r="BH81"/>
  <c r="BI81"/>
  <c r="BJ81"/>
  <c r="BL81"/>
  <c r="BM81"/>
  <c r="BN81"/>
  <c r="BO81"/>
  <c r="BQ81"/>
  <c r="BR81"/>
  <c r="BS81"/>
  <c r="BT81"/>
  <c r="BV81"/>
  <c r="M81" s="1"/>
  <c r="BW81" s="1"/>
  <c r="AM82"/>
  <c r="AN82"/>
  <c r="AO82"/>
  <c r="AP82"/>
  <c r="AR82"/>
  <c r="AS82"/>
  <c r="AT82"/>
  <c r="AU82"/>
  <c r="AW82"/>
  <c r="AX82"/>
  <c r="AY82"/>
  <c r="AZ82"/>
  <c r="BB82"/>
  <c r="BC82"/>
  <c r="BD82"/>
  <c r="BE82"/>
  <c r="BG82"/>
  <c r="BH82"/>
  <c r="BI82"/>
  <c r="BJ82"/>
  <c r="BL82"/>
  <c r="BM82"/>
  <c r="BN82"/>
  <c r="BO82"/>
  <c r="BQ82"/>
  <c r="BR82"/>
  <c r="BS82"/>
  <c r="BT82"/>
  <c r="BV82"/>
  <c r="M82" s="1"/>
  <c r="BW82" s="1"/>
  <c r="AM83"/>
  <c r="AN83"/>
  <c r="AO83"/>
  <c r="AP83"/>
  <c r="AX83" i="1" s="1"/>
  <c r="AR83" i="11"/>
  <c r="AS83"/>
  <c r="AT83"/>
  <c r="AU83"/>
  <c r="AW83"/>
  <c r="AX83"/>
  <c r="AY83"/>
  <c r="AZ83"/>
  <c r="BB83"/>
  <c r="BC83"/>
  <c r="BD83"/>
  <c r="BE83"/>
  <c r="BG83"/>
  <c r="BH83"/>
  <c r="BI83"/>
  <c r="BJ83"/>
  <c r="BL83"/>
  <c r="BM83"/>
  <c r="BN83"/>
  <c r="BO83"/>
  <c r="BQ83"/>
  <c r="BR83"/>
  <c r="BS83"/>
  <c r="BT83"/>
  <c r="BV83"/>
  <c r="M83" s="1"/>
  <c r="BW83" s="1"/>
  <c r="AM84"/>
  <c r="AN84"/>
  <c r="AO84"/>
  <c r="AP84"/>
  <c r="AX84" i="1"/>
  <c r="AR84" i="11"/>
  <c r="AS84"/>
  <c r="AT84"/>
  <c r="AU84"/>
  <c r="AW84"/>
  <c r="AX84"/>
  <c r="AY84"/>
  <c r="AZ84"/>
  <c r="BB84"/>
  <c r="BC84"/>
  <c r="BD84"/>
  <c r="BE84"/>
  <c r="BG84"/>
  <c r="BH84"/>
  <c r="BI84"/>
  <c r="BJ84"/>
  <c r="BL84"/>
  <c r="BM84"/>
  <c r="BN84"/>
  <c r="BO84"/>
  <c r="BQ84"/>
  <c r="BR84"/>
  <c r="BS84"/>
  <c r="BT84"/>
  <c r="BV84"/>
  <c r="M84" s="1"/>
  <c r="BW84" s="1"/>
  <c r="AM85"/>
  <c r="AN85"/>
  <c r="AO85"/>
  <c r="AP85"/>
  <c r="AX85" i="1"/>
  <c r="AR85" i="11"/>
  <c r="AS85"/>
  <c r="AT85"/>
  <c r="AU85"/>
  <c r="AW85"/>
  <c r="AX85"/>
  <c r="AY85"/>
  <c r="AZ85"/>
  <c r="BB85"/>
  <c r="BC85"/>
  <c r="BD85"/>
  <c r="BE85"/>
  <c r="BG85"/>
  <c r="BH85"/>
  <c r="BI85"/>
  <c r="BJ85"/>
  <c r="BL85"/>
  <c r="BM85"/>
  <c r="BN85"/>
  <c r="BO85"/>
  <c r="BQ85"/>
  <c r="BR85"/>
  <c r="BS85"/>
  <c r="BT85"/>
  <c r="BV85"/>
  <c r="M85" s="1"/>
  <c r="BW85" s="1"/>
  <c r="AM86"/>
  <c r="AN86"/>
  <c r="AO86"/>
  <c r="AP86"/>
  <c r="AX86" i="1" s="1"/>
  <c r="AR86" i="11"/>
  <c r="AS86"/>
  <c r="AT86"/>
  <c r="AU86"/>
  <c r="AW86"/>
  <c r="AX86"/>
  <c r="AY86"/>
  <c r="AZ86"/>
  <c r="BB86"/>
  <c r="BC86"/>
  <c r="BD86"/>
  <c r="BE86"/>
  <c r="BG86"/>
  <c r="BH86"/>
  <c r="BI86"/>
  <c r="BJ86"/>
  <c r="BL86"/>
  <c r="BM86"/>
  <c r="BN86"/>
  <c r="BO86"/>
  <c r="BQ86"/>
  <c r="BR86"/>
  <c r="BS86"/>
  <c r="BT86"/>
  <c r="BV86"/>
  <c r="M86" s="1"/>
  <c r="BW86" s="1"/>
  <c r="AM87"/>
  <c r="AN87"/>
  <c r="AO87"/>
  <c r="AP87"/>
  <c r="AR87"/>
  <c r="AS87"/>
  <c r="AT87"/>
  <c r="AU87"/>
  <c r="AW87"/>
  <c r="AX87"/>
  <c r="AY87"/>
  <c r="AZ87"/>
  <c r="BB87"/>
  <c r="BC87"/>
  <c r="BD87"/>
  <c r="BE87"/>
  <c r="BG87"/>
  <c r="BH87"/>
  <c r="BI87"/>
  <c r="BJ87"/>
  <c r="BL87"/>
  <c r="BM87"/>
  <c r="BN87"/>
  <c r="BO87"/>
  <c r="BQ87"/>
  <c r="BR87"/>
  <c r="BS87"/>
  <c r="BT87"/>
  <c r="BV87"/>
  <c r="M87" s="1"/>
  <c r="BW87" s="1"/>
  <c r="AM88"/>
  <c r="AN88"/>
  <c r="AO88"/>
  <c r="AP88"/>
  <c r="AR88"/>
  <c r="AS88"/>
  <c r="AT88"/>
  <c r="AU88"/>
  <c r="AW88"/>
  <c r="AX88"/>
  <c r="AY88"/>
  <c r="AZ88"/>
  <c r="BB88"/>
  <c r="BC88"/>
  <c r="BD88"/>
  <c r="BE88"/>
  <c r="BG88"/>
  <c r="BH88"/>
  <c r="BI88"/>
  <c r="BJ88"/>
  <c r="BL88"/>
  <c r="BM88"/>
  <c r="BN88"/>
  <c r="BO88"/>
  <c r="BQ88"/>
  <c r="BR88"/>
  <c r="BS88"/>
  <c r="BT88"/>
  <c r="BV88"/>
  <c r="M88" s="1"/>
  <c r="BW88" s="1"/>
  <c r="AM89"/>
  <c r="AN89"/>
  <c r="AO89"/>
  <c r="AP89"/>
  <c r="AR89"/>
  <c r="AS89"/>
  <c r="AT89"/>
  <c r="AU89"/>
  <c r="AW89"/>
  <c r="AX89"/>
  <c r="AY89"/>
  <c r="AZ89"/>
  <c r="BB89"/>
  <c r="BC89"/>
  <c r="BD89"/>
  <c r="BE89"/>
  <c r="BG89"/>
  <c r="BH89"/>
  <c r="BI89"/>
  <c r="BJ89"/>
  <c r="BL89"/>
  <c r="BM89"/>
  <c r="BN89"/>
  <c r="BO89"/>
  <c r="BQ89"/>
  <c r="BR89"/>
  <c r="BS89"/>
  <c r="BT89"/>
  <c r="BV89"/>
  <c r="M89" s="1"/>
  <c r="BW89" s="1"/>
  <c r="AM90"/>
  <c r="AN90"/>
  <c r="AO90"/>
  <c r="AP90"/>
  <c r="AX90" i="1"/>
  <c r="AR90" i="11"/>
  <c r="AS90"/>
  <c r="AT90"/>
  <c r="AU90"/>
  <c r="AW90"/>
  <c r="AX90"/>
  <c r="AY90"/>
  <c r="AZ90"/>
  <c r="BB90"/>
  <c r="BC90"/>
  <c r="BD90"/>
  <c r="BE90"/>
  <c r="BG90"/>
  <c r="BH90"/>
  <c r="BI90"/>
  <c r="BJ90"/>
  <c r="BL90"/>
  <c r="BM90"/>
  <c r="BN90"/>
  <c r="BO90"/>
  <c r="BQ90"/>
  <c r="BR90"/>
  <c r="BS90"/>
  <c r="BT90"/>
  <c r="BV90"/>
  <c r="M90" s="1"/>
  <c r="BW90" s="1"/>
  <c r="AM91"/>
  <c r="AN91"/>
  <c r="AO91"/>
  <c r="AP91"/>
  <c r="AR91"/>
  <c r="AS91"/>
  <c r="AT91"/>
  <c r="AU91"/>
  <c r="AW91"/>
  <c r="AX91"/>
  <c r="AY91"/>
  <c r="AZ91"/>
  <c r="BB91"/>
  <c r="BC91"/>
  <c r="BD91"/>
  <c r="BE91"/>
  <c r="BG91"/>
  <c r="BH91"/>
  <c r="BI91"/>
  <c r="BJ91"/>
  <c r="BL91"/>
  <c r="BM91"/>
  <c r="BN91"/>
  <c r="BO91"/>
  <c r="BQ91"/>
  <c r="BR91"/>
  <c r="BS91"/>
  <c r="BT91"/>
  <c r="BV91"/>
  <c r="M91" s="1"/>
  <c r="BW91" s="1"/>
  <c r="AM92"/>
  <c r="AN92"/>
  <c r="AO92"/>
  <c r="AP92"/>
  <c r="AR92"/>
  <c r="AS92"/>
  <c r="AT92"/>
  <c r="AU92"/>
  <c r="AW92"/>
  <c r="AX92"/>
  <c r="AY92"/>
  <c r="AZ92"/>
  <c r="BB92"/>
  <c r="BC92"/>
  <c r="BD92"/>
  <c r="BE92"/>
  <c r="BG92"/>
  <c r="BH92"/>
  <c r="BI92"/>
  <c r="BJ92"/>
  <c r="BL92"/>
  <c r="BM92"/>
  <c r="BN92"/>
  <c r="BO92"/>
  <c r="BQ92"/>
  <c r="BR92"/>
  <c r="BS92"/>
  <c r="BT92"/>
  <c r="BV92"/>
  <c r="M92" s="1"/>
  <c r="BW92" s="1"/>
  <c r="AM93"/>
  <c r="AN93"/>
  <c r="AO93"/>
  <c r="AP93"/>
  <c r="AR93"/>
  <c r="AS93"/>
  <c r="AT93"/>
  <c r="AU93"/>
  <c r="AW93"/>
  <c r="AX93"/>
  <c r="AY93"/>
  <c r="AZ93"/>
  <c r="BB93"/>
  <c r="BC93"/>
  <c r="BD93"/>
  <c r="BE93"/>
  <c r="BG93"/>
  <c r="BH93"/>
  <c r="BI93"/>
  <c r="BJ93"/>
  <c r="BL93"/>
  <c r="BM93"/>
  <c r="BN93"/>
  <c r="BO93"/>
  <c r="BQ93"/>
  <c r="BR93"/>
  <c r="BS93"/>
  <c r="BT93"/>
  <c r="BV93"/>
  <c r="M93" s="1"/>
  <c r="BW93" s="1"/>
  <c r="AM94"/>
  <c r="AN94"/>
  <c r="AO94"/>
  <c r="AP94"/>
  <c r="AX94" i="1"/>
  <c r="AR94" i="11"/>
  <c r="AS94"/>
  <c r="AT94"/>
  <c r="AU94"/>
  <c r="AW94"/>
  <c r="AX94"/>
  <c r="AY94"/>
  <c r="AZ94"/>
  <c r="BB94"/>
  <c r="BC94"/>
  <c r="BD94"/>
  <c r="BE94"/>
  <c r="BG94"/>
  <c r="BH94"/>
  <c r="BI94"/>
  <c r="BJ94"/>
  <c r="BL94"/>
  <c r="BM94"/>
  <c r="BN94"/>
  <c r="BO94"/>
  <c r="BQ94"/>
  <c r="BR94"/>
  <c r="BS94"/>
  <c r="BT94"/>
  <c r="BV94"/>
  <c r="M94" s="1"/>
  <c r="BW94" s="1"/>
  <c r="AM95"/>
  <c r="AN95"/>
  <c r="AO95"/>
  <c r="AP95"/>
  <c r="AR95"/>
  <c r="AS95"/>
  <c r="AT95"/>
  <c r="AU95"/>
  <c r="AW95"/>
  <c r="AX95"/>
  <c r="AY95"/>
  <c r="AZ95"/>
  <c r="BB95"/>
  <c r="BC95"/>
  <c r="BD95"/>
  <c r="BE95"/>
  <c r="BG95"/>
  <c r="BH95"/>
  <c r="BI95"/>
  <c r="BJ95"/>
  <c r="BL95"/>
  <c r="BM95"/>
  <c r="BN95"/>
  <c r="BO95"/>
  <c r="BQ95"/>
  <c r="BR95"/>
  <c r="BS95"/>
  <c r="BT95"/>
  <c r="BV95"/>
  <c r="M95" s="1"/>
  <c r="BW95" s="1"/>
  <c r="AM96"/>
  <c r="AN96"/>
  <c r="AO96"/>
  <c r="AP96"/>
  <c r="AR96"/>
  <c r="AS96"/>
  <c r="AT96"/>
  <c r="AU96"/>
  <c r="AW96"/>
  <c r="AX96"/>
  <c r="AY96"/>
  <c r="AZ96"/>
  <c r="BB96"/>
  <c r="BC96"/>
  <c r="BD96"/>
  <c r="BE96"/>
  <c r="BG96"/>
  <c r="BH96"/>
  <c r="BI96"/>
  <c r="BJ96"/>
  <c r="BL96"/>
  <c r="BM96"/>
  <c r="BN96"/>
  <c r="BO96"/>
  <c r="BQ96"/>
  <c r="BR96"/>
  <c r="BS96"/>
  <c r="BT96"/>
  <c r="BV96"/>
  <c r="M96" s="1"/>
  <c r="BW96" s="1"/>
  <c r="AM97"/>
  <c r="AN97"/>
  <c r="AO97"/>
  <c r="AP97"/>
  <c r="AR97"/>
  <c r="AS97"/>
  <c r="AT97"/>
  <c r="AU97"/>
  <c r="AW97"/>
  <c r="AX97"/>
  <c r="AY97"/>
  <c r="AZ97"/>
  <c r="BB97"/>
  <c r="BC97"/>
  <c r="BD97"/>
  <c r="BE97"/>
  <c r="BG97"/>
  <c r="BH97"/>
  <c r="BI97"/>
  <c r="BJ97"/>
  <c r="BL97"/>
  <c r="BM97"/>
  <c r="BN97"/>
  <c r="BO97"/>
  <c r="BQ97"/>
  <c r="BR97"/>
  <c r="BS97"/>
  <c r="BT97"/>
  <c r="BV97"/>
  <c r="M97" s="1"/>
  <c r="BW97" s="1"/>
  <c r="AM98"/>
  <c r="AN98"/>
  <c r="AO98"/>
  <c r="AP98"/>
  <c r="AX98" i="1"/>
  <c r="AR98" i="11"/>
  <c r="AS98"/>
  <c r="AT98"/>
  <c r="AU98"/>
  <c r="AW98"/>
  <c r="AX98"/>
  <c r="AY98"/>
  <c r="AZ98"/>
  <c r="BB98"/>
  <c r="BC98"/>
  <c r="BD98"/>
  <c r="BE98"/>
  <c r="BG98"/>
  <c r="BH98"/>
  <c r="BI98"/>
  <c r="BJ98"/>
  <c r="BL98"/>
  <c r="BM98"/>
  <c r="BN98"/>
  <c r="BO98"/>
  <c r="BQ98"/>
  <c r="BR98"/>
  <c r="BS98"/>
  <c r="BT98"/>
  <c r="BV98"/>
  <c r="M98" s="1"/>
  <c r="BW98" s="1"/>
  <c r="AM99"/>
  <c r="AN99"/>
  <c r="AO99"/>
  <c r="AP99"/>
  <c r="AR99"/>
  <c r="AS99"/>
  <c r="AT99"/>
  <c r="AU99"/>
  <c r="AW99"/>
  <c r="AX99"/>
  <c r="AY99"/>
  <c r="AZ99"/>
  <c r="BB99"/>
  <c r="BC99"/>
  <c r="BD99"/>
  <c r="BE99"/>
  <c r="BG99"/>
  <c r="BH99"/>
  <c r="BI99"/>
  <c r="BJ99"/>
  <c r="BL99"/>
  <c r="BM99"/>
  <c r="BN99"/>
  <c r="BO99"/>
  <c r="BQ99"/>
  <c r="BR99"/>
  <c r="BS99"/>
  <c r="BT99"/>
  <c r="BV99"/>
  <c r="M99" s="1"/>
  <c r="BW99" s="1"/>
  <c r="AM100"/>
  <c r="AN100"/>
  <c r="AO100"/>
  <c r="AP100"/>
  <c r="AR100"/>
  <c r="AS100"/>
  <c r="AT100"/>
  <c r="AU100"/>
  <c r="AW100"/>
  <c r="AX100"/>
  <c r="AY100"/>
  <c r="AZ100"/>
  <c r="BB100"/>
  <c r="BC100"/>
  <c r="BD100"/>
  <c r="BE100"/>
  <c r="BG100"/>
  <c r="BH100"/>
  <c r="BI100"/>
  <c r="BJ100"/>
  <c r="BL100"/>
  <c r="BM100"/>
  <c r="BN100"/>
  <c r="BO100"/>
  <c r="BQ100"/>
  <c r="BR100"/>
  <c r="BS100"/>
  <c r="BT100"/>
  <c r="BV100"/>
  <c r="M100" s="1"/>
  <c r="BW100" s="1"/>
  <c r="AM101"/>
  <c r="AN101"/>
  <c r="AO101"/>
  <c r="AP101"/>
  <c r="AR101"/>
  <c r="AS101"/>
  <c r="AT101"/>
  <c r="AU101"/>
  <c r="AW101"/>
  <c r="AX101"/>
  <c r="AY101"/>
  <c r="AZ101"/>
  <c r="BB101"/>
  <c r="BC101"/>
  <c r="BD101"/>
  <c r="BE101"/>
  <c r="BG101"/>
  <c r="BH101"/>
  <c r="BI101"/>
  <c r="BJ101"/>
  <c r="BL101"/>
  <c r="BM101"/>
  <c r="BN101"/>
  <c r="BO101"/>
  <c r="BQ101"/>
  <c r="BR101"/>
  <c r="BS101"/>
  <c r="BT101"/>
  <c r="BV101"/>
  <c r="M101" s="1"/>
  <c r="BW101" s="1"/>
  <c r="AM102"/>
  <c r="AN102"/>
  <c r="AO102"/>
  <c r="AP102"/>
  <c r="AX102" i="1"/>
  <c r="AR102" i="11"/>
  <c r="AS102"/>
  <c r="AT102"/>
  <c r="AU102"/>
  <c r="AW102"/>
  <c r="AX102"/>
  <c r="AY102"/>
  <c r="AZ102"/>
  <c r="BB102"/>
  <c r="BC102"/>
  <c r="BD102"/>
  <c r="BE102"/>
  <c r="BG102"/>
  <c r="BH102"/>
  <c r="BI102"/>
  <c r="BJ102"/>
  <c r="BL102"/>
  <c r="BM102"/>
  <c r="BN102"/>
  <c r="BO102"/>
  <c r="BQ102"/>
  <c r="BR102"/>
  <c r="BS102"/>
  <c r="BT102"/>
  <c r="BV102"/>
  <c r="M102" s="1"/>
  <c r="BW102" s="1"/>
  <c r="AM103"/>
  <c r="AN103"/>
  <c r="AO103"/>
  <c r="AP103"/>
  <c r="AR103"/>
  <c r="AS103"/>
  <c r="AT103"/>
  <c r="AU103"/>
  <c r="AW103"/>
  <c r="AX103"/>
  <c r="AY103"/>
  <c r="AZ103"/>
  <c r="BB103"/>
  <c r="BC103"/>
  <c r="BD103"/>
  <c r="BE103"/>
  <c r="BG103"/>
  <c r="BH103"/>
  <c r="BI103"/>
  <c r="BJ103"/>
  <c r="BL103"/>
  <c r="BM103"/>
  <c r="BN103"/>
  <c r="BO103"/>
  <c r="BQ103"/>
  <c r="BR103"/>
  <c r="BS103"/>
  <c r="BT103"/>
  <c r="BV103"/>
  <c r="M103" s="1"/>
  <c r="BW103" s="1"/>
  <c r="AM104"/>
  <c r="AN104"/>
  <c r="AO104"/>
  <c r="AP104"/>
  <c r="AR104"/>
  <c r="AS104"/>
  <c r="AT104"/>
  <c r="AU104"/>
  <c r="AW104"/>
  <c r="AX104"/>
  <c r="AY104"/>
  <c r="AZ104"/>
  <c r="BB104"/>
  <c r="BC104"/>
  <c r="BD104"/>
  <c r="BE104"/>
  <c r="BG104"/>
  <c r="BH104"/>
  <c r="BI104"/>
  <c r="BJ104"/>
  <c r="BL104"/>
  <c r="BM104"/>
  <c r="BN104"/>
  <c r="BO104"/>
  <c r="BQ104"/>
  <c r="BR104"/>
  <c r="BS104"/>
  <c r="BT104"/>
  <c r="BV104"/>
  <c r="M104" s="1"/>
  <c r="BW104" s="1"/>
  <c r="AM105"/>
  <c r="AN105"/>
  <c r="AO105"/>
  <c r="AP105"/>
  <c r="AX105" i="1"/>
  <c r="AR105" i="11"/>
  <c r="AS105"/>
  <c r="AT105"/>
  <c r="AU105"/>
  <c r="AW105"/>
  <c r="AX105"/>
  <c r="AY105"/>
  <c r="AZ105"/>
  <c r="BB105"/>
  <c r="BC105"/>
  <c r="BD105"/>
  <c r="BE105"/>
  <c r="BG105"/>
  <c r="BH105"/>
  <c r="BI105"/>
  <c r="BJ105"/>
  <c r="BL105"/>
  <c r="BM105"/>
  <c r="BN105"/>
  <c r="BO105"/>
  <c r="BQ105"/>
  <c r="BR105"/>
  <c r="BS105"/>
  <c r="BT105"/>
  <c r="BV105"/>
  <c r="M105" s="1"/>
  <c r="BW105" s="1"/>
  <c r="AM106"/>
  <c r="AN106"/>
  <c r="AO106"/>
  <c r="AP106"/>
  <c r="AX106" i="1"/>
  <c r="AR106" i="11"/>
  <c r="AS106"/>
  <c r="AT106"/>
  <c r="AU106"/>
  <c r="AW106"/>
  <c r="AX106"/>
  <c r="AY106"/>
  <c r="AZ106"/>
  <c r="BB106"/>
  <c r="BC106"/>
  <c r="BD106"/>
  <c r="BE106"/>
  <c r="BG106"/>
  <c r="BH106"/>
  <c r="BI106"/>
  <c r="BJ106"/>
  <c r="BL106"/>
  <c r="BM106"/>
  <c r="BN106"/>
  <c r="BO106"/>
  <c r="BQ106"/>
  <c r="BR106"/>
  <c r="BS106"/>
  <c r="BT106"/>
  <c r="BV106"/>
  <c r="M106" s="1"/>
  <c r="BW106" s="1"/>
  <c r="AM107"/>
  <c r="AN107"/>
  <c r="AO107"/>
  <c r="AP107"/>
  <c r="AX107" i="1" s="1"/>
  <c r="AR107" i="11"/>
  <c r="AS107"/>
  <c r="AT107"/>
  <c r="AU107"/>
  <c r="AW107"/>
  <c r="AX107"/>
  <c r="AY107"/>
  <c r="AZ107"/>
  <c r="BB107"/>
  <c r="BC107"/>
  <c r="BD107"/>
  <c r="BE107"/>
  <c r="BG107"/>
  <c r="BH107"/>
  <c r="BI107"/>
  <c r="BJ107"/>
  <c r="BL107"/>
  <c r="BM107"/>
  <c r="BN107"/>
  <c r="BO107"/>
  <c r="BQ107"/>
  <c r="BR107"/>
  <c r="BS107"/>
  <c r="BT107"/>
  <c r="BV107"/>
  <c r="M107" s="1"/>
  <c r="BW107" s="1"/>
  <c r="AM108"/>
  <c r="AN108"/>
  <c r="AO108"/>
  <c r="AP108"/>
  <c r="AX108" i="1"/>
  <c r="AR108" i="11"/>
  <c r="AS108"/>
  <c r="AT108"/>
  <c r="AU108"/>
  <c r="AW108"/>
  <c r="AX108"/>
  <c r="AY108"/>
  <c r="AZ108"/>
  <c r="BB108"/>
  <c r="BC108"/>
  <c r="BD108"/>
  <c r="BE108"/>
  <c r="BG108"/>
  <c r="BH108"/>
  <c r="BI108"/>
  <c r="BJ108"/>
  <c r="BL108"/>
  <c r="BM108"/>
  <c r="BN108"/>
  <c r="BO108"/>
  <c r="BQ108"/>
  <c r="BR108"/>
  <c r="BS108"/>
  <c r="BT108"/>
  <c r="BV108"/>
  <c r="M108" s="1"/>
  <c r="BW108" s="1"/>
  <c r="AM109"/>
  <c r="AN109"/>
  <c r="AO109"/>
  <c r="AP109"/>
  <c r="AX109" i="1" s="1"/>
  <c r="AR109" i="11"/>
  <c r="AS109"/>
  <c r="AT109"/>
  <c r="AU109"/>
  <c r="AW109"/>
  <c r="AX109"/>
  <c r="AY109"/>
  <c r="AZ109"/>
  <c r="BB109"/>
  <c r="BC109"/>
  <c r="BD109"/>
  <c r="BE109"/>
  <c r="BG109"/>
  <c r="BH109"/>
  <c r="BI109"/>
  <c r="BJ109"/>
  <c r="BL109"/>
  <c r="BM109"/>
  <c r="BN109"/>
  <c r="BO109"/>
  <c r="BQ109"/>
  <c r="BR109"/>
  <c r="BS109"/>
  <c r="BT109"/>
  <c r="BV109"/>
  <c r="M109" s="1"/>
  <c r="BW109" s="1"/>
  <c r="AM110"/>
  <c r="AN110"/>
  <c r="AO110"/>
  <c r="AP110"/>
  <c r="AX110" i="1" s="1"/>
  <c r="AR110" i="11"/>
  <c r="AS110"/>
  <c r="AT110"/>
  <c r="AU110"/>
  <c r="AW110"/>
  <c r="AX110"/>
  <c r="AY110"/>
  <c r="AZ110"/>
  <c r="BB110"/>
  <c r="BC110"/>
  <c r="BD110"/>
  <c r="BE110"/>
  <c r="BG110"/>
  <c r="BH110"/>
  <c r="BI110"/>
  <c r="BJ110"/>
  <c r="BL110"/>
  <c r="BM110"/>
  <c r="BN110"/>
  <c r="BO110"/>
  <c r="BQ110"/>
  <c r="BR110"/>
  <c r="BS110"/>
  <c r="BT110"/>
  <c r="BV110"/>
  <c r="M110" s="1"/>
  <c r="BW110" s="1"/>
  <c r="AM111"/>
  <c r="AN111"/>
  <c r="AO111"/>
  <c r="AP111"/>
  <c r="AX111" i="1"/>
  <c r="AR111" i="11"/>
  <c r="AS111"/>
  <c r="AT111"/>
  <c r="AU111"/>
  <c r="AW111"/>
  <c r="AX111"/>
  <c r="AY111"/>
  <c r="AZ111"/>
  <c r="BB111"/>
  <c r="BC111"/>
  <c r="BD111"/>
  <c r="BE111"/>
  <c r="BG111"/>
  <c r="BH111"/>
  <c r="BI111"/>
  <c r="BJ111"/>
  <c r="BL111"/>
  <c r="BM111"/>
  <c r="BN111"/>
  <c r="BO111"/>
  <c r="BQ111"/>
  <c r="BR111"/>
  <c r="BS111"/>
  <c r="BT111"/>
  <c r="BV111"/>
  <c r="M111" s="1"/>
  <c r="BW111" s="1"/>
  <c r="AM112"/>
  <c r="AN112"/>
  <c r="AO112"/>
  <c r="AP112"/>
  <c r="AR112"/>
  <c r="AS112"/>
  <c r="AT112"/>
  <c r="AU112"/>
  <c r="AW112"/>
  <c r="AX112"/>
  <c r="AY112"/>
  <c r="AZ112"/>
  <c r="BB112"/>
  <c r="BC112"/>
  <c r="BD112"/>
  <c r="BE112"/>
  <c r="BG112"/>
  <c r="BH112"/>
  <c r="BI112"/>
  <c r="BJ112"/>
  <c r="BL112"/>
  <c r="BM112"/>
  <c r="BN112"/>
  <c r="BO112"/>
  <c r="BQ112"/>
  <c r="BR112"/>
  <c r="BS112"/>
  <c r="BT112"/>
  <c r="BV112"/>
  <c r="M112" s="1"/>
  <c r="BW112" s="1"/>
  <c r="AM113"/>
  <c r="AN113"/>
  <c r="AO113"/>
  <c r="AP113"/>
  <c r="AX113" i="1"/>
  <c r="AR113" i="11"/>
  <c r="AS113"/>
  <c r="AT113"/>
  <c r="AU113"/>
  <c r="AW113"/>
  <c r="AX113"/>
  <c r="AY113"/>
  <c r="AZ113"/>
  <c r="BB113"/>
  <c r="BC113"/>
  <c r="BD113"/>
  <c r="BE113"/>
  <c r="BG113"/>
  <c r="BH113"/>
  <c r="BI113"/>
  <c r="BJ113"/>
  <c r="BL113"/>
  <c r="BM113"/>
  <c r="BN113"/>
  <c r="BO113"/>
  <c r="BQ113"/>
  <c r="BR113"/>
  <c r="BS113"/>
  <c r="BT113"/>
  <c r="BV113"/>
  <c r="M113" s="1"/>
  <c r="BW113" s="1"/>
  <c r="AM114"/>
  <c r="AN114"/>
  <c r="AO114"/>
  <c r="AP114"/>
  <c r="AR114"/>
  <c r="AS114"/>
  <c r="AT114"/>
  <c r="AU114"/>
  <c r="AW114"/>
  <c r="AX114"/>
  <c r="AY114"/>
  <c r="AZ114"/>
  <c r="BB114"/>
  <c r="BC114"/>
  <c r="BD114"/>
  <c r="BE114"/>
  <c r="BG114"/>
  <c r="BH114"/>
  <c r="BI114"/>
  <c r="BJ114"/>
  <c r="BL114"/>
  <c r="BM114"/>
  <c r="BN114"/>
  <c r="BO114"/>
  <c r="BQ114"/>
  <c r="BR114"/>
  <c r="BS114"/>
  <c r="BT114"/>
  <c r="BV114"/>
  <c r="M114" s="1"/>
  <c r="BW114" s="1"/>
  <c r="AM115"/>
  <c r="AN115"/>
  <c r="AO115"/>
  <c r="AP115"/>
  <c r="AR115"/>
  <c r="AS115"/>
  <c r="AT115"/>
  <c r="AU115"/>
  <c r="AW115"/>
  <c r="AX115"/>
  <c r="AY115"/>
  <c r="AZ115"/>
  <c r="BB115"/>
  <c r="BC115"/>
  <c r="BD115"/>
  <c r="BE115"/>
  <c r="BG115"/>
  <c r="BH115"/>
  <c r="BI115"/>
  <c r="BJ115"/>
  <c r="BL115"/>
  <c r="BM115"/>
  <c r="BN115"/>
  <c r="BO115"/>
  <c r="BQ115"/>
  <c r="BR115"/>
  <c r="BS115"/>
  <c r="BT115"/>
  <c r="BV115"/>
  <c r="M115" s="1"/>
  <c r="BW115" s="1"/>
  <c r="AM116"/>
  <c r="AN116"/>
  <c r="AO116"/>
  <c r="AP116"/>
  <c r="AX116" i="1"/>
  <c r="AR116" i="11"/>
  <c r="AS116"/>
  <c r="AT116"/>
  <c r="AU116"/>
  <c r="AW116"/>
  <c r="AX116"/>
  <c r="AY116"/>
  <c r="AZ116"/>
  <c r="BB116"/>
  <c r="BC116"/>
  <c r="BD116"/>
  <c r="BE116"/>
  <c r="BG116"/>
  <c r="BH116"/>
  <c r="BI116"/>
  <c r="BJ116"/>
  <c r="BL116"/>
  <c r="BM116"/>
  <c r="BN116"/>
  <c r="BO116"/>
  <c r="BQ116"/>
  <c r="BR116"/>
  <c r="BS116"/>
  <c r="BT116"/>
  <c r="BV116"/>
  <c r="M116" s="1"/>
  <c r="BW116" s="1"/>
  <c r="AM117"/>
  <c r="AN117"/>
  <c r="AO117"/>
  <c r="AP117"/>
  <c r="AX117" i="1" s="1"/>
  <c r="AR117" i="11"/>
  <c r="AS117"/>
  <c r="AT117"/>
  <c r="AU117"/>
  <c r="AW117"/>
  <c r="AX117"/>
  <c r="AY117"/>
  <c r="AZ117"/>
  <c r="BB117"/>
  <c r="BC117"/>
  <c r="BD117"/>
  <c r="BE117"/>
  <c r="BG117"/>
  <c r="BH117"/>
  <c r="BI117"/>
  <c r="BJ117"/>
  <c r="BL117"/>
  <c r="BM117"/>
  <c r="BN117"/>
  <c r="BO117"/>
  <c r="BQ117"/>
  <c r="BR117"/>
  <c r="BS117"/>
  <c r="BT117"/>
  <c r="BV117"/>
  <c r="M117" s="1"/>
  <c r="BW117" s="1"/>
  <c r="AM118"/>
  <c r="AN118"/>
  <c r="AO118"/>
  <c r="AP118"/>
  <c r="AX118" i="1" s="1"/>
  <c r="AR118" i="11"/>
  <c r="AS118"/>
  <c r="AT118"/>
  <c r="AU118"/>
  <c r="AW118"/>
  <c r="AX118"/>
  <c r="AY118"/>
  <c r="AZ118"/>
  <c r="BB118"/>
  <c r="BC118"/>
  <c r="BD118"/>
  <c r="BE118"/>
  <c r="BG118"/>
  <c r="BH118"/>
  <c r="BI118"/>
  <c r="BJ118"/>
  <c r="BL118"/>
  <c r="BM118"/>
  <c r="BN118"/>
  <c r="BO118"/>
  <c r="BQ118"/>
  <c r="BR118"/>
  <c r="BS118"/>
  <c r="BT118"/>
  <c r="BV118"/>
  <c r="M118" s="1"/>
  <c r="BW118" s="1"/>
  <c r="AM119"/>
  <c r="AN119"/>
  <c r="AO119"/>
  <c r="AP119"/>
  <c r="AX119" i="1"/>
  <c r="AR119" i="11"/>
  <c r="AS119"/>
  <c r="AT119"/>
  <c r="AU119"/>
  <c r="AW119"/>
  <c r="AX119"/>
  <c r="AY119"/>
  <c r="AZ119"/>
  <c r="BB119"/>
  <c r="BC119"/>
  <c r="BD119"/>
  <c r="BE119"/>
  <c r="BG119"/>
  <c r="BH119"/>
  <c r="BI119"/>
  <c r="BJ119"/>
  <c r="BL119"/>
  <c r="BM119"/>
  <c r="BN119"/>
  <c r="BO119"/>
  <c r="BQ119"/>
  <c r="BR119"/>
  <c r="BS119"/>
  <c r="BT119"/>
  <c r="BV119"/>
  <c r="M119" s="1"/>
  <c r="BW119" s="1"/>
  <c r="AM120"/>
  <c r="AN120"/>
  <c r="AO120"/>
  <c r="AP120"/>
  <c r="AX120" i="1"/>
  <c r="AR120" i="11"/>
  <c r="AS120"/>
  <c r="AT120"/>
  <c r="AU120"/>
  <c r="AW120"/>
  <c r="AX120"/>
  <c r="AY120"/>
  <c r="AZ120"/>
  <c r="BB120"/>
  <c r="BC120"/>
  <c r="BD120"/>
  <c r="BE120"/>
  <c r="BG120"/>
  <c r="BH120"/>
  <c r="BI120"/>
  <c r="BJ120"/>
  <c r="BL120"/>
  <c r="BM120"/>
  <c r="BN120"/>
  <c r="BO120"/>
  <c r="BQ120"/>
  <c r="BR120"/>
  <c r="BS120"/>
  <c r="BT120"/>
  <c r="BV120"/>
  <c r="M120" s="1"/>
  <c r="BW120" s="1"/>
  <c r="AM121"/>
  <c r="AN121"/>
  <c r="AO121"/>
  <c r="AP121"/>
  <c r="AX121" i="1" s="1"/>
  <c r="AR121" i="11"/>
  <c r="AS121"/>
  <c r="AT121"/>
  <c r="AU121"/>
  <c r="AW121"/>
  <c r="AX121"/>
  <c r="AY121"/>
  <c r="AZ121"/>
  <c r="BB121"/>
  <c r="BC121"/>
  <c r="BD121"/>
  <c r="BE121"/>
  <c r="BG121"/>
  <c r="BH121"/>
  <c r="BI121"/>
  <c r="BJ121"/>
  <c r="BL121"/>
  <c r="BM121"/>
  <c r="BN121"/>
  <c r="BO121"/>
  <c r="BQ121"/>
  <c r="BR121"/>
  <c r="BS121"/>
  <c r="BT121"/>
  <c r="BV121"/>
  <c r="M121" s="1"/>
  <c r="BW121" s="1"/>
  <c r="AM122"/>
  <c r="AN122"/>
  <c r="AO122"/>
  <c r="AP122"/>
  <c r="AX122" i="1" s="1"/>
  <c r="AR122" i="11"/>
  <c r="AS122"/>
  <c r="AT122"/>
  <c r="AU122"/>
  <c r="AW122"/>
  <c r="AX122"/>
  <c r="AY122"/>
  <c r="AZ122"/>
  <c r="BB122"/>
  <c r="BC122"/>
  <c r="BD122"/>
  <c r="BE122"/>
  <c r="BG122"/>
  <c r="BH122"/>
  <c r="BI122"/>
  <c r="BJ122"/>
  <c r="BL122"/>
  <c r="BM122"/>
  <c r="BN122"/>
  <c r="BO122"/>
  <c r="BQ122"/>
  <c r="BR122"/>
  <c r="BS122"/>
  <c r="BT122"/>
  <c r="BV122"/>
  <c r="M122" s="1"/>
  <c r="BW122" s="1"/>
  <c r="AM123"/>
  <c r="AN123"/>
  <c r="AO123"/>
  <c r="AP123"/>
  <c r="AX123" i="1"/>
  <c r="AR123" i="11"/>
  <c r="AS123"/>
  <c r="AT123"/>
  <c r="AU123"/>
  <c r="AW123"/>
  <c r="AX123"/>
  <c r="AY123"/>
  <c r="AZ123"/>
  <c r="BB123"/>
  <c r="BC123"/>
  <c r="BD123"/>
  <c r="BE123"/>
  <c r="BG123"/>
  <c r="BH123"/>
  <c r="BI123"/>
  <c r="BJ123"/>
  <c r="BL123"/>
  <c r="BM123"/>
  <c r="BN123"/>
  <c r="BO123"/>
  <c r="BQ123"/>
  <c r="BR123"/>
  <c r="BS123"/>
  <c r="BT123"/>
  <c r="BV123"/>
  <c r="M123" s="1"/>
  <c r="BW123" s="1"/>
  <c r="AM124"/>
  <c r="AN124"/>
  <c r="AO124"/>
  <c r="AP124"/>
  <c r="AX124" i="1"/>
  <c r="AR124" i="11"/>
  <c r="AS124"/>
  <c r="AT124"/>
  <c r="AU124"/>
  <c r="AW124"/>
  <c r="AX124"/>
  <c r="AY124"/>
  <c r="AZ124"/>
  <c r="BB124"/>
  <c r="BC124"/>
  <c r="BD124"/>
  <c r="BE124"/>
  <c r="BG124"/>
  <c r="BH124"/>
  <c r="BI124"/>
  <c r="BJ124"/>
  <c r="BL124"/>
  <c r="BM124"/>
  <c r="BN124"/>
  <c r="BO124"/>
  <c r="BQ124"/>
  <c r="BR124"/>
  <c r="BS124"/>
  <c r="BT124"/>
  <c r="BV124"/>
  <c r="M124" s="1"/>
  <c r="BW124" s="1"/>
  <c r="AM125"/>
  <c r="AN125"/>
  <c r="AO125"/>
  <c r="AP125"/>
  <c r="AX125" i="1" s="1"/>
  <c r="AR125" i="11"/>
  <c r="AS125"/>
  <c r="AT125"/>
  <c r="AU125"/>
  <c r="AW125"/>
  <c r="AX125"/>
  <c r="AY125"/>
  <c r="AZ125"/>
  <c r="BB125"/>
  <c r="BC125"/>
  <c r="BD125"/>
  <c r="BE125"/>
  <c r="BG125"/>
  <c r="BH125"/>
  <c r="BI125"/>
  <c r="BJ125"/>
  <c r="BL125"/>
  <c r="BM125"/>
  <c r="BN125"/>
  <c r="BO125"/>
  <c r="BQ125"/>
  <c r="BR125"/>
  <c r="BS125"/>
  <c r="BT125"/>
  <c r="BV125"/>
  <c r="M125" s="1"/>
  <c r="BW125" s="1"/>
  <c r="AM126"/>
  <c r="AN126"/>
  <c r="AO126"/>
  <c r="AP126"/>
  <c r="AX126" i="1" s="1"/>
  <c r="AR126" i="11"/>
  <c r="AS126"/>
  <c r="AT126"/>
  <c r="AU126"/>
  <c r="AW126"/>
  <c r="AX126"/>
  <c r="AY126"/>
  <c r="AZ126"/>
  <c r="BB126"/>
  <c r="BC126"/>
  <c r="BD126"/>
  <c r="BE126"/>
  <c r="BG126"/>
  <c r="BH126"/>
  <c r="BI126"/>
  <c r="BJ126"/>
  <c r="BL126"/>
  <c r="BM126"/>
  <c r="BN126"/>
  <c r="BO126"/>
  <c r="BQ126"/>
  <c r="BR126"/>
  <c r="BS126"/>
  <c r="BT126"/>
  <c r="BV126"/>
  <c r="M126" s="1"/>
  <c r="BW126" s="1"/>
  <c r="AM127"/>
  <c r="AN127"/>
  <c r="AO127"/>
  <c r="AP127"/>
  <c r="AX127" i="1"/>
  <c r="AR127" i="11"/>
  <c r="AS127"/>
  <c r="AT127"/>
  <c r="AU127"/>
  <c r="AW127"/>
  <c r="AX127"/>
  <c r="AY127"/>
  <c r="AZ127"/>
  <c r="BB127"/>
  <c r="BC127"/>
  <c r="BD127"/>
  <c r="BE127"/>
  <c r="BG127"/>
  <c r="BH127"/>
  <c r="BI127"/>
  <c r="BJ127"/>
  <c r="BL127"/>
  <c r="BM127"/>
  <c r="BN127"/>
  <c r="BO127"/>
  <c r="BQ127"/>
  <c r="BR127"/>
  <c r="BS127"/>
  <c r="BT127"/>
  <c r="BV127"/>
  <c r="M127" s="1"/>
  <c r="BW127" s="1"/>
  <c r="AM128"/>
  <c r="AN128"/>
  <c r="AO128"/>
  <c r="AP128"/>
  <c r="AX128" i="1"/>
  <c r="AR128" i="11"/>
  <c r="AS128"/>
  <c r="AT128"/>
  <c r="AU128"/>
  <c r="AW128"/>
  <c r="AX128"/>
  <c r="AY128"/>
  <c r="AZ128"/>
  <c r="BB128"/>
  <c r="BC128"/>
  <c r="BD128"/>
  <c r="BE128"/>
  <c r="BG128"/>
  <c r="BH128"/>
  <c r="BI128"/>
  <c r="BJ128"/>
  <c r="BL128"/>
  <c r="BM128"/>
  <c r="BN128"/>
  <c r="BO128"/>
  <c r="BQ128"/>
  <c r="BR128"/>
  <c r="BS128"/>
  <c r="BT128"/>
  <c r="BV128"/>
  <c r="M128" s="1"/>
  <c r="BW128" s="1"/>
  <c r="AM129"/>
  <c r="AN129"/>
  <c r="AO129"/>
  <c r="AP129"/>
  <c r="AR129"/>
  <c r="AS129"/>
  <c r="AT129"/>
  <c r="AU129"/>
  <c r="AW129"/>
  <c r="AX129"/>
  <c r="AY129"/>
  <c r="AZ129"/>
  <c r="BB129"/>
  <c r="BC129"/>
  <c r="BD129"/>
  <c r="BE129"/>
  <c r="BG129"/>
  <c r="BH129"/>
  <c r="BI129"/>
  <c r="BJ129"/>
  <c r="BL129"/>
  <c r="BM129"/>
  <c r="BN129"/>
  <c r="BO129"/>
  <c r="BQ129"/>
  <c r="BR129"/>
  <c r="BS129"/>
  <c r="BT129"/>
  <c r="BV129"/>
  <c r="M129" s="1"/>
  <c r="BW129" s="1"/>
  <c r="AM130"/>
  <c r="AN130"/>
  <c r="AO130"/>
  <c r="AP130"/>
  <c r="AX130" i="1"/>
  <c r="AR130" i="11"/>
  <c r="AS130"/>
  <c r="AT130"/>
  <c r="AU130"/>
  <c r="AW130"/>
  <c r="AX130"/>
  <c r="AY130"/>
  <c r="AZ130"/>
  <c r="BB130"/>
  <c r="BC130"/>
  <c r="BD130"/>
  <c r="BE130"/>
  <c r="BG130"/>
  <c r="BH130"/>
  <c r="BI130"/>
  <c r="BJ130"/>
  <c r="BL130"/>
  <c r="BM130"/>
  <c r="BN130"/>
  <c r="BO130"/>
  <c r="BQ130"/>
  <c r="BR130"/>
  <c r="BS130"/>
  <c r="BT130"/>
  <c r="BV130"/>
  <c r="M130" s="1"/>
  <c r="BW130" s="1"/>
  <c r="AM131"/>
  <c r="AN131"/>
  <c r="AO131"/>
  <c r="AP131"/>
  <c r="AR131"/>
  <c r="AS131"/>
  <c r="AT131"/>
  <c r="AU131"/>
  <c r="AW131"/>
  <c r="AX131"/>
  <c r="AY131"/>
  <c r="AZ131"/>
  <c r="BB131"/>
  <c r="BC131"/>
  <c r="BD131"/>
  <c r="BE131"/>
  <c r="BG131"/>
  <c r="BH131"/>
  <c r="BI131"/>
  <c r="BJ131"/>
  <c r="BL131"/>
  <c r="BM131"/>
  <c r="BN131"/>
  <c r="BO131"/>
  <c r="BQ131"/>
  <c r="BR131"/>
  <c r="BS131"/>
  <c r="BT131"/>
  <c r="BV131"/>
  <c r="M131" s="1"/>
  <c r="BW131" s="1"/>
  <c r="AM132"/>
  <c r="AN132"/>
  <c r="AO132"/>
  <c r="AP132"/>
  <c r="AX132" i="1" s="1"/>
  <c r="AR132" i="11"/>
  <c r="AS132"/>
  <c r="AT132"/>
  <c r="AU132"/>
  <c r="AW132"/>
  <c r="AX132"/>
  <c r="AY132"/>
  <c r="AZ132"/>
  <c r="BB132"/>
  <c r="BC132"/>
  <c r="BD132"/>
  <c r="BE132"/>
  <c r="BG132"/>
  <c r="BH132"/>
  <c r="BI132"/>
  <c r="BJ132"/>
  <c r="BL132"/>
  <c r="BM132"/>
  <c r="BN132"/>
  <c r="BO132"/>
  <c r="BQ132"/>
  <c r="BR132"/>
  <c r="BS132"/>
  <c r="BT132"/>
  <c r="BV132"/>
  <c r="M132" s="1"/>
  <c r="BW132" s="1"/>
  <c r="AM133"/>
  <c r="AN133"/>
  <c r="AO133"/>
  <c r="AP133"/>
  <c r="AX133" i="1" s="1"/>
  <c r="AR133" i="11"/>
  <c r="AS133"/>
  <c r="AT133"/>
  <c r="AU133"/>
  <c r="AW133"/>
  <c r="AX133"/>
  <c r="AY133"/>
  <c r="AZ133"/>
  <c r="BB133"/>
  <c r="BC133"/>
  <c r="BD133"/>
  <c r="BE133"/>
  <c r="BG133"/>
  <c r="BH133"/>
  <c r="BI133"/>
  <c r="BJ133"/>
  <c r="BL133"/>
  <c r="BM133"/>
  <c r="BN133"/>
  <c r="BO133"/>
  <c r="BQ133"/>
  <c r="BR133"/>
  <c r="BS133"/>
  <c r="BT133"/>
  <c r="BV133"/>
  <c r="M133" s="1"/>
  <c r="BW133" s="1"/>
  <c r="AM134"/>
  <c r="AN134"/>
  <c r="AO134"/>
  <c r="AP134"/>
  <c r="AX134" i="1"/>
  <c r="AR134" i="11"/>
  <c r="AS134"/>
  <c r="AT134"/>
  <c r="AU134"/>
  <c r="AW134"/>
  <c r="AX134"/>
  <c r="AY134"/>
  <c r="AZ134"/>
  <c r="BB134"/>
  <c r="BC134"/>
  <c r="BD134"/>
  <c r="BE134"/>
  <c r="BG134"/>
  <c r="BH134"/>
  <c r="BI134"/>
  <c r="BJ134"/>
  <c r="BL134"/>
  <c r="BM134"/>
  <c r="BN134"/>
  <c r="BO134"/>
  <c r="BQ134"/>
  <c r="BR134"/>
  <c r="BS134"/>
  <c r="BT134"/>
  <c r="BV134"/>
  <c r="M134" s="1"/>
  <c r="BW134" s="1"/>
  <c r="AM135"/>
  <c r="AN135"/>
  <c r="AO135"/>
  <c r="AP135"/>
  <c r="AX135" i="1"/>
  <c r="AR135" i="11"/>
  <c r="AS135"/>
  <c r="AT135"/>
  <c r="AU135"/>
  <c r="AW135"/>
  <c r="AX135"/>
  <c r="AY135"/>
  <c r="AZ135"/>
  <c r="BB135"/>
  <c r="BC135"/>
  <c r="BD135"/>
  <c r="BE135"/>
  <c r="BG135"/>
  <c r="BH135"/>
  <c r="BI135"/>
  <c r="BJ135"/>
  <c r="BL135"/>
  <c r="BM135"/>
  <c r="BN135"/>
  <c r="BO135"/>
  <c r="BQ135"/>
  <c r="BR135"/>
  <c r="BS135"/>
  <c r="BT135"/>
  <c r="BV135"/>
  <c r="M135" s="1"/>
  <c r="BW135" s="1"/>
  <c r="A3" i="9"/>
  <c r="A3" i="8"/>
  <c r="AD3"/>
  <c r="E16" i="4"/>
  <c r="E17" s="1"/>
  <c r="C1269" i="2" s="1"/>
  <c r="B17" i="4"/>
  <c r="A43"/>
  <c r="A44"/>
  <c r="A45"/>
  <c r="D46"/>
  <c r="D47"/>
  <c r="D48"/>
  <c r="D49"/>
  <c r="D50"/>
  <c r="D51"/>
  <c r="D52"/>
  <c r="D53"/>
  <c r="D54"/>
  <c r="D55"/>
  <c r="D56"/>
  <c r="D57"/>
  <c r="D58"/>
  <c r="D59"/>
  <c r="D60"/>
  <c r="D61"/>
  <c r="D62"/>
  <c r="D63"/>
  <c r="I63"/>
  <c r="B64"/>
  <c r="D64"/>
  <c r="J64"/>
  <c r="E74"/>
  <c r="E76"/>
  <c r="E77"/>
  <c r="E78"/>
  <c r="E79"/>
  <c r="E81"/>
  <c r="E82"/>
  <c r="E99"/>
  <c r="A3" i="2"/>
  <c r="BB3" i="1"/>
  <c r="BB4"/>
  <c r="BB5" s="1"/>
  <c r="BB6" s="1"/>
  <c r="BB7" s="1"/>
  <c r="BB8" s="1"/>
  <c r="BB9" s="1"/>
  <c r="BB10" s="1"/>
  <c r="BB11" s="1"/>
  <c r="BB12" s="1"/>
  <c r="BB13" s="1"/>
  <c r="BB14" s="1"/>
  <c r="BB15" s="1"/>
  <c r="BB16" s="1"/>
  <c r="BB17" s="1"/>
  <c r="BB18" s="1"/>
  <c r="BB19" s="1"/>
  <c r="BB20" s="1"/>
  <c r="BB21" s="1"/>
  <c r="BB22" s="1"/>
  <c r="BB23" s="1"/>
  <c r="BB24" s="1"/>
  <c r="BB25" s="1"/>
  <c r="BB26" s="1"/>
  <c r="BB27" s="1"/>
  <c r="BB28" s="1"/>
  <c r="BB29" s="1"/>
  <c r="BB30" s="1"/>
  <c r="BB31" s="1"/>
  <c r="BB32" s="1"/>
  <c r="BB33" s="1"/>
  <c r="BB34" s="1"/>
  <c r="BB35" s="1"/>
  <c r="BB36" s="1"/>
  <c r="BB37" s="1"/>
  <c r="BB38" s="1"/>
  <c r="BB39" s="1"/>
  <c r="BB40" s="1"/>
  <c r="BB41" s="1"/>
  <c r="BB42" s="1"/>
  <c r="BB43" s="1"/>
  <c r="BB44" s="1"/>
  <c r="BB45" s="1"/>
  <c r="BB46" s="1"/>
  <c r="BB47" s="1"/>
  <c r="BB48" s="1"/>
  <c r="BB49" s="1"/>
  <c r="BB50" s="1"/>
  <c r="BB51" s="1"/>
  <c r="BB52" s="1"/>
  <c r="BB53" s="1"/>
  <c r="BB54" s="1"/>
  <c r="BB55" s="1"/>
  <c r="BB56" s="1"/>
  <c r="BB57" s="1"/>
  <c r="BB58" s="1"/>
  <c r="BB59" s="1"/>
  <c r="BB60" s="1"/>
  <c r="BB61" s="1"/>
  <c r="BB62" s="1"/>
  <c r="BB63" s="1"/>
  <c r="BB64" s="1"/>
  <c r="BB65" s="1"/>
  <c r="BB66" s="1"/>
  <c r="BB67" s="1"/>
  <c r="BB68" s="1"/>
  <c r="BB69" s="1"/>
  <c r="BB70" s="1"/>
  <c r="BB71" s="1"/>
  <c r="BB72" s="1"/>
  <c r="BB73" s="1"/>
  <c r="BB74" s="1"/>
  <c r="BB75" s="1"/>
  <c r="BB76" s="1"/>
  <c r="BB77" s="1"/>
  <c r="BB78" s="1"/>
  <c r="BB79" s="1"/>
  <c r="BB80" s="1"/>
  <c r="BB81" s="1"/>
  <c r="BB82" s="1"/>
  <c r="BB83" s="1"/>
  <c r="BB84" s="1"/>
  <c r="BB85" s="1"/>
  <c r="BB86" s="1"/>
  <c r="BB87" s="1"/>
  <c r="BB88" s="1"/>
  <c r="BB89" s="1"/>
  <c r="BB90" s="1"/>
  <c r="BB91" s="1"/>
  <c r="BB92" s="1"/>
  <c r="BB93" s="1"/>
  <c r="BB94" s="1"/>
  <c r="BB95" s="1"/>
  <c r="BB96" s="1"/>
  <c r="BB97" s="1"/>
  <c r="BB98" s="1"/>
  <c r="BB99" s="1"/>
  <c r="BB100" s="1"/>
  <c r="BB101" s="1"/>
  <c r="BB102" s="1"/>
  <c r="BB103" s="1"/>
  <c r="BB104" s="1"/>
  <c r="BB105" s="1"/>
  <c r="BB106" s="1"/>
  <c r="BB107" s="1"/>
  <c r="BB108" s="1"/>
  <c r="BB109" s="1"/>
  <c r="BB110" s="1"/>
  <c r="BB111" s="1"/>
  <c r="BB112" s="1"/>
  <c r="BB113" s="1"/>
  <c r="BB114" s="1"/>
  <c r="BB115" s="1"/>
  <c r="BB116" s="1"/>
  <c r="BB117" s="1"/>
  <c r="BB118" s="1"/>
  <c r="BB119" s="1"/>
  <c r="BB120" s="1"/>
  <c r="BB121" s="1"/>
  <c r="BB122" s="1"/>
  <c r="BB123" s="1"/>
  <c r="BB124" s="1"/>
  <c r="BB125" s="1"/>
  <c r="BB126" s="1"/>
  <c r="BB127" s="1"/>
  <c r="BB128" s="1"/>
  <c r="BB129" s="1"/>
  <c r="BB130" s="1"/>
  <c r="BB131" s="1"/>
  <c r="BB132" s="1"/>
  <c r="BB133" s="1"/>
  <c r="BB134" s="1"/>
  <c r="BB135" s="1"/>
  <c r="AX4"/>
  <c r="BJ4"/>
  <c r="AX5"/>
  <c r="BJ5"/>
  <c r="AX6"/>
  <c r="BJ6"/>
  <c r="BJ7"/>
  <c r="BJ8"/>
  <c r="AX9"/>
  <c r="BJ9"/>
  <c r="AX10"/>
  <c r="BJ10"/>
  <c r="AX11"/>
  <c r="BJ11"/>
  <c r="AX12"/>
  <c r="BJ12"/>
  <c r="AX13"/>
  <c r="BJ13"/>
  <c r="AX14"/>
  <c r="BJ14"/>
  <c r="AX15"/>
  <c r="BJ15"/>
  <c r="AX16"/>
  <c r="BJ16"/>
  <c r="AX17"/>
  <c r="BJ17"/>
  <c r="AX18"/>
  <c r="BJ18"/>
  <c r="AX19"/>
  <c r="BJ19"/>
  <c r="AX20"/>
  <c r="BJ20"/>
  <c r="AX21"/>
  <c r="BJ21"/>
  <c r="AX22"/>
  <c r="BJ22"/>
  <c r="AX23"/>
  <c r="BJ23"/>
  <c r="AX24"/>
  <c r="BJ24"/>
  <c r="AX25"/>
  <c r="BJ25"/>
  <c r="BJ26"/>
  <c r="BJ27"/>
  <c r="AX28"/>
  <c r="BJ28"/>
  <c r="BJ29"/>
  <c r="AX30"/>
  <c r="BJ30"/>
  <c r="AX31"/>
  <c r="BJ31"/>
  <c r="AX32"/>
  <c r="BJ32"/>
  <c r="AX33"/>
  <c r="BJ33"/>
  <c r="AX34"/>
  <c r="BJ34"/>
  <c r="AX35"/>
  <c r="BJ35"/>
  <c r="AX36"/>
  <c r="BJ36"/>
  <c r="AX37"/>
  <c r="BJ37"/>
  <c r="AX38"/>
  <c r="BJ38"/>
  <c r="AX39"/>
  <c r="BJ39"/>
  <c r="BJ40"/>
  <c r="AX41"/>
  <c r="BJ41"/>
  <c r="AX42"/>
  <c r="BJ42"/>
  <c r="AX43"/>
  <c r="BJ43"/>
  <c r="BJ44"/>
  <c r="AX45"/>
  <c r="BJ45"/>
  <c r="AX46"/>
  <c r="BJ46"/>
  <c r="AX47"/>
  <c r="BJ47"/>
  <c r="BJ48"/>
  <c r="AX49"/>
  <c r="BJ49"/>
  <c r="AX50"/>
  <c r="BJ50"/>
  <c r="AX51"/>
  <c r="BJ51"/>
  <c r="BJ52"/>
  <c r="AX53"/>
  <c r="BJ53"/>
  <c r="AX54"/>
  <c r="BJ54"/>
  <c r="AX55"/>
  <c r="BJ55"/>
  <c r="BJ56"/>
  <c r="AX57"/>
  <c r="BJ57"/>
  <c r="AX58"/>
  <c r="BJ58"/>
  <c r="AX59"/>
  <c r="BJ59"/>
  <c r="BJ60"/>
  <c r="AX61"/>
  <c r="BJ61"/>
  <c r="AX62"/>
  <c r="BJ62"/>
  <c r="AX63"/>
  <c r="BJ63"/>
  <c r="BJ64"/>
  <c r="AX65"/>
  <c r="BJ65"/>
  <c r="AX66"/>
  <c r="BJ66"/>
  <c r="BJ67"/>
  <c r="BJ68"/>
  <c r="AX69"/>
  <c r="BJ69"/>
  <c r="BJ70"/>
  <c r="BJ71"/>
  <c r="BJ72"/>
  <c r="AX73"/>
  <c r="BJ73"/>
  <c r="AX74"/>
  <c r="BJ74"/>
  <c r="BJ75"/>
  <c r="BJ76"/>
  <c r="AX77"/>
  <c r="BJ77"/>
  <c r="AX78"/>
  <c r="BJ78"/>
  <c r="BJ79"/>
  <c r="BJ80"/>
  <c r="AX81"/>
  <c r="BJ81"/>
  <c r="AX82"/>
  <c r="BJ82"/>
  <c r="BJ83"/>
  <c r="BJ84"/>
  <c r="BJ85"/>
  <c r="BJ86"/>
  <c r="AX87"/>
  <c r="BJ87"/>
  <c r="AX88"/>
  <c r="BJ88"/>
  <c r="AX89"/>
  <c r="BJ89"/>
  <c r="BJ90"/>
  <c r="AX91"/>
  <c r="BJ91"/>
  <c r="AX92"/>
  <c r="BJ92"/>
  <c r="AX93"/>
  <c r="BJ93"/>
  <c r="BJ94"/>
  <c r="AX95"/>
  <c r="BJ95"/>
  <c r="AX96"/>
  <c r="BJ96"/>
  <c r="AX97"/>
  <c r="BJ97"/>
  <c r="BJ98"/>
  <c r="AX99"/>
  <c r="BJ99"/>
  <c r="AX100"/>
  <c r="BJ100"/>
  <c r="AX101"/>
  <c r="BJ101"/>
  <c r="BJ102"/>
  <c r="AX103"/>
  <c r="BJ103"/>
  <c r="AX104"/>
  <c r="BJ104"/>
  <c r="BJ105"/>
  <c r="BJ106"/>
  <c r="BJ107"/>
  <c r="BJ108"/>
  <c r="BJ109"/>
  <c r="BJ110"/>
  <c r="BJ111"/>
  <c r="AX112"/>
  <c r="BJ112"/>
  <c r="BJ113"/>
  <c r="AX114"/>
  <c r="BJ114"/>
  <c r="AX115"/>
  <c r="BJ115"/>
  <c r="BJ116"/>
  <c r="BJ117"/>
  <c r="BJ118"/>
  <c r="BJ119"/>
  <c r="BJ120"/>
  <c r="BJ121"/>
  <c r="BJ122"/>
  <c r="BJ123"/>
  <c r="BJ124"/>
  <c r="BJ125"/>
  <c r="BJ126"/>
  <c r="BJ127"/>
  <c r="BJ128"/>
  <c r="AX129"/>
  <c r="BJ129"/>
  <c r="BJ130"/>
  <c r="AX131"/>
  <c r="BJ131"/>
  <c r="BJ132"/>
  <c r="BJ133"/>
  <c r="BJ134"/>
  <c r="BJ135"/>
  <c r="S3" i="10"/>
  <c r="T3"/>
  <c r="J4"/>
  <c r="A4" i="2" s="1"/>
  <c r="J5" i="10"/>
  <c r="S4"/>
  <c r="T4"/>
  <c r="S5"/>
  <c r="T5"/>
  <c r="S6"/>
  <c r="T6"/>
  <c r="S7"/>
  <c r="T7"/>
  <c r="S8"/>
  <c r="T8"/>
  <c r="S9"/>
  <c r="T9"/>
  <c r="S10"/>
  <c r="T10"/>
  <c r="S11"/>
  <c r="T11"/>
  <c r="S12"/>
  <c r="T12"/>
  <c r="S13"/>
  <c r="T13"/>
  <c r="S14"/>
  <c r="T14"/>
  <c r="S15"/>
  <c r="T15"/>
  <c r="S16"/>
  <c r="T16"/>
  <c r="S17"/>
  <c r="T17"/>
  <c r="S18"/>
  <c r="T18"/>
  <c r="S19"/>
  <c r="T19"/>
  <c r="S20"/>
  <c r="T20"/>
  <c r="S21"/>
  <c r="T21"/>
  <c r="S22"/>
  <c r="T22"/>
  <c r="S23"/>
  <c r="T23"/>
  <c r="S24"/>
  <c r="T24"/>
  <c r="S25"/>
  <c r="T25"/>
  <c r="S26"/>
  <c r="T26"/>
  <c r="S27"/>
  <c r="T27"/>
  <c r="S28"/>
  <c r="T28"/>
  <c r="S29"/>
  <c r="T29"/>
  <c r="S30"/>
  <c r="T30"/>
  <c r="S31"/>
  <c r="T31"/>
  <c r="S32"/>
  <c r="T32"/>
  <c r="S33"/>
  <c r="T33"/>
  <c r="S34"/>
  <c r="T34"/>
  <c r="S35"/>
  <c r="T35"/>
  <c r="S36"/>
  <c r="T36"/>
  <c r="S37"/>
  <c r="T37"/>
  <c r="S38"/>
  <c r="T38"/>
  <c r="S39"/>
  <c r="T39"/>
  <c r="S40"/>
  <c r="T40"/>
  <c r="S41"/>
  <c r="T41"/>
  <c r="S42"/>
  <c r="T42"/>
  <c r="S43"/>
  <c r="T43"/>
  <c r="S44"/>
  <c r="T44"/>
  <c r="S45"/>
  <c r="T45"/>
  <c r="S46"/>
  <c r="T46"/>
  <c r="S47"/>
  <c r="T47"/>
  <c r="S48"/>
  <c r="T48"/>
  <c r="S49"/>
  <c r="T49"/>
  <c r="S50"/>
  <c r="T50"/>
  <c r="S51"/>
  <c r="T51"/>
  <c r="S52"/>
  <c r="T52"/>
  <c r="S53"/>
  <c r="T53"/>
  <c r="S54"/>
  <c r="T54"/>
  <c r="S55"/>
  <c r="T55"/>
  <c r="S56"/>
  <c r="T56"/>
  <c r="S57"/>
  <c r="T57"/>
  <c r="S58"/>
  <c r="T58"/>
  <c r="S59"/>
  <c r="T59"/>
  <c r="S60"/>
  <c r="T60"/>
  <c r="S61"/>
  <c r="T61"/>
  <c r="S62"/>
  <c r="T62"/>
  <c r="S63"/>
  <c r="T63"/>
  <c r="S64"/>
  <c r="T64"/>
  <c r="S65"/>
  <c r="T65"/>
  <c r="S66"/>
  <c r="T66"/>
  <c r="S67"/>
  <c r="T67"/>
  <c r="S68"/>
  <c r="T68"/>
  <c r="S69"/>
  <c r="T69"/>
  <c r="S70"/>
  <c r="T70"/>
  <c r="S71"/>
  <c r="T71"/>
  <c r="S72"/>
  <c r="T72"/>
  <c r="S73"/>
  <c r="T73"/>
  <c r="S74"/>
  <c r="T74"/>
  <c r="S75"/>
  <c r="T75"/>
  <c r="S76"/>
  <c r="T76"/>
  <c r="S77"/>
  <c r="T77"/>
  <c r="S78"/>
  <c r="T78"/>
  <c r="S79"/>
  <c r="T79"/>
  <c r="S80"/>
  <c r="T80"/>
  <c r="S81"/>
  <c r="T81"/>
  <c r="S82"/>
  <c r="T82"/>
  <c r="S83"/>
  <c r="T83"/>
  <c r="S84"/>
  <c r="T84"/>
  <c r="S85"/>
  <c r="T85"/>
  <c r="S86"/>
  <c r="T86"/>
  <c r="S87"/>
  <c r="T87"/>
  <c r="S88"/>
  <c r="T88"/>
  <c r="S89"/>
  <c r="T89"/>
  <c r="S90"/>
  <c r="T90"/>
  <c r="S91"/>
  <c r="T91"/>
  <c r="S92"/>
  <c r="T92"/>
  <c r="S93"/>
  <c r="T93"/>
  <c r="S94"/>
  <c r="T94"/>
  <c r="S95"/>
  <c r="T95"/>
  <c r="S96"/>
  <c r="T96"/>
  <c r="S97"/>
  <c r="T97"/>
  <c r="S98"/>
  <c r="T98"/>
  <c r="S99"/>
  <c r="T99"/>
  <c r="S100"/>
  <c r="T100"/>
  <c r="S101"/>
  <c r="T101"/>
  <c r="S102"/>
  <c r="T102"/>
  <c r="S103"/>
  <c r="T103"/>
  <c r="S104"/>
  <c r="T104"/>
  <c r="S105"/>
  <c r="T105"/>
  <c r="S106"/>
  <c r="T106"/>
  <c r="S107"/>
  <c r="T107"/>
  <c r="S108"/>
  <c r="T108"/>
  <c r="S109"/>
  <c r="T109"/>
  <c r="S110"/>
  <c r="T110"/>
  <c r="S111"/>
  <c r="T111"/>
  <c r="S112"/>
  <c r="T112"/>
  <c r="S113"/>
  <c r="T113"/>
  <c r="S114"/>
  <c r="T114"/>
  <c r="S115"/>
  <c r="T115"/>
  <c r="S116"/>
  <c r="T116"/>
  <c r="S117"/>
  <c r="T117"/>
  <c r="S118"/>
  <c r="T118"/>
  <c r="S119"/>
  <c r="T119"/>
  <c r="S120"/>
  <c r="T120"/>
  <c r="S121"/>
  <c r="T121"/>
  <c r="S122"/>
  <c r="T122"/>
  <c r="S123"/>
  <c r="T123"/>
  <c r="S124"/>
  <c r="T124"/>
  <c r="S125"/>
  <c r="T125"/>
  <c r="S126"/>
  <c r="T126"/>
  <c r="S127"/>
  <c r="T127"/>
  <c r="S128"/>
  <c r="T128"/>
  <c r="S129"/>
  <c r="T129"/>
  <c r="S130"/>
  <c r="T130"/>
  <c r="S131"/>
  <c r="T131"/>
  <c r="S132"/>
  <c r="T132"/>
  <c r="S133"/>
  <c r="T133"/>
  <c r="S134"/>
  <c r="T134"/>
  <c r="S135"/>
  <c r="T135"/>
  <c r="H1" i="14"/>
  <c r="B3"/>
  <c r="W3"/>
  <c r="W4"/>
  <c r="W5"/>
  <c r="W6" s="1"/>
  <c r="W7"/>
  <c r="W8" s="1"/>
  <c r="W9" s="1"/>
  <c r="W10" s="1"/>
  <c r="W11" s="1"/>
  <c r="W12" s="1"/>
  <c r="W13" s="1"/>
  <c r="W14" s="1"/>
  <c r="W15" s="1"/>
  <c r="W16" s="1"/>
  <c r="W17" s="1"/>
  <c r="W18" s="1"/>
  <c r="W19" s="1"/>
  <c r="W20" s="1"/>
  <c r="W21" s="1"/>
  <c r="W22" s="1"/>
  <c r="W23" s="1"/>
  <c r="W24" s="1"/>
  <c r="W25" s="1"/>
  <c r="W26" s="1"/>
  <c r="W27" s="1"/>
  <c r="W28" s="1"/>
  <c r="W29" s="1"/>
  <c r="W30" s="1"/>
  <c r="W31" s="1"/>
  <c r="W32" s="1"/>
  <c r="W33" s="1"/>
  <c r="W34" s="1"/>
  <c r="W35" s="1"/>
  <c r="W36" s="1"/>
  <c r="W37" s="1"/>
  <c r="W38" s="1"/>
  <c r="W39" s="1"/>
  <c r="W40" s="1"/>
  <c r="W41" s="1"/>
  <c r="W42" s="1"/>
  <c r="W43" s="1"/>
  <c r="W44" s="1"/>
  <c r="W45" s="1"/>
  <c r="W46" s="1"/>
  <c r="W47" s="1"/>
  <c r="W48" s="1"/>
  <c r="W49" s="1"/>
  <c r="W50" s="1"/>
  <c r="W51" s="1"/>
  <c r="W52" s="1"/>
  <c r="W53" s="1"/>
  <c r="W54" s="1"/>
  <c r="W55" s="1"/>
  <c r="W56" s="1"/>
  <c r="W57" s="1"/>
  <c r="W58" s="1"/>
  <c r="W59" s="1"/>
  <c r="W60" s="1"/>
  <c r="W61" s="1"/>
  <c r="W62" s="1"/>
  <c r="W63" s="1"/>
  <c r="W64" s="1"/>
  <c r="W65" s="1"/>
  <c r="W66" s="1"/>
  <c r="W67" s="1"/>
  <c r="W68" s="1"/>
  <c r="W69" s="1"/>
  <c r="W70" s="1"/>
  <c r="W71" s="1"/>
  <c r="W72" s="1"/>
  <c r="W73" s="1"/>
  <c r="W74" s="1"/>
  <c r="W75" s="1"/>
  <c r="W76" s="1"/>
  <c r="W77" s="1"/>
  <c r="W78" s="1"/>
  <c r="W79" s="1"/>
  <c r="W80" s="1"/>
  <c r="W81" s="1"/>
  <c r="W82" s="1"/>
  <c r="W83" s="1"/>
  <c r="W84" s="1"/>
  <c r="W85" s="1"/>
  <c r="W86" s="1"/>
  <c r="W87" s="1"/>
  <c r="W88" s="1"/>
  <c r="W89" s="1"/>
  <c r="W90" s="1"/>
  <c r="W91" s="1"/>
  <c r="W92" s="1"/>
  <c r="W93" s="1"/>
  <c r="W94" s="1"/>
  <c r="W95" s="1"/>
  <c r="W96" s="1"/>
  <c r="W97" s="1"/>
  <c r="W98" s="1"/>
  <c r="W99" s="1"/>
  <c r="W100" s="1"/>
  <c r="W101" s="1"/>
  <c r="W102" s="1"/>
  <c r="W103" s="1"/>
  <c r="W104" s="1"/>
  <c r="W105" s="1"/>
  <c r="W106" s="1"/>
  <c r="W107" s="1"/>
  <c r="W108" s="1"/>
  <c r="W109" s="1"/>
  <c r="W110" s="1"/>
  <c r="W111" s="1"/>
  <c r="W112" s="1"/>
  <c r="W113" s="1"/>
  <c r="W114" s="1"/>
  <c r="W115" s="1"/>
  <c r="W116" s="1"/>
  <c r="W117" s="1"/>
  <c r="W118" s="1"/>
  <c r="W119" s="1"/>
  <c r="W120" s="1"/>
  <c r="W121" s="1"/>
  <c r="W122" s="1"/>
  <c r="W123" s="1"/>
  <c r="W124" s="1"/>
  <c r="W125" s="1"/>
  <c r="W126" s="1"/>
  <c r="W127" s="1"/>
  <c r="W128" s="1"/>
  <c r="W129" s="1"/>
  <c r="W130" s="1"/>
  <c r="W131" s="1"/>
  <c r="W132" s="1"/>
  <c r="W133" s="1"/>
  <c r="W134" s="1"/>
  <c r="W135" s="1"/>
  <c r="X3"/>
  <c r="X4" s="1"/>
  <c r="X5" s="1"/>
  <c r="X6" s="1"/>
  <c r="X7" s="1"/>
  <c r="X8" s="1"/>
  <c r="X9" s="1"/>
  <c r="X10" s="1"/>
  <c r="X11" s="1"/>
  <c r="X12" s="1"/>
  <c r="X13" s="1"/>
  <c r="X14" s="1"/>
  <c r="X15" s="1"/>
  <c r="X16" s="1"/>
  <c r="X17" s="1"/>
  <c r="X18" s="1"/>
  <c r="X19" s="1"/>
  <c r="X20" s="1"/>
  <c r="X21" s="1"/>
  <c r="X22" s="1"/>
  <c r="X23"/>
  <c r="X24" s="1"/>
  <c r="X25" s="1"/>
  <c r="X26" s="1"/>
  <c r="X27" s="1"/>
  <c r="X28" s="1"/>
  <c r="X29" s="1"/>
  <c r="X30" s="1"/>
  <c r="X31" s="1"/>
  <c r="X32" s="1"/>
  <c r="X33" s="1"/>
  <c r="X34" s="1"/>
  <c r="X35" s="1"/>
  <c r="X36" s="1"/>
  <c r="X37" s="1"/>
  <c r="X38" s="1"/>
  <c r="X39" s="1"/>
  <c r="X40" s="1"/>
  <c r="X41" s="1"/>
  <c r="X42" s="1"/>
  <c r="X43" s="1"/>
  <c r="X44" s="1"/>
  <c r="X45" s="1"/>
  <c r="X46" s="1"/>
  <c r="X47" s="1"/>
  <c r="X48" s="1"/>
  <c r="X49" s="1"/>
  <c r="X50" s="1"/>
  <c r="X51" s="1"/>
  <c r="X52" s="1"/>
  <c r="X53" s="1"/>
  <c r="X54" s="1"/>
  <c r="X55" s="1"/>
  <c r="X56" s="1"/>
  <c r="X57" s="1"/>
  <c r="X58" s="1"/>
  <c r="X59" s="1"/>
  <c r="X60" s="1"/>
  <c r="X61" s="1"/>
  <c r="X62" s="1"/>
  <c r="X63" s="1"/>
  <c r="X64" s="1"/>
  <c r="X65" s="1"/>
  <c r="X66" s="1"/>
  <c r="X67" s="1"/>
  <c r="X68" s="1"/>
  <c r="X69" s="1"/>
  <c r="X70" s="1"/>
  <c r="X71" s="1"/>
  <c r="X72" s="1"/>
  <c r="X73" s="1"/>
  <c r="X74" s="1"/>
  <c r="X75" s="1"/>
  <c r="X76" s="1"/>
  <c r="X77" s="1"/>
  <c r="X78" s="1"/>
  <c r="X79" s="1"/>
  <c r="X80" s="1"/>
  <c r="X81" s="1"/>
  <c r="X82" s="1"/>
  <c r="X83" s="1"/>
  <c r="X84" s="1"/>
  <c r="X85" s="1"/>
  <c r="X86" s="1"/>
  <c r="X87" s="1"/>
  <c r="X88" s="1"/>
  <c r="X89" s="1"/>
  <c r="X90" s="1"/>
  <c r="X91" s="1"/>
  <c r="X92" s="1"/>
  <c r="X93" s="1"/>
  <c r="X94" s="1"/>
  <c r="X95" s="1"/>
  <c r="X96" s="1"/>
  <c r="X97" s="1"/>
  <c r="X98" s="1"/>
  <c r="X99" s="1"/>
  <c r="X100" s="1"/>
  <c r="X101" s="1"/>
  <c r="X102" s="1"/>
  <c r="X103" s="1"/>
  <c r="X104" s="1"/>
  <c r="X105" s="1"/>
  <c r="X106" s="1"/>
  <c r="X107" s="1"/>
  <c r="X108" s="1"/>
  <c r="X109" s="1"/>
  <c r="X110" s="1"/>
  <c r="X111" s="1"/>
  <c r="X112" s="1"/>
  <c r="X113" s="1"/>
  <c r="X114" s="1"/>
  <c r="X115" s="1"/>
  <c r="X116" s="1"/>
  <c r="X117" s="1"/>
  <c r="X118" s="1"/>
  <c r="X119" s="1"/>
  <c r="X120" s="1"/>
  <c r="X121" s="1"/>
  <c r="X122" s="1"/>
  <c r="X123" s="1"/>
  <c r="X124" s="1"/>
  <c r="X125" s="1"/>
  <c r="X126" s="1"/>
  <c r="X127" s="1"/>
  <c r="X128" s="1"/>
  <c r="X129" s="1"/>
  <c r="X130" s="1"/>
  <c r="X131" s="1"/>
  <c r="X132" s="1"/>
  <c r="X133" s="1"/>
  <c r="X134" s="1"/>
  <c r="X135" s="1"/>
  <c r="Y3"/>
  <c r="Y4"/>
  <c r="Y5" s="1"/>
  <c r="Y6" s="1"/>
  <c r="Y7" s="1"/>
  <c r="Y8" s="1"/>
  <c r="Y9" s="1"/>
  <c r="Y10" s="1"/>
  <c r="Y11" s="1"/>
  <c r="Y12" s="1"/>
  <c r="Y13" s="1"/>
  <c r="Y14" s="1"/>
  <c r="Y15" s="1"/>
  <c r="Y16" s="1"/>
  <c r="Y17" s="1"/>
  <c r="Y18"/>
  <c r="Y19" s="1"/>
  <c r="Y20" s="1"/>
  <c r="Y21" s="1"/>
  <c r="Y22" s="1"/>
  <c r="Y23" s="1"/>
  <c r="Y24" s="1"/>
  <c r="Y25" s="1"/>
  <c r="Y26" s="1"/>
  <c r="Y27" s="1"/>
  <c r="Y28" s="1"/>
  <c r="Y29" s="1"/>
  <c r="Y30" s="1"/>
  <c r="Y31" s="1"/>
  <c r="Y32" s="1"/>
  <c r="Y33" s="1"/>
  <c r="Y34" s="1"/>
  <c r="Y35" s="1"/>
  <c r="Y36" s="1"/>
  <c r="Y37" s="1"/>
  <c r="Y38" s="1"/>
  <c r="Y39" s="1"/>
  <c r="Y40" s="1"/>
  <c r="Y41" s="1"/>
  <c r="Y42" s="1"/>
  <c r="Y43" s="1"/>
  <c r="Y44" s="1"/>
  <c r="Y45" s="1"/>
  <c r="Y46" s="1"/>
  <c r="Y47" s="1"/>
  <c r="Y48" s="1"/>
  <c r="Y49" s="1"/>
  <c r="Y50" s="1"/>
  <c r="Y51" s="1"/>
  <c r="Y52" s="1"/>
  <c r="Y53" s="1"/>
  <c r="Y54" s="1"/>
  <c r="Y55" s="1"/>
  <c r="Y56" s="1"/>
  <c r="Y57" s="1"/>
  <c r="Y58" s="1"/>
  <c r="Y59" s="1"/>
  <c r="Y60" s="1"/>
  <c r="Y61" s="1"/>
  <c r="Y62" s="1"/>
  <c r="Y63" s="1"/>
  <c r="Y64" s="1"/>
  <c r="Y65" s="1"/>
  <c r="Y66" s="1"/>
  <c r="Y67" s="1"/>
  <c r="Y68" s="1"/>
  <c r="Y69" s="1"/>
  <c r="Y70" s="1"/>
  <c r="Y71" s="1"/>
  <c r="Y72" s="1"/>
  <c r="Y73" s="1"/>
  <c r="Y74" s="1"/>
  <c r="Y75" s="1"/>
  <c r="Y76" s="1"/>
  <c r="Y77" s="1"/>
  <c r="Y78" s="1"/>
  <c r="Y79" s="1"/>
  <c r="Y80" s="1"/>
  <c r="Y81" s="1"/>
  <c r="Y82" s="1"/>
  <c r="Y83" s="1"/>
  <c r="Y84" s="1"/>
  <c r="Y85" s="1"/>
  <c r="Y86" s="1"/>
  <c r="Y87" s="1"/>
  <c r="Y88" s="1"/>
  <c r="Y89" s="1"/>
  <c r="Y90" s="1"/>
  <c r="Y91" s="1"/>
  <c r="Y92" s="1"/>
  <c r="Y93" s="1"/>
  <c r="Y94" s="1"/>
  <c r="Y95" s="1"/>
  <c r="Y96" s="1"/>
  <c r="Y97" s="1"/>
  <c r="Y98" s="1"/>
  <c r="Y99" s="1"/>
  <c r="Y100" s="1"/>
  <c r="Y101" s="1"/>
  <c r="Y102" s="1"/>
  <c r="Y103" s="1"/>
  <c r="Y104" s="1"/>
  <c r="Y105" s="1"/>
  <c r="Y106" s="1"/>
  <c r="Y107" s="1"/>
  <c r="Y108" s="1"/>
  <c r="Y109" s="1"/>
  <c r="Y110" s="1"/>
  <c r="Y111" s="1"/>
  <c r="Y112" s="1"/>
  <c r="Y113" s="1"/>
  <c r="Y114" s="1"/>
  <c r="Y115" s="1"/>
  <c r="Y116" s="1"/>
  <c r="Y117" s="1"/>
  <c r="Y118" s="1"/>
  <c r="Y119" s="1"/>
  <c r="Y120" s="1"/>
  <c r="Y121" s="1"/>
  <c r="Y122" s="1"/>
  <c r="Y123" s="1"/>
  <c r="Y124" s="1"/>
  <c r="Y125" s="1"/>
  <c r="Y126" s="1"/>
  <c r="Y127" s="1"/>
  <c r="Y128" s="1"/>
  <c r="Y129" s="1"/>
  <c r="Y130" s="1"/>
  <c r="Y131" s="1"/>
  <c r="Y132" s="1"/>
  <c r="Y133" s="1"/>
  <c r="Y134" s="1"/>
  <c r="Y135" s="1"/>
  <c r="Z3"/>
  <c r="Z4"/>
  <c r="Z5" s="1"/>
  <c r="Z6" s="1"/>
  <c r="Z7" s="1"/>
  <c r="Z8" s="1"/>
  <c r="Z9" s="1"/>
  <c r="Z10" s="1"/>
  <c r="Z11" s="1"/>
  <c r="Z12"/>
  <c r="Z13" s="1"/>
  <c r="Z14" s="1"/>
  <c r="Z15" s="1"/>
  <c r="Z16" s="1"/>
  <c r="Z17" s="1"/>
  <c r="Z18" s="1"/>
  <c r="Z19" s="1"/>
  <c r="Z20" s="1"/>
  <c r="Z21" s="1"/>
  <c r="Z22" s="1"/>
  <c r="Z23" s="1"/>
  <c r="Z24" s="1"/>
  <c r="Z25" s="1"/>
  <c r="Z26" s="1"/>
  <c r="Z27" s="1"/>
  <c r="Z28" s="1"/>
  <c r="Z29" s="1"/>
  <c r="Z30" s="1"/>
  <c r="Z31" s="1"/>
  <c r="Z32" s="1"/>
  <c r="Z33" s="1"/>
  <c r="Z34" s="1"/>
  <c r="Z35" s="1"/>
  <c r="Z36" s="1"/>
  <c r="Z37" s="1"/>
  <c r="Z38" s="1"/>
  <c r="Z39" s="1"/>
  <c r="Z40" s="1"/>
  <c r="Z41" s="1"/>
  <c r="Z42" s="1"/>
  <c r="Z43" s="1"/>
  <c r="Z44" s="1"/>
  <c r="Z45" s="1"/>
  <c r="Z46" s="1"/>
  <c r="Z47" s="1"/>
  <c r="Z48" s="1"/>
  <c r="Z49" s="1"/>
  <c r="Z50" s="1"/>
  <c r="Z51" s="1"/>
  <c r="Z52" s="1"/>
  <c r="Z53" s="1"/>
  <c r="Z54" s="1"/>
  <c r="Z55" s="1"/>
  <c r="Z56" s="1"/>
  <c r="Z57" s="1"/>
  <c r="Z58" s="1"/>
  <c r="Z59" s="1"/>
  <c r="Z60" s="1"/>
  <c r="Z61" s="1"/>
  <c r="Z62" s="1"/>
  <c r="Z63" s="1"/>
  <c r="Z64" s="1"/>
  <c r="Z65" s="1"/>
  <c r="Z66" s="1"/>
  <c r="Z67" s="1"/>
  <c r="Z68" s="1"/>
  <c r="Z69" s="1"/>
  <c r="Z70" s="1"/>
  <c r="Z71" s="1"/>
  <c r="Z72" s="1"/>
  <c r="Z73" s="1"/>
  <c r="Z74" s="1"/>
  <c r="Z75" s="1"/>
  <c r="Z76" s="1"/>
  <c r="Z77" s="1"/>
  <c r="Z78" s="1"/>
  <c r="Z79" s="1"/>
  <c r="Z80" s="1"/>
  <c r="Z81" s="1"/>
  <c r="Z82" s="1"/>
  <c r="Z83" s="1"/>
  <c r="Z84" s="1"/>
  <c r="Z85" s="1"/>
  <c r="Z86" s="1"/>
  <c r="Z87" s="1"/>
  <c r="Z88" s="1"/>
  <c r="Z89" s="1"/>
  <c r="Z90" s="1"/>
  <c r="Z91" s="1"/>
  <c r="Z92" s="1"/>
  <c r="Z93" s="1"/>
  <c r="Z94" s="1"/>
  <c r="Z95" s="1"/>
  <c r="Z96" s="1"/>
  <c r="Z97" s="1"/>
  <c r="Z98" s="1"/>
  <c r="Z99" s="1"/>
  <c r="Z100" s="1"/>
  <c r="Z101" s="1"/>
  <c r="Z102" s="1"/>
  <c r="Z103" s="1"/>
  <c r="Z104" s="1"/>
  <c r="Z105" s="1"/>
  <c r="Z106" s="1"/>
  <c r="Z107" s="1"/>
  <c r="Z108" s="1"/>
  <c r="Z109" s="1"/>
  <c r="Z110" s="1"/>
  <c r="Z111" s="1"/>
  <c r="Z112" s="1"/>
  <c r="Z113" s="1"/>
  <c r="Z114" s="1"/>
  <c r="Z115" s="1"/>
  <c r="Z116" s="1"/>
  <c r="Z117" s="1"/>
  <c r="Z118" s="1"/>
  <c r="Z119" s="1"/>
  <c r="Z120" s="1"/>
  <c r="Z121" s="1"/>
  <c r="Z122" s="1"/>
  <c r="Z123" s="1"/>
  <c r="Z124" s="1"/>
  <c r="Z125" s="1"/>
  <c r="Z126" s="1"/>
  <c r="Z127" s="1"/>
  <c r="Z128" s="1"/>
  <c r="Z129" s="1"/>
  <c r="Z130" s="1"/>
  <c r="Z131" s="1"/>
  <c r="Z132" s="1"/>
  <c r="Z133" s="1"/>
  <c r="Z134" s="1"/>
  <c r="Z135" s="1"/>
  <c r="AA3"/>
  <c r="AA4" s="1"/>
  <c r="AA5" s="1"/>
  <c r="AA6" s="1"/>
  <c r="AA7"/>
  <c r="AA8" s="1"/>
  <c r="AA9" s="1"/>
  <c r="AA10" s="1"/>
  <c r="AA11" s="1"/>
  <c r="AA12" s="1"/>
  <c r="AA13" s="1"/>
  <c r="AA14" s="1"/>
  <c r="AA15" s="1"/>
  <c r="AA16" s="1"/>
  <c r="AA17" s="1"/>
  <c r="AA18" s="1"/>
  <c r="AA19" s="1"/>
  <c r="AA20" s="1"/>
  <c r="AA21" s="1"/>
  <c r="AA22" s="1"/>
  <c r="AA23"/>
  <c r="AA24" s="1"/>
  <c r="AA25" s="1"/>
  <c r="AA26" s="1"/>
  <c r="AA27" s="1"/>
  <c r="AA28" s="1"/>
  <c r="AA29" s="1"/>
  <c r="AA30" s="1"/>
  <c r="AA31" s="1"/>
  <c r="AA32" s="1"/>
  <c r="AA33" s="1"/>
  <c r="AA34" s="1"/>
  <c r="AA35" s="1"/>
  <c r="AA36" s="1"/>
  <c r="AA37" s="1"/>
  <c r="AA38" s="1"/>
  <c r="AA39" s="1"/>
  <c r="AA40" s="1"/>
  <c r="AA41" s="1"/>
  <c r="AA42" s="1"/>
  <c r="AA43" s="1"/>
  <c r="AA44" s="1"/>
  <c r="AA45" s="1"/>
  <c r="AA46" s="1"/>
  <c r="AA47" s="1"/>
  <c r="AA48" s="1"/>
  <c r="AA49" s="1"/>
  <c r="AA50" s="1"/>
  <c r="AA51" s="1"/>
  <c r="AA52" s="1"/>
  <c r="AA53" s="1"/>
  <c r="AA54" s="1"/>
  <c r="AA55" s="1"/>
  <c r="AA56" s="1"/>
  <c r="AA57" s="1"/>
  <c r="AA58" s="1"/>
  <c r="AA59" s="1"/>
  <c r="AA60" s="1"/>
  <c r="AA61" s="1"/>
  <c r="AA62" s="1"/>
  <c r="AA63" s="1"/>
  <c r="AA64" s="1"/>
  <c r="AA65" s="1"/>
  <c r="AA66" s="1"/>
  <c r="AA67" s="1"/>
  <c r="AA68" s="1"/>
  <c r="AA69" s="1"/>
  <c r="AA70" s="1"/>
  <c r="AA71" s="1"/>
  <c r="AA72" s="1"/>
  <c r="AA73" s="1"/>
  <c r="AA74" s="1"/>
  <c r="AA75" s="1"/>
  <c r="AA76" s="1"/>
  <c r="AA77" s="1"/>
  <c r="AA78" s="1"/>
  <c r="AA79" s="1"/>
  <c r="AA80" s="1"/>
  <c r="AA81" s="1"/>
  <c r="AA82" s="1"/>
  <c r="AA83" s="1"/>
  <c r="AA84" s="1"/>
  <c r="AA85" s="1"/>
  <c r="AA86" s="1"/>
  <c r="AA87" s="1"/>
  <c r="AA88" s="1"/>
  <c r="AB3"/>
  <c r="AC3"/>
  <c r="AC4" s="1"/>
  <c r="AC5" s="1"/>
  <c r="AC6" s="1"/>
  <c r="AC7" s="1"/>
  <c r="AC8" s="1"/>
  <c r="AC9" s="1"/>
  <c r="AC10" s="1"/>
  <c r="AC11" s="1"/>
  <c r="AC12" s="1"/>
  <c r="AC13" s="1"/>
  <c r="AC14" s="1"/>
  <c r="AC15" s="1"/>
  <c r="AC16" s="1"/>
  <c r="AC17" s="1"/>
  <c r="AC18" s="1"/>
  <c r="AC19" s="1"/>
  <c r="AC20" s="1"/>
  <c r="AC21" s="1"/>
  <c r="AC22" s="1"/>
  <c r="AC23" s="1"/>
  <c r="AC24" s="1"/>
  <c r="AC25" s="1"/>
  <c r="AC26" s="1"/>
  <c r="AC27" s="1"/>
  <c r="AC28" s="1"/>
  <c r="AC29" s="1"/>
  <c r="AC30" s="1"/>
  <c r="AC31" s="1"/>
  <c r="AC32" s="1"/>
  <c r="AC33" s="1"/>
  <c r="AC34" s="1"/>
  <c r="AC35" s="1"/>
  <c r="AC36" s="1"/>
  <c r="AC37" s="1"/>
  <c r="AC38" s="1"/>
  <c r="AC39" s="1"/>
  <c r="AC40" s="1"/>
  <c r="AC41" s="1"/>
  <c r="AC42" s="1"/>
  <c r="AC43" s="1"/>
  <c r="AC44" s="1"/>
  <c r="AC45" s="1"/>
  <c r="AC46" s="1"/>
  <c r="AC47" s="1"/>
  <c r="AC48" s="1"/>
  <c r="AC49" s="1"/>
  <c r="AC50" s="1"/>
  <c r="AC51" s="1"/>
  <c r="AC52" s="1"/>
  <c r="AC53" s="1"/>
  <c r="AC54" s="1"/>
  <c r="AC55" s="1"/>
  <c r="AC56" s="1"/>
  <c r="AC57" s="1"/>
  <c r="AC58" s="1"/>
  <c r="AC59" s="1"/>
  <c r="AC60" s="1"/>
  <c r="AC61" s="1"/>
  <c r="AC62" s="1"/>
  <c r="AC63" s="1"/>
  <c r="AC64" s="1"/>
  <c r="AC65" s="1"/>
  <c r="AC66" s="1"/>
  <c r="AC67" s="1"/>
  <c r="AC68" s="1"/>
  <c r="AC69" s="1"/>
  <c r="AC70" s="1"/>
  <c r="AC71" s="1"/>
  <c r="AC72" s="1"/>
  <c r="AC73" s="1"/>
  <c r="AC74" s="1"/>
  <c r="AC75" s="1"/>
  <c r="AC76" s="1"/>
  <c r="AC77" s="1"/>
  <c r="AC78" s="1"/>
  <c r="AC79" s="1"/>
  <c r="AC80" s="1"/>
  <c r="AC81" s="1"/>
  <c r="AC82" s="1"/>
  <c r="AC83" s="1"/>
  <c r="AC84" s="1"/>
  <c r="AC85" s="1"/>
  <c r="AC86" s="1"/>
  <c r="AC87" s="1"/>
  <c r="AC88" s="1"/>
  <c r="AC89" s="1"/>
  <c r="AC90" s="1"/>
  <c r="AC91" s="1"/>
  <c r="AC92" s="1"/>
  <c r="AC93" s="1"/>
  <c r="AC94" s="1"/>
  <c r="AC95" s="1"/>
  <c r="AC96" s="1"/>
  <c r="AC97" s="1"/>
  <c r="AC98" s="1"/>
  <c r="AC99" s="1"/>
  <c r="AC100" s="1"/>
  <c r="AC101" s="1"/>
  <c r="AC102" s="1"/>
  <c r="AC103" s="1"/>
  <c r="AC104" s="1"/>
  <c r="AC105" s="1"/>
  <c r="AC106" s="1"/>
  <c r="AC107" s="1"/>
  <c r="AC108" s="1"/>
  <c r="AC109" s="1"/>
  <c r="AC110" s="1"/>
  <c r="AC111" s="1"/>
  <c r="AC112" s="1"/>
  <c r="AC113" s="1"/>
  <c r="AC114" s="1"/>
  <c r="AC115" s="1"/>
  <c r="AC116" s="1"/>
  <c r="AC117" s="1"/>
  <c r="AC118" s="1"/>
  <c r="AC119" s="1"/>
  <c r="AC120" s="1"/>
  <c r="AC121" s="1"/>
  <c r="AC122" s="1"/>
  <c r="AC123" s="1"/>
  <c r="AC124" s="1"/>
  <c r="AC125" s="1"/>
  <c r="AC126" s="1"/>
  <c r="AC127" s="1"/>
  <c r="AC128" s="1"/>
  <c r="AC129" s="1"/>
  <c r="AC130" s="1"/>
  <c r="AC131" s="1"/>
  <c r="AC132" s="1"/>
  <c r="AC133" s="1"/>
  <c r="AC134" s="1"/>
  <c r="AC135" s="1"/>
  <c r="AD3"/>
  <c r="AD4" s="1"/>
  <c r="AD5" s="1"/>
  <c r="AD6" s="1"/>
  <c r="AD7" s="1"/>
  <c r="AD8" s="1"/>
  <c r="AD9" s="1"/>
  <c r="AD10" s="1"/>
  <c r="AD11" s="1"/>
  <c r="AD12" s="1"/>
  <c r="AD13" s="1"/>
  <c r="AD14" s="1"/>
  <c r="AD15" s="1"/>
  <c r="AD16" s="1"/>
  <c r="AD17" s="1"/>
  <c r="AD18" s="1"/>
  <c r="AD19" s="1"/>
  <c r="AD20" s="1"/>
  <c r="AD21" s="1"/>
  <c r="AD22" s="1"/>
  <c r="AD23" s="1"/>
  <c r="AD24" s="1"/>
  <c r="AD25" s="1"/>
  <c r="AD26" s="1"/>
  <c r="AD27" s="1"/>
  <c r="AD28" s="1"/>
  <c r="AD29" s="1"/>
  <c r="AD30" s="1"/>
  <c r="AD31" s="1"/>
  <c r="AD32" s="1"/>
  <c r="AD33" s="1"/>
  <c r="AD34" s="1"/>
  <c r="AD35" s="1"/>
  <c r="AD36" s="1"/>
  <c r="AD37" s="1"/>
  <c r="AD38" s="1"/>
  <c r="AD39" s="1"/>
  <c r="AD40" s="1"/>
  <c r="AD41" s="1"/>
  <c r="AD42" s="1"/>
  <c r="AD43" s="1"/>
  <c r="AD44" s="1"/>
  <c r="AD45" s="1"/>
  <c r="AD46" s="1"/>
  <c r="AD47" s="1"/>
  <c r="AD48" s="1"/>
  <c r="AD49" s="1"/>
  <c r="AD50" s="1"/>
  <c r="AD51" s="1"/>
  <c r="AD52" s="1"/>
  <c r="AD53" s="1"/>
  <c r="AD54" s="1"/>
  <c r="AD55" s="1"/>
  <c r="AD56" s="1"/>
  <c r="AD57" s="1"/>
  <c r="AD58" s="1"/>
  <c r="AD59" s="1"/>
  <c r="AD60" s="1"/>
  <c r="AD61" s="1"/>
  <c r="AD62" s="1"/>
  <c r="AD63" s="1"/>
  <c r="AD64" s="1"/>
  <c r="AD65" s="1"/>
  <c r="AD66" s="1"/>
  <c r="AD67" s="1"/>
  <c r="AD68" s="1"/>
  <c r="AD69" s="1"/>
  <c r="AD70" s="1"/>
  <c r="AD71" s="1"/>
  <c r="AD72" s="1"/>
  <c r="AD73" s="1"/>
  <c r="AD74" s="1"/>
  <c r="AD75" s="1"/>
  <c r="AD76" s="1"/>
  <c r="AD77" s="1"/>
  <c r="AD78" s="1"/>
  <c r="AD79" s="1"/>
  <c r="AD80" s="1"/>
  <c r="AD81" s="1"/>
  <c r="AD82" s="1"/>
  <c r="AD83" s="1"/>
  <c r="AD84" s="1"/>
  <c r="AD85" s="1"/>
  <c r="AD86" s="1"/>
  <c r="AD87" s="1"/>
  <c r="AD88" s="1"/>
  <c r="AD89" s="1"/>
  <c r="AD90" s="1"/>
  <c r="AD91" s="1"/>
  <c r="AD92" s="1"/>
  <c r="AD93" s="1"/>
  <c r="AD94" s="1"/>
  <c r="AD95" s="1"/>
  <c r="AD96" s="1"/>
  <c r="AD97" s="1"/>
  <c r="AD98" s="1"/>
  <c r="AD99" s="1"/>
  <c r="AD100" s="1"/>
  <c r="AD101" s="1"/>
  <c r="AD102" s="1"/>
  <c r="AD103" s="1"/>
  <c r="AD104" s="1"/>
  <c r="AD105" s="1"/>
  <c r="AD106" s="1"/>
  <c r="AD107" s="1"/>
  <c r="AD108" s="1"/>
  <c r="AD109" s="1"/>
  <c r="AD110" s="1"/>
  <c r="AD111" s="1"/>
  <c r="AD112" s="1"/>
  <c r="AD113" s="1"/>
  <c r="AD114" s="1"/>
  <c r="AD115" s="1"/>
  <c r="AD116" s="1"/>
  <c r="AD117" s="1"/>
  <c r="AD118" s="1"/>
  <c r="AD119" s="1"/>
  <c r="AD120" s="1"/>
  <c r="AD121" s="1"/>
  <c r="AD122" s="1"/>
  <c r="AD123" s="1"/>
  <c r="AD124" s="1"/>
  <c r="AD125" s="1"/>
  <c r="AD126" s="1"/>
  <c r="AD127" s="1"/>
  <c r="AD128" s="1"/>
  <c r="AD129" s="1"/>
  <c r="AD130" s="1"/>
  <c r="AD131" s="1"/>
  <c r="AD132" s="1"/>
  <c r="AD133" s="1"/>
  <c r="AD134" s="1"/>
  <c r="AD135" s="1"/>
  <c r="AE3"/>
  <c r="AE4"/>
  <c r="AE5"/>
  <c r="AE6"/>
  <c r="AE7" s="1"/>
  <c r="AE8" s="1"/>
  <c r="AE9" s="1"/>
  <c r="AE10" s="1"/>
  <c r="AE11" s="1"/>
  <c r="AE12" s="1"/>
  <c r="AE13" s="1"/>
  <c r="AE14" s="1"/>
  <c r="AE15" s="1"/>
  <c r="AE16" s="1"/>
  <c r="AE17" s="1"/>
  <c r="AE18" s="1"/>
  <c r="AE19" s="1"/>
  <c r="AE20" s="1"/>
  <c r="AE21" s="1"/>
  <c r="AE22" s="1"/>
  <c r="AE23" s="1"/>
  <c r="AE24" s="1"/>
  <c r="AE25" s="1"/>
  <c r="AE26" s="1"/>
  <c r="AE27" s="1"/>
  <c r="AE28" s="1"/>
  <c r="AE29" s="1"/>
  <c r="AE30" s="1"/>
  <c r="AE31" s="1"/>
  <c r="AE32" s="1"/>
  <c r="AE33" s="1"/>
  <c r="AE34" s="1"/>
  <c r="AE35" s="1"/>
  <c r="AE36" s="1"/>
  <c r="AE37" s="1"/>
  <c r="AE38" s="1"/>
  <c r="AE39" s="1"/>
  <c r="AE40" s="1"/>
  <c r="AE41" s="1"/>
  <c r="AE42" s="1"/>
  <c r="AE43" s="1"/>
  <c r="AE44" s="1"/>
  <c r="AE45" s="1"/>
  <c r="AE46" s="1"/>
  <c r="AE47" s="1"/>
  <c r="AE48" s="1"/>
  <c r="AE49" s="1"/>
  <c r="AE50" s="1"/>
  <c r="AE51" s="1"/>
  <c r="AE52" s="1"/>
  <c r="AE53" s="1"/>
  <c r="AE54" s="1"/>
  <c r="AE55" s="1"/>
  <c r="AE56" s="1"/>
  <c r="AE57" s="1"/>
  <c r="AE58" s="1"/>
  <c r="AE59" s="1"/>
  <c r="AE60" s="1"/>
  <c r="AE61" s="1"/>
  <c r="AE62" s="1"/>
  <c r="AE63" s="1"/>
  <c r="AE64" s="1"/>
  <c r="AE65" s="1"/>
  <c r="AE66" s="1"/>
  <c r="AE67" s="1"/>
  <c r="AE68" s="1"/>
  <c r="AE69" s="1"/>
  <c r="AE70" s="1"/>
  <c r="AE71" s="1"/>
  <c r="AE72" s="1"/>
  <c r="AE73" s="1"/>
  <c r="AE74" s="1"/>
  <c r="AE75" s="1"/>
  <c r="AE76" s="1"/>
  <c r="AE77" s="1"/>
  <c r="AE78" s="1"/>
  <c r="AE79" s="1"/>
  <c r="AE80" s="1"/>
  <c r="AE81" s="1"/>
  <c r="AE82" s="1"/>
  <c r="AE83" s="1"/>
  <c r="AE84" s="1"/>
  <c r="AE85" s="1"/>
  <c r="AE86" s="1"/>
  <c r="AE87" s="1"/>
  <c r="AE88" s="1"/>
  <c r="AF3"/>
  <c r="AF4"/>
  <c r="AF5" s="1"/>
  <c r="AF6" s="1"/>
  <c r="AF7" s="1"/>
  <c r="AF8" s="1"/>
  <c r="AF9" s="1"/>
  <c r="AF10" s="1"/>
  <c r="AF11" s="1"/>
  <c r="AF12" s="1"/>
  <c r="AF13" s="1"/>
  <c r="AF14" s="1"/>
  <c r="AF15" s="1"/>
  <c r="AF16" s="1"/>
  <c r="AF17" s="1"/>
  <c r="AF18" s="1"/>
  <c r="AF19" s="1"/>
  <c r="AF20" s="1"/>
  <c r="AF21" s="1"/>
  <c r="AF22" s="1"/>
  <c r="AF23" s="1"/>
  <c r="AF24" s="1"/>
  <c r="AF25" s="1"/>
  <c r="AF26" s="1"/>
  <c r="AF27" s="1"/>
  <c r="AF28" s="1"/>
  <c r="AF29" s="1"/>
  <c r="AF30" s="1"/>
  <c r="AF31" s="1"/>
  <c r="AF32" s="1"/>
  <c r="AF33" s="1"/>
  <c r="AF34" s="1"/>
  <c r="AF35" s="1"/>
  <c r="AF36" s="1"/>
  <c r="AF37" s="1"/>
  <c r="AF38" s="1"/>
  <c r="AF39" s="1"/>
  <c r="AF40"/>
  <c r="AF41" s="1"/>
  <c r="AF42" s="1"/>
  <c r="AF43" s="1"/>
  <c r="AF44" s="1"/>
  <c r="AF45" s="1"/>
  <c r="AF46" s="1"/>
  <c r="AF47" s="1"/>
  <c r="AF48" s="1"/>
  <c r="AF49" s="1"/>
  <c r="AF50" s="1"/>
  <c r="AF51" s="1"/>
  <c r="AF52" s="1"/>
  <c r="AF53" s="1"/>
  <c r="AF54" s="1"/>
  <c r="AF55" s="1"/>
  <c r="AF56" s="1"/>
  <c r="AF57" s="1"/>
  <c r="AF58" s="1"/>
  <c r="AF59" s="1"/>
  <c r="AF60" s="1"/>
  <c r="AF61" s="1"/>
  <c r="AF62" s="1"/>
  <c r="AF63" s="1"/>
  <c r="AF64" s="1"/>
  <c r="AF65" s="1"/>
  <c r="AF66" s="1"/>
  <c r="AF67" s="1"/>
  <c r="AF68" s="1"/>
  <c r="AF69" s="1"/>
  <c r="AF70" s="1"/>
  <c r="AF71" s="1"/>
  <c r="AF72" s="1"/>
  <c r="AF73" s="1"/>
  <c r="AF74" s="1"/>
  <c r="AF75" s="1"/>
  <c r="AF76" s="1"/>
  <c r="AF77" s="1"/>
  <c r="AF78" s="1"/>
  <c r="AF79" s="1"/>
  <c r="AF80" s="1"/>
  <c r="AF81" s="1"/>
  <c r="AF82" s="1"/>
  <c r="AF83" s="1"/>
  <c r="AF84" s="1"/>
  <c r="AF85" s="1"/>
  <c r="AF86" s="1"/>
  <c r="AF87" s="1"/>
  <c r="AF88" s="1"/>
  <c r="AG3"/>
  <c r="AG4" s="1"/>
  <c r="AG5" s="1"/>
  <c r="AG6" s="1"/>
  <c r="AG7" s="1"/>
  <c r="AG8" s="1"/>
  <c r="AG9" s="1"/>
  <c r="AG10" s="1"/>
  <c r="AG11" s="1"/>
  <c r="AG12" s="1"/>
  <c r="AG13" s="1"/>
  <c r="AG14" s="1"/>
  <c r="AG15" s="1"/>
  <c r="AG16" s="1"/>
  <c r="AG17" s="1"/>
  <c r="AG18" s="1"/>
  <c r="AG19" s="1"/>
  <c r="AG20" s="1"/>
  <c r="AG21" s="1"/>
  <c r="AG22" s="1"/>
  <c r="AG23" s="1"/>
  <c r="AG24" s="1"/>
  <c r="AG25" s="1"/>
  <c r="AG26" s="1"/>
  <c r="AG27" s="1"/>
  <c r="AG28" s="1"/>
  <c r="AG29" s="1"/>
  <c r="AG30" s="1"/>
  <c r="AG31" s="1"/>
  <c r="AG32" s="1"/>
  <c r="AG33" s="1"/>
  <c r="AG34" s="1"/>
  <c r="AG35" s="1"/>
  <c r="AG36" s="1"/>
  <c r="AG37" s="1"/>
  <c r="AG38" s="1"/>
  <c r="AG39" s="1"/>
  <c r="AG40" s="1"/>
  <c r="AG41" s="1"/>
  <c r="AG42" s="1"/>
  <c r="AG43" s="1"/>
  <c r="AG44" s="1"/>
  <c r="AG45" s="1"/>
  <c r="AG46" s="1"/>
  <c r="AG47" s="1"/>
  <c r="AG48" s="1"/>
  <c r="AG49" s="1"/>
  <c r="AG50" s="1"/>
  <c r="AG51" s="1"/>
  <c r="AG52" s="1"/>
  <c r="AG53" s="1"/>
  <c r="AG54" s="1"/>
  <c r="AG55" s="1"/>
  <c r="AG56" s="1"/>
  <c r="AG57" s="1"/>
  <c r="AG58" s="1"/>
  <c r="AG59" s="1"/>
  <c r="AG60" s="1"/>
  <c r="AG61" s="1"/>
  <c r="AG62" s="1"/>
  <c r="AG63" s="1"/>
  <c r="AG64" s="1"/>
  <c r="AG65" s="1"/>
  <c r="AG66" s="1"/>
  <c r="AG67" s="1"/>
  <c r="AG68" s="1"/>
  <c r="AG69" s="1"/>
  <c r="AG70" s="1"/>
  <c r="AG71" s="1"/>
  <c r="AG72" s="1"/>
  <c r="AG73" s="1"/>
  <c r="AG74" s="1"/>
  <c r="AG75" s="1"/>
  <c r="AG76" s="1"/>
  <c r="AG77" s="1"/>
  <c r="AG78" s="1"/>
  <c r="AG79" s="1"/>
  <c r="AG80" s="1"/>
  <c r="AG81" s="1"/>
  <c r="AG82" s="1"/>
  <c r="AG83" s="1"/>
  <c r="AG84" s="1"/>
  <c r="AG85" s="1"/>
  <c r="AG86" s="1"/>
  <c r="AG87" s="1"/>
  <c r="AG88" s="1"/>
  <c r="AG89" s="1"/>
  <c r="AG90" s="1"/>
  <c r="AG91" s="1"/>
  <c r="AG92" s="1"/>
  <c r="AG93" s="1"/>
  <c r="AG94" s="1"/>
  <c r="AG95" s="1"/>
  <c r="AG96" s="1"/>
  <c r="AG97" s="1"/>
  <c r="AG98" s="1"/>
  <c r="AG99" s="1"/>
  <c r="AG100" s="1"/>
  <c r="AG101" s="1"/>
  <c r="AG102" s="1"/>
  <c r="AG103" s="1"/>
  <c r="AG104" s="1"/>
  <c r="AG105" s="1"/>
  <c r="AG106" s="1"/>
  <c r="AG107" s="1"/>
  <c r="AG108" s="1"/>
  <c r="AG109" s="1"/>
  <c r="AG110" s="1"/>
  <c r="AG111" s="1"/>
  <c r="AG112" s="1"/>
  <c r="AG113" s="1"/>
  <c r="AG114" s="1"/>
  <c r="AG115" s="1"/>
  <c r="AG116" s="1"/>
  <c r="AG117" s="1"/>
  <c r="AG118" s="1"/>
  <c r="AG119" s="1"/>
  <c r="AG120" s="1"/>
  <c r="AG121" s="1"/>
  <c r="AG122" s="1"/>
  <c r="AG123" s="1"/>
  <c r="AG124" s="1"/>
  <c r="AG125" s="1"/>
  <c r="AG126" s="1"/>
  <c r="AG127" s="1"/>
  <c r="AG128" s="1"/>
  <c r="AG129" s="1"/>
  <c r="AG130" s="1"/>
  <c r="AG131" s="1"/>
  <c r="AG132" s="1"/>
  <c r="AG133" s="1"/>
  <c r="AG134" s="1"/>
  <c r="AG135" s="1"/>
  <c r="AH3"/>
  <c r="AH4" s="1"/>
  <c r="AH5" s="1"/>
  <c r="AH6" s="1"/>
  <c r="AH7" s="1"/>
  <c r="AH8" s="1"/>
  <c r="AH9" s="1"/>
  <c r="AH10" s="1"/>
  <c r="AH11" s="1"/>
  <c r="AH12" s="1"/>
  <c r="AH13" s="1"/>
  <c r="AH14" s="1"/>
  <c r="AH15" s="1"/>
  <c r="AH16" s="1"/>
  <c r="AH17" s="1"/>
  <c r="AH18" s="1"/>
  <c r="AH19" s="1"/>
  <c r="AH20" s="1"/>
  <c r="AH21" s="1"/>
  <c r="AH22" s="1"/>
  <c r="AH23" s="1"/>
  <c r="AH24" s="1"/>
  <c r="AH25" s="1"/>
  <c r="AH26" s="1"/>
  <c r="AH27" s="1"/>
  <c r="AH28" s="1"/>
  <c r="AH29" s="1"/>
  <c r="AH30" s="1"/>
  <c r="AH31" s="1"/>
  <c r="AH32" s="1"/>
  <c r="AH33" s="1"/>
  <c r="AH34" s="1"/>
  <c r="AH35"/>
  <c r="AH36" s="1"/>
  <c r="AH37" s="1"/>
  <c r="AH38" s="1"/>
  <c r="AH39" s="1"/>
  <c r="AH40" s="1"/>
  <c r="AH41" s="1"/>
  <c r="AH42" s="1"/>
  <c r="AH43" s="1"/>
  <c r="AH44" s="1"/>
  <c r="AH45" s="1"/>
  <c r="AH46" s="1"/>
  <c r="AH47" s="1"/>
  <c r="AH48" s="1"/>
  <c r="AH49" s="1"/>
  <c r="AH50" s="1"/>
  <c r="AH51" s="1"/>
  <c r="AH52" s="1"/>
  <c r="AH53" s="1"/>
  <c r="AH54" s="1"/>
  <c r="AH55" s="1"/>
  <c r="AH56" s="1"/>
  <c r="AH57" s="1"/>
  <c r="AH58" s="1"/>
  <c r="AH59" s="1"/>
  <c r="AH60" s="1"/>
  <c r="AH61" s="1"/>
  <c r="AH62" s="1"/>
  <c r="AH63" s="1"/>
  <c r="AH64" s="1"/>
  <c r="AH65" s="1"/>
  <c r="AH66" s="1"/>
  <c r="AH67"/>
  <c r="AH68" s="1"/>
  <c r="AH69" s="1"/>
  <c r="AH70" s="1"/>
  <c r="AH71" s="1"/>
  <c r="AH72" s="1"/>
  <c r="AH73" s="1"/>
  <c r="AH74" s="1"/>
  <c r="AH75" s="1"/>
  <c r="AH76" s="1"/>
  <c r="AH77" s="1"/>
  <c r="AH78" s="1"/>
  <c r="AH79" s="1"/>
  <c r="AH80" s="1"/>
  <c r="AH81" s="1"/>
  <c r="AH82" s="1"/>
  <c r="AH83" s="1"/>
  <c r="AH84" s="1"/>
  <c r="AH85" s="1"/>
  <c r="AH86" s="1"/>
  <c r="AH87" s="1"/>
  <c r="AH88" s="1"/>
  <c r="AH89" s="1"/>
  <c r="AH90" s="1"/>
  <c r="AH91" s="1"/>
  <c r="AI3"/>
  <c r="AI4"/>
  <c r="AI5"/>
  <c r="AI6" s="1"/>
  <c r="AI7" s="1"/>
  <c r="AI8" s="1"/>
  <c r="AI9" s="1"/>
  <c r="AI10" s="1"/>
  <c r="AI11" s="1"/>
  <c r="AI12" s="1"/>
  <c r="AI13" s="1"/>
  <c r="AI14" s="1"/>
  <c r="AI15" s="1"/>
  <c r="AI16" s="1"/>
  <c r="AI17" s="1"/>
  <c r="AI18" s="1"/>
  <c r="AI19" s="1"/>
  <c r="AI20" s="1"/>
  <c r="AI21" s="1"/>
  <c r="AI22" s="1"/>
  <c r="AI23" s="1"/>
  <c r="AI24" s="1"/>
  <c r="AI25" s="1"/>
  <c r="AI26" s="1"/>
  <c r="AI27" s="1"/>
  <c r="AI28" s="1"/>
  <c r="AI29" s="1"/>
  <c r="AI30" s="1"/>
  <c r="AI31" s="1"/>
  <c r="AI32" s="1"/>
  <c r="AI33" s="1"/>
  <c r="AI34" s="1"/>
  <c r="AI35" s="1"/>
  <c r="AI36" s="1"/>
  <c r="AI37"/>
  <c r="AI38" s="1"/>
  <c r="AI39" s="1"/>
  <c r="AI40" s="1"/>
  <c r="AI41" s="1"/>
  <c r="AI42" s="1"/>
  <c r="AI43" s="1"/>
  <c r="AI44" s="1"/>
  <c r="AI45" s="1"/>
  <c r="AI46" s="1"/>
  <c r="AI47" s="1"/>
  <c r="AI48" s="1"/>
  <c r="AI49" s="1"/>
  <c r="AI50" s="1"/>
  <c r="AI51" s="1"/>
  <c r="AI52" s="1"/>
  <c r="AI53" s="1"/>
  <c r="AI54" s="1"/>
  <c r="AI55" s="1"/>
  <c r="AI56" s="1"/>
  <c r="AI57" s="1"/>
  <c r="AI58" s="1"/>
  <c r="AI59" s="1"/>
  <c r="AI60" s="1"/>
  <c r="AI61" s="1"/>
  <c r="AI62" s="1"/>
  <c r="AI63" s="1"/>
  <c r="AI64" s="1"/>
  <c r="AI65" s="1"/>
  <c r="AI66" s="1"/>
  <c r="AI67" s="1"/>
  <c r="AI68" s="1"/>
  <c r="AI69" s="1"/>
  <c r="AI70" s="1"/>
  <c r="AI71" s="1"/>
  <c r="AI72" s="1"/>
  <c r="AI73" s="1"/>
  <c r="AI74" s="1"/>
  <c r="AI75" s="1"/>
  <c r="AI76" s="1"/>
  <c r="AI77" s="1"/>
  <c r="AI78" s="1"/>
  <c r="AI79" s="1"/>
  <c r="AI80" s="1"/>
  <c r="AI81" s="1"/>
  <c r="AI82" s="1"/>
  <c r="AI83" s="1"/>
  <c r="AI84" s="1"/>
  <c r="AI85" s="1"/>
  <c r="AI86" s="1"/>
  <c r="AI87" s="1"/>
  <c r="AI88" s="1"/>
  <c r="AJ3"/>
  <c r="CM3" i="8"/>
  <c r="AK3" i="14"/>
  <c r="AK4" s="1"/>
  <c r="AK5" s="1"/>
  <c r="AK6" s="1"/>
  <c r="AK7" s="1"/>
  <c r="AK8" s="1"/>
  <c r="AK9" s="1"/>
  <c r="AK10" s="1"/>
  <c r="AK11" s="1"/>
  <c r="AK12" s="1"/>
  <c r="AK13" s="1"/>
  <c r="AK14" s="1"/>
  <c r="AK15" s="1"/>
  <c r="AK16" s="1"/>
  <c r="AK17" s="1"/>
  <c r="AK18" s="1"/>
  <c r="AK19" s="1"/>
  <c r="AK20" s="1"/>
  <c r="AK21" s="1"/>
  <c r="AK22" s="1"/>
  <c r="AK23" s="1"/>
  <c r="AK24" s="1"/>
  <c r="AK25" s="1"/>
  <c r="AK26" s="1"/>
  <c r="AK27" s="1"/>
  <c r="AK28" s="1"/>
  <c r="AK29" s="1"/>
  <c r="AK30" s="1"/>
  <c r="AK31" s="1"/>
  <c r="AK32" s="1"/>
  <c r="AK33" s="1"/>
  <c r="AK34" s="1"/>
  <c r="AK35" s="1"/>
  <c r="AK36" s="1"/>
  <c r="AK37" s="1"/>
  <c r="AK38" s="1"/>
  <c r="AK39" s="1"/>
  <c r="AK40" s="1"/>
  <c r="AK41" s="1"/>
  <c r="AK42" s="1"/>
  <c r="AK43" s="1"/>
  <c r="AK44" s="1"/>
  <c r="AK45" s="1"/>
  <c r="AK46" s="1"/>
  <c r="AK47" s="1"/>
  <c r="AK48" s="1"/>
  <c r="AK49" s="1"/>
  <c r="AK50" s="1"/>
  <c r="AK51" s="1"/>
  <c r="AK52" s="1"/>
  <c r="AK53" s="1"/>
  <c r="AK54" s="1"/>
  <c r="AK55" s="1"/>
  <c r="AK56" s="1"/>
  <c r="AK57" s="1"/>
  <c r="AK58" s="1"/>
  <c r="AK59" s="1"/>
  <c r="AK60" s="1"/>
  <c r="AK61" s="1"/>
  <c r="AK62" s="1"/>
  <c r="AK63" s="1"/>
  <c r="AK64" s="1"/>
  <c r="AK65" s="1"/>
  <c r="AK66" s="1"/>
  <c r="AK67" s="1"/>
  <c r="AK68" s="1"/>
  <c r="AK69" s="1"/>
  <c r="AK70" s="1"/>
  <c r="AK71" s="1"/>
  <c r="AK72" s="1"/>
  <c r="AK73" s="1"/>
  <c r="AK74" s="1"/>
  <c r="AK75" s="1"/>
  <c r="AK76" s="1"/>
  <c r="AK77" s="1"/>
  <c r="AK78" s="1"/>
  <c r="AK79" s="1"/>
  <c r="AK80" s="1"/>
  <c r="AK81" s="1"/>
  <c r="AK82" s="1"/>
  <c r="AK83" s="1"/>
  <c r="AK84" s="1"/>
  <c r="AK85" s="1"/>
  <c r="AK86" s="1"/>
  <c r="AK87" s="1"/>
  <c r="AK88" s="1"/>
  <c r="AL3"/>
  <c r="AL4"/>
  <c r="AL5"/>
  <c r="AL6" s="1"/>
  <c r="AL7" s="1"/>
  <c r="AL8" s="1"/>
  <c r="AL9" s="1"/>
  <c r="AL10" s="1"/>
  <c r="AL11" s="1"/>
  <c r="AL12" s="1"/>
  <c r="AL13" s="1"/>
  <c r="AL14" s="1"/>
  <c r="AL15" s="1"/>
  <c r="AL16" s="1"/>
  <c r="AL17" s="1"/>
  <c r="AL18" s="1"/>
  <c r="AL19" s="1"/>
  <c r="AL20" s="1"/>
  <c r="AL21" s="1"/>
  <c r="AL22" s="1"/>
  <c r="AL23" s="1"/>
  <c r="AL24" s="1"/>
  <c r="AL25" s="1"/>
  <c r="AL26" s="1"/>
  <c r="AL27" s="1"/>
  <c r="AL28" s="1"/>
  <c r="AL29" s="1"/>
  <c r="AL30" s="1"/>
  <c r="AL31" s="1"/>
  <c r="AL32" s="1"/>
  <c r="AL33" s="1"/>
  <c r="AL34" s="1"/>
  <c r="AL35" s="1"/>
  <c r="AL36" s="1"/>
  <c r="AL37" s="1"/>
  <c r="AL38" s="1"/>
  <c r="AL39" s="1"/>
  <c r="AL40" s="1"/>
  <c r="AL41" s="1"/>
  <c r="AL42" s="1"/>
  <c r="AL43" s="1"/>
  <c r="AL44" s="1"/>
  <c r="AL45" s="1"/>
  <c r="AL46" s="1"/>
  <c r="AL47" s="1"/>
  <c r="AL48" s="1"/>
  <c r="AL49" s="1"/>
  <c r="AL50" s="1"/>
  <c r="AL51" s="1"/>
  <c r="AL52" s="1"/>
  <c r="AL53" s="1"/>
  <c r="AL54" s="1"/>
  <c r="AL55" s="1"/>
  <c r="AL56" s="1"/>
  <c r="AL57" s="1"/>
  <c r="AL58" s="1"/>
  <c r="AL59" s="1"/>
  <c r="AL60" s="1"/>
  <c r="AL61" s="1"/>
  <c r="AL62" s="1"/>
  <c r="AL63" s="1"/>
  <c r="AL64" s="1"/>
  <c r="AL65" s="1"/>
  <c r="AL66" s="1"/>
  <c r="AL67" s="1"/>
  <c r="AL68" s="1"/>
  <c r="AL69" s="1"/>
  <c r="AL70" s="1"/>
  <c r="AL71" s="1"/>
  <c r="AL72" s="1"/>
  <c r="AL73" s="1"/>
  <c r="AL74" s="1"/>
  <c r="AL75" s="1"/>
  <c r="AL76" s="1"/>
  <c r="AL77" s="1"/>
  <c r="AL78" s="1"/>
  <c r="AL79" s="1"/>
  <c r="AL80" s="1"/>
  <c r="AL81" s="1"/>
  <c r="AL82" s="1"/>
  <c r="AL83" s="1"/>
  <c r="AL84" s="1"/>
  <c r="AL85" s="1"/>
  <c r="AL86" s="1"/>
  <c r="AL87" s="1"/>
  <c r="AL88" s="1"/>
  <c r="AM3"/>
  <c r="AM4" s="1"/>
  <c r="AM5" s="1"/>
  <c r="AM6" s="1"/>
  <c r="AM7" s="1"/>
  <c r="AM8" s="1"/>
  <c r="AM9" s="1"/>
  <c r="AM10" s="1"/>
  <c r="AM11" s="1"/>
  <c r="AM12" s="1"/>
  <c r="AM13" s="1"/>
  <c r="AM14" s="1"/>
  <c r="AM15" s="1"/>
  <c r="AM16" s="1"/>
  <c r="AM17" s="1"/>
  <c r="AM18" s="1"/>
  <c r="AM19" s="1"/>
  <c r="AM20" s="1"/>
  <c r="AM21" s="1"/>
  <c r="AM22" s="1"/>
  <c r="AM23" s="1"/>
  <c r="AM24" s="1"/>
  <c r="AM25" s="1"/>
  <c r="AM26" s="1"/>
  <c r="AM27" s="1"/>
  <c r="AM28" s="1"/>
  <c r="AM29" s="1"/>
  <c r="AM30" s="1"/>
  <c r="AM31" s="1"/>
  <c r="AM32" s="1"/>
  <c r="AM33" s="1"/>
  <c r="AM34" s="1"/>
  <c r="AM35" s="1"/>
  <c r="AM36" s="1"/>
  <c r="AM37" s="1"/>
  <c r="AM38" s="1"/>
  <c r="AM39" s="1"/>
  <c r="AM40" s="1"/>
  <c r="AM41" s="1"/>
  <c r="AM42" s="1"/>
  <c r="AM43" s="1"/>
  <c r="AM44" s="1"/>
  <c r="AM45" s="1"/>
  <c r="AM46" s="1"/>
  <c r="AM47" s="1"/>
  <c r="AM48" s="1"/>
  <c r="AM49" s="1"/>
  <c r="AM50" s="1"/>
  <c r="AM51" s="1"/>
  <c r="AM52" s="1"/>
  <c r="AM53" s="1"/>
  <c r="AM54" s="1"/>
  <c r="AM55" s="1"/>
  <c r="AM56" s="1"/>
  <c r="AM57" s="1"/>
  <c r="AM58" s="1"/>
  <c r="AM59" s="1"/>
  <c r="AM60" s="1"/>
  <c r="AM61" s="1"/>
  <c r="AM62" s="1"/>
  <c r="AM63" s="1"/>
  <c r="AM64" s="1"/>
  <c r="AM65" s="1"/>
  <c r="AM66" s="1"/>
  <c r="AM67" s="1"/>
  <c r="AM68" s="1"/>
  <c r="AM69" s="1"/>
  <c r="AM70" s="1"/>
  <c r="AM71" s="1"/>
  <c r="AM72" s="1"/>
  <c r="AM73" s="1"/>
  <c r="AM74" s="1"/>
  <c r="AM75" s="1"/>
  <c r="AM76" s="1"/>
  <c r="AM77" s="1"/>
  <c r="AM78" s="1"/>
  <c r="AM79" s="1"/>
  <c r="AM80" s="1"/>
  <c r="AM81" s="1"/>
  <c r="AM82" s="1"/>
  <c r="AM83" s="1"/>
  <c r="AM84" s="1"/>
  <c r="AM85" s="1"/>
  <c r="AM86" s="1"/>
  <c r="AM87" s="1"/>
  <c r="AM88" s="1"/>
  <c r="AN3"/>
  <c r="AN4"/>
  <c r="AN5"/>
  <c r="AN6" s="1"/>
  <c r="AN7" s="1"/>
  <c r="AN8" s="1"/>
  <c r="AN9" s="1"/>
  <c r="AN10" s="1"/>
  <c r="AN11" s="1"/>
  <c r="AN12" s="1"/>
  <c r="AN13" s="1"/>
  <c r="AN14" s="1"/>
  <c r="AN15" s="1"/>
  <c r="AN16" s="1"/>
  <c r="AN17"/>
  <c r="AN18" s="1"/>
  <c r="AN19" s="1"/>
  <c r="AN20" s="1"/>
  <c r="AN21" s="1"/>
  <c r="AN22" s="1"/>
  <c r="AN23" s="1"/>
  <c r="AN24" s="1"/>
  <c r="AN25" s="1"/>
  <c r="AN26" s="1"/>
  <c r="AN27" s="1"/>
  <c r="AN28" s="1"/>
  <c r="AN29" s="1"/>
  <c r="AN30" s="1"/>
  <c r="AN31" s="1"/>
  <c r="AN32" s="1"/>
  <c r="AN33" s="1"/>
  <c r="AN34" s="1"/>
  <c r="AN35" s="1"/>
  <c r="AN36" s="1"/>
  <c r="AN37" s="1"/>
  <c r="AN38" s="1"/>
  <c r="AN39" s="1"/>
  <c r="AN40" s="1"/>
  <c r="AN41" s="1"/>
  <c r="AN42" s="1"/>
  <c r="AN43" s="1"/>
  <c r="AN44" s="1"/>
  <c r="AN45" s="1"/>
  <c r="AN46" s="1"/>
  <c r="AN47" s="1"/>
  <c r="AN48" s="1"/>
  <c r="AN49"/>
  <c r="AN50" s="1"/>
  <c r="AN51" s="1"/>
  <c r="AN52" s="1"/>
  <c r="AN53" s="1"/>
  <c r="AN54" s="1"/>
  <c r="AN55" s="1"/>
  <c r="AN56" s="1"/>
  <c r="AN57" s="1"/>
  <c r="AN58" s="1"/>
  <c r="AN59" s="1"/>
  <c r="AN60" s="1"/>
  <c r="AN61" s="1"/>
  <c r="AN62" s="1"/>
  <c r="AN63" s="1"/>
  <c r="AN64" s="1"/>
  <c r="AN65" s="1"/>
  <c r="AN66" s="1"/>
  <c r="AN67" s="1"/>
  <c r="AN68" s="1"/>
  <c r="AN69" s="1"/>
  <c r="AN70" s="1"/>
  <c r="AN71" s="1"/>
  <c r="AN72" s="1"/>
  <c r="AN73" s="1"/>
  <c r="AN74" s="1"/>
  <c r="AN75" s="1"/>
  <c r="AN76" s="1"/>
  <c r="AN77" s="1"/>
  <c r="AN78" s="1"/>
  <c r="AN79" s="1"/>
  <c r="AN80" s="1"/>
  <c r="AN81" s="1"/>
  <c r="AN82" s="1"/>
  <c r="AN83" s="1"/>
  <c r="AN84" s="1"/>
  <c r="AN85" s="1"/>
  <c r="AN86" s="1"/>
  <c r="AN87" s="1"/>
  <c r="AN88" s="1"/>
  <c r="AO3"/>
  <c r="AO4"/>
  <c r="AO5" s="1"/>
  <c r="AO6" s="1"/>
  <c r="AO7" s="1"/>
  <c r="AO8" s="1"/>
  <c r="AO9" s="1"/>
  <c r="AO10" s="1"/>
  <c r="AO11" s="1"/>
  <c r="AO12" s="1"/>
  <c r="AO13" s="1"/>
  <c r="AO14" s="1"/>
  <c r="AO15"/>
  <c r="AO16" s="1"/>
  <c r="AO17" s="1"/>
  <c r="AO18" s="1"/>
  <c r="AO19" s="1"/>
  <c r="AO20" s="1"/>
  <c r="AO21" s="1"/>
  <c r="AO22" s="1"/>
  <c r="AO23" s="1"/>
  <c r="AO24" s="1"/>
  <c r="AO25" s="1"/>
  <c r="AO26" s="1"/>
  <c r="AO27" s="1"/>
  <c r="AO28" s="1"/>
  <c r="AO29" s="1"/>
  <c r="AO30" s="1"/>
  <c r="AO31" s="1"/>
  <c r="AO32" s="1"/>
  <c r="AO33" s="1"/>
  <c r="AO34" s="1"/>
  <c r="AO35" s="1"/>
  <c r="AO36" s="1"/>
  <c r="AO37" s="1"/>
  <c r="AO38" s="1"/>
  <c r="AO39" s="1"/>
  <c r="AO40" s="1"/>
  <c r="AO41" s="1"/>
  <c r="AO42" s="1"/>
  <c r="AO43" s="1"/>
  <c r="AO44" s="1"/>
  <c r="AO45" s="1"/>
  <c r="AO46" s="1"/>
  <c r="AO47" s="1"/>
  <c r="AO48" s="1"/>
  <c r="AO49" s="1"/>
  <c r="AO50" s="1"/>
  <c r="AO51" s="1"/>
  <c r="AO52" s="1"/>
  <c r="AO53" s="1"/>
  <c r="AO54" s="1"/>
  <c r="AO55" s="1"/>
  <c r="AO56" s="1"/>
  <c r="AO57" s="1"/>
  <c r="AO58" s="1"/>
  <c r="AO59" s="1"/>
  <c r="AO60" s="1"/>
  <c r="AO61" s="1"/>
  <c r="AO62" s="1"/>
  <c r="AO63" s="1"/>
  <c r="AO64" s="1"/>
  <c r="AO65" s="1"/>
  <c r="AO66" s="1"/>
  <c r="AO67" s="1"/>
  <c r="AO68" s="1"/>
  <c r="AO69" s="1"/>
  <c r="AO70" s="1"/>
  <c r="AO71" s="1"/>
  <c r="AO72" s="1"/>
  <c r="AO73" s="1"/>
  <c r="AO74" s="1"/>
  <c r="AO75" s="1"/>
  <c r="AO76" s="1"/>
  <c r="AO77" s="1"/>
  <c r="AO78" s="1"/>
  <c r="AO79" s="1"/>
  <c r="AO80" s="1"/>
  <c r="AO81" s="1"/>
  <c r="AO82" s="1"/>
  <c r="AO83" s="1"/>
  <c r="AO84" s="1"/>
  <c r="AO85" s="1"/>
  <c r="AO86" s="1"/>
  <c r="AO87" s="1"/>
  <c r="AO88" s="1"/>
  <c r="AP3"/>
  <c r="AP4" s="1"/>
  <c r="AP5" s="1"/>
  <c r="AP6"/>
  <c r="AP7"/>
  <c r="AP8" s="1"/>
  <c r="AP9" s="1"/>
  <c r="AP10" s="1"/>
  <c r="AP11" s="1"/>
  <c r="AP12" s="1"/>
  <c r="AP13" s="1"/>
  <c r="AP14" s="1"/>
  <c r="AP15" s="1"/>
  <c r="AP16" s="1"/>
  <c r="AP17" s="1"/>
  <c r="AP18" s="1"/>
  <c r="AP19" s="1"/>
  <c r="AP20" s="1"/>
  <c r="AP21" s="1"/>
  <c r="AP22" s="1"/>
  <c r="AP23" s="1"/>
  <c r="AP24" s="1"/>
  <c r="AP25" s="1"/>
  <c r="AP26" s="1"/>
  <c r="AP27" s="1"/>
  <c r="AP28" s="1"/>
  <c r="AP29" s="1"/>
  <c r="AP30" s="1"/>
  <c r="AP31" s="1"/>
  <c r="AP32" s="1"/>
  <c r="AP33" s="1"/>
  <c r="AP34" s="1"/>
  <c r="AP35" s="1"/>
  <c r="AP36" s="1"/>
  <c r="AP37" s="1"/>
  <c r="AP38" s="1"/>
  <c r="AP39" s="1"/>
  <c r="AP40" s="1"/>
  <c r="AP41" s="1"/>
  <c r="AP42" s="1"/>
  <c r="AP43" s="1"/>
  <c r="AP44" s="1"/>
  <c r="AP45" s="1"/>
  <c r="AP46" s="1"/>
  <c r="AP47" s="1"/>
  <c r="AP48" s="1"/>
  <c r="AP49" s="1"/>
  <c r="AP50" s="1"/>
  <c r="AP51" s="1"/>
  <c r="AP52" s="1"/>
  <c r="AP53" s="1"/>
  <c r="AP54" s="1"/>
  <c r="AP55" s="1"/>
  <c r="AP56" s="1"/>
  <c r="AP57" s="1"/>
  <c r="AP58" s="1"/>
  <c r="AP59" s="1"/>
  <c r="AP60" s="1"/>
  <c r="AP61" s="1"/>
  <c r="AP62" s="1"/>
  <c r="AP63" s="1"/>
  <c r="AP64" s="1"/>
  <c r="AP65" s="1"/>
  <c r="AP66" s="1"/>
  <c r="AP67" s="1"/>
  <c r="AP68" s="1"/>
  <c r="AP69" s="1"/>
  <c r="AP70" s="1"/>
  <c r="AP71" s="1"/>
  <c r="AP72" s="1"/>
  <c r="AP73" s="1"/>
  <c r="AP74" s="1"/>
  <c r="AP75" s="1"/>
  <c r="AP76" s="1"/>
  <c r="AP77" s="1"/>
  <c r="AP78" s="1"/>
  <c r="AP79" s="1"/>
  <c r="AP80" s="1"/>
  <c r="AP81" s="1"/>
  <c r="AP82" s="1"/>
  <c r="AP83" s="1"/>
  <c r="AP84" s="1"/>
  <c r="AP85" s="1"/>
  <c r="AP86" s="1"/>
  <c r="AP87" s="1"/>
  <c r="AP88" s="1"/>
  <c r="AQ3"/>
  <c r="AQ4"/>
  <c r="AQ5" s="1"/>
  <c r="AQ6" s="1"/>
  <c r="AQ7" s="1"/>
  <c r="AQ8" s="1"/>
  <c r="AQ9" s="1"/>
  <c r="AQ10" s="1"/>
  <c r="AQ11" s="1"/>
  <c r="AQ12" s="1"/>
  <c r="AQ13" s="1"/>
  <c r="AQ14" s="1"/>
  <c r="AQ15" s="1"/>
  <c r="AQ16" s="1"/>
  <c r="AQ17" s="1"/>
  <c r="AQ18" s="1"/>
  <c r="AQ19" s="1"/>
  <c r="AQ20" s="1"/>
  <c r="AQ21" s="1"/>
  <c r="AQ22" s="1"/>
  <c r="AQ23" s="1"/>
  <c r="AQ24" s="1"/>
  <c r="AQ25"/>
  <c r="AQ26" s="1"/>
  <c r="AQ27" s="1"/>
  <c r="AQ28" s="1"/>
  <c r="AQ29" s="1"/>
  <c r="AQ30" s="1"/>
  <c r="AQ31" s="1"/>
  <c r="AQ32" s="1"/>
  <c r="AQ33" s="1"/>
  <c r="AQ34" s="1"/>
  <c r="AQ35" s="1"/>
  <c r="AQ36" s="1"/>
  <c r="AQ37" s="1"/>
  <c r="AQ38" s="1"/>
  <c r="AQ39" s="1"/>
  <c r="AQ40" s="1"/>
  <c r="AQ41" s="1"/>
  <c r="AQ42" s="1"/>
  <c r="AQ43" s="1"/>
  <c r="AQ44" s="1"/>
  <c r="AQ45" s="1"/>
  <c r="AQ46" s="1"/>
  <c r="AQ47" s="1"/>
  <c r="AQ48" s="1"/>
  <c r="AQ49" s="1"/>
  <c r="AQ50" s="1"/>
  <c r="AQ51" s="1"/>
  <c r="AQ52" s="1"/>
  <c r="AQ53" s="1"/>
  <c r="AQ54" s="1"/>
  <c r="AQ55" s="1"/>
  <c r="AQ56" s="1"/>
  <c r="AQ57" s="1"/>
  <c r="AQ58" s="1"/>
  <c r="AQ59" s="1"/>
  <c r="AQ60" s="1"/>
  <c r="AQ61" s="1"/>
  <c r="AQ62" s="1"/>
  <c r="AQ63" s="1"/>
  <c r="AQ64" s="1"/>
  <c r="AQ65" s="1"/>
  <c r="AQ66" s="1"/>
  <c r="AQ67" s="1"/>
  <c r="AQ68" s="1"/>
  <c r="AQ69" s="1"/>
  <c r="AQ70" s="1"/>
  <c r="AQ71" s="1"/>
  <c r="AQ72" s="1"/>
  <c r="AQ73" s="1"/>
  <c r="AQ74" s="1"/>
  <c r="AQ75" s="1"/>
  <c r="AQ76" s="1"/>
  <c r="AQ77" s="1"/>
  <c r="AQ78" s="1"/>
  <c r="AQ79" s="1"/>
  <c r="AQ80" s="1"/>
  <c r="AQ81" s="1"/>
  <c r="AQ82" s="1"/>
  <c r="AQ83" s="1"/>
  <c r="AQ84" s="1"/>
  <c r="AQ85" s="1"/>
  <c r="AQ86" s="1"/>
  <c r="AQ87" s="1"/>
  <c r="AQ88" s="1"/>
  <c r="AR3"/>
  <c r="AR4" s="1"/>
  <c r="AS3"/>
  <c r="AS4"/>
  <c r="AS5"/>
  <c r="AS6" s="1"/>
  <c r="AS7" s="1"/>
  <c r="AS8" s="1"/>
  <c r="AS9" s="1"/>
  <c r="AS10"/>
  <c r="AS11" s="1"/>
  <c r="AS12" s="1"/>
  <c r="AS13" s="1"/>
  <c r="AS14" s="1"/>
  <c r="AS15" s="1"/>
  <c r="AS16" s="1"/>
  <c r="AS17" s="1"/>
  <c r="AS18" s="1"/>
  <c r="AS19" s="1"/>
  <c r="AS20" s="1"/>
  <c r="AS21" s="1"/>
  <c r="AS22" s="1"/>
  <c r="AS23" s="1"/>
  <c r="AS24" s="1"/>
  <c r="AS25" s="1"/>
  <c r="AS26" s="1"/>
  <c r="AS27" s="1"/>
  <c r="AS28" s="1"/>
  <c r="AS29" s="1"/>
  <c r="AS30" s="1"/>
  <c r="AS31" s="1"/>
  <c r="AS32" s="1"/>
  <c r="AS33" s="1"/>
  <c r="AS34" s="1"/>
  <c r="AS35" s="1"/>
  <c r="AS36" s="1"/>
  <c r="AS37" s="1"/>
  <c r="AS38" s="1"/>
  <c r="AS39" s="1"/>
  <c r="AS40" s="1"/>
  <c r="AS41" s="1"/>
  <c r="AS42" s="1"/>
  <c r="AS43" s="1"/>
  <c r="AS44" s="1"/>
  <c r="AS45" s="1"/>
  <c r="AS46" s="1"/>
  <c r="AS47" s="1"/>
  <c r="AS48" s="1"/>
  <c r="AS49" s="1"/>
  <c r="AS50" s="1"/>
  <c r="AS51" s="1"/>
  <c r="AS52" s="1"/>
  <c r="AS53" s="1"/>
  <c r="AS54" s="1"/>
  <c r="AS55" s="1"/>
  <c r="AS56" s="1"/>
  <c r="AS57" s="1"/>
  <c r="AS58" s="1"/>
  <c r="AS59" s="1"/>
  <c r="AS60" s="1"/>
  <c r="AS61" s="1"/>
  <c r="AS62" s="1"/>
  <c r="AS63" s="1"/>
  <c r="AS64" s="1"/>
  <c r="AS65" s="1"/>
  <c r="AS66" s="1"/>
  <c r="AS67" s="1"/>
  <c r="AS68" s="1"/>
  <c r="AS69" s="1"/>
  <c r="AS70" s="1"/>
  <c r="AS71" s="1"/>
  <c r="AS72" s="1"/>
  <c r="AS73" s="1"/>
  <c r="AS74" s="1"/>
  <c r="AS75" s="1"/>
  <c r="AS76" s="1"/>
  <c r="AS77" s="1"/>
  <c r="AS78" s="1"/>
  <c r="AS79" s="1"/>
  <c r="AS80" s="1"/>
  <c r="AS81" s="1"/>
  <c r="AS82" s="1"/>
  <c r="AS83" s="1"/>
  <c r="AS84" s="1"/>
  <c r="AS85" s="1"/>
  <c r="AS86" s="1"/>
  <c r="AS87" s="1"/>
  <c r="AS88" s="1"/>
  <c r="AT3"/>
  <c r="AT4"/>
  <c r="AT5" s="1"/>
  <c r="AT6" s="1"/>
  <c r="AT7" s="1"/>
  <c r="AT8" s="1"/>
  <c r="AT9" s="1"/>
  <c r="AT10" s="1"/>
  <c r="AT11" s="1"/>
  <c r="AT12" s="1"/>
  <c r="AT13" s="1"/>
  <c r="AT14" s="1"/>
  <c r="AT15" s="1"/>
  <c r="AT16" s="1"/>
  <c r="AT17" s="1"/>
  <c r="AT18" s="1"/>
  <c r="AT19" s="1"/>
  <c r="AT20" s="1"/>
  <c r="AT21" s="1"/>
  <c r="AT22" s="1"/>
  <c r="AT23" s="1"/>
  <c r="AT24" s="1"/>
  <c r="AT25" s="1"/>
  <c r="AT26" s="1"/>
  <c r="AT27" s="1"/>
  <c r="AT28" s="1"/>
  <c r="AT29" s="1"/>
  <c r="AT30" s="1"/>
  <c r="AT31" s="1"/>
  <c r="AT32" s="1"/>
  <c r="AT33" s="1"/>
  <c r="AT34" s="1"/>
  <c r="AT35" s="1"/>
  <c r="AT36" s="1"/>
  <c r="AT37" s="1"/>
  <c r="AT38" s="1"/>
  <c r="AT39" s="1"/>
  <c r="AT40" s="1"/>
  <c r="AT41" s="1"/>
  <c r="AT42" s="1"/>
  <c r="AT43" s="1"/>
  <c r="AT44" s="1"/>
  <c r="AT45" s="1"/>
  <c r="AT46" s="1"/>
  <c r="AT47" s="1"/>
  <c r="AT48" s="1"/>
  <c r="AT49" s="1"/>
  <c r="AT50" s="1"/>
  <c r="AT51" s="1"/>
  <c r="AT52" s="1"/>
  <c r="AT53" s="1"/>
  <c r="AT54" s="1"/>
  <c r="AT55" s="1"/>
  <c r="AT56" s="1"/>
  <c r="AT57" s="1"/>
  <c r="AT58" s="1"/>
  <c r="AT59" s="1"/>
  <c r="AT60" s="1"/>
  <c r="AT61" s="1"/>
  <c r="AT62" s="1"/>
  <c r="AT63" s="1"/>
  <c r="AT64" s="1"/>
  <c r="AT65" s="1"/>
  <c r="AT66" s="1"/>
  <c r="AT67" s="1"/>
  <c r="AT68" s="1"/>
  <c r="AT69" s="1"/>
  <c r="AT70" s="1"/>
  <c r="AT71" s="1"/>
  <c r="AT72" s="1"/>
  <c r="AT73" s="1"/>
  <c r="AT74" s="1"/>
  <c r="AT75" s="1"/>
  <c r="AT76" s="1"/>
  <c r="AT77" s="1"/>
  <c r="AT78" s="1"/>
  <c r="AT79" s="1"/>
  <c r="AT80" s="1"/>
  <c r="AT81" s="1"/>
  <c r="AT82" s="1"/>
  <c r="AT83" s="1"/>
  <c r="AT84" s="1"/>
  <c r="AT85" s="1"/>
  <c r="AT86" s="1"/>
  <c r="AT87" s="1"/>
  <c r="AT88" s="1"/>
  <c r="AU3"/>
  <c r="AU4"/>
  <c r="AU5" s="1"/>
  <c r="AU6" s="1"/>
  <c r="AU7" s="1"/>
  <c r="AU8" s="1"/>
  <c r="AU9" s="1"/>
  <c r="AU10" s="1"/>
  <c r="AU11" s="1"/>
  <c r="AU12" s="1"/>
  <c r="AU13" s="1"/>
  <c r="AU14" s="1"/>
  <c r="AU15" s="1"/>
  <c r="AU16" s="1"/>
  <c r="AU17" s="1"/>
  <c r="AU18" s="1"/>
  <c r="AU19" s="1"/>
  <c r="AU20" s="1"/>
  <c r="AU21" s="1"/>
  <c r="AU22" s="1"/>
  <c r="AU23" s="1"/>
  <c r="AU24" s="1"/>
  <c r="AU25" s="1"/>
  <c r="AU26" s="1"/>
  <c r="AU27" s="1"/>
  <c r="AU28" s="1"/>
  <c r="AU29" s="1"/>
  <c r="AU30" s="1"/>
  <c r="AU31" s="1"/>
  <c r="AU32" s="1"/>
  <c r="AU33" s="1"/>
  <c r="AU34" s="1"/>
  <c r="AU35" s="1"/>
  <c r="AU36" s="1"/>
  <c r="AU37" s="1"/>
  <c r="AU38" s="1"/>
  <c r="AU39" s="1"/>
  <c r="AU40" s="1"/>
  <c r="AU41" s="1"/>
  <c r="AU42" s="1"/>
  <c r="AU43" s="1"/>
  <c r="AU44" s="1"/>
  <c r="AU45" s="1"/>
  <c r="AU46" s="1"/>
  <c r="AU47" s="1"/>
  <c r="AU48" s="1"/>
  <c r="AU49" s="1"/>
  <c r="AU50" s="1"/>
  <c r="AU51" s="1"/>
  <c r="AU52" s="1"/>
  <c r="AU53" s="1"/>
  <c r="AU54" s="1"/>
  <c r="AU55" s="1"/>
  <c r="AU56" s="1"/>
  <c r="AU57" s="1"/>
  <c r="AU58" s="1"/>
  <c r="AU59" s="1"/>
  <c r="AU60" s="1"/>
  <c r="AU61" s="1"/>
  <c r="AU62" s="1"/>
  <c r="AU63" s="1"/>
  <c r="AU64" s="1"/>
  <c r="AU65" s="1"/>
  <c r="AU66" s="1"/>
  <c r="AU67" s="1"/>
  <c r="AU68" s="1"/>
  <c r="AU69" s="1"/>
  <c r="AU70" s="1"/>
  <c r="AU71" s="1"/>
  <c r="AU72" s="1"/>
  <c r="AU73" s="1"/>
  <c r="AU74" s="1"/>
  <c r="AU75" s="1"/>
  <c r="AU76" s="1"/>
  <c r="AU77" s="1"/>
  <c r="AU78" s="1"/>
  <c r="AU79" s="1"/>
  <c r="AU80" s="1"/>
  <c r="AU81" s="1"/>
  <c r="AU82" s="1"/>
  <c r="AU83" s="1"/>
  <c r="AU84" s="1"/>
  <c r="AU85" s="1"/>
  <c r="AU86" s="1"/>
  <c r="AU87" s="1"/>
  <c r="AU88" s="1"/>
  <c r="AV3"/>
  <c r="AW3"/>
  <c r="AW4" s="1"/>
  <c r="AW5"/>
  <c r="AW6" s="1"/>
  <c r="AW7" s="1"/>
  <c r="AW8" s="1"/>
  <c r="AW9" s="1"/>
  <c r="AW10" s="1"/>
  <c r="AW11" s="1"/>
  <c r="AW12" s="1"/>
  <c r="AW13" s="1"/>
  <c r="AW14" s="1"/>
  <c r="AW15" s="1"/>
  <c r="AW16" s="1"/>
  <c r="AW17" s="1"/>
  <c r="AW18" s="1"/>
  <c r="AW19" s="1"/>
  <c r="AW20" s="1"/>
  <c r="AW21" s="1"/>
  <c r="AW22" s="1"/>
  <c r="AW23" s="1"/>
  <c r="AW24" s="1"/>
  <c r="AW25" s="1"/>
  <c r="AW26" s="1"/>
  <c r="AW27" s="1"/>
  <c r="AW28" s="1"/>
  <c r="AW29" s="1"/>
  <c r="AW30" s="1"/>
  <c r="AW31" s="1"/>
  <c r="AW32" s="1"/>
  <c r="AW33" s="1"/>
  <c r="AW34" s="1"/>
  <c r="AW35" s="1"/>
  <c r="AW36" s="1"/>
  <c r="AW37" s="1"/>
  <c r="AW38" s="1"/>
  <c r="AW39" s="1"/>
  <c r="AW40" s="1"/>
  <c r="AW41" s="1"/>
  <c r="AW42" s="1"/>
  <c r="AW43" s="1"/>
  <c r="AW44" s="1"/>
  <c r="AW45" s="1"/>
  <c r="AW46" s="1"/>
  <c r="AW47" s="1"/>
  <c r="AW48" s="1"/>
  <c r="AW49" s="1"/>
  <c r="AW50" s="1"/>
  <c r="AW51" s="1"/>
  <c r="AW52" s="1"/>
  <c r="AW53" s="1"/>
  <c r="AW54" s="1"/>
  <c r="AW55" s="1"/>
  <c r="AW56" s="1"/>
  <c r="AW57" s="1"/>
  <c r="AW58" s="1"/>
  <c r="AW59" s="1"/>
  <c r="AW60" s="1"/>
  <c r="AW61" s="1"/>
  <c r="AW62" s="1"/>
  <c r="AW63" s="1"/>
  <c r="AW64" s="1"/>
  <c r="AW65" s="1"/>
  <c r="AW66" s="1"/>
  <c r="AW67" s="1"/>
  <c r="AW68" s="1"/>
  <c r="AW69" s="1"/>
  <c r="AW70" s="1"/>
  <c r="AW71" s="1"/>
  <c r="AW72" s="1"/>
  <c r="AW73" s="1"/>
  <c r="AW74" s="1"/>
  <c r="AW75" s="1"/>
  <c r="AW76" s="1"/>
  <c r="AW77" s="1"/>
  <c r="AW78" s="1"/>
  <c r="AW79" s="1"/>
  <c r="AW80" s="1"/>
  <c r="AW81" s="1"/>
  <c r="AW82" s="1"/>
  <c r="AW83" s="1"/>
  <c r="AW84" s="1"/>
  <c r="AW85" s="1"/>
  <c r="AW86" s="1"/>
  <c r="AW87" s="1"/>
  <c r="AW88" s="1"/>
  <c r="B4"/>
  <c r="F4"/>
  <c r="F6" s="1"/>
  <c r="P4"/>
  <c r="AB4"/>
  <c r="AB5"/>
  <c r="AB6"/>
  <c r="AB7" s="1"/>
  <c r="AB8" s="1"/>
  <c r="AB9" s="1"/>
  <c r="AB10" s="1"/>
  <c r="AB11" s="1"/>
  <c r="AB12" s="1"/>
  <c r="AB13" s="1"/>
  <c r="AB14" s="1"/>
  <c r="AB15" s="1"/>
  <c r="AB16" s="1"/>
  <c r="AB17"/>
  <c r="AB18" s="1"/>
  <c r="AB19" s="1"/>
  <c r="AB20" s="1"/>
  <c r="AB21" s="1"/>
  <c r="AB22" s="1"/>
  <c r="AB23" s="1"/>
  <c r="AB24" s="1"/>
  <c r="AB25" s="1"/>
  <c r="AB26" s="1"/>
  <c r="AB27" s="1"/>
  <c r="AB28" s="1"/>
  <c r="AB29" s="1"/>
  <c r="AB30" s="1"/>
  <c r="AB31" s="1"/>
  <c r="AB32" s="1"/>
  <c r="AB33" s="1"/>
  <c r="AB34" s="1"/>
  <c r="AB35" s="1"/>
  <c r="AB36" s="1"/>
  <c r="AB37" s="1"/>
  <c r="AB38" s="1"/>
  <c r="AB39" s="1"/>
  <c r="AB40" s="1"/>
  <c r="AB41" s="1"/>
  <c r="AB42" s="1"/>
  <c r="AB43" s="1"/>
  <c r="AB44" s="1"/>
  <c r="AB45" s="1"/>
  <c r="AB46" s="1"/>
  <c r="AB47" s="1"/>
  <c r="AB48" s="1"/>
  <c r="AB49" s="1"/>
  <c r="AB50" s="1"/>
  <c r="AB51" s="1"/>
  <c r="AB52" s="1"/>
  <c r="AB53" s="1"/>
  <c r="AB54" s="1"/>
  <c r="AB55" s="1"/>
  <c r="AB56" s="1"/>
  <c r="AB57" s="1"/>
  <c r="AB58" s="1"/>
  <c r="AB59" s="1"/>
  <c r="AB60" s="1"/>
  <c r="AB61" s="1"/>
  <c r="AB62" s="1"/>
  <c r="AB63" s="1"/>
  <c r="AB64" s="1"/>
  <c r="AB65" s="1"/>
  <c r="AB66" s="1"/>
  <c r="AB67" s="1"/>
  <c r="AB68" s="1"/>
  <c r="AB69" s="1"/>
  <c r="AB70" s="1"/>
  <c r="AB71" s="1"/>
  <c r="AB72" s="1"/>
  <c r="AB73" s="1"/>
  <c r="AB74" s="1"/>
  <c r="AB75" s="1"/>
  <c r="AB76" s="1"/>
  <c r="AB77" s="1"/>
  <c r="AB78" s="1"/>
  <c r="AB79" s="1"/>
  <c r="AB80" s="1"/>
  <c r="AB81" s="1"/>
  <c r="AB82" s="1"/>
  <c r="AB83" s="1"/>
  <c r="AB84" s="1"/>
  <c r="AB85" s="1"/>
  <c r="AB86" s="1"/>
  <c r="AB87" s="1"/>
  <c r="AB88" s="1"/>
  <c r="AR5"/>
  <c r="AR6" s="1"/>
  <c r="AR7" s="1"/>
  <c r="AR8" s="1"/>
  <c r="AR9" s="1"/>
  <c r="AR10" s="1"/>
  <c r="AR11" s="1"/>
  <c r="AR12" s="1"/>
  <c r="AR13"/>
  <c r="AR14" s="1"/>
  <c r="AR15" s="1"/>
  <c r="AR16" s="1"/>
  <c r="AR17" s="1"/>
  <c r="AR18" s="1"/>
  <c r="AR19" s="1"/>
  <c r="AR20" s="1"/>
  <c r="AR21" s="1"/>
  <c r="AR22" s="1"/>
  <c r="AR23" s="1"/>
  <c r="AR24" s="1"/>
  <c r="AR25" s="1"/>
  <c r="AR26" s="1"/>
  <c r="AR27" s="1"/>
  <c r="AR28" s="1"/>
  <c r="AR29" s="1"/>
  <c r="AR30" s="1"/>
  <c r="AR31" s="1"/>
  <c r="AR32" s="1"/>
  <c r="AR33" s="1"/>
  <c r="AR34" s="1"/>
  <c r="AR35" s="1"/>
  <c r="AR36" s="1"/>
  <c r="AR37" s="1"/>
  <c r="AR38" s="1"/>
  <c r="AR39" s="1"/>
  <c r="AR40" s="1"/>
  <c r="AR41" s="1"/>
  <c r="AR42" s="1"/>
  <c r="AR43" s="1"/>
  <c r="AR44" s="1"/>
  <c r="AR45" s="1"/>
  <c r="AR46" s="1"/>
  <c r="AR47" s="1"/>
  <c r="AR48" s="1"/>
  <c r="AR49" s="1"/>
  <c r="AR50" s="1"/>
  <c r="AR51" s="1"/>
  <c r="AR52" s="1"/>
  <c r="AR53" s="1"/>
  <c r="AR54" s="1"/>
  <c r="AR55" s="1"/>
  <c r="AR56" s="1"/>
  <c r="AR57" s="1"/>
  <c r="AR58" s="1"/>
  <c r="AR59" s="1"/>
  <c r="AR60" s="1"/>
  <c r="AR61" s="1"/>
  <c r="AR62" s="1"/>
  <c r="AR63" s="1"/>
  <c r="AR64" s="1"/>
  <c r="AR65" s="1"/>
  <c r="AR66" s="1"/>
  <c r="AR67" s="1"/>
  <c r="AR68" s="1"/>
  <c r="AR69" s="1"/>
  <c r="AR70" s="1"/>
  <c r="AR71" s="1"/>
  <c r="AR72" s="1"/>
  <c r="AR73" s="1"/>
  <c r="AR74" s="1"/>
  <c r="AR75" s="1"/>
  <c r="AR76" s="1"/>
  <c r="AR77" s="1"/>
  <c r="AR78" s="1"/>
  <c r="AR79" s="1"/>
  <c r="AR80" s="1"/>
  <c r="AR81" s="1"/>
  <c r="AR82" s="1"/>
  <c r="AR83" s="1"/>
  <c r="AR84" s="1"/>
  <c r="AR85" s="1"/>
  <c r="AR86" s="1"/>
  <c r="AR87" s="1"/>
  <c r="AR88" s="1"/>
  <c r="AV4"/>
  <c r="AV5" s="1"/>
  <c r="AV6" s="1"/>
  <c r="AV7" s="1"/>
  <c r="AV8" s="1"/>
  <c r="AV9" s="1"/>
  <c r="AV10" s="1"/>
  <c r="AV11" s="1"/>
  <c r="AV12" s="1"/>
  <c r="AV13" s="1"/>
  <c r="AV14" s="1"/>
  <c r="AV15" s="1"/>
  <c r="AV16" s="1"/>
  <c r="AV17" s="1"/>
  <c r="AV18" s="1"/>
  <c r="AV19" s="1"/>
  <c r="AV20" s="1"/>
  <c r="AV21" s="1"/>
  <c r="AV22" s="1"/>
  <c r="AV23" s="1"/>
  <c r="AV24" s="1"/>
  <c r="AV25" s="1"/>
  <c r="AV26" s="1"/>
  <c r="AV27" s="1"/>
  <c r="AV28" s="1"/>
  <c r="AV29" s="1"/>
  <c r="AV30" s="1"/>
  <c r="AV31" s="1"/>
  <c r="AV32" s="1"/>
  <c r="AV33" s="1"/>
  <c r="AV34" s="1"/>
  <c r="AV35" s="1"/>
  <c r="AV36" s="1"/>
  <c r="AV37" s="1"/>
  <c r="AV38" s="1"/>
  <c r="AV39" s="1"/>
  <c r="AV40" s="1"/>
  <c r="AV41" s="1"/>
  <c r="AV42" s="1"/>
  <c r="AV43" s="1"/>
  <c r="AV44" s="1"/>
  <c r="AV45" s="1"/>
  <c r="AV46" s="1"/>
  <c r="AV47" s="1"/>
  <c r="AV48" s="1"/>
  <c r="AV49" s="1"/>
  <c r="AV50" s="1"/>
  <c r="AV51" s="1"/>
  <c r="AV52" s="1"/>
  <c r="AV53" s="1"/>
  <c r="AV54" s="1"/>
  <c r="AV55" s="1"/>
  <c r="AV56" s="1"/>
  <c r="AV57" s="1"/>
  <c r="AV58" s="1"/>
  <c r="AV59" s="1"/>
  <c r="AV60" s="1"/>
  <c r="AV61" s="1"/>
  <c r="AV62" s="1"/>
  <c r="AV63" s="1"/>
  <c r="AV64" s="1"/>
  <c r="AV65" s="1"/>
  <c r="AV66" s="1"/>
  <c r="AV67" s="1"/>
  <c r="AV68" s="1"/>
  <c r="AV69" s="1"/>
  <c r="AV70" s="1"/>
  <c r="AV71" s="1"/>
  <c r="AV72" s="1"/>
  <c r="AV73" s="1"/>
  <c r="AV74" s="1"/>
  <c r="AV75" s="1"/>
  <c r="AV76" s="1"/>
  <c r="AV77" s="1"/>
  <c r="AV78" s="1"/>
  <c r="AV79" s="1"/>
  <c r="AV80" s="1"/>
  <c r="AV81" s="1"/>
  <c r="AV82" s="1"/>
  <c r="AV83" s="1"/>
  <c r="AV84" s="1"/>
  <c r="AV85" s="1"/>
  <c r="AV86" s="1"/>
  <c r="AV87" s="1"/>
  <c r="AV88" s="1"/>
  <c r="B5"/>
  <c r="F5"/>
  <c r="P5"/>
  <c r="P6"/>
  <c r="M5" i="5"/>
  <c r="K5" i="11"/>
  <c r="A5" i="7"/>
  <c r="A5" i="9"/>
  <c r="AD5" i="8"/>
  <c r="A5"/>
  <c r="M4" i="5"/>
  <c r="K4" i="11"/>
  <c r="A4" i="7"/>
  <c r="A4" i="9"/>
  <c r="A4" i="8"/>
  <c r="AD4"/>
  <c r="DH6" i="5"/>
  <c r="DH7" s="1"/>
  <c r="DH8" s="1"/>
  <c r="DH9" s="1"/>
  <c r="DH10" s="1"/>
  <c r="DH11" s="1"/>
  <c r="J5" i="12"/>
  <c r="I6"/>
  <c r="K36"/>
  <c r="J36"/>
  <c r="N36"/>
  <c r="N39" s="1"/>
  <c r="K24"/>
  <c r="J24" s="1"/>
  <c r="M24" s="1"/>
  <c r="M27" s="1"/>
  <c r="K25"/>
  <c r="D5"/>
  <c r="D6"/>
  <c r="F6"/>
  <c r="E6" s="1"/>
  <c r="K23"/>
  <c r="J23"/>
  <c r="M23" s="1"/>
  <c r="J6"/>
  <c r="I7"/>
  <c r="D7"/>
  <c r="F7" s="1"/>
  <c r="E7" s="1"/>
  <c r="J7"/>
  <c r="I8"/>
  <c r="I9" s="1"/>
  <c r="J8"/>
  <c r="DH12" i="5"/>
  <c r="DH13" s="1"/>
  <c r="DH14" s="1"/>
  <c r="DH15" s="1"/>
  <c r="DH16" s="1"/>
  <c r="DH17" s="1"/>
  <c r="DH18"/>
  <c r="DH19" s="1"/>
  <c r="DH20" s="1"/>
  <c r="DH21" s="1"/>
  <c r="DH22" s="1"/>
  <c r="DH23" s="1"/>
  <c r="DH24" s="1"/>
  <c r="DH25" s="1"/>
  <c r="DH26" s="1"/>
  <c r="DH27" s="1"/>
  <c r="DH28" s="1"/>
  <c r="DH29" s="1"/>
  <c r="DH30" s="1"/>
  <c r="DH31" s="1"/>
  <c r="DH32" s="1"/>
  <c r="DH33" s="1"/>
  <c r="DH34" s="1"/>
  <c r="DH35" s="1"/>
  <c r="DH36" s="1"/>
  <c r="DH37" s="1"/>
  <c r="DH38" s="1"/>
  <c r="DH39" s="1"/>
  <c r="DH40" s="1"/>
  <c r="DH41" s="1"/>
  <c r="DH42" s="1"/>
  <c r="DH43" s="1"/>
  <c r="DH44" s="1"/>
  <c r="DH45" s="1"/>
  <c r="DH46" s="1"/>
  <c r="DH47" s="1"/>
  <c r="DH48" s="1"/>
  <c r="DH49" s="1"/>
  <c r="DH50" s="1"/>
  <c r="DH51" s="1"/>
  <c r="DH52" s="1"/>
  <c r="DH53" s="1"/>
  <c r="DH54" s="1"/>
  <c r="DH55" s="1"/>
  <c r="DH56" s="1"/>
  <c r="DH57" s="1"/>
  <c r="DH58" s="1"/>
  <c r="DH59" s="1"/>
  <c r="DH60" s="1"/>
  <c r="DH61" s="1"/>
  <c r="DH62" s="1"/>
  <c r="DH63" s="1"/>
  <c r="DH64" s="1"/>
  <c r="DH65" s="1"/>
  <c r="DH66" s="1"/>
  <c r="DH67" s="1"/>
  <c r="DH68" s="1"/>
  <c r="DH69" s="1"/>
  <c r="DH70" s="1"/>
  <c r="DH71" s="1"/>
  <c r="DH72" s="1"/>
  <c r="DH73" s="1"/>
  <c r="DH74" s="1"/>
  <c r="DH75" s="1"/>
  <c r="DH76" s="1"/>
  <c r="DH77" s="1"/>
  <c r="DH78" s="1"/>
  <c r="DH79" s="1"/>
  <c r="DH80" s="1"/>
  <c r="DH81" s="1"/>
  <c r="DH82" s="1"/>
  <c r="DH83" s="1"/>
  <c r="DH84" s="1"/>
  <c r="DH85" s="1"/>
  <c r="DH86" s="1"/>
  <c r="DH87" s="1"/>
  <c r="DH88" s="1"/>
  <c r="DH89" s="1"/>
  <c r="DH90" s="1"/>
  <c r="DH91" s="1"/>
  <c r="DH92" s="1"/>
  <c r="DH93" s="1"/>
  <c r="DH94" s="1"/>
  <c r="DH95" s="1"/>
  <c r="DH96" s="1"/>
  <c r="DH97" s="1"/>
  <c r="DH98" s="1"/>
  <c r="DH99" s="1"/>
  <c r="DH100" s="1"/>
  <c r="DH101" s="1"/>
  <c r="DH102" s="1"/>
  <c r="DH103" s="1"/>
  <c r="DH104" s="1"/>
  <c r="DH105" s="1"/>
  <c r="DH106" s="1"/>
  <c r="DH107" s="1"/>
  <c r="DH108" s="1"/>
  <c r="DH109" s="1"/>
  <c r="DH110" s="1"/>
  <c r="DH111" s="1"/>
  <c r="DH112" s="1"/>
  <c r="DH113" s="1"/>
  <c r="DH114" s="1"/>
  <c r="DH115" s="1"/>
  <c r="DH116" s="1"/>
  <c r="DH117" s="1"/>
  <c r="DH118" s="1"/>
  <c r="DH119" s="1"/>
  <c r="DH120" s="1"/>
  <c r="DH121" s="1"/>
  <c r="DH122" s="1"/>
  <c r="DH123" s="1"/>
  <c r="DH124" s="1"/>
  <c r="DH125" s="1"/>
  <c r="DH126" s="1"/>
  <c r="DH127" s="1"/>
  <c r="DH128" s="1"/>
  <c r="DH129" s="1"/>
  <c r="DH130" s="1"/>
  <c r="DH131" s="1"/>
  <c r="DH132" s="1"/>
  <c r="DH133" s="1"/>
  <c r="DH134" s="1"/>
  <c r="DH135" s="1"/>
  <c r="F5" i="12"/>
  <c r="E5" s="1"/>
  <c r="K35"/>
  <c r="J35" s="1"/>
  <c r="K34"/>
  <c r="J34"/>
  <c r="M34"/>
  <c r="M39" s="1"/>
  <c r="G4" i="8"/>
  <c r="G5" s="1"/>
  <c r="O5" i="2" s="1"/>
  <c r="CV102" i="5"/>
  <c r="CT88"/>
  <c r="CQ78"/>
  <c r="CU10"/>
  <c r="CT32"/>
  <c r="CU49"/>
  <c r="CQ5"/>
  <c r="CT20"/>
  <c r="CV33"/>
  <c r="CR63"/>
  <c r="CP100"/>
  <c r="CP52"/>
  <c r="CP10"/>
  <c r="CV16"/>
  <c r="CV30"/>
  <c r="CQ36"/>
  <c r="CT53"/>
  <c r="CU76"/>
  <c r="I4" i="8"/>
  <c r="R3" i="2"/>
  <c r="CV36" i="5"/>
  <c r="CQ127"/>
  <c r="CS102"/>
  <c r="CS126"/>
  <c r="CR104"/>
  <c r="CS128"/>
  <c r="CU104"/>
  <c r="CS135"/>
  <c r="CV73"/>
  <c r="CV52"/>
  <c r="CS81"/>
  <c r="CV27"/>
  <c r="CR115"/>
  <c r="CQ94"/>
  <c r="CS116"/>
  <c r="CR95"/>
  <c r="CS117"/>
  <c r="CU95"/>
  <c r="CR94"/>
  <c r="CT65"/>
  <c r="CS124"/>
  <c r="CT72"/>
  <c r="BN5"/>
  <c r="AF4" i="1" s="1"/>
  <c r="AJ4" i="14"/>
  <c r="CQ67" i="5"/>
  <c r="CS23"/>
  <c r="CQ132"/>
  <c r="CS132"/>
  <c r="CV20"/>
  <c r="D65" i="4"/>
  <c r="CR126" i="5"/>
  <c r="CT126"/>
  <c r="CT46"/>
  <c r="CS5"/>
  <c r="CR133"/>
  <c r="CR134"/>
  <c r="CP131"/>
  <c r="CP113"/>
  <c r="CP95"/>
  <c r="CP69"/>
  <c r="CP29"/>
  <c r="AH92" i="14"/>
  <c r="AH93" s="1"/>
  <c r="AH94" s="1"/>
  <c r="AH95" s="1"/>
  <c r="AH96" s="1"/>
  <c r="AH97" s="1"/>
  <c r="AH98" s="1"/>
  <c r="AH99" s="1"/>
  <c r="AH100" s="1"/>
  <c r="AH101" s="1"/>
  <c r="AH102" s="1"/>
  <c r="AH103" s="1"/>
  <c r="AH104" s="1"/>
  <c r="AH105" s="1"/>
  <c r="AH106" s="1"/>
  <c r="AH107" s="1"/>
  <c r="AH108" s="1"/>
  <c r="AH109" s="1"/>
  <c r="AH110" s="1"/>
  <c r="AH111" s="1"/>
  <c r="AH112" s="1"/>
  <c r="AH113" s="1"/>
  <c r="AH114" s="1"/>
  <c r="AH115" s="1"/>
  <c r="AH116" s="1"/>
  <c r="AH117" s="1"/>
  <c r="AH118" s="1"/>
  <c r="AH119" s="1"/>
  <c r="AH120" s="1"/>
  <c r="AH121" s="1"/>
  <c r="AH122" s="1"/>
  <c r="AH123" s="1"/>
  <c r="AH124" s="1"/>
  <c r="AH125" s="1"/>
  <c r="AH126" s="1"/>
  <c r="AH127" s="1"/>
  <c r="AH128" s="1"/>
  <c r="AH129" s="1"/>
  <c r="AH130" s="1"/>
  <c r="AH131" s="1"/>
  <c r="AH132" s="1"/>
  <c r="AH133" s="1"/>
  <c r="AH134" s="1"/>
  <c r="AH135" s="1"/>
  <c r="Y1268"/>
  <c r="Y1269" s="1"/>
  <c r="CM4" i="8"/>
  <c r="AJ5" i="14"/>
  <c r="AS17" i="5"/>
  <c r="AS27"/>
  <c r="CU129"/>
  <c r="CQ85"/>
  <c r="CR86"/>
  <c r="CU86"/>
  <c r="CQ56"/>
  <c r="CS67"/>
  <c r="CR46"/>
  <c r="CS77"/>
  <c r="CU55"/>
  <c r="CS16"/>
  <c r="CU103"/>
  <c r="CS105"/>
  <c r="CR75"/>
  <c r="CU82"/>
  <c r="CV55"/>
  <c r="CT95"/>
  <c r="CV44"/>
  <c r="CT16"/>
  <c r="CQ119"/>
  <c r="CV120"/>
  <c r="CR121"/>
  <c r="CT109"/>
  <c r="CS48"/>
  <c r="CT63"/>
  <c r="CU123"/>
  <c r="CT73"/>
  <c r="CS9"/>
  <c r="BW21" i="11"/>
  <c r="BW3"/>
  <c r="O19" i="4"/>
  <c r="O18"/>
  <c r="O24"/>
  <c r="O20"/>
  <c r="O16"/>
  <c r="O22"/>
  <c r="O15"/>
  <c r="O26"/>
  <c r="O30"/>
  <c r="O17"/>
  <c r="O25"/>
  <c r="O21"/>
  <c r="O29"/>
  <c r="O23"/>
  <c r="O27"/>
  <c r="O28"/>
  <c r="N3" i="2" l="1"/>
  <c r="F4" i="8"/>
  <c r="N4" i="2" s="1"/>
  <c r="AZ4" i="5"/>
  <c r="AB3" i="1"/>
  <c r="BC4" i="5"/>
  <c r="AC3" i="1"/>
  <c r="DJ3" i="8"/>
  <c r="DK3"/>
  <c r="O4" i="1"/>
  <c r="DK4" i="8" s="1"/>
  <c r="DI3"/>
  <c r="J4"/>
  <c r="J5" s="1"/>
  <c r="Q3" i="2"/>
  <c r="Q4"/>
  <c r="AJ134" i="11"/>
  <c r="AH133"/>
  <c r="AF132"/>
  <c r="AJ130"/>
  <c r="AH129"/>
  <c r="AF128"/>
  <c r="AJ126"/>
  <c r="AH125"/>
  <c r="AF124"/>
  <c r="AJ122"/>
  <c r="AH121"/>
  <c r="AF120"/>
  <c r="AJ118"/>
  <c r="AH117"/>
  <c r="AF116"/>
  <c r="AJ114"/>
  <c r="AH113"/>
  <c r="AF112"/>
  <c r="AJ110"/>
  <c r="AH109"/>
  <c r="AF108"/>
  <c r="AJ106"/>
  <c r="AH105"/>
  <c r="AF104"/>
  <c r="AJ102"/>
  <c r="AH101"/>
  <c r="AF100"/>
  <c r="AJ98"/>
  <c r="AH97"/>
  <c r="AF96"/>
  <c r="AJ94"/>
  <c r="AH93"/>
  <c r="AF92"/>
  <c r="AJ90"/>
  <c r="AH89"/>
  <c r="AF88"/>
  <c r="AJ86"/>
  <c r="AH85"/>
  <c r="AF84"/>
  <c r="AJ82"/>
  <c r="AH81"/>
  <c r="AF80"/>
  <c r="AJ78"/>
  <c r="AH77"/>
  <c r="AF76"/>
  <c r="AJ74"/>
  <c r="AH73"/>
  <c r="AF72"/>
  <c r="AJ70"/>
  <c r="AH69"/>
  <c r="AF68"/>
  <c r="AJ66"/>
  <c r="AH65"/>
  <c r="AF64"/>
  <c r="AJ62"/>
  <c r="AH61"/>
  <c r="AF60"/>
  <c r="AJ58"/>
  <c r="AH57"/>
  <c r="AF56"/>
  <c r="AJ54"/>
  <c r="AH53"/>
  <c r="AF52"/>
  <c r="AJ50"/>
  <c r="AH49"/>
  <c r="AF48"/>
  <c r="AJ46"/>
  <c r="AH45"/>
  <c r="AF44"/>
  <c r="AJ42"/>
  <c r="AH41"/>
  <c r="AF40"/>
  <c r="AJ38"/>
  <c r="AH37"/>
  <c r="AF36"/>
  <c r="AJ34"/>
  <c r="AH33"/>
  <c r="AF32"/>
  <c r="AJ30"/>
  <c r="AH29"/>
  <c r="AF28"/>
  <c r="AJ26"/>
  <c r="AH25"/>
  <c r="AF24"/>
  <c r="AJ22"/>
  <c r="AH21"/>
  <c r="AF20"/>
  <c r="AJ18"/>
  <c r="AH17"/>
  <c r="AF16"/>
  <c r="AJ14"/>
  <c r="AH13"/>
  <c r="AF12"/>
  <c r="AJ10"/>
  <c r="AH9"/>
  <c r="AF8"/>
  <c r="AJ6"/>
  <c r="AH5"/>
  <c r="AF4"/>
  <c r="AK134"/>
  <c r="AI133"/>
  <c r="AG132"/>
  <c r="AK130"/>
  <c r="AI129"/>
  <c r="AG128"/>
  <c r="AK126"/>
  <c r="AI125"/>
  <c r="AG124"/>
  <c r="AK122"/>
  <c r="AI121"/>
  <c r="AG120"/>
  <c r="AK118"/>
  <c r="AI117"/>
  <c r="AG116"/>
  <c r="AK114"/>
  <c r="AI113"/>
  <c r="AG112"/>
  <c r="AK110"/>
  <c r="AI109"/>
  <c r="AG108"/>
  <c r="AK106"/>
  <c r="AI105"/>
  <c r="AG104"/>
  <c r="AK102"/>
  <c r="AI101"/>
  <c r="AG100"/>
  <c r="AK98"/>
  <c r="AI97"/>
  <c r="AG96"/>
  <c r="AK94"/>
  <c r="AI93"/>
  <c r="AG92"/>
  <c r="AK90"/>
  <c r="AI89"/>
  <c r="AG88"/>
  <c r="AK86"/>
  <c r="AI85"/>
  <c r="AG84"/>
  <c r="AK82"/>
  <c r="AI81"/>
  <c r="AG80"/>
  <c r="AK78"/>
  <c r="AI77"/>
  <c r="AG76"/>
  <c r="AK74"/>
  <c r="AI73"/>
  <c r="AG72"/>
  <c r="AK70"/>
  <c r="AI69"/>
  <c r="AG68"/>
  <c r="AK66"/>
  <c r="AI65"/>
  <c r="AG64"/>
  <c r="AK62"/>
  <c r="AI61"/>
  <c r="AG60"/>
  <c r="AK58"/>
  <c r="AI57"/>
  <c r="AG56"/>
  <c r="AK54"/>
  <c r="AI53"/>
  <c r="AG52"/>
  <c r="AK50"/>
  <c r="AI49"/>
  <c r="AG48"/>
  <c r="AK46"/>
  <c r="AI45"/>
  <c r="AG44"/>
  <c r="AK42"/>
  <c r="AI41"/>
  <c r="AG40"/>
  <c r="AK38"/>
  <c r="AI37"/>
  <c r="AG36"/>
  <c r="AK34"/>
  <c r="AI33"/>
  <c r="AG32"/>
  <c r="AK30"/>
  <c r="AI29"/>
  <c r="AG28"/>
  <c r="AK26"/>
  <c r="AI25"/>
  <c r="AG24"/>
  <c r="AK22"/>
  <c r="AI21"/>
  <c r="AG20"/>
  <c r="AK18"/>
  <c r="AI17"/>
  <c r="AG16"/>
  <c r="AK14"/>
  <c r="AI13"/>
  <c r="AG12"/>
  <c r="AK10"/>
  <c r="AI9"/>
  <c r="AG8"/>
  <c r="AK6"/>
  <c r="AI5"/>
  <c r="AG4"/>
  <c r="AF135"/>
  <c r="AJ133"/>
  <c r="AH132"/>
  <c r="AF131"/>
  <c r="AJ129"/>
  <c r="AH128"/>
  <c r="AF127"/>
  <c r="AJ125"/>
  <c r="AH124"/>
  <c r="AF123"/>
  <c r="AJ121"/>
  <c r="AH120"/>
  <c r="AF119"/>
  <c r="AJ117"/>
  <c r="AH116"/>
  <c r="AF115"/>
  <c r="AJ113"/>
  <c r="AH112"/>
  <c r="AF111"/>
  <c r="AJ109"/>
  <c r="AH108"/>
  <c r="AF107"/>
  <c r="AJ105"/>
  <c r="AH104"/>
  <c r="AF103"/>
  <c r="AJ101"/>
  <c r="AH100"/>
  <c r="AF99"/>
  <c r="AJ97"/>
  <c r="AH96"/>
  <c r="AF95"/>
  <c r="AJ93"/>
  <c r="AH92"/>
  <c r="AF91"/>
  <c r="AJ89"/>
  <c r="AH88"/>
  <c r="AF87"/>
  <c r="AJ85"/>
  <c r="AH84"/>
  <c r="AF83"/>
  <c r="AJ81"/>
  <c r="AH80"/>
  <c r="AF79"/>
  <c r="AJ77"/>
  <c r="AH76"/>
  <c r="AF75"/>
  <c r="AJ73"/>
  <c r="AH72"/>
  <c r="AF71"/>
  <c r="AJ69"/>
  <c r="AH68"/>
  <c r="AF67"/>
  <c r="AJ65"/>
  <c r="AH64"/>
  <c r="AF63"/>
  <c r="AJ61"/>
  <c r="AH60"/>
  <c r="AF59"/>
  <c r="AJ57"/>
  <c r="AH56"/>
  <c r="AF55"/>
  <c r="AJ53"/>
  <c r="AH52"/>
  <c r="AF51"/>
  <c r="AJ49"/>
  <c r="AH48"/>
  <c r="AF47"/>
  <c r="AJ45"/>
  <c r="AH44"/>
  <c r="AF43"/>
  <c r="AJ41"/>
  <c r="AH40"/>
  <c r="AF39"/>
  <c r="AJ37"/>
  <c r="AH36"/>
  <c r="AF35"/>
  <c r="AJ33"/>
  <c r="AH32"/>
  <c r="AF31"/>
  <c r="AJ29"/>
  <c r="AH28"/>
  <c r="AF27"/>
  <c r="AJ25"/>
  <c r="AH24"/>
  <c r="AF23"/>
  <c r="AJ21"/>
  <c r="AH20"/>
  <c r="AF19"/>
  <c r="AJ17"/>
  <c r="AH16"/>
  <c r="AF15"/>
  <c r="AJ13"/>
  <c r="AH12"/>
  <c r="AF11"/>
  <c r="AJ9"/>
  <c r="AH8"/>
  <c r="AF7"/>
  <c r="AJ5"/>
  <c r="AH4"/>
  <c r="AG135"/>
  <c r="AK133"/>
  <c r="AI132"/>
  <c r="AG131"/>
  <c r="AK129"/>
  <c r="AI128"/>
  <c r="AG127"/>
  <c r="AK125"/>
  <c r="AI124"/>
  <c r="AG123"/>
  <c r="AK121"/>
  <c r="AI120"/>
  <c r="AG119"/>
  <c r="AK117"/>
  <c r="AI116"/>
  <c r="AG115"/>
  <c r="AK113"/>
  <c r="AI112"/>
  <c r="AG111"/>
  <c r="AK109"/>
  <c r="AI108"/>
  <c r="AG107"/>
  <c r="AK105"/>
  <c r="AI104"/>
  <c r="AG103"/>
  <c r="AK101"/>
  <c r="AI100"/>
  <c r="AG99"/>
  <c r="AK97"/>
  <c r="AI96"/>
  <c r="AG95"/>
  <c r="AK93"/>
  <c r="AI92"/>
  <c r="AG91"/>
  <c r="AK89"/>
  <c r="AI88"/>
  <c r="AG87"/>
  <c r="AK85"/>
  <c r="AI84"/>
  <c r="AG83"/>
  <c r="AK81"/>
  <c r="AI80"/>
  <c r="AG79"/>
  <c r="AK77"/>
  <c r="AI76"/>
  <c r="AG75"/>
  <c r="AK73"/>
  <c r="AI72"/>
  <c r="AG71"/>
  <c r="AK69"/>
  <c r="AI68"/>
  <c r="AG67"/>
  <c r="AK65"/>
  <c r="AI64"/>
  <c r="AG63"/>
  <c r="AK61"/>
  <c r="AI60"/>
  <c r="AG59"/>
  <c r="AK57"/>
  <c r="AI56"/>
  <c r="AG55"/>
  <c r="AK53"/>
  <c r="AI52"/>
  <c r="AG51"/>
  <c r="AK49"/>
  <c r="AI48"/>
  <c r="AG47"/>
  <c r="AK45"/>
  <c r="AI44"/>
  <c r="AG43"/>
  <c r="AK41"/>
  <c r="AI40"/>
  <c r="AG39"/>
  <c r="AK37"/>
  <c r="AI36"/>
  <c r="AG35"/>
  <c r="AK33"/>
  <c r="AI32"/>
  <c r="AG31"/>
  <c r="AK29"/>
  <c r="AI28"/>
  <c r="AG27"/>
  <c r="AK25"/>
  <c r="AI24"/>
  <c r="AG23"/>
  <c r="AK21"/>
  <c r="AI20"/>
  <c r="AG19"/>
  <c r="AK17"/>
  <c r="AI16"/>
  <c r="AG15"/>
  <c r="AK13"/>
  <c r="AI12"/>
  <c r="AG11"/>
  <c r="AK9"/>
  <c r="AI8"/>
  <c r="AG7"/>
  <c r="AK5"/>
  <c r="AI4"/>
  <c r="AH135"/>
  <c r="AF134"/>
  <c r="AJ132"/>
  <c r="AH131"/>
  <c r="AF130"/>
  <c r="AJ128"/>
  <c r="AH127"/>
  <c r="AF126"/>
  <c r="AJ124"/>
  <c r="AH123"/>
  <c r="AF122"/>
  <c r="AJ120"/>
  <c r="AH119"/>
  <c r="AF118"/>
  <c r="AJ116"/>
  <c r="AH115"/>
  <c r="AF114"/>
  <c r="AJ112"/>
  <c r="AH111"/>
  <c r="AF110"/>
  <c r="AJ108"/>
  <c r="AH107"/>
  <c r="AF106"/>
  <c r="AJ104"/>
  <c r="AH103"/>
  <c r="AF102"/>
  <c r="AJ100"/>
  <c r="AH99"/>
  <c r="AF98"/>
  <c r="AJ96"/>
  <c r="AH95"/>
  <c r="AF94"/>
  <c r="AJ92"/>
  <c r="AH91"/>
  <c r="AF90"/>
  <c r="AJ88"/>
  <c r="AH87"/>
  <c r="AF86"/>
  <c r="AJ84"/>
  <c r="AH83"/>
  <c r="AF82"/>
  <c r="AJ80"/>
  <c r="AH79"/>
  <c r="AF78"/>
  <c r="AJ76"/>
  <c r="AH75"/>
  <c r="AF74"/>
  <c r="AJ72"/>
  <c r="AH71"/>
  <c r="AF70"/>
  <c r="AJ68"/>
  <c r="AH67"/>
  <c r="AF66"/>
  <c r="AJ64"/>
  <c r="AH63"/>
  <c r="AF62"/>
  <c r="AJ60"/>
  <c r="AH59"/>
  <c r="AF58"/>
  <c r="AJ56"/>
  <c r="AH55"/>
  <c r="AF54"/>
  <c r="AJ52"/>
  <c r="AH51"/>
  <c r="AF50"/>
  <c r="AJ48"/>
  <c r="AH47"/>
  <c r="AF46"/>
  <c r="AJ44"/>
  <c r="AH43"/>
  <c r="AF42"/>
  <c r="AJ40"/>
  <c r="AH39"/>
  <c r="AF38"/>
  <c r="AJ36"/>
  <c r="AH35"/>
  <c r="AF34"/>
  <c r="AJ32"/>
  <c r="AH31"/>
  <c r="AF30"/>
  <c r="AJ28"/>
  <c r="AH27"/>
  <c r="AF26"/>
  <c r="AJ24"/>
  <c r="AH23"/>
  <c r="AF22"/>
  <c r="AJ20"/>
  <c r="AH19"/>
  <c r="AF18"/>
  <c r="AJ16"/>
  <c r="AH15"/>
  <c r="AF14"/>
  <c r="AJ12"/>
  <c r="AH11"/>
  <c r="AF10"/>
  <c r="AJ8"/>
  <c r="AH7"/>
  <c r="AF6"/>
  <c r="AJ4"/>
  <c r="AI135"/>
  <c r="AG134"/>
  <c r="AK132"/>
  <c r="AI131"/>
  <c r="AG130"/>
  <c r="AK128"/>
  <c r="AI127"/>
  <c r="AG126"/>
  <c r="AK124"/>
  <c r="AI123"/>
  <c r="AG122"/>
  <c r="AK120"/>
  <c r="AI119"/>
  <c r="AG118"/>
  <c r="AK116"/>
  <c r="AI115"/>
  <c r="AG114"/>
  <c r="AK112"/>
  <c r="AI111"/>
  <c r="AG110"/>
  <c r="AK108"/>
  <c r="AI107"/>
  <c r="AG106"/>
  <c r="AK104"/>
  <c r="AI103"/>
  <c r="AG102"/>
  <c r="AK100"/>
  <c r="AI99"/>
  <c r="AG98"/>
  <c r="AK96"/>
  <c r="AI95"/>
  <c r="AG94"/>
  <c r="AK92"/>
  <c r="AI91"/>
  <c r="AG90"/>
  <c r="AK88"/>
  <c r="AI87"/>
  <c r="AG86"/>
  <c r="AK84"/>
  <c r="AI83"/>
  <c r="AG82"/>
  <c r="AK80"/>
  <c r="AI79"/>
  <c r="AG78"/>
  <c r="AK76"/>
  <c r="AI75"/>
  <c r="AG74"/>
  <c r="AK72"/>
  <c r="AI71"/>
  <c r="AG70"/>
  <c r="AK68"/>
  <c r="AI67"/>
  <c r="AG66"/>
  <c r="AK64"/>
  <c r="AI63"/>
  <c r="AG62"/>
  <c r="AK60"/>
  <c r="AI59"/>
  <c r="AG58"/>
  <c r="AK56"/>
  <c r="AI55"/>
  <c r="AG54"/>
  <c r="AK52"/>
  <c r="AI51"/>
  <c r="AG50"/>
  <c r="AK48"/>
  <c r="AI47"/>
  <c r="AG46"/>
  <c r="AK44"/>
  <c r="AI43"/>
  <c r="AG42"/>
  <c r="AK40"/>
  <c r="AI39"/>
  <c r="AG38"/>
  <c r="AK36"/>
  <c r="AI35"/>
  <c r="AG34"/>
  <c r="AK32"/>
  <c r="AI31"/>
  <c r="AG30"/>
  <c r="AK28"/>
  <c r="AI27"/>
  <c r="AG26"/>
  <c r="AK24"/>
  <c r="AI23"/>
  <c r="AG22"/>
  <c r="AK20"/>
  <c r="AI19"/>
  <c r="AG18"/>
  <c r="AK16"/>
  <c r="AI15"/>
  <c r="AG14"/>
  <c r="AK12"/>
  <c r="AI11"/>
  <c r="AG10"/>
  <c r="AK8"/>
  <c r="AI7"/>
  <c r="AG6"/>
  <c r="AK4"/>
  <c r="AJ135"/>
  <c r="AH134"/>
  <c r="AF133"/>
  <c r="AJ131"/>
  <c r="AH130"/>
  <c r="AF129"/>
  <c r="AJ127"/>
  <c r="AH126"/>
  <c r="AF125"/>
  <c r="AJ123"/>
  <c r="AH122"/>
  <c r="AF121"/>
  <c r="AJ119"/>
  <c r="AH118"/>
  <c r="AF117"/>
  <c r="AJ115"/>
  <c r="AH114"/>
  <c r="AF113"/>
  <c r="AJ111"/>
  <c r="AH110"/>
  <c r="AF109"/>
  <c r="AJ107"/>
  <c r="AH106"/>
  <c r="AF105"/>
  <c r="AJ103"/>
  <c r="AH102"/>
  <c r="AF101"/>
  <c r="AJ99"/>
  <c r="AH98"/>
  <c r="AF97"/>
  <c r="AJ95"/>
  <c r="AH94"/>
  <c r="AF93"/>
  <c r="AJ91"/>
  <c r="AH90"/>
  <c r="AF89"/>
  <c r="AJ87"/>
  <c r="AH86"/>
  <c r="AF85"/>
  <c r="AJ83"/>
  <c r="AH82"/>
  <c r="AF81"/>
  <c r="AJ79"/>
  <c r="AH78"/>
  <c r="AF77"/>
  <c r="AJ75"/>
  <c r="AH74"/>
  <c r="AF73"/>
  <c r="AJ71"/>
  <c r="AH70"/>
  <c r="AF69"/>
  <c r="AJ67"/>
  <c r="AH66"/>
  <c r="AF65"/>
  <c r="AJ63"/>
  <c r="AH62"/>
  <c r="AF61"/>
  <c r="AJ59"/>
  <c r="AH58"/>
  <c r="AF57"/>
  <c r="AJ55"/>
  <c r="AH54"/>
  <c r="AF53"/>
  <c r="AJ51"/>
  <c r="AH50"/>
  <c r="AF49"/>
  <c r="AJ47"/>
  <c r="AH46"/>
  <c r="AF45"/>
  <c r="AJ43"/>
  <c r="AH42"/>
  <c r="AF41"/>
  <c r="AJ39"/>
  <c r="AH38"/>
  <c r="AF37"/>
  <c r="AJ35"/>
  <c r="AH34"/>
  <c r="AF33"/>
  <c r="AJ31"/>
  <c r="AH30"/>
  <c r="AF29"/>
  <c r="AJ27"/>
  <c r="AH26"/>
  <c r="AF25"/>
  <c r="AJ23"/>
  <c r="AH22"/>
  <c r="AF21"/>
  <c r="AJ19"/>
  <c r="AH18"/>
  <c r="AF17"/>
  <c r="AJ15"/>
  <c r="AH14"/>
  <c r="AF13"/>
  <c r="AJ11"/>
  <c r="AH10"/>
  <c r="AF9"/>
  <c r="AJ7"/>
  <c r="AH6"/>
  <c r="AF5"/>
  <c r="AK135"/>
  <c r="AI134"/>
  <c r="AG133"/>
  <c r="AK131"/>
  <c r="AI130"/>
  <c r="AG129"/>
  <c r="AK127"/>
  <c r="AI126"/>
  <c r="AG125"/>
  <c r="AK123"/>
  <c r="AI122"/>
  <c r="AG121"/>
  <c r="AK119"/>
  <c r="AI118"/>
  <c r="AG117"/>
  <c r="AK115"/>
  <c r="AI114"/>
  <c r="AG113"/>
  <c r="AK111"/>
  <c r="AI110"/>
  <c r="AG109"/>
  <c r="AK107"/>
  <c r="AI106"/>
  <c r="AG105"/>
  <c r="AK103"/>
  <c r="AI102"/>
  <c r="AG101"/>
  <c r="AK99"/>
  <c r="AI98"/>
  <c r="AG97"/>
  <c r="AK95"/>
  <c r="AI94"/>
  <c r="AG93"/>
  <c r="AK91"/>
  <c r="AI90"/>
  <c r="AG89"/>
  <c r="AK87"/>
  <c r="AI86"/>
  <c r="AG85"/>
  <c r="AK83"/>
  <c r="AI82"/>
  <c r="AG81"/>
  <c r="AK79"/>
  <c r="AI78"/>
  <c r="AG77"/>
  <c r="AK75"/>
  <c r="AI74"/>
  <c r="AG73"/>
  <c r="AK71"/>
  <c r="AI70"/>
  <c r="AG69"/>
  <c r="AK67"/>
  <c r="AI66"/>
  <c r="AG65"/>
  <c r="AK63"/>
  <c r="AI62"/>
  <c r="AG61"/>
  <c r="AK59"/>
  <c r="AI58"/>
  <c r="AG57"/>
  <c r="AK55"/>
  <c r="AI54"/>
  <c r="AG53"/>
  <c r="AK51"/>
  <c r="AI50"/>
  <c r="AG49"/>
  <c r="AK47"/>
  <c r="AI46"/>
  <c r="AG45"/>
  <c r="AK43"/>
  <c r="AI42"/>
  <c r="AG41"/>
  <c r="AK39"/>
  <c r="AI38"/>
  <c r="AG37"/>
  <c r="AK35"/>
  <c r="AI34"/>
  <c r="AG33"/>
  <c r="AK31"/>
  <c r="AI30"/>
  <c r="AG29"/>
  <c r="AK27"/>
  <c r="AI26"/>
  <c r="AG25"/>
  <c r="AK23"/>
  <c r="AI22"/>
  <c r="AG21"/>
  <c r="AK19"/>
  <c r="AI18"/>
  <c r="AG17"/>
  <c r="AK15"/>
  <c r="AI14"/>
  <c r="AG13"/>
  <c r="AK11"/>
  <c r="AI10"/>
  <c r="AG9"/>
  <c r="AK7"/>
  <c r="AI6"/>
  <c r="AG5"/>
  <c r="AK3"/>
  <c r="AJ3"/>
  <c r="AI3"/>
  <c r="AH3"/>
  <c r="AG3"/>
  <c r="AF3"/>
  <c r="C81" i="6"/>
  <c r="C93"/>
  <c r="BM4" i="5"/>
  <c r="BY4" i="11"/>
  <c r="AA4" i="7" s="1"/>
  <c r="AE4" i="8" s="1"/>
  <c r="BC4" s="1"/>
  <c r="S3" i="2"/>
  <c r="AA3" i="7"/>
  <c r="AE3" i="8" s="1"/>
  <c r="BC3" s="1"/>
  <c r="DG3" i="5"/>
  <c r="E4" i="8"/>
  <c r="E5" s="1"/>
  <c r="DF5" s="1"/>
  <c r="DG4" i="5"/>
  <c r="AX5"/>
  <c r="X1268" i="14"/>
  <c r="X1269" s="1"/>
  <c r="AG1268"/>
  <c r="AG1269" s="1"/>
  <c r="B22" i="4"/>
  <c r="H22"/>
  <c r="I22"/>
  <c r="F22"/>
  <c r="J22"/>
  <c r="G22"/>
  <c r="J23"/>
  <c r="I23"/>
  <c r="H23"/>
  <c r="G23"/>
  <c r="F23"/>
  <c r="B3" i="1"/>
  <c r="BI3" s="1"/>
  <c r="AT89" i="14"/>
  <c r="AT90" s="1"/>
  <c r="AT91" s="1"/>
  <c r="AT92" s="1"/>
  <c r="AT93" s="1"/>
  <c r="AT94" s="1"/>
  <c r="AT95" s="1"/>
  <c r="AT96" s="1"/>
  <c r="AT97" s="1"/>
  <c r="AT98" s="1"/>
  <c r="AT99" s="1"/>
  <c r="AT100" s="1"/>
  <c r="AT101" s="1"/>
  <c r="AT102" s="1"/>
  <c r="AT103" s="1"/>
  <c r="AT104" s="1"/>
  <c r="AT105" s="1"/>
  <c r="AT106" s="1"/>
  <c r="AT107" s="1"/>
  <c r="AT108" s="1"/>
  <c r="AT109" s="1"/>
  <c r="AT110" s="1"/>
  <c r="AT111" s="1"/>
  <c r="AT112" s="1"/>
  <c r="AT113" s="1"/>
  <c r="AT114" s="1"/>
  <c r="AT115" s="1"/>
  <c r="AT116" s="1"/>
  <c r="AT117" s="1"/>
  <c r="AT118" s="1"/>
  <c r="AT119" s="1"/>
  <c r="AT120" s="1"/>
  <c r="AT121" s="1"/>
  <c r="AT122" s="1"/>
  <c r="AT123" s="1"/>
  <c r="AT124" s="1"/>
  <c r="AT125" s="1"/>
  <c r="AT126" s="1"/>
  <c r="AT127" s="1"/>
  <c r="AT128" s="1"/>
  <c r="AT129" s="1"/>
  <c r="AT130" s="1"/>
  <c r="AT131" s="1"/>
  <c r="AT132" s="1"/>
  <c r="AT133" s="1"/>
  <c r="AT134" s="1"/>
  <c r="AT135" s="1"/>
  <c r="AK135" i="1" s="1"/>
  <c r="AT1268" i="14"/>
  <c r="AT1269" s="1"/>
  <c r="AN89"/>
  <c r="AN90" s="1"/>
  <c r="AN91" s="1"/>
  <c r="AN92" s="1"/>
  <c r="AN93" s="1"/>
  <c r="AN94" s="1"/>
  <c r="AN95" s="1"/>
  <c r="AN96" s="1"/>
  <c r="AN97" s="1"/>
  <c r="AN98" s="1"/>
  <c r="AN99" s="1"/>
  <c r="AN100" s="1"/>
  <c r="AN101" s="1"/>
  <c r="AN102" s="1"/>
  <c r="AN103" s="1"/>
  <c r="AN104" s="1"/>
  <c r="AN105" s="1"/>
  <c r="AN106" s="1"/>
  <c r="AN107" s="1"/>
  <c r="AN108" s="1"/>
  <c r="AN109" s="1"/>
  <c r="AN110" s="1"/>
  <c r="AN111" s="1"/>
  <c r="AN112" s="1"/>
  <c r="AN113" s="1"/>
  <c r="AN114" s="1"/>
  <c r="AN115" s="1"/>
  <c r="AN116" s="1"/>
  <c r="AN117" s="1"/>
  <c r="AN118" s="1"/>
  <c r="AN119" s="1"/>
  <c r="AN120" s="1"/>
  <c r="AN121" s="1"/>
  <c r="AN122" s="1"/>
  <c r="AN123" s="1"/>
  <c r="AN124" s="1"/>
  <c r="AN125" s="1"/>
  <c r="AN126" s="1"/>
  <c r="AN127" s="1"/>
  <c r="AN128" s="1"/>
  <c r="AN129" s="1"/>
  <c r="AN130" s="1"/>
  <c r="AN131" s="1"/>
  <c r="AN132" s="1"/>
  <c r="AN133" s="1"/>
  <c r="AN134" s="1"/>
  <c r="AN135" s="1"/>
  <c r="AN1268"/>
  <c r="AN1269" s="1"/>
  <c r="AK89"/>
  <c r="AK90" s="1"/>
  <c r="AK91" s="1"/>
  <c r="AK92" s="1"/>
  <c r="AK93" s="1"/>
  <c r="AK94" s="1"/>
  <c r="AK95" s="1"/>
  <c r="AK96" s="1"/>
  <c r="AK97" s="1"/>
  <c r="AK98" s="1"/>
  <c r="AK99" s="1"/>
  <c r="AK100" s="1"/>
  <c r="AK101" s="1"/>
  <c r="AK102" s="1"/>
  <c r="AK103" s="1"/>
  <c r="AK104" s="1"/>
  <c r="AK105" s="1"/>
  <c r="AK106" s="1"/>
  <c r="AK107" s="1"/>
  <c r="AK108" s="1"/>
  <c r="AK109" s="1"/>
  <c r="AK110" s="1"/>
  <c r="AK111" s="1"/>
  <c r="AK112" s="1"/>
  <c r="AK113" s="1"/>
  <c r="AK114" s="1"/>
  <c r="AK115" s="1"/>
  <c r="AK116" s="1"/>
  <c r="AK117" s="1"/>
  <c r="AK118" s="1"/>
  <c r="AK119" s="1"/>
  <c r="AK120" s="1"/>
  <c r="AK121" s="1"/>
  <c r="AK122" s="1"/>
  <c r="AK123" s="1"/>
  <c r="AK124" s="1"/>
  <c r="AK125" s="1"/>
  <c r="AK126" s="1"/>
  <c r="AK127" s="1"/>
  <c r="AK128" s="1"/>
  <c r="AK129" s="1"/>
  <c r="AK130" s="1"/>
  <c r="AK131" s="1"/>
  <c r="AK132" s="1"/>
  <c r="AK133" s="1"/>
  <c r="AK134" s="1"/>
  <c r="AK135" s="1"/>
  <c r="AK1268"/>
  <c r="AK1269" s="1"/>
  <c r="AJ6"/>
  <c r="CM5" i="8"/>
  <c r="AQ89" i="14"/>
  <c r="AQ90" s="1"/>
  <c r="AQ91" s="1"/>
  <c r="AQ92" s="1"/>
  <c r="AQ93" s="1"/>
  <c r="AQ94" s="1"/>
  <c r="AQ95" s="1"/>
  <c r="AQ96" s="1"/>
  <c r="AQ97" s="1"/>
  <c r="AQ98" s="1"/>
  <c r="AQ99" s="1"/>
  <c r="AQ100" s="1"/>
  <c r="AQ101" s="1"/>
  <c r="AQ102" s="1"/>
  <c r="AQ103" s="1"/>
  <c r="AQ104" s="1"/>
  <c r="AQ105" s="1"/>
  <c r="AQ106" s="1"/>
  <c r="AQ107" s="1"/>
  <c r="AQ108" s="1"/>
  <c r="AQ109" s="1"/>
  <c r="AQ110" s="1"/>
  <c r="AQ111" s="1"/>
  <c r="AQ112" s="1"/>
  <c r="AQ113" s="1"/>
  <c r="AQ114" s="1"/>
  <c r="AQ115" s="1"/>
  <c r="AQ116" s="1"/>
  <c r="AQ117" s="1"/>
  <c r="AQ118" s="1"/>
  <c r="AQ119" s="1"/>
  <c r="AQ120" s="1"/>
  <c r="AQ121" s="1"/>
  <c r="AQ122" s="1"/>
  <c r="AQ123" s="1"/>
  <c r="AQ124" s="1"/>
  <c r="AQ125" s="1"/>
  <c r="AQ126" s="1"/>
  <c r="AQ127" s="1"/>
  <c r="AQ128" s="1"/>
  <c r="AQ129" s="1"/>
  <c r="AQ130" s="1"/>
  <c r="AQ131" s="1"/>
  <c r="AQ132" s="1"/>
  <c r="AQ133" s="1"/>
  <c r="AQ134" s="1"/>
  <c r="AQ135" s="1"/>
  <c r="AQ1268"/>
  <c r="AQ1269" s="1"/>
  <c r="AE89"/>
  <c r="AE90" s="1"/>
  <c r="AE91" s="1"/>
  <c r="AE92" s="1"/>
  <c r="AE93" s="1"/>
  <c r="AE94" s="1"/>
  <c r="AE95" s="1"/>
  <c r="AE96" s="1"/>
  <c r="AE97" s="1"/>
  <c r="AE98" s="1"/>
  <c r="AE99" s="1"/>
  <c r="AE100" s="1"/>
  <c r="AE101" s="1"/>
  <c r="AE102" s="1"/>
  <c r="AE103" s="1"/>
  <c r="AE104" s="1"/>
  <c r="AE105" s="1"/>
  <c r="AE106" s="1"/>
  <c r="AE107" s="1"/>
  <c r="AE108" s="1"/>
  <c r="AE109" s="1"/>
  <c r="AE110" s="1"/>
  <c r="AE111" s="1"/>
  <c r="AE112" s="1"/>
  <c r="AE113" s="1"/>
  <c r="AE114" s="1"/>
  <c r="AE115" s="1"/>
  <c r="AE116" s="1"/>
  <c r="AE117" s="1"/>
  <c r="AE118" s="1"/>
  <c r="AE119" s="1"/>
  <c r="AE120" s="1"/>
  <c r="AE121" s="1"/>
  <c r="AE122" s="1"/>
  <c r="AE123" s="1"/>
  <c r="AE124" s="1"/>
  <c r="AE125" s="1"/>
  <c r="AE126" s="1"/>
  <c r="AE127" s="1"/>
  <c r="AE128" s="1"/>
  <c r="AE129" s="1"/>
  <c r="AE130" s="1"/>
  <c r="AE131" s="1"/>
  <c r="AE132" s="1"/>
  <c r="AE133" s="1"/>
  <c r="AE134" s="1"/>
  <c r="AE135" s="1"/>
  <c r="AE1268"/>
  <c r="AE1269" s="1"/>
  <c r="AV89"/>
  <c r="AV90" s="1"/>
  <c r="AV91" s="1"/>
  <c r="AV92" s="1"/>
  <c r="AV93" s="1"/>
  <c r="AV94" s="1"/>
  <c r="AV95" s="1"/>
  <c r="AV96" s="1"/>
  <c r="AV97" s="1"/>
  <c r="AV98" s="1"/>
  <c r="AV99" s="1"/>
  <c r="AV100" s="1"/>
  <c r="AV101" s="1"/>
  <c r="AV102" s="1"/>
  <c r="AV103" s="1"/>
  <c r="AV104" s="1"/>
  <c r="AV105" s="1"/>
  <c r="AV106" s="1"/>
  <c r="AV107" s="1"/>
  <c r="AV108" s="1"/>
  <c r="AV109" s="1"/>
  <c r="AV110" s="1"/>
  <c r="AV111" s="1"/>
  <c r="AV112" s="1"/>
  <c r="AV113" s="1"/>
  <c r="AV114" s="1"/>
  <c r="AV115" s="1"/>
  <c r="AV116" s="1"/>
  <c r="AV117" s="1"/>
  <c r="AV118" s="1"/>
  <c r="AV119" s="1"/>
  <c r="AV120" s="1"/>
  <c r="AV121" s="1"/>
  <c r="AV122" s="1"/>
  <c r="AV123" s="1"/>
  <c r="AV124" s="1"/>
  <c r="AV125" s="1"/>
  <c r="AV126" s="1"/>
  <c r="AV127" s="1"/>
  <c r="AV128" s="1"/>
  <c r="AV129" s="1"/>
  <c r="AV130" s="1"/>
  <c r="AV131" s="1"/>
  <c r="AV132" s="1"/>
  <c r="AV133" s="1"/>
  <c r="AV134" s="1"/>
  <c r="AV135" s="1"/>
  <c r="AV1268"/>
  <c r="AV1269" s="1"/>
  <c r="AU89"/>
  <c r="AU90" s="1"/>
  <c r="AU91" s="1"/>
  <c r="AU92" s="1"/>
  <c r="AU93" s="1"/>
  <c r="AU94" s="1"/>
  <c r="AU95" s="1"/>
  <c r="AU96" s="1"/>
  <c r="AU97" s="1"/>
  <c r="AU98" s="1"/>
  <c r="AU99" s="1"/>
  <c r="AU100" s="1"/>
  <c r="AU101" s="1"/>
  <c r="AU102" s="1"/>
  <c r="AU103" s="1"/>
  <c r="AU104" s="1"/>
  <c r="AU105" s="1"/>
  <c r="AU106" s="1"/>
  <c r="AU107" s="1"/>
  <c r="AU108" s="1"/>
  <c r="AU109" s="1"/>
  <c r="AU110" s="1"/>
  <c r="AU111" s="1"/>
  <c r="AU112" s="1"/>
  <c r="AU113" s="1"/>
  <c r="AU114" s="1"/>
  <c r="AU115" s="1"/>
  <c r="AU116" s="1"/>
  <c r="AU117" s="1"/>
  <c r="AU118" s="1"/>
  <c r="AU119" s="1"/>
  <c r="AU120" s="1"/>
  <c r="AU121" s="1"/>
  <c r="AU122" s="1"/>
  <c r="AU123" s="1"/>
  <c r="AU124" s="1"/>
  <c r="AU125" s="1"/>
  <c r="AU126" s="1"/>
  <c r="AU127" s="1"/>
  <c r="AU128" s="1"/>
  <c r="AU129" s="1"/>
  <c r="AU130" s="1"/>
  <c r="AU131" s="1"/>
  <c r="AU132" s="1"/>
  <c r="AU133" s="1"/>
  <c r="AU134" s="1"/>
  <c r="AU135" s="1"/>
  <c r="AU1268"/>
  <c r="AU1269" s="1"/>
  <c r="AL89"/>
  <c r="AL90" s="1"/>
  <c r="AL91" s="1"/>
  <c r="AL92" s="1"/>
  <c r="AL93" s="1"/>
  <c r="AL94" s="1"/>
  <c r="AL95" s="1"/>
  <c r="AL96" s="1"/>
  <c r="AL97" s="1"/>
  <c r="AL98" s="1"/>
  <c r="AL99" s="1"/>
  <c r="AL100" s="1"/>
  <c r="AL101" s="1"/>
  <c r="AL102" s="1"/>
  <c r="AL103" s="1"/>
  <c r="AL104" s="1"/>
  <c r="AL105" s="1"/>
  <c r="AL106" s="1"/>
  <c r="AL107" s="1"/>
  <c r="AL108" s="1"/>
  <c r="AL109" s="1"/>
  <c r="AL110" s="1"/>
  <c r="AL111" s="1"/>
  <c r="AL112" s="1"/>
  <c r="AL113" s="1"/>
  <c r="AL114" s="1"/>
  <c r="AL115" s="1"/>
  <c r="AL116" s="1"/>
  <c r="AL117" s="1"/>
  <c r="AL118" s="1"/>
  <c r="AL119" s="1"/>
  <c r="AL120" s="1"/>
  <c r="AL121" s="1"/>
  <c r="AL122" s="1"/>
  <c r="AL123" s="1"/>
  <c r="AL124" s="1"/>
  <c r="AL125" s="1"/>
  <c r="AL126" s="1"/>
  <c r="AL127" s="1"/>
  <c r="AL128" s="1"/>
  <c r="AL129" s="1"/>
  <c r="AL130" s="1"/>
  <c r="AL131" s="1"/>
  <c r="AL132" s="1"/>
  <c r="AL133" s="1"/>
  <c r="AL134" s="1"/>
  <c r="AL135" s="1"/>
  <c r="AL1268"/>
  <c r="AL1269" s="1"/>
  <c r="AA1268"/>
  <c r="AA1269" s="1"/>
  <c r="AA89"/>
  <c r="AA90" s="1"/>
  <c r="AA91" s="1"/>
  <c r="AA92" s="1"/>
  <c r="AA93" s="1"/>
  <c r="AA94" s="1"/>
  <c r="AA95" s="1"/>
  <c r="AA96" s="1"/>
  <c r="AA97" s="1"/>
  <c r="AA98" s="1"/>
  <c r="AA99" s="1"/>
  <c r="AA100" s="1"/>
  <c r="AA101" s="1"/>
  <c r="AA102" s="1"/>
  <c r="AA103" s="1"/>
  <c r="AA104" s="1"/>
  <c r="AA105" s="1"/>
  <c r="AA106" s="1"/>
  <c r="AA107" s="1"/>
  <c r="AA108" s="1"/>
  <c r="AA109" s="1"/>
  <c r="AA110" s="1"/>
  <c r="AA111" s="1"/>
  <c r="AA112" s="1"/>
  <c r="AA113" s="1"/>
  <c r="AA114" s="1"/>
  <c r="AA115" s="1"/>
  <c r="AA116" s="1"/>
  <c r="AA117" s="1"/>
  <c r="AA118" s="1"/>
  <c r="AA119" s="1"/>
  <c r="AA120" s="1"/>
  <c r="AA121" s="1"/>
  <c r="AA122" s="1"/>
  <c r="AA123" s="1"/>
  <c r="AA124" s="1"/>
  <c r="AA125" s="1"/>
  <c r="AA126" s="1"/>
  <c r="AA127" s="1"/>
  <c r="AA128" s="1"/>
  <c r="AA129" s="1"/>
  <c r="AA130" s="1"/>
  <c r="AA131" s="1"/>
  <c r="AA132" s="1"/>
  <c r="AA133" s="1"/>
  <c r="AA134" s="1"/>
  <c r="AA135" s="1"/>
  <c r="L5" i="11"/>
  <c r="B5" i="1" s="1"/>
  <c r="BI5" s="1"/>
  <c r="AM1268" i="14"/>
  <c r="AM1269" s="1"/>
  <c r="AM89"/>
  <c r="AM90" s="1"/>
  <c r="AM91" s="1"/>
  <c r="AM92" s="1"/>
  <c r="AM93" s="1"/>
  <c r="AM94" s="1"/>
  <c r="AM95" s="1"/>
  <c r="AM96" s="1"/>
  <c r="AM97" s="1"/>
  <c r="AM98" s="1"/>
  <c r="AM99" s="1"/>
  <c r="AM100" s="1"/>
  <c r="AM101" s="1"/>
  <c r="AM102" s="1"/>
  <c r="AM103" s="1"/>
  <c r="AM104" s="1"/>
  <c r="AM105" s="1"/>
  <c r="AM106" s="1"/>
  <c r="AM107" s="1"/>
  <c r="AM108" s="1"/>
  <c r="AM109" s="1"/>
  <c r="AM110" s="1"/>
  <c r="AM111" s="1"/>
  <c r="AM112" s="1"/>
  <c r="AM113" s="1"/>
  <c r="AM114" s="1"/>
  <c r="AM115" s="1"/>
  <c r="AM116" s="1"/>
  <c r="AM117" s="1"/>
  <c r="AM118" s="1"/>
  <c r="AM119" s="1"/>
  <c r="AM120" s="1"/>
  <c r="AM121" s="1"/>
  <c r="AM122" s="1"/>
  <c r="AM123" s="1"/>
  <c r="AM124" s="1"/>
  <c r="AM125" s="1"/>
  <c r="AM126" s="1"/>
  <c r="AM127" s="1"/>
  <c r="AM128" s="1"/>
  <c r="AM129" s="1"/>
  <c r="AM130" s="1"/>
  <c r="AM131" s="1"/>
  <c r="AM132" s="1"/>
  <c r="AM133" s="1"/>
  <c r="AM134" s="1"/>
  <c r="AM135" s="1"/>
  <c r="AO89"/>
  <c r="AO90" s="1"/>
  <c r="AO91" s="1"/>
  <c r="AO92" s="1"/>
  <c r="AO93" s="1"/>
  <c r="AO94" s="1"/>
  <c r="AO95" s="1"/>
  <c r="AO96" s="1"/>
  <c r="AO97" s="1"/>
  <c r="AO98" s="1"/>
  <c r="AO99" s="1"/>
  <c r="AO100" s="1"/>
  <c r="AO101" s="1"/>
  <c r="AO102" s="1"/>
  <c r="AO103" s="1"/>
  <c r="AO104" s="1"/>
  <c r="AO105" s="1"/>
  <c r="AO106" s="1"/>
  <c r="AO107" s="1"/>
  <c r="AO108" s="1"/>
  <c r="AO109" s="1"/>
  <c r="AO110" s="1"/>
  <c r="AO111" s="1"/>
  <c r="AO112" s="1"/>
  <c r="AO113" s="1"/>
  <c r="AO114" s="1"/>
  <c r="AO115" s="1"/>
  <c r="AO116" s="1"/>
  <c r="AO117" s="1"/>
  <c r="AO118" s="1"/>
  <c r="AO119" s="1"/>
  <c r="AO120" s="1"/>
  <c r="AO121" s="1"/>
  <c r="AO122" s="1"/>
  <c r="AO123" s="1"/>
  <c r="AO124" s="1"/>
  <c r="AO125" s="1"/>
  <c r="AO126" s="1"/>
  <c r="AO127" s="1"/>
  <c r="AO128" s="1"/>
  <c r="AO129" s="1"/>
  <c r="AO130" s="1"/>
  <c r="AO131" s="1"/>
  <c r="AO132" s="1"/>
  <c r="AO133" s="1"/>
  <c r="AO134" s="1"/>
  <c r="AO135" s="1"/>
  <c r="AO1268"/>
  <c r="AO1269" s="1"/>
  <c r="AB89"/>
  <c r="AB90" s="1"/>
  <c r="AB91" s="1"/>
  <c r="AB92" s="1"/>
  <c r="AB93" s="1"/>
  <c r="AB94" s="1"/>
  <c r="AB95" s="1"/>
  <c r="AB96" s="1"/>
  <c r="AB97" s="1"/>
  <c r="AB98" s="1"/>
  <c r="AB99" s="1"/>
  <c r="AB100" s="1"/>
  <c r="AB101" s="1"/>
  <c r="AB102" s="1"/>
  <c r="AB103" s="1"/>
  <c r="AB104" s="1"/>
  <c r="AB105" s="1"/>
  <c r="AB106" s="1"/>
  <c r="AB107" s="1"/>
  <c r="AB108" s="1"/>
  <c r="AB109" s="1"/>
  <c r="AB110" s="1"/>
  <c r="AB111" s="1"/>
  <c r="AB112" s="1"/>
  <c r="AB113" s="1"/>
  <c r="AB114" s="1"/>
  <c r="AB115" s="1"/>
  <c r="AB116" s="1"/>
  <c r="AB117" s="1"/>
  <c r="AB118" s="1"/>
  <c r="AB119" s="1"/>
  <c r="AB120" s="1"/>
  <c r="AB121" s="1"/>
  <c r="AB122" s="1"/>
  <c r="AB123" s="1"/>
  <c r="AB124" s="1"/>
  <c r="AB125" s="1"/>
  <c r="AB126" s="1"/>
  <c r="AB127" s="1"/>
  <c r="AB128" s="1"/>
  <c r="AB129" s="1"/>
  <c r="AB130" s="1"/>
  <c r="AB131" s="1"/>
  <c r="AB132" s="1"/>
  <c r="AB133" s="1"/>
  <c r="AB134" s="1"/>
  <c r="AB135" s="1"/>
  <c r="AB1268"/>
  <c r="AB1269" s="1"/>
  <c r="AI1268"/>
  <c r="AI1269" s="1"/>
  <c r="AI89"/>
  <c r="AI90" s="1"/>
  <c r="AI91" s="1"/>
  <c r="AI92" s="1"/>
  <c r="AI93" s="1"/>
  <c r="AI94" s="1"/>
  <c r="AI95" s="1"/>
  <c r="AI96" s="1"/>
  <c r="AI97" s="1"/>
  <c r="AI98" s="1"/>
  <c r="AI99" s="1"/>
  <c r="AI100" s="1"/>
  <c r="AI101" s="1"/>
  <c r="AI102" s="1"/>
  <c r="AI103" s="1"/>
  <c r="AI104" s="1"/>
  <c r="AI105" s="1"/>
  <c r="AI106" s="1"/>
  <c r="AI107" s="1"/>
  <c r="AI108" s="1"/>
  <c r="AI109" s="1"/>
  <c r="AI110" s="1"/>
  <c r="AI111" s="1"/>
  <c r="AI112" s="1"/>
  <c r="AI113" s="1"/>
  <c r="AI114" s="1"/>
  <c r="AI115" s="1"/>
  <c r="AI116" s="1"/>
  <c r="AI117" s="1"/>
  <c r="AI118" s="1"/>
  <c r="AI119" s="1"/>
  <c r="AI120" s="1"/>
  <c r="AI121" s="1"/>
  <c r="AI122" s="1"/>
  <c r="AI123" s="1"/>
  <c r="AI124" s="1"/>
  <c r="AI125" s="1"/>
  <c r="AI126" s="1"/>
  <c r="AI127" s="1"/>
  <c r="AI128" s="1"/>
  <c r="AI129" s="1"/>
  <c r="AI130" s="1"/>
  <c r="AI131" s="1"/>
  <c r="AI132" s="1"/>
  <c r="AI133" s="1"/>
  <c r="AI134" s="1"/>
  <c r="AI135" s="1"/>
  <c r="AF89"/>
  <c r="AF90" s="1"/>
  <c r="AF91" s="1"/>
  <c r="AF92" s="1"/>
  <c r="AF93" s="1"/>
  <c r="AF94" s="1"/>
  <c r="AF95" s="1"/>
  <c r="AF96" s="1"/>
  <c r="AF97" s="1"/>
  <c r="AF98" s="1"/>
  <c r="AF99" s="1"/>
  <c r="AF100" s="1"/>
  <c r="AF101" s="1"/>
  <c r="AF102" s="1"/>
  <c r="AF103" s="1"/>
  <c r="AF104" s="1"/>
  <c r="AF105" s="1"/>
  <c r="AF106" s="1"/>
  <c r="AF107" s="1"/>
  <c r="AF108" s="1"/>
  <c r="AF109" s="1"/>
  <c r="AF110" s="1"/>
  <c r="AF111" s="1"/>
  <c r="AF112" s="1"/>
  <c r="AF113" s="1"/>
  <c r="AF114" s="1"/>
  <c r="AF115" s="1"/>
  <c r="AF116" s="1"/>
  <c r="AF117" s="1"/>
  <c r="AF118" s="1"/>
  <c r="AF119" s="1"/>
  <c r="AF120" s="1"/>
  <c r="AF121" s="1"/>
  <c r="AF122" s="1"/>
  <c r="AF123" s="1"/>
  <c r="AF124" s="1"/>
  <c r="AF125" s="1"/>
  <c r="AF126" s="1"/>
  <c r="AF127" s="1"/>
  <c r="AF128" s="1"/>
  <c r="AF129" s="1"/>
  <c r="AF130" s="1"/>
  <c r="AF131" s="1"/>
  <c r="AF132" s="1"/>
  <c r="AF133" s="1"/>
  <c r="AF134" s="1"/>
  <c r="AF135" s="1"/>
  <c r="AF1268"/>
  <c r="AF1269" s="1"/>
  <c r="AW1268"/>
  <c r="AW1269" s="1"/>
  <c r="AW89"/>
  <c r="AW90" s="1"/>
  <c r="AW91" s="1"/>
  <c r="AW92" s="1"/>
  <c r="AW93" s="1"/>
  <c r="AW94" s="1"/>
  <c r="AW95" s="1"/>
  <c r="AW96" s="1"/>
  <c r="AW97" s="1"/>
  <c r="AW98" s="1"/>
  <c r="AW99" s="1"/>
  <c r="AW100" s="1"/>
  <c r="AW101" s="1"/>
  <c r="AW102" s="1"/>
  <c r="AW103" s="1"/>
  <c r="AW104" s="1"/>
  <c r="AW105" s="1"/>
  <c r="AW106" s="1"/>
  <c r="AW107" s="1"/>
  <c r="AW108" s="1"/>
  <c r="AW109" s="1"/>
  <c r="AW110" s="1"/>
  <c r="AW111" s="1"/>
  <c r="AW112" s="1"/>
  <c r="AW113" s="1"/>
  <c r="AW114" s="1"/>
  <c r="AW115" s="1"/>
  <c r="AW116" s="1"/>
  <c r="AW117" s="1"/>
  <c r="AW118" s="1"/>
  <c r="AW119" s="1"/>
  <c r="AW120" s="1"/>
  <c r="AW121" s="1"/>
  <c r="AW122" s="1"/>
  <c r="AW123" s="1"/>
  <c r="AW124" s="1"/>
  <c r="AW125" s="1"/>
  <c r="AW126" s="1"/>
  <c r="AW127" s="1"/>
  <c r="AW128" s="1"/>
  <c r="AW129" s="1"/>
  <c r="AW130" s="1"/>
  <c r="AW131" s="1"/>
  <c r="AW132" s="1"/>
  <c r="AW133" s="1"/>
  <c r="AW134" s="1"/>
  <c r="AW135" s="1"/>
  <c r="AR89"/>
  <c r="AR90" s="1"/>
  <c r="AR91" s="1"/>
  <c r="AR92" s="1"/>
  <c r="AR93" s="1"/>
  <c r="AR94" s="1"/>
  <c r="AR95" s="1"/>
  <c r="AR96" s="1"/>
  <c r="AR97" s="1"/>
  <c r="AR98" s="1"/>
  <c r="AR99" s="1"/>
  <c r="AR100" s="1"/>
  <c r="AR101" s="1"/>
  <c r="AR102" s="1"/>
  <c r="AR103" s="1"/>
  <c r="AR104" s="1"/>
  <c r="AR105" s="1"/>
  <c r="AR106" s="1"/>
  <c r="AR107" s="1"/>
  <c r="AR108" s="1"/>
  <c r="AR109" s="1"/>
  <c r="AR110" s="1"/>
  <c r="AR111" s="1"/>
  <c r="AR112" s="1"/>
  <c r="AR113" s="1"/>
  <c r="AR114" s="1"/>
  <c r="AR115" s="1"/>
  <c r="AR116" s="1"/>
  <c r="AR117" s="1"/>
  <c r="AR118" s="1"/>
  <c r="AR119" s="1"/>
  <c r="AR120" s="1"/>
  <c r="AR121" s="1"/>
  <c r="AR122" s="1"/>
  <c r="AR123" s="1"/>
  <c r="AR124" s="1"/>
  <c r="AR125" s="1"/>
  <c r="AR126" s="1"/>
  <c r="AR127" s="1"/>
  <c r="AR128" s="1"/>
  <c r="AR129" s="1"/>
  <c r="AR130" s="1"/>
  <c r="AR131" s="1"/>
  <c r="AR132" s="1"/>
  <c r="AR133" s="1"/>
  <c r="AR134" s="1"/>
  <c r="AR135" s="1"/>
  <c r="AR1268"/>
  <c r="AR1269" s="1"/>
  <c r="AS1268"/>
  <c r="AS1269" s="1"/>
  <c r="AS89"/>
  <c r="AS90" s="1"/>
  <c r="AS91" s="1"/>
  <c r="AS92" s="1"/>
  <c r="AS93" s="1"/>
  <c r="AS94" s="1"/>
  <c r="AS95" s="1"/>
  <c r="AS96" s="1"/>
  <c r="AS97" s="1"/>
  <c r="AS98" s="1"/>
  <c r="AS99" s="1"/>
  <c r="AS100" s="1"/>
  <c r="AS101" s="1"/>
  <c r="AS102" s="1"/>
  <c r="AS103" s="1"/>
  <c r="AS104" s="1"/>
  <c r="AS105" s="1"/>
  <c r="AS106" s="1"/>
  <c r="AS107" s="1"/>
  <c r="AS108" s="1"/>
  <c r="AS109" s="1"/>
  <c r="AS110" s="1"/>
  <c r="AS111" s="1"/>
  <c r="AS112" s="1"/>
  <c r="AS113" s="1"/>
  <c r="AS114" s="1"/>
  <c r="AS115" s="1"/>
  <c r="AS116" s="1"/>
  <c r="AS117" s="1"/>
  <c r="AS118" s="1"/>
  <c r="AS119" s="1"/>
  <c r="AS120" s="1"/>
  <c r="AS121" s="1"/>
  <c r="AS122" s="1"/>
  <c r="AS123" s="1"/>
  <c r="AS124" s="1"/>
  <c r="AS125" s="1"/>
  <c r="AS126" s="1"/>
  <c r="AS127" s="1"/>
  <c r="AS128" s="1"/>
  <c r="AS129" s="1"/>
  <c r="AS130" s="1"/>
  <c r="AS131" s="1"/>
  <c r="AS132" s="1"/>
  <c r="AS133" s="1"/>
  <c r="AS134" s="1"/>
  <c r="AS135" s="1"/>
  <c r="AP89"/>
  <c r="AP90" s="1"/>
  <c r="AP91" s="1"/>
  <c r="AP92" s="1"/>
  <c r="AP93" s="1"/>
  <c r="AP94" s="1"/>
  <c r="AP95" s="1"/>
  <c r="AP96" s="1"/>
  <c r="AP97" s="1"/>
  <c r="AP98" s="1"/>
  <c r="AP99" s="1"/>
  <c r="AP100" s="1"/>
  <c r="AP101" s="1"/>
  <c r="AP102" s="1"/>
  <c r="AP103" s="1"/>
  <c r="AP104" s="1"/>
  <c r="AP105" s="1"/>
  <c r="AP106" s="1"/>
  <c r="AP107" s="1"/>
  <c r="AP108" s="1"/>
  <c r="AP109" s="1"/>
  <c r="AP110" s="1"/>
  <c r="AP111" s="1"/>
  <c r="AP112" s="1"/>
  <c r="AP113" s="1"/>
  <c r="AP114" s="1"/>
  <c r="AP115" s="1"/>
  <c r="AP116" s="1"/>
  <c r="AP117" s="1"/>
  <c r="AP118" s="1"/>
  <c r="AP119" s="1"/>
  <c r="AP120" s="1"/>
  <c r="AP121" s="1"/>
  <c r="AP122" s="1"/>
  <c r="AP123" s="1"/>
  <c r="AP124" s="1"/>
  <c r="AP125" s="1"/>
  <c r="AP126" s="1"/>
  <c r="AP127" s="1"/>
  <c r="AP128" s="1"/>
  <c r="AP129" s="1"/>
  <c r="AP130" s="1"/>
  <c r="AP131" s="1"/>
  <c r="AP132" s="1"/>
  <c r="AP133" s="1"/>
  <c r="AP134" s="1"/>
  <c r="AP135" s="1"/>
  <c r="AP1268"/>
  <c r="AP1269" s="1"/>
  <c r="AC1268"/>
  <c r="AC1269" s="1"/>
  <c r="AD1268"/>
  <c r="AD1269" s="1"/>
  <c r="AH1268"/>
  <c r="AH1269" s="1"/>
  <c r="J9" i="12"/>
  <c r="I10"/>
  <c r="W1268" i="14"/>
  <c r="W1269" s="1"/>
  <c r="Z1268"/>
  <c r="Z1269" s="1"/>
  <c r="D8" i="12"/>
  <c r="A5" i="2"/>
  <c r="J6" i="10"/>
  <c r="BZ3" i="11"/>
  <c r="BZ4" s="1"/>
  <c r="BZ5" s="1"/>
  <c r="BZ6" s="1"/>
  <c r="BZ7" s="1"/>
  <c r="BZ8" s="1"/>
  <c r="BZ9" s="1"/>
  <c r="BZ10" s="1"/>
  <c r="BZ11" s="1"/>
  <c r="BZ12" s="1"/>
  <c r="BZ13" s="1"/>
  <c r="BZ14" s="1"/>
  <c r="BZ15" s="1"/>
  <c r="BZ16" s="1"/>
  <c r="BZ17" s="1"/>
  <c r="BZ18" s="1"/>
  <c r="BZ19" s="1"/>
  <c r="BZ20" s="1"/>
  <c r="BZ21" s="1"/>
  <c r="BZ22" s="1"/>
  <c r="BZ23" s="1"/>
  <c r="BZ24" s="1"/>
  <c r="BZ25" s="1"/>
  <c r="BZ26" s="1"/>
  <c r="BZ27" s="1"/>
  <c r="BZ28" s="1"/>
  <c r="BZ29" s="1"/>
  <c r="BZ30" s="1"/>
  <c r="BZ31" s="1"/>
  <c r="BZ32" s="1"/>
  <c r="BZ33" s="1"/>
  <c r="BZ34" s="1"/>
  <c r="BZ35" s="1"/>
  <c r="BZ36" s="1"/>
  <c r="BZ37" s="1"/>
  <c r="BZ38" s="1"/>
  <c r="BZ39" s="1"/>
  <c r="BZ40" s="1"/>
  <c r="BZ41" s="1"/>
  <c r="BZ42" s="1"/>
  <c r="BZ43" s="1"/>
  <c r="BZ44" s="1"/>
  <c r="BZ45" s="1"/>
  <c r="BZ46" s="1"/>
  <c r="BZ47" s="1"/>
  <c r="BZ48" s="1"/>
  <c r="BZ49" s="1"/>
  <c r="BZ50" s="1"/>
  <c r="BZ51" s="1"/>
  <c r="BZ52" s="1"/>
  <c r="BZ53" s="1"/>
  <c r="BZ54" s="1"/>
  <c r="BZ55" s="1"/>
  <c r="BZ56" s="1"/>
  <c r="BZ57" s="1"/>
  <c r="BZ58" s="1"/>
  <c r="BZ59" s="1"/>
  <c r="BZ60" s="1"/>
  <c r="BZ61" s="1"/>
  <c r="BZ62" s="1"/>
  <c r="BZ63" s="1"/>
  <c r="BZ64" s="1"/>
  <c r="BZ65" s="1"/>
  <c r="BZ66" s="1"/>
  <c r="BZ67" s="1"/>
  <c r="BZ68" s="1"/>
  <c r="BZ69" s="1"/>
  <c r="BZ70" s="1"/>
  <c r="BZ71" s="1"/>
  <c r="BZ72" s="1"/>
  <c r="BZ73" s="1"/>
  <c r="BZ74" s="1"/>
  <c r="BZ75" s="1"/>
  <c r="BZ76" s="1"/>
  <c r="BZ77" s="1"/>
  <c r="BZ78" s="1"/>
  <c r="BZ79" s="1"/>
  <c r="BZ80" s="1"/>
  <c r="BZ81" s="1"/>
  <c r="BZ82" s="1"/>
  <c r="BZ83" s="1"/>
  <c r="BZ84" s="1"/>
  <c r="BZ85" s="1"/>
  <c r="BZ86" s="1"/>
  <c r="BZ87" s="1"/>
  <c r="BZ88" s="1"/>
  <c r="BZ89" s="1"/>
  <c r="BZ90" s="1"/>
  <c r="BZ91" s="1"/>
  <c r="BZ92" s="1"/>
  <c r="BZ93" s="1"/>
  <c r="BZ94" s="1"/>
  <c r="BZ95" s="1"/>
  <c r="BZ96" s="1"/>
  <c r="BZ97" s="1"/>
  <c r="BZ98" s="1"/>
  <c r="BZ99" s="1"/>
  <c r="BZ100" s="1"/>
  <c r="BZ101" s="1"/>
  <c r="BZ102" s="1"/>
  <c r="BZ103" s="1"/>
  <c r="BZ104" s="1"/>
  <c r="BZ105" s="1"/>
  <c r="BZ106" s="1"/>
  <c r="BZ107" s="1"/>
  <c r="BZ108" s="1"/>
  <c r="BZ109" s="1"/>
  <c r="BZ110" s="1"/>
  <c r="BZ111" s="1"/>
  <c r="BZ112" s="1"/>
  <c r="BZ113" s="1"/>
  <c r="BZ114" s="1"/>
  <c r="BZ115" s="1"/>
  <c r="BZ116" s="1"/>
  <c r="BZ117" s="1"/>
  <c r="BZ118" s="1"/>
  <c r="BZ119" s="1"/>
  <c r="BZ120" s="1"/>
  <c r="BZ121" s="1"/>
  <c r="BZ122" s="1"/>
  <c r="BZ123" s="1"/>
  <c r="BZ124" s="1"/>
  <c r="BZ125" s="1"/>
  <c r="BZ126" s="1"/>
  <c r="BZ127" s="1"/>
  <c r="BZ128" s="1"/>
  <c r="BZ129" s="1"/>
  <c r="BZ130" s="1"/>
  <c r="BZ131" s="1"/>
  <c r="BZ132" s="1"/>
  <c r="BZ133" s="1"/>
  <c r="BZ134" s="1"/>
  <c r="BZ135" s="1"/>
  <c r="K3" i="10"/>
  <c r="O4" i="2"/>
  <c r="DF3" i="8"/>
  <c r="P3" i="2"/>
  <c r="S4"/>
  <c r="DE3" i="8"/>
  <c r="CQ108" i="5"/>
  <c r="P4" i="2"/>
  <c r="DE4" i="8"/>
  <c r="I5"/>
  <c r="BW10" i="11"/>
  <c r="B48" i="4"/>
  <c r="BP5" i="5"/>
  <c r="H6" i="8"/>
  <c r="H7" s="1"/>
  <c r="P5" i="2"/>
  <c r="AR3" i="5"/>
  <c r="CQ12"/>
  <c r="CS70"/>
  <c r="CS113"/>
  <c r="CS60"/>
  <c r="CR119"/>
  <c r="CQ89"/>
  <c r="CR116"/>
  <c r="CQ115"/>
  <c r="CV113"/>
  <c r="CQ19"/>
  <c r="CP123"/>
  <c r="CS63"/>
  <c r="CR85"/>
  <c r="CR53"/>
  <c r="CT77"/>
  <c r="CQ70"/>
  <c r="CV100"/>
  <c r="CU99"/>
  <c r="CT98"/>
  <c r="CU29"/>
  <c r="CQ53"/>
  <c r="CV74"/>
  <c r="CU43"/>
  <c r="CV64"/>
  <c r="CV50"/>
  <c r="CV119"/>
  <c r="CV123"/>
  <c r="CS123"/>
  <c r="CR122"/>
  <c r="CP25"/>
  <c r="CP67"/>
  <c r="CP87"/>
  <c r="CP111"/>
  <c r="CP129"/>
  <c r="CQ131"/>
  <c r="CU130"/>
  <c r="CU38"/>
  <c r="CS97"/>
  <c r="CR132"/>
  <c r="CS134"/>
  <c r="CT12"/>
  <c r="CT64"/>
  <c r="CR18"/>
  <c r="CS129"/>
  <c r="CU74"/>
  <c r="CQ13"/>
  <c r="CV117"/>
  <c r="CQ114"/>
  <c r="CS62"/>
  <c r="CU84"/>
  <c r="CQ93"/>
  <c r="CV114"/>
  <c r="CU92"/>
  <c r="CU113"/>
  <c r="CT91"/>
  <c r="CU112"/>
  <c r="CU132"/>
  <c r="CV78"/>
  <c r="CR50"/>
  <c r="CS71"/>
  <c r="CR117"/>
  <c r="CQ102"/>
  <c r="CR123"/>
  <c r="CT101"/>
  <c r="CU122"/>
  <c r="CV99"/>
  <c r="CT121"/>
  <c r="CU6"/>
  <c r="CR79"/>
  <c r="CR56"/>
  <c r="CU41"/>
  <c r="CU36"/>
  <c r="CT31"/>
  <c r="CU25"/>
  <c r="CS17"/>
  <c r="CP3"/>
  <c r="F3" s="1"/>
  <c r="CY3" s="1"/>
  <c r="CP44"/>
  <c r="CP98"/>
  <c r="CV70"/>
  <c r="CT36"/>
  <c r="CQ21"/>
  <c r="CQ7"/>
  <c r="CQ60"/>
  <c r="CQ33"/>
  <c r="CR15"/>
  <c r="CR67"/>
  <c r="CR80"/>
  <c r="CV86"/>
  <c r="CR49"/>
  <c r="CT14"/>
  <c r="CU46"/>
  <c r="CV67"/>
  <c r="CR103"/>
  <c r="CU57"/>
  <c r="CR96"/>
  <c r="CU79"/>
  <c r="CS110"/>
  <c r="CV109"/>
  <c r="CV108"/>
  <c r="CR22"/>
  <c r="CP59"/>
  <c r="CV60"/>
  <c r="CV81"/>
  <c r="CU50"/>
  <c r="CV71"/>
  <c r="CS64"/>
  <c r="CQ95"/>
  <c r="CT94"/>
  <c r="CS93"/>
  <c r="CU40"/>
  <c r="CT50"/>
  <c r="CU71"/>
  <c r="CT118"/>
  <c r="CR62"/>
  <c r="CU45"/>
  <c r="CS99"/>
  <c r="CU118"/>
  <c r="CR118"/>
  <c r="CT116"/>
  <c r="CP21"/>
  <c r="CP65"/>
  <c r="CP85"/>
  <c r="CP109"/>
  <c r="CP127"/>
  <c r="CT128"/>
  <c r="CR128"/>
  <c r="CU4"/>
  <c r="CT28"/>
  <c r="CR124"/>
  <c r="CV131"/>
  <c r="CU22"/>
  <c r="CV11"/>
  <c r="CR87"/>
  <c r="CV126"/>
  <c r="CV9"/>
  <c r="CR54"/>
  <c r="CQ8"/>
  <c r="CR101"/>
  <c r="CV59"/>
  <c r="CT81"/>
  <c r="CT90"/>
  <c r="CU111"/>
  <c r="CQ90"/>
  <c r="CR111"/>
  <c r="CP89"/>
  <c r="CQ110"/>
  <c r="CQ133"/>
  <c r="CU75"/>
  <c r="CU47"/>
  <c r="CV68"/>
  <c r="CQ107"/>
  <c r="CT99"/>
  <c r="CU120"/>
  <c r="CS98"/>
  <c r="CR120"/>
  <c r="CR97"/>
  <c r="CS118"/>
  <c r="CT69"/>
  <c r="CU81"/>
  <c r="CU58"/>
  <c r="CS42"/>
  <c r="CR37"/>
  <c r="CR32"/>
  <c r="CS26"/>
  <c r="CS19"/>
  <c r="CV5"/>
  <c r="CP42"/>
  <c r="CP88"/>
  <c r="CQ81"/>
  <c r="CQ37"/>
  <c r="CQ23"/>
  <c r="CR10"/>
  <c r="CT62"/>
  <c r="CQ35"/>
  <c r="CS20"/>
  <c r="CU64"/>
  <c r="CQ68"/>
  <c r="CT108"/>
  <c r="CT10"/>
  <c r="CQ17"/>
  <c r="CR44"/>
  <c r="CR65"/>
  <c r="CP93"/>
  <c r="CR55"/>
  <c r="CQ82"/>
  <c r="CT74"/>
  <c r="CR105"/>
  <c r="CV104"/>
  <c r="CQ103"/>
  <c r="CT26"/>
  <c r="CQ3"/>
  <c r="G3" s="1"/>
  <c r="E3" i="7" s="1"/>
  <c r="CR58" i="5"/>
  <c r="CS79"/>
  <c r="CR48"/>
  <c r="CR69"/>
  <c r="CR59"/>
  <c r="CV89"/>
  <c r="CS89"/>
  <c r="CS88"/>
  <c r="CT130"/>
  <c r="CQ48"/>
  <c r="CQ69"/>
  <c r="CS108"/>
  <c r="CQ59"/>
  <c r="CS106"/>
  <c r="CV82"/>
  <c r="CT113"/>
  <c r="CT112"/>
  <c r="CS111"/>
  <c r="CP17"/>
  <c r="CP61"/>
  <c r="CP83"/>
  <c r="CP105"/>
  <c r="CP125"/>
  <c r="CV125"/>
  <c r="CT125"/>
  <c r="CQ15"/>
  <c r="CQ4"/>
  <c r="CV25"/>
  <c r="CR129"/>
  <c r="CT35"/>
  <c r="CU24"/>
  <c r="CR11"/>
  <c r="CQ135"/>
  <c r="CR20"/>
  <c r="CR9"/>
  <c r="CR41"/>
  <c r="CQ91"/>
  <c r="CR57"/>
  <c r="CS78"/>
  <c r="CQ88"/>
  <c r="CQ109"/>
  <c r="CT87"/>
  <c r="CU108"/>
  <c r="CS86"/>
  <c r="CT107"/>
  <c r="CT133"/>
  <c r="CQ73"/>
  <c r="CV132"/>
  <c r="CR66"/>
  <c r="CV96"/>
  <c r="CS96"/>
  <c r="CQ118"/>
  <c r="CV95"/>
  <c r="CT117"/>
  <c r="CU94"/>
  <c r="CV115"/>
  <c r="CT17"/>
  <c r="CV94"/>
  <c r="CR61"/>
  <c r="CR43"/>
  <c r="CV37"/>
  <c r="CV32"/>
  <c r="CQ27"/>
  <c r="CR21"/>
  <c r="CT6"/>
  <c r="CP36"/>
  <c r="CP76"/>
  <c r="CU83"/>
  <c r="CQ39"/>
  <c r="CR26"/>
  <c r="CV10"/>
  <c r="CR70"/>
  <c r="CT37"/>
  <c r="CT21"/>
  <c r="CS56"/>
  <c r="CQ57"/>
  <c r="CS103"/>
  <c r="CS130"/>
  <c r="CQ40"/>
  <c r="CT56"/>
  <c r="CP57"/>
  <c r="CP81"/>
  <c r="CP103"/>
  <c r="CP121"/>
  <c r="CT129"/>
  <c r="CU133"/>
  <c r="CR25"/>
  <c r="CS14"/>
  <c r="CT3"/>
  <c r="J3" s="1"/>
  <c r="F3" i="10" s="1"/>
  <c r="CU126" i="5"/>
  <c r="CU51"/>
  <c r="CV34"/>
  <c r="CS21"/>
  <c r="CT132"/>
  <c r="CS30"/>
  <c r="CQ22"/>
  <c r="CU8"/>
  <c r="CS83"/>
  <c r="CU54"/>
  <c r="CV75"/>
  <c r="CS85"/>
  <c r="CT106"/>
  <c r="DF2"/>
  <c r="CQ2" i="8" s="1"/>
  <c r="CQ106" i="5"/>
  <c r="CV83"/>
  <c r="CS104"/>
  <c r="CR127"/>
  <c r="CQ6"/>
  <c r="CU116"/>
  <c r="CQ63"/>
  <c r="CT86"/>
  <c r="CU93"/>
  <c r="CT115"/>
  <c r="CR93"/>
  <c r="CS114"/>
  <c r="CR92"/>
  <c r="CR113"/>
  <c r="CR135"/>
  <c r="CQ105"/>
  <c r="CV63"/>
  <c r="CT44"/>
  <c r="CT38"/>
  <c r="CS33"/>
  <c r="CU27"/>
  <c r="CV21"/>
  <c r="CT8"/>
  <c r="CP28"/>
  <c r="CP74"/>
  <c r="CV112"/>
  <c r="CR42"/>
  <c r="CV26"/>
  <c r="CV12"/>
  <c r="CT80"/>
  <c r="CR38"/>
  <c r="CV24"/>
  <c r="CQ46"/>
  <c r="CT54"/>
  <c r="CS87"/>
  <c r="CV106"/>
  <c r="CP107"/>
  <c r="CU52"/>
  <c r="CR100"/>
  <c r="CR6"/>
  <c r="CU66"/>
  <c r="CV84"/>
  <c r="CR125"/>
  <c r="CT66"/>
  <c r="CV85"/>
  <c r="CV107"/>
  <c r="CV22"/>
  <c r="CP43"/>
  <c r="CR60"/>
  <c r="CR81"/>
  <c r="CQ50"/>
  <c r="CR71"/>
  <c r="CU63"/>
  <c r="CS94"/>
  <c r="CV93"/>
  <c r="CV92"/>
  <c r="CR72"/>
  <c r="CV8"/>
  <c r="CT52"/>
  <c r="CR74"/>
  <c r="CR130"/>
  <c r="CR64"/>
  <c r="CP49"/>
  <c r="CR112"/>
  <c r="CV121"/>
  <c r="CS121"/>
  <c r="CU119"/>
  <c r="CV42"/>
  <c r="CQ64"/>
  <c r="CV87"/>
  <c r="CV53"/>
  <c r="CT79"/>
  <c r="CQ72"/>
  <c r="CU102"/>
  <c r="CR102"/>
  <c r="CT100"/>
  <c r="CR36"/>
  <c r="CP9"/>
  <c r="CP53"/>
  <c r="CP79"/>
  <c r="CP101"/>
  <c r="CP119"/>
  <c r="CT123"/>
  <c r="CR131"/>
  <c r="CQ38"/>
  <c r="CR27"/>
  <c r="CU13"/>
  <c r="CV134"/>
  <c r="CV133"/>
  <c r="CQ49"/>
  <c r="CU31"/>
  <c r="CV129"/>
  <c r="CS43"/>
  <c r="CS32"/>
  <c r="CV18"/>
  <c r="CV80"/>
  <c r="CR52"/>
  <c r="CR73"/>
  <c r="CQ125"/>
  <c r="CQ104"/>
  <c r="CU125"/>
  <c r="CT103"/>
  <c r="CU124"/>
  <c r="CU101"/>
  <c r="CV124"/>
  <c r="CV56"/>
  <c r="CV103"/>
  <c r="CT60"/>
  <c r="CR82"/>
  <c r="CR91"/>
  <c r="CS112"/>
  <c r="CU90"/>
  <c r="CV111"/>
  <c r="CT89"/>
  <c r="CU110"/>
  <c r="CU135"/>
  <c r="CS115"/>
  <c r="CS66"/>
  <c r="CV45"/>
  <c r="CR39"/>
  <c r="CQ34"/>
  <c r="CS28"/>
  <c r="CT22"/>
  <c r="CQ11"/>
  <c r="CP26"/>
  <c r="CP68"/>
  <c r="CP128"/>
  <c r="CQ43"/>
  <c r="CV28"/>
  <c r="CS15"/>
  <c r="CQ83"/>
  <c r="CR40"/>
  <c r="CS27"/>
  <c r="CT43"/>
  <c r="CV46"/>
  <c r="CU77"/>
  <c r="CQ101"/>
  <c r="CQ112"/>
  <c r="CU62"/>
  <c r="CS69"/>
  <c r="CV97"/>
  <c r="CT45"/>
  <c r="CS133"/>
  <c r="CQ98"/>
  <c r="CS107"/>
  <c r="CR4"/>
  <c r="CT57"/>
  <c r="CU78"/>
  <c r="CT47"/>
  <c r="CU68"/>
  <c r="CT58"/>
  <c r="CR89"/>
  <c r="CV88"/>
  <c r="CU87"/>
  <c r="CQ128"/>
  <c r="CS11"/>
  <c r="CV49"/>
  <c r="CQ71"/>
  <c r="CQ116"/>
  <c r="CT61"/>
  <c r="CU121"/>
  <c r="CU91"/>
  <c r="CV116"/>
  <c r="CU115"/>
  <c r="CT114"/>
  <c r="CP75"/>
  <c r="CS61"/>
  <c r="CT82"/>
  <c r="CS51"/>
  <c r="CU73"/>
  <c r="CV66"/>
  <c r="CT97"/>
  <c r="CT96"/>
  <c r="CS95"/>
  <c r="CS7"/>
  <c r="CP4"/>
  <c r="CP41"/>
  <c r="CP77"/>
  <c r="CP99"/>
  <c r="CP117"/>
  <c r="CP135"/>
  <c r="CU128"/>
  <c r="CV61"/>
  <c r="CS37"/>
  <c r="CQ24"/>
  <c r="CU131"/>
  <c r="CS131"/>
  <c r="CU107"/>
  <c r="CV41"/>
  <c r="CS127"/>
  <c r="CS82"/>
  <c r="CT42"/>
  <c r="CQ29"/>
  <c r="CR78"/>
  <c r="CT49"/>
  <c r="CU70"/>
  <c r="CU114"/>
  <c r="CS101"/>
  <c r="CT122"/>
  <c r="CS100"/>
  <c r="CQ122"/>
  <c r="CR99"/>
  <c r="CS120"/>
  <c r="CT19"/>
  <c r="CT93"/>
  <c r="CV57"/>
  <c r="CQ79"/>
  <c r="CU88"/>
  <c r="CU109"/>
  <c r="CR88"/>
  <c r="CR109"/>
  <c r="CQ87"/>
  <c r="CR108"/>
  <c r="CS125"/>
  <c r="CU127"/>
  <c r="CT71"/>
  <c r="CT48"/>
  <c r="CV39"/>
  <c r="CU34"/>
  <c r="CT29"/>
  <c r="CV23"/>
  <c r="CU11"/>
  <c r="CP20"/>
  <c r="CP60"/>
  <c r="CP124"/>
  <c r="CV47"/>
  <c r="CS31"/>
  <c r="CQ16"/>
  <c r="CR110"/>
  <c r="CU42"/>
  <c r="CQ28"/>
  <c r="CV4"/>
  <c r="CU100"/>
  <c r="CU72"/>
  <c r="CU85"/>
  <c r="CU19"/>
  <c r="CQ84"/>
  <c r="CS76"/>
  <c r="CQ99"/>
  <c r="CQ55"/>
  <c r="CV76"/>
  <c r="CQ54"/>
  <c r="CQ134"/>
  <c r="CS45"/>
  <c r="CQ77"/>
  <c r="CR106"/>
  <c r="CP13"/>
  <c r="CV6"/>
  <c r="CS54"/>
  <c r="CR76"/>
  <c r="CP45"/>
  <c r="CQ66"/>
  <c r="CS53"/>
  <c r="CR84"/>
  <c r="CV130"/>
  <c r="CT131"/>
  <c r="CU134"/>
  <c r="CV13"/>
  <c r="CS47"/>
  <c r="CT68"/>
  <c r="CU105"/>
  <c r="CS58"/>
  <c r="CU98"/>
  <c r="CS80"/>
  <c r="CQ111"/>
  <c r="CT110"/>
  <c r="CS109"/>
  <c r="CP5"/>
  <c r="CV58"/>
  <c r="CQ80"/>
  <c r="CV48"/>
  <c r="CV69"/>
  <c r="CQ61"/>
  <c r="CV91"/>
  <c r="CS91"/>
  <c r="CR90"/>
  <c r="CT127"/>
  <c r="CP33"/>
  <c r="CP73"/>
  <c r="CP97"/>
  <c r="CP115"/>
  <c r="CP133"/>
  <c r="CQ126"/>
  <c r="CV135"/>
  <c r="CS59"/>
  <c r="CR34"/>
  <c r="CQ129"/>
  <c r="CV128"/>
  <c r="CQ31"/>
  <c r="CR77"/>
  <c r="CT135"/>
  <c r="CT134"/>
  <c r="CV79"/>
  <c r="CS39"/>
  <c r="CQ75"/>
  <c r="CQ47"/>
  <c r="CR68"/>
  <c r="CT104"/>
  <c r="CV98"/>
  <c r="CQ120"/>
  <c r="CU97"/>
  <c r="CT119"/>
  <c r="CU96"/>
  <c r="CU117"/>
  <c r="CU15"/>
  <c r="CS84"/>
  <c r="CS55"/>
  <c r="CT76"/>
  <c r="CQ86"/>
  <c r="CR107"/>
  <c r="CT85"/>
  <c r="CU106"/>
  <c r="CT84"/>
  <c r="CT105"/>
  <c r="CV127"/>
  <c r="CT33"/>
  <c r="CQ74"/>
  <c r="CQ51"/>
  <c r="CT40"/>
  <c r="CS35"/>
  <c r="CR30"/>
  <c r="CT24"/>
  <c r="CR14"/>
  <c r="CP12"/>
  <c r="CP58"/>
  <c r="CP114"/>
  <c r="CU60"/>
  <c r="CQ32"/>
  <c r="CV17"/>
  <c r="CS4"/>
  <c r="CV43"/>
  <c r="CV29"/>
  <c r="CQ10"/>
  <c r="CS90"/>
  <c r="CU56"/>
  <c r="E22" i="4"/>
  <c r="D22"/>
  <c r="C22"/>
  <c r="E23"/>
  <c r="D23"/>
  <c r="A32" i="6"/>
  <c r="DI3" i="5"/>
  <c r="DI4" s="1"/>
  <c r="A1269" i="10"/>
  <c r="B1269" i="8"/>
  <c r="E2"/>
  <c r="CR23" i="5"/>
  <c r="CQ18"/>
  <c r="CS12"/>
  <c r="CR7"/>
  <c r="CP8"/>
  <c r="CP24"/>
  <c r="CP40"/>
  <c r="CP56"/>
  <c r="CP72"/>
  <c r="CP96"/>
  <c r="CP120"/>
  <c r="CS92"/>
  <c r="CU65"/>
  <c r="CQ44"/>
  <c r="CU37"/>
  <c r="CU32"/>
  <c r="CT27"/>
  <c r="CU21"/>
  <c r="CU16"/>
  <c r="CT11"/>
  <c r="CU5"/>
  <c r="CU89"/>
  <c r="CQ65"/>
  <c r="CQ45"/>
  <c r="CV38"/>
  <c r="CU33"/>
  <c r="CU28"/>
  <c r="CT23"/>
  <c r="CU12"/>
  <c r="CP91"/>
  <c r="CQ62"/>
  <c r="CR83"/>
  <c r="CQ52"/>
  <c r="CS74"/>
  <c r="CT67"/>
  <c r="CR98"/>
  <c r="CQ97"/>
  <c r="CQ96"/>
  <c r="CU44"/>
  <c r="A34" i="4"/>
  <c r="I34" s="1"/>
  <c r="AF2" i="8"/>
  <c r="CU18" i="5"/>
  <c r="CT13"/>
  <c r="CV7"/>
  <c r="CP6"/>
  <c r="CP22"/>
  <c r="CP38"/>
  <c r="CP54"/>
  <c r="CP70"/>
  <c r="CP92"/>
  <c r="CP116"/>
  <c r="CT102"/>
  <c r="CS68"/>
  <c r="CR45"/>
  <c r="CS38"/>
  <c r="CR33"/>
  <c r="CR28"/>
  <c r="CS22"/>
  <c r="CR17"/>
  <c r="CR12"/>
  <c r="CS6"/>
  <c r="CQ100"/>
  <c r="CU67"/>
  <c r="CR47"/>
  <c r="CT39"/>
  <c r="CS34"/>
  <c r="CR29"/>
  <c r="CR24"/>
  <c r="CR13"/>
  <c r="CU3"/>
  <c r="K3" s="1"/>
  <c r="CT59"/>
  <c r="CU80"/>
  <c r="CS49"/>
  <c r="CT70"/>
  <c r="CU61"/>
  <c r="CT92"/>
  <c r="CQ92"/>
  <c r="CV90"/>
  <c r="CQ130"/>
  <c r="CQ20"/>
  <c r="CV14"/>
  <c r="CQ9"/>
  <c r="CS3"/>
  <c r="I3" s="1"/>
  <c r="CP18"/>
  <c r="CP34"/>
  <c r="CP50"/>
  <c r="CP66"/>
  <c r="CP84"/>
  <c r="CP112"/>
  <c r="CQ123"/>
  <c r="CS73"/>
  <c r="CS50"/>
  <c r="CU39"/>
  <c r="CT34"/>
  <c r="CS29"/>
  <c r="CU23"/>
  <c r="CT18"/>
  <c r="CS13"/>
  <c r="CU7"/>
  <c r="CT120"/>
  <c r="CV72"/>
  <c r="CS52"/>
  <c r="CV40"/>
  <c r="CU35"/>
  <c r="CT30"/>
  <c r="CS25"/>
  <c r="CV15"/>
  <c r="CT5"/>
  <c r="CU53"/>
  <c r="CT75"/>
  <c r="CS44"/>
  <c r="CS65"/>
  <c r="CT51"/>
  <c r="CS122"/>
  <c r="CT124"/>
  <c r="CQ124"/>
  <c r="CV122"/>
  <c r="BF2" i="8"/>
  <c r="M2" i="2"/>
  <c r="CU20" i="5"/>
  <c r="CT15"/>
  <c r="CU9"/>
  <c r="CT4"/>
  <c r="CP16"/>
  <c r="CP32"/>
  <c r="CP48"/>
  <c r="CP64"/>
  <c r="CP82"/>
  <c r="CP108"/>
  <c r="CP132"/>
  <c r="CQ76"/>
  <c r="CT55"/>
  <c r="CS40"/>
  <c r="CR35"/>
  <c r="CQ30"/>
  <c r="CS24"/>
  <c r="CR19"/>
  <c r="CQ14"/>
  <c r="CS8"/>
  <c r="CR3"/>
  <c r="H3" s="1"/>
  <c r="CS75"/>
  <c r="CV54"/>
  <c r="CS41"/>
  <c r="CS36"/>
  <c r="CR31"/>
  <c r="CQ26"/>
  <c r="CU17"/>
  <c r="CT7"/>
  <c r="CR51"/>
  <c r="CS72"/>
  <c r="CQ121"/>
  <c r="CV62"/>
  <c r="CS46"/>
  <c r="CV101"/>
  <c r="CS119"/>
  <c r="CV118"/>
  <c r="CQ117"/>
  <c r="CR16"/>
  <c r="CS10"/>
  <c r="CR5"/>
  <c r="CP14"/>
  <c r="CP30"/>
  <c r="CP46"/>
  <c r="CP62"/>
  <c r="CP80"/>
  <c r="CP104"/>
  <c r="CP130"/>
  <c r="CT78"/>
  <c r="CQ58"/>
  <c r="CT41"/>
  <c r="CV35"/>
  <c r="CU30"/>
  <c r="CT25"/>
  <c r="CV19"/>
  <c r="CU14"/>
  <c r="CT9"/>
  <c r="CV3"/>
  <c r="L3" s="1"/>
  <c r="CV77"/>
  <c r="CS57"/>
  <c r="CQ42"/>
  <c r="CP37"/>
  <c r="CV31"/>
  <c r="CU26"/>
  <c r="CS18"/>
  <c r="CR8"/>
  <c r="CU48"/>
  <c r="CU69"/>
  <c r="CV110"/>
  <c r="CU59"/>
  <c r="CT111"/>
  <c r="CT83"/>
  <c r="CR114"/>
  <c r="CQ113"/>
  <c r="CP134"/>
  <c r="CP126"/>
  <c r="CP122"/>
  <c r="CP118"/>
  <c r="CP110"/>
  <c r="CP106"/>
  <c r="CP102"/>
  <c r="CP94"/>
  <c r="CP90"/>
  <c r="CP86"/>
  <c r="CP78"/>
  <c r="CP71"/>
  <c r="CP63"/>
  <c r="CP55"/>
  <c r="CP51"/>
  <c r="CP47"/>
  <c r="CP39"/>
  <c r="CP35"/>
  <c r="CP31"/>
  <c r="CP27"/>
  <c r="CP23"/>
  <c r="CP19"/>
  <c r="CP15"/>
  <c r="CP11"/>
  <c r="CP7"/>
  <c r="A1269"/>
  <c r="B1269" i="7"/>
  <c r="C1269" i="1"/>
  <c r="B1269" i="11"/>
  <c r="A1269" i="14"/>
  <c r="C1269" i="9"/>
  <c r="BJ4" i="5"/>
  <c r="BJ5" s="1"/>
  <c r="BJ6" s="1"/>
  <c r="BJ7" s="1"/>
  <c r="BJ8" s="1"/>
  <c r="BJ9" s="1"/>
  <c r="BJ10" s="1"/>
  <c r="BJ11" s="1"/>
  <c r="BJ12" s="1"/>
  <c r="BJ13" s="1"/>
  <c r="BJ14" s="1"/>
  <c r="BJ15" s="1"/>
  <c r="BJ16" s="1"/>
  <c r="BJ17" s="1"/>
  <c r="BJ18" s="1"/>
  <c r="BJ19" s="1"/>
  <c r="BJ20" s="1"/>
  <c r="BJ21" s="1"/>
  <c r="BJ22" s="1"/>
  <c r="BJ23" s="1"/>
  <c r="BJ24" s="1"/>
  <c r="BJ25" s="1"/>
  <c r="BJ26" s="1"/>
  <c r="BJ27" s="1"/>
  <c r="BJ28" s="1"/>
  <c r="BJ29" s="1"/>
  <c r="BJ30" s="1"/>
  <c r="BJ31" s="1"/>
  <c r="BJ32" s="1"/>
  <c r="BJ33" s="1"/>
  <c r="BJ34" s="1"/>
  <c r="BJ35" s="1"/>
  <c r="BJ36" s="1"/>
  <c r="BJ37" s="1"/>
  <c r="BJ38" s="1"/>
  <c r="BJ39" s="1"/>
  <c r="BJ40" s="1"/>
  <c r="BJ41" s="1"/>
  <c r="BJ42" s="1"/>
  <c r="BJ43" s="1"/>
  <c r="BJ44" s="1"/>
  <c r="BJ45" s="1"/>
  <c r="BJ46" s="1"/>
  <c r="BJ47" s="1"/>
  <c r="BJ48" s="1"/>
  <c r="BJ49" s="1"/>
  <c r="BJ50" s="1"/>
  <c r="BJ51" s="1"/>
  <c r="BJ52" s="1"/>
  <c r="BJ53" s="1"/>
  <c r="BJ54" s="1"/>
  <c r="BJ55" s="1"/>
  <c r="BJ56" s="1"/>
  <c r="BJ57" s="1"/>
  <c r="BJ58" s="1"/>
  <c r="BJ59" s="1"/>
  <c r="BJ60" s="1"/>
  <c r="BJ61" s="1"/>
  <c r="BJ62" s="1"/>
  <c r="BJ63" s="1"/>
  <c r="BJ64" s="1"/>
  <c r="BJ65" s="1"/>
  <c r="BJ66" s="1"/>
  <c r="BJ67" s="1"/>
  <c r="BJ68" s="1"/>
  <c r="BJ69" s="1"/>
  <c r="BJ70" s="1"/>
  <c r="BJ71" s="1"/>
  <c r="BJ72" s="1"/>
  <c r="BJ73" s="1"/>
  <c r="BJ74" s="1"/>
  <c r="BJ75" s="1"/>
  <c r="BJ76" s="1"/>
  <c r="BJ77" s="1"/>
  <c r="BJ78" s="1"/>
  <c r="BJ79" s="1"/>
  <c r="BJ80" s="1"/>
  <c r="BJ81" s="1"/>
  <c r="BJ82" s="1"/>
  <c r="BJ83" s="1"/>
  <c r="BJ84" s="1"/>
  <c r="BJ85" s="1"/>
  <c r="BJ86" s="1"/>
  <c r="BJ87" s="1"/>
  <c r="BJ88" s="1"/>
  <c r="BJ89" s="1"/>
  <c r="BJ90" s="1"/>
  <c r="BJ91" s="1"/>
  <c r="BJ92" s="1"/>
  <c r="BJ93" s="1"/>
  <c r="BJ94" s="1"/>
  <c r="BJ95" s="1"/>
  <c r="BJ96" s="1"/>
  <c r="BJ97" s="1"/>
  <c r="BJ98" s="1"/>
  <c r="BJ99" s="1"/>
  <c r="BJ100" s="1"/>
  <c r="BJ101" s="1"/>
  <c r="BJ102" s="1"/>
  <c r="BJ103" s="1"/>
  <c r="BJ104" s="1"/>
  <c r="BJ105" s="1"/>
  <c r="BJ106" s="1"/>
  <c r="BJ107" s="1"/>
  <c r="BJ108" s="1"/>
  <c r="BJ109" s="1"/>
  <c r="BJ110" s="1"/>
  <c r="BJ111" s="1"/>
  <c r="BJ112" s="1"/>
  <c r="BJ113" s="1"/>
  <c r="BJ114" s="1"/>
  <c r="BJ115" s="1"/>
  <c r="BJ116" s="1"/>
  <c r="BJ117" s="1"/>
  <c r="BJ118" s="1"/>
  <c r="BJ119" s="1"/>
  <c r="BJ120" s="1"/>
  <c r="BJ121" s="1"/>
  <c r="BJ122" s="1"/>
  <c r="BJ123" s="1"/>
  <c r="BJ124" s="1"/>
  <c r="BJ125" s="1"/>
  <c r="BJ126" s="1"/>
  <c r="BJ127" s="1"/>
  <c r="BJ128" s="1"/>
  <c r="BJ129" s="1"/>
  <c r="BJ130" s="1"/>
  <c r="BJ131" s="1"/>
  <c r="BJ132" s="1"/>
  <c r="BJ133" s="1"/>
  <c r="BJ134" s="1"/>
  <c r="BJ135" s="1"/>
  <c r="E55" i="4"/>
  <c r="E63"/>
  <c r="E50"/>
  <c r="E56"/>
  <c r="E60"/>
  <c r="E54"/>
  <c r="E57"/>
  <c r="AY7" i="5"/>
  <c r="BE4"/>
  <c r="AE3" i="1" s="1"/>
  <c r="B3" i="5"/>
  <c r="J3" i="2"/>
  <c r="BA5" i="5"/>
  <c r="BK5"/>
  <c r="AD4" i="1" s="1"/>
  <c r="G6" i="8"/>
  <c r="DE5"/>
  <c r="BN6" i="5"/>
  <c r="AF5" i="1" s="1"/>
  <c r="B4" i="2"/>
  <c r="B3"/>
  <c r="AG3" i="5"/>
  <c r="AG4" s="1"/>
  <c r="AG5" s="1"/>
  <c r="AG6" s="1"/>
  <c r="AG7" s="1"/>
  <c r="AG8" s="1"/>
  <c r="AG9" s="1"/>
  <c r="AG10" s="1"/>
  <c r="AG11" s="1"/>
  <c r="AG12" s="1"/>
  <c r="AG13" s="1"/>
  <c r="AG14" s="1"/>
  <c r="AG15" s="1"/>
  <c r="AG16" s="1"/>
  <c r="AG17" s="1"/>
  <c r="AG18" s="1"/>
  <c r="AG19" s="1"/>
  <c r="AG20" s="1"/>
  <c r="AG21" s="1"/>
  <c r="AG22" s="1"/>
  <c r="AG23" s="1"/>
  <c r="AG24" s="1"/>
  <c r="AG25" s="1"/>
  <c r="AG26" s="1"/>
  <c r="AG27" s="1"/>
  <c r="AG28" s="1"/>
  <c r="AG29" s="1"/>
  <c r="AG30" s="1"/>
  <c r="AG31" s="1"/>
  <c r="AG32" s="1"/>
  <c r="AG33" s="1"/>
  <c r="AG34" s="1"/>
  <c r="AG35" s="1"/>
  <c r="AG36" s="1"/>
  <c r="AG37" s="1"/>
  <c r="AG38" s="1"/>
  <c r="AG39" s="1"/>
  <c r="AG40" s="1"/>
  <c r="AG41" s="1"/>
  <c r="AG42" s="1"/>
  <c r="AG43" s="1"/>
  <c r="AG44" s="1"/>
  <c r="AG45" s="1"/>
  <c r="AG46" s="1"/>
  <c r="AG47" s="1"/>
  <c r="AG48" s="1"/>
  <c r="AG49" s="1"/>
  <c r="AG50" s="1"/>
  <c r="AG51" s="1"/>
  <c r="AG52" s="1"/>
  <c r="AG53" s="1"/>
  <c r="AG54" s="1"/>
  <c r="AG55" s="1"/>
  <c r="AG56" s="1"/>
  <c r="AG57" s="1"/>
  <c r="AG58" s="1"/>
  <c r="AG59" s="1"/>
  <c r="AG60" s="1"/>
  <c r="AG61" s="1"/>
  <c r="AG62" s="1"/>
  <c r="AG63" s="1"/>
  <c r="AG64" s="1"/>
  <c r="AG65" s="1"/>
  <c r="AG66" s="1"/>
  <c r="AG67" s="1"/>
  <c r="AG68" s="1"/>
  <c r="AG69" s="1"/>
  <c r="AG70" s="1"/>
  <c r="AG71" s="1"/>
  <c r="AG72" s="1"/>
  <c r="AG73" s="1"/>
  <c r="AG74" s="1"/>
  <c r="AG75" s="1"/>
  <c r="AG76" s="1"/>
  <c r="AG77" s="1"/>
  <c r="AG78" s="1"/>
  <c r="AG79" s="1"/>
  <c r="AG80" s="1"/>
  <c r="AG81" s="1"/>
  <c r="AG82" s="1"/>
  <c r="AG83" s="1"/>
  <c r="AG84" s="1"/>
  <c r="AG85" s="1"/>
  <c r="AG86" s="1"/>
  <c r="AG87" s="1"/>
  <c r="AG88" s="1"/>
  <c r="AG89" s="1"/>
  <c r="AG90" s="1"/>
  <c r="AG91" s="1"/>
  <c r="AG92" s="1"/>
  <c r="AG93" s="1"/>
  <c r="AG94" s="1"/>
  <c r="AG95" s="1"/>
  <c r="AG96" s="1"/>
  <c r="AG97" s="1"/>
  <c r="AG98" s="1"/>
  <c r="AG99" s="1"/>
  <c r="AG100" s="1"/>
  <c r="AG101" s="1"/>
  <c r="AG102" s="1"/>
  <c r="AG103" s="1"/>
  <c r="AG104" s="1"/>
  <c r="AG105" s="1"/>
  <c r="AG106" s="1"/>
  <c r="AG107" s="1"/>
  <c r="AG108" s="1"/>
  <c r="AG109" s="1"/>
  <c r="AG110" s="1"/>
  <c r="AG111" s="1"/>
  <c r="AG112" s="1"/>
  <c r="AG113" s="1"/>
  <c r="AG114" s="1"/>
  <c r="AG115" s="1"/>
  <c r="AG116" s="1"/>
  <c r="AG117" s="1"/>
  <c r="AG118" s="1"/>
  <c r="AG119" s="1"/>
  <c r="AG120" s="1"/>
  <c r="AG121" s="1"/>
  <c r="AG122" s="1"/>
  <c r="AG123" s="1"/>
  <c r="AG124" s="1"/>
  <c r="AG125" s="1"/>
  <c r="AG126" s="1"/>
  <c r="AG127" s="1"/>
  <c r="AG128" s="1"/>
  <c r="AG129" s="1"/>
  <c r="AG130" s="1"/>
  <c r="AG131" s="1"/>
  <c r="AG132" s="1"/>
  <c r="AG133" s="1"/>
  <c r="AG134" s="1"/>
  <c r="AG135" s="1"/>
  <c r="BT3"/>
  <c r="BT4" s="1"/>
  <c r="BT5" s="1"/>
  <c r="BT6" s="1"/>
  <c r="BT7" s="1"/>
  <c r="BT8" s="1"/>
  <c r="BT9" s="1"/>
  <c r="BT10" s="1"/>
  <c r="BT11" s="1"/>
  <c r="BT12" s="1"/>
  <c r="BT13" s="1"/>
  <c r="BT14" s="1"/>
  <c r="BT15" s="1"/>
  <c r="BT16" s="1"/>
  <c r="BT17" s="1"/>
  <c r="BT18" s="1"/>
  <c r="BT19" s="1"/>
  <c r="BT20" s="1"/>
  <c r="BT21" s="1"/>
  <c r="BT22" s="1"/>
  <c r="BT23" s="1"/>
  <c r="BT24" s="1"/>
  <c r="BT25" s="1"/>
  <c r="BT26" s="1"/>
  <c r="BT27" s="1"/>
  <c r="BT28" s="1"/>
  <c r="BT29" s="1"/>
  <c r="BT30" s="1"/>
  <c r="BT31" s="1"/>
  <c r="BT32" s="1"/>
  <c r="BT33" s="1"/>
  <c r="BT34" s="1"/>
  <c r="BT35" s="1"/>
  <c r="BT36" s="1"/>
  <c r="BT37" s="1"/>
  <c r="BT38" s="1"/>
  <c r="BT39" s="1"/>
  <c r="BT40" s="1"/>
  <c r="BT41" s="1"/>
  <c r="BT42" s="1"/>
  <c r="BT43" s="1"/>
  <c r="BT44" s="1"/>
  <c r="BT45" s="1"/>
  <c r="BT46" s="1"/>
  <c r="BT47" s="1"/>
  <c r="BT48" s="1"/>
  <c r="BT49" s="1"/>
  <c r="BT50" s="1"/>
  <c r="BT51" s="1"/>
  <c r="BT52" s="1"/>
  <c r="BT53" s="1"/>
  <c r="BT54" s="1"/>
  <c r="BT55" s="1"/>
  <c r="BT56" s="1"/>
  <c r="BT57" s="1"/>
  <c r="BT58" s="1"/>
  <c r="BT59" s="1"/>
  <c r="BT60" s="1"/>
  <c r="BT61" s="1"/>
  <c r="BT62" s="1"/>
  <c r="BT63" s="1"/>
  <c r="BT64" s="1"/>
  <c r="BT65" s="1"/>
  <c r="BT66" s="1"/>
  <c r="BT67" s="1"/>
  <c r="BT68" s="1"/>
  <c r="BT69" s="1"/>
  <c r="BT70" s="1"/>
  <c r="BT71" s="1"/>
  <c r="BT72" s="1"/>
  <c r="BT73" s="1"/>
  <c r="BT74" s="1"/>
  <c r="BT75" s="1"/>
  <c r="BT76" s="1"/>
  <c r="BT77" s="1"/>
  <c r="BT78" s="1"/>
  <c r="BT79" s="1"/>
  <c r="BT80" s="1"/>
  <c r="BT81" s="1"/>
  <c r="BT82" s="1"/>
  <c r="BT83" s="1"/>
  <c r="BT84" s="1"/>
  <c r="BT85" s="1"/>
  <c r="BT86" s="1"/>
  <c r="BT87" s="1"/>
  <c r="BT88" s="1"/>
  <c r="BT89" s="1"/>
  <c r="BT90" s="1"/>
  <c r="BT91" s="1"/>
  <c r="BT92" s="1"/>
  <c r="BT93" s="1"/>
  <c r="BT94" s="1"/>
  <c r="BT95" s="1"/>
  <c r="BT96" s="1"/>
  <c r="BT97" s="1"/>
  <c r="BT98" s="1"/>
  <c r="BT99" s="1"/>
  <c r="BT100" s="1"/>
  <c r="BT101" s="1"/>
  <c r="BT102" s="1"/>
  <c r="BT103" s="1"/>
  <c r="BT104" s="1"/>
  <c r="BT105" s="1"/>
  <c r="BT106" s="1"/>
  <c r="BT107" s="1"/>
  <c r="BT108" s="1"/>
  <c r="BT109" s="1"/>
  <c r="BT110" s="1"/>
  <c r="BT111" s="1"/>
  <c r="BT112" s="1"/>
  <c r="BT113" s="1"/>
  <c r="BT114" s="1"/>
  <c r="BT115" s="1"/>
  <c r="BT116" s="1"/>
  <c r="BT117" s="1"/>
  <c r="BT118" s="1"/>
  <c r="BT119" s="1"/>
  <c r="BT120" s="1"/>
  <c r="BT121" s="1"/>
  <c r="BT122" s="1"/>
  <c r="BT123" s="1"/>
  <c r="BT124" s="1"/>
  <c r="BT125" s="1"/>
  <c r="BT126" s="1"/>
  <c r="BT127" s="1"/>
  <c r="BT128" s="1"/>
  <c r="BT129" s="1"/>
  <c r="BT130" s="1"/>
  <c r="BT131" s="1"/>
  <c r="BT132" s="1"/>
  <c r="BT133" s="1"/>
  <c r="BT134" s="1"/>
  <c r="BT135" s="1"/>
  <c r="E3" i="9"/>
  <c r="E4" s="1"/>
  <c r="E5" s="1"/>
  <c r="E6" s="1"/>
  <c r="E7" s="1"/>
  <c r="E8" s="1"/>
  <c r="E9" s="1"/>
  <c r="E10" s="1"/>
  <c r="E11" s="1"/>
  <c r="E12" s="1"/>
  <c r="E13" s="1"/>
  <c r="E14" s="1"/>
  <c r="E15" s="1"/>
  <c r="E16" s="1"/>
  <c r="E17" s="1"/>
  <c r="E18" s="1"/>
  <c r="E19" s="1"/>
  <c r="E20" s="1"/>
  <c r="E21" s="1"/>
  <c r="E22" s="1"/>
  <c r="E23" s="1"/>
  <c r="E24" s="1"/>
  <c r="E25" s="1"/>
  <c r="E26" s="1"/>
  <c r="E27" s="1"/>
  <c r="E28" s="1"/>
  <c r="E29" s="1"/>
  <c r="E30" s="1"/>
  <c r="E31" s="1"/>
  <c r="E32" s="1"/>
  <c r="E33" s="1"/>
  <c r="E34" s="1"/>
  <c r="E35" s="1"/>
  <c r="E36" s="1"/>
  <c r="E37" s="1"/>
  <c r="E38" s="1"/>
  <c r="E39" s="1"/>
  <c r="E40" s="1"/>
  <c r="E41" s="1"/>
  <c r="E42" s="1"/>
  <c r="E43" s="1"/>
  <c r="E44" s="1"/>
  <c r="E45" s="1"/>
  <c r="E46" s="1"/>
  <c r="E47" s="1"/>
  <c r="E48" s="1"/>
  <c r="E49" s="1"/>
  <c r="E50" s="1"/>
  <c r="E51" s="1"/>
  <c r="E52" s="1"/>
  <c r="E53" s="1"/>
  <c r="E54" s="1"/>
  <c r="E55" s="1"/>
  <c r="E56" s="1"/>
  <c r="E57" s="1"/>
  <c r="E58" s="1"/>
  <c r="E59" s="1"/>
  <c r="E60" s="1"/>
  <c r="E61" s="1"/>
  <c r="E62" s="1"/>
  <c r="E63" s="1"/>
  <c r="E64" s="1"/>
  <c r="E65" s="1"/>
  <c r="E66" s="1"/>
  <c r="E67" s="1"/>
  <c r="E68" s="1"/>
  <c r="E69" s="1"/>
  <c r="E70" s="1"/>
  <c r="E71" s="1"/>
  <c r="E72" s="1"/>
  <c r="E73" s="1"/>
  <c r="E74" s="1"/>
  <c r="E75" s="1"/>
  <c r="E76" s="1"/>
  <c r="E77" s="1"/>
  <c r="E78" s="1"/>
  <c r="E79" s="1"/>
  <c r="E80" s="1"/>
  <c r="E81" s="1"/>
  <c r="E82" s="1"/>
  <c r="E83" s="1"/>
  <c r="E84" s="1"/>
  <c r="E85" s="1"/>
  <c r="E86" s="1"/>
  <c r="E87" s="1"/>
  <c r="E88" s="1"/>
  <c r="E89" s="1"/>
  <c r="E90" s="1"/>
  <c r="E91" s="1"/>
  <c r="E92" s="1"/>
  <c r="E93" s="1"/>
  <c r="E94" s="1"/>
  <c r="E95" s="1"/>
  <c r="E96" s="1"/>
  <c r="E97" s="1"/>
  <c r="E98" s="1"/>
  <c r="E99" s="1"/>
  <c r="E100" s="1"/>
  <c r="E101" s="1"/>
  <c r="E102" s="1"/>
  <c r="E103" s="1"/>
  <c r="E104" s="1"/>
  <c r="E105" s="1"/>
  <c r="E106" s="1"/>
  <c r="E107" s="1"/>
  <c r="E108" s="1"/>
  <c r="E109" s="1"/>
  <c r="E110" s="1"/>
  <c r="E111" s="1"/>
  <c r="E112" s="1"/>
  <c r="E113" s="1"/>
  <c r="E114" s="1"/>
  <c r="E115" s="1"/>
  <c r="E116" s="1"/>
  <c r="E117" s="1"/>
  <c r="E118" s="1"/>
  <c r="E119" s="1"/>
  <c r="E120" s="1"/>
  <c r="E121" s="1"/>
  <c r="E122" s="1"/>
  <c r="E123" s="1"/>
  <c r="E124" s="1"/>
  <c r="E125" s="1"/>
  <c r="E126" s="1"/>
  <c r="E127" s="1"/>
  <c r="E128" s="1"/>
  <c r="E129" s="1"/>
  <c r="E130" s="1"/>
  <c r="E131" s="1"/>
  <c r="E132" s="1"/>
  <c r="E133" s="1"/>
  <c r="E134" s="1"/>
  <c r="E135" s="1"/>
  <c r="K6" i="8"/>
  <c r="S5" i="2"/>
  <c r="AJ28" i="1"/>
  <c r="AJ72"/>
  <c r="AJ82"/>
  <c r="AJ65"/>
  <c r="AJ29"/>
  <c r="AJ5"/>
  <c r="AJ94"/>
  <c r="AJ88"/>
  <c r="AJ41"/>
  <c r="AJ21"/>
  <c r="AJ129"/>
  <c r="AJ131"/>
  <c r="AJ91"/>
  <c r="AJ106"/>
  <c r="AJ77"/>
  <c r="AJ100"/>
  <c r="AJ44"/>
  <c r="AJ54"/>
  <c r="AJ33"/>
  <c r="AJ126"/>
  <c r="AJ101"/>
  <c r="AJ25"/>
  <c r="AJ119"/>
  <c r="AJ103"/>
  <c r="AJ125"/>
  <c r="AJ81"/>
  <c r="AJ96"/>
  <c r="AJ93"/>
  <c r="AJ133"/>
  <c r="AJ130"/>
  <c r="AJ74"/>
  <c r="AJ17"/>
  <c r="AJ111"/>
  <c r="AJ116"/>
  <c r="AJ12"/>
  <c r="AJ114"/>
  <c r="AJ18"/>
  <c r="AJ7"/>
  <c r="AJ39"/>
  <c r="AJ127"/>
  <c r="AJ134"/>
  <c r="AJ90"/>
  <c r="AJ63"/>
  <c r="AJ60"/>
  <c r="AJ92"/>
  <c r="AJ27"/>
  <c r="AJ47"/>
  <c r="AJ56"/>
  <c r="AJ31"/>
  <c r="AJ117"/>
  <c r="AJ113"/>
  <c r="AJ115"/>
  <c r="AJ57"/>
  <c r="AJ112"/>
  <c r="AJ49"/>
  <c r="AJ80"/>
  <c r="AJ22"/>
  <c r="AJ15"/>
  <c r="AJ73"/>
  <c r="AJ71"/>
  <c r="AJ58"/>
  <c r="AJ120"/>
  <c r="AJ122"/>
  <c r="AJ3"/>
  <c r="AJ132"/>
  <c r="AJ24"/>
  <c r="AJ124"/>
  <c r="AJ6"/>
  <c r="AJ102"/>
  <c r="AJ98"/>
  <c r="AJ89"/>
  <c r="AJ61"/>
  <c r="AJ62"/>
  <c r="AJ36"/>
  <c r="AJ66"/>
  <c r="AJ86"/>
  <c r="AJ99"/>
  <c r="AJ20"/>
  <c r="AJ50"/>
  <c r="AJ46"/>
  <c r="AJ78"/>
  <c r="AJ32"/>
  <c r="AJ45"/>
  <c r="AJ76"/>
  <c r="AJ70"/>
  <c r="AJ38"/>
  <c r="AJ48"/>
  <c r="AJ4"/>
  <c r="AJ87"/>
  <c r="AJ135"/>
  <c r="AJ9"/>
  <c r="AJ84"/>
  <c r="AJ64"/>
  <c r="AJ35"/>
  <c r="AJ14"/>
  <c r="AJ97"/>
  <c r="AJ42"/>
  <c r="AJ110"/>
  <c r="AJ10"/>
  <c r="AJ105"/>
  <c r="AJ30"/>
  <c r="AJ95"/>
  <c r="AJ51"/>
  <c r="AJ123"/>
  <c r="AJ83"/>
  <c r="AJ40"/>
  <c r="AJ26"/>
  <c r="AJ109"/>
  <c r="AJ108"/>
  <c r="AJ67"/>
  <c r="AJ52"/>
  <c r="AJ121"/>
  <c r="AJ75"/>
  <c r="AJ37"/>
  <c r="AJ79"/>
  <c r="AJ104"/>
  <c r="AJ8"/>
  <c r="AJ128"/>
  <c r="AJ23"/>
  <c r="AJ19"/>
  <c r="AJ55"/>
  <c r="AJ107"/>
  <c r="AJ68"/>
  <c r="AJ59"/>
  <c r="AJ16"/>
  <c r="AJ53"/>
  <c r="AJ69"/>
  <c r="AJ43"/>
  <c r="AJ34"/>
  <c r="AJ118"/>
  <c r="AJ85"/>
  <c r="AJ11"/>
  <c r="AJ13"/>
  <c r="AL115"/>
  <c r="AL86"/>
  <c r="AL61"/>
  <c r="AL95"/>
  <c r="AL14"/>
  <c r="AL65"/>
  <c r="AL4"/>
  <c r="AL9"/>
  <c r="AL28"/>
  <c r="AL126"/>
  <c r="AL34"/>
  <c r="AL117"/>
  <c r="AL30"/>
  <c r="AL77"/>
  <c r="AL112"/>
  <c r="AL98"/>
  <c r="AL15"/>
  <c r="AL118"/>
  <c r="AL21"/>
  <c r="AL131"/>
  <c r="AL87"/>
  <c r="AL47"/>
  <c r="AL18"/>
  <c r="AL3"/>
  <c r="AL11"/>
  <c r="AL121"/>
  <c r="AL39"/>
  <c r="AL31"/>
  <c r="AL70"/>
  <c r="AL134"/>
  <c r="AL124"/>
  <c r="AL80"/>
  <c r="AL27"/>
  <c r="AL42"/>
  <c r="AL63"/>
  <c r="AL37"/>
  <c r="AL23"/>
  <c r="AL38"/>
  <c r="AL110"/>
  <c r="AL135"/>
  <c r="W135" s="1"/>
  <c r="AL109"/>
  <c r="AL64"/>
  <c r="AL102"/>
  <c r="AL128"/>
  <c r="AL75"/>
  <c r="AL72"/>
  <c r="AL49"/>
  <c r="AL56"/>
  <c r="AL94"/>
  <c r="AL45"/>
  <c r="AL50"/>
  <c r="AL35"/>
  <c r="AL107"/>
  <c r="AL101"/>
  <c r="AL130"/>
  <c r="AL10"/>
  <c r="AL97"/>
  <c r="AL46"/>
  <c r="AL33"/>
  <c r="AL53"/>
  <c r="AL92"/>
  <c r="AL93"/>
  <c r="AL125"/>
  <c r="AL41"/>
  <c r="AL105"/>
  <c r="AL79"/>
  <c r="AL66"/>
  <c r="AL122"/>
  <c r="AL73"/>
  <c r="AL62"/>
  <c r="AL48"/>
  <c r="AL113"/>
  <c r="AL17"/>
  <c r="AL100"/>
  <c r="AL32"/>
  <c r="AL36"/>
  <c r="AL106"/>
  <c r="AL76"/>
  <c r="AL58"/>
  <c r="AL54"/>
  <c r="AL78"/>
  <c r="AL85"/>
  <c r="AL82"/>
  <c r="AL71"/>
  <c r="AL99"/>
  <c r="AL123"/>
  <c r="AL89"/>
  <c r="AL60"/>
  <c r="AL69"/>
  <c r="AL22"/>
  <c r="AL6"/>
  <c r="AL12"/>
  <c r="AL83"/>
  <c r="AL91"/>
  <c r="AL55"/>
  <c r="AL19"/>
  <c r="AL74"/>
  <c r="AL103"/>
  <c r="AL40"/>
  <c r="AL43"/>
  <c r="AL84"/>
  <c r="AL108"/>
  <c r="AL13"/>
  <c r="AL24"/>
  <c r="AL51"/>
  <c r="AL104"/>
  <c r="AL29"/>
  <c r="AL96"/>
  <c r="AL26"/>
  <c r="AL57"/>
  <c r="AL20"/>
  <c r="AL133"/>
  <c r="AL129"/>
  <c r="AL25"/>
  <c r="AL119"/>
  <c r="AL7"/>
  <c r="AL68"/>
  <c r="AL59"/>
  <c r="AL114"/>
  <c r="AL127"/>
  <c r="AL44"/>
  <c r="AL8"/>
  <c r="AL52"/>
  <c r="AL88"/>
  <c r="AL116"/>
  <c r="AL5"/>
  <c r="AL81"/>
  <c r="AL90"/>
  <c r="AL67"/>
  <c r="AL132"/>
  <c r="AL111"/>
  <c r="AL120"/>
  <c r="AL16"/>
  <c r="AM127"/>
  <c r="AM80"/>
  <c r="AM56"/>
  <c r="AM37"/>
  <c r="AM91"/>
  <c r="AM104"/>
  <c r="AM67"/>
  <c r="AM20"/>
  <c r="AM109"/>
  <c r="AM86"/>
  <c r="AM16"/>
  <c r="AM79"/>
  <c r="AM88"/>
  <c r="AM11"/>
  <c r="AM59"/>
  <c r="AM18"/>
  <c r="AM24"/>
  <c r="AM95"/>
  <c r="AM126"/>
  <c r="AM65"/>
  <c r="AM10"/>
  <c r="AM78"/>
  <c r="AM41"/>
  <c r="AM100"/>
  <c r="AM12"/>
  <c r="AM33"/>
  <c r="AM114"/>
  <c r="AM85"/>
  <c r="AM17"/>
  <c r="AM21"/>
  <c r="AM92"/>
  <c r="AM81"/>
  <c r="AM3"/>
  <c r="X3" s="1"/>
  <c r="AM8"/>
  <c r="AM13"/>
  <c r="AM31"/>
  <c r="AM94"/>
  <c r="AM110"/>
  <c r="AM51"/>
  <c r="AM53"/>
  <c r="AM131"/>
  <c r="AM117"/>
  <c r="AM82"/>
  <c r="AM71"/>
  <c r="AM64"/>
  <c r="AM96"/>
  <c r="AM52"/>
  <c r="AM129"/>
  <c r="AM55"/>
  <c r="AM98"/>
  <c r="AM115"/>
  <c r="AM130"/>
  <c r="AM25"/>
  <c r="AM38"/>
  <c r="AM76"/>
  <c r="AM132"/>
  <c r="AM108"/>
  <c r="AM106"/>
  <c r="AM42"/>
  <c r="AM83"/>
  <c r="AM39"/>
  <c r="AM23"/>
  <c r="AM44"/>
  <c r="AM99"/>
  <c r="AM135"/>
  <c r="X135" s="1"/>
  <c r="AM133"/>
  <c r="AM49"/>
  <c r="AM9"/>
  <c r="AM97"/>
  <c r="AM63"/>
  <c r="AM58"/>
  <c r="AM102"/>
  <c r="AM46"/>
  <c r="AM72"/>
  <c r="AM75"/>
  <c r="AM50"/>
  <c r="AM111"/>
  <c r="AM62"/>
  <c r="AM119"/>
  <c r="AM7"/>
  <c r="AM118"/>
  <c r="AM54"/>
  <c r="AM122"/>
  <c r="AM22"/>
  <c r="AM90"/>
  <c r="AM14"/>
  <c r="AM121"/>
  <c r="AM107"/>
  <c r="AM123"/>
  <c r="AM101"/>
  <c r="AM5"/>
  <c r="AM84"/>
  <c r="AM66"/>
  <c r="AM112"/>
  <c r="AM89"/>
  <c r="AM116"/>
  <c r="AM70"/>
  <c r="AM103"/>
  <c r="AM26"/>
  <c r="AM35"/>
  <c r="AM47"/>
  <c r="AM68"/>
  <c r="AM36"/>
  <c r="AM87"/>
  <c r="AM28"/>
  <c r="AM77"/>
  <c r="AM48"/>
  <c r="AM74"/>
  <c r="AM134"/>
  <c r="AM113"/>
  <c r="AM105"/>
  <c r="AM93"/>
  <c r="AM57"/>
  <c r="AM128"/>
  <c r="AM43"/>
  <c r="AM45"/>
  <c r="AM73"/>
  <c r="AM69"/>
  <c r="AM120"/>
  <c r="AM19"/>
  <c r="AM60"/>
  <c r="AM124"/>
  <c r="AM15"/>
  <c r="AM4"/>
  <c r="AM40"/>
  <c r="AM34"/>
  <c r="AM125"/>
  <c r="AM29"/>
  <c r="AM6"/>
  <c r="AM30"/>
  <c r="AM27"/>
  <c r="AM61"/>
  <c r="AM32"/>
  <c r="AK72"/>
  <c r="AK63"/>
  <c r="AK99"/>
  <c r="AK66"/>
  <c r="AK16"/>
  <c r="AK61"/>
  <c r="AK54"/>
  <c r="AK70"/>
  <c r="AK48"/>
  <c r="AK100"/>
  <c r="AK12"/>
  <c r="AK117"/>
  <c r="AK42"/>
  <c r="AK41"/>
  <c r="AK126"/>
  <c r="AK118"/>
  <c r="AK65"/>
  <c r="AK20"/>
  <c r="AK94"/>
  <c r="AK77"/>
  <c r="AK127"/>
  <c r="AK5"/>
  <c r="AK60"/>
  <c r="AK39"/>
  <c r="AK75"/>
  <c r="AK84"/>
  <c r="AK46"/>
  <c r="AK114"/>
  <c r="AK10"/>
  <c r="AK6"/>
  <c r="AK18"/>
  <c r="AK53"/>
  <c r="AK51"/>
  <c r="AK3"/>
  <c r="AK22"/>
  <c r="AK47"/>
  <c r="AK7"/>
  <c r="AK74"/>
  <c r="AK50"/>
  <c r="AK49"/>
  <c r="AK31"/>
  <c r="AK78"/>
  <c r="AK56"/>
  <c r="AK132"/>
  <c r="AK73"/>
  <c r="AK68"/>
  <c r="AK30"/>
  <c r="AK4"/>
  <c r="AK11"/>
  <c r="AK59"/>
  <c r="AK23"/>
  <c r="AK107"/>
  <c r="AK27"/>
  <c r="AK85"/>
  <c r="AK28"/>
  <c r="AK76"/>
  <c r="AK36"/>
  <c r="AK58"/>
  <c r="AK24"/>
  <c r="AK19"/>
  <c r="AK80"/>
  <c r="AK67"/>
  <c r="AK79"/>
  <c r="AK86"/>
  <c r="AK35"/>
  <c r="AK8"/>
  <c r="AK33"/>
  <c r="AK69"/>
  <c r="AK81"/>
  <c r="AK88"/>
  <c r="AK25"/>
  <c r="AK17"/>
  <c r="AK87"/>
  <c r="AK15"/>
  <c r="AK45"/>
  <c r="AK21"/>
  <c r="AK83"/>
  <c r="AK13"/>
  <c r="AK64"/>
  <c r="AK37"/>
  <c r="AK26"/>
  <c r="AK134"/>
  <c r="AK38"/>
  <c r="AK40"/>
  <c r="AK14"/>
  <c r="AK52"/>
  <c r="AK34"/>
  <c r="AK71"/>
  <c r="AK57"/>
  <c r="AK44"/>
  <c r="AK32"/>
  <c r="AK55"/>
  <c r="AK9"/>
  <c r="AK93"/>
  <c r="AK62"/>
  <c r="AK43"/>
  <c r="AK29"/>
  <c r="AK82"/>
  <c r="A35" i="4"/>
  <c r="I35" s="1"/>
  <c r="N2" i="2"/>
  <c r="F2" i="8"/>
  <c r="A33" i="6"/>
  <c r="AG2" i="8"/>
  <c r="BG2"/>
  <c r="AB135" i="2"/>
  <c r="E18" i="4"/>
  <c r="A24"/>
  <c r="BC5" i="5" l="1"/>
  <c r="AC4" i="1"/>
  <c r="AZ5" i="5"/>
  <c r="AB4" i="1"/>
  <c r="R4" i="2"/>
  <c r="H4" i="5"/>
  <c r="F4" i="7" s="1"/>
  <c r="O5" i="1"/>
  <c r="DK5" i="8" s="1"/>
  <c r="DJ4"/>
  <c r="DI4"/>
  <c r="I6"/>
  <c r="D24" i="4"/>
  <c r="C82" i="6"/>
  <c r="C94"/>
  <c r="BM5" i="5"/>
  <c r="BM6" s="1"/>
  <c r="BM7" s="1"/>
  <c r="BM8" s="1"/>
  <c r="BM9" s="1"/>
  <c r="BM10" s="1"/>
  <c r="BM11" s="1"/>
  <c r="BM12" s="1"/>
  <c r="BM13" s="1"/>
  <c r="BM14" s="1"/>
  <c r="BM15" s="1"/>
  <c r="BM16" s="1"/>
  <c r="BM17" s="1"/>
  <c r="BM18" s="1"/>
  <c r="BM19" s="1"/>
  <c r="BM20" s="1"/>
  <c r="BM21" s="1"/>
  <c r="BM22" s="1"/>
  <c r="BM23" s="1"/>
  <c r="BM24" s="1"/>
  <c r="BM25" s="1"/>
  <c r="BM26" s="1"/>
  <c r="BM27" s="1"/>
  <c r="BM28" s="1"/>
  <c r="BM29" s="1"/>
  <c r="BM30" s="1"/>
  <c r="BM31" s="1"/>
  <c r="BM32" s="1"/>
  <c r="BM33" s="1"/>
  <c r="BM34" s="1"/>
  <c r="BM35" s="1"/>
  <c r="BM36" s="1"/>
  <c r="BM37" s="1"/>
  <c r="BM38" s="1"/>
  <c r="BM39" s="1"/>
  <c r="BM40" s="1"/>
  <c r="BM41" s="1"/>
  <c r="BM42" s="1"/>
  <c r="BM43" s="1"/>
  <c r="BM44" s="1"/>
  <c r="BM45" s="1"/>
  <c r="BM46" s="1"/>
  <c r="BM47" s="1"/>
  <c r="BM48" s="1"/>
  <c r="BM49" s="1"/>
  <c r="BM50" s="1"/>
  <c r="BM51" s="1"/>
  <c r="BM52" s="1"/>
  <c r="BM53" s="1"/>
  <c r="BM54" s="1"/>
  <c r="BM55" s="1"/>
  <c r="BM56" s="1"/>
  <c r="BM57" s="1"/>
  <c r="BM58" s="1"/>
  <c r="BM59" s="1"/>
  <c r="BM60" s="1"/>
  <c r="BM61" s="1"/>
  <c r="BM62" s="1"/>
  <c r="BM63" s="1"/>
  <c r="BM64" s="1"/>
  <c r="BM65" s="1"/>
  <c r="BM66" s="1"/>
  <c r="BM67" s="1"/>
  <c r="BM68" s="1"/>
  <c r="BM69" s="1"/>
  <c r="BM70" s="1"/>
  <c r="BM71" s="1"/>
  <c r="BM72" s="1"/>
  <c r="BM73" s="1"/>
  <c r="BM74" s="1"/>
  <c r="BM75" s="1"/>
  <c r="BM76" s="1"/>
  <c r="BM77" s="1"/>
  <c r="BM78" s="1"/>
  <c r="BM79" s="1"/>
  <c r="BM80" s="1"/>
  <c r="BM81" s="1"/>
  <c r="BM82" s="1"/>
  <c r="BM83" s="1"/>
  <c r="BM84" s="1"/>
  <c r="BM85" s="1"/>
  <c r="BM86" s="1"/>
  <c r="BM87" s="1"/>
  <c r="BM88" s="1"/>
  <c r="BM89" s="1"/>
  <c r="BM90" s="1"/>
  <c r="BM91" s="1"/>
  <c r="BM92" s="1"/>
  <c r="BM93" s="1"/>
  <c r="BM94" s="1"/>
  <c r="BM95" s="1"/>
  <c r="BM96" s="1"/>
  <c r="BM97" s="1"/>
  <c r="BM98" s="1"/>
  <c r="BM99" s="1"/>
  <c r="BM100" s="1"/>
  <c r="BM101" s="1"/>
  <c r="BM102" s="1"/>
  <c r="BM103" s="1"/>
  <c r="BM104" s="1"/>
  <c r="BM105" s="1"/>
  <c r="BM106" s="1"/>
  <c r="BM107" s="1"/>
  <c r="BM108" s="1"/>
  <c r="BM109" s="1"/>
  <c r="BM110" s="1"/>
  <c r="BM111" s="1"/>
  <c r="BM112" s="1"/>
  <c r="BM113" s="1"/>
  <c r="BM114" s="1"/>
  <c r="BM115" s="1"/>
  <c r="BM116" s="1"/>
  <c r="BM117" s="1"/>
  <c r="BM118" s="1"/>
  <c r="BM119" s="1"/>
  <c r="BM120" s="1"/>
  <c r="BM121" s="1"/>
  <c r="BM122" s="1"/>
  <c r="BM123" s="1"/>
  <c r="BM124" s="1"/>
  <c r="BM125" s="1"/>
  <c r="BM126" s="1"/>
  <c r="BM127" s="1"/>
  <c r="BM128" s="1"/>
  <c r="BM129" s="1"/>
  <c r="BM130" s="1"/>
  <c r="BM131" s="1"/>
  <c r="BM132" s="1"/>
  <c r="BM133" s="1"/>
  <c r="BM134" s="1"/>
  <c r="BM135" s="1"/>
  <c r="BR131" i="8"/>
  <c r="BR123"/>
  <c r="BR115"/>
  <c r="BR107"/>
  <c r="BR99"/>
  <c r="BR91"/>
  <c r="BR83"/>
  <c r="BR75"/>
  <c r="BR67"/>
  <c r="BR59"/>
  <c r="BR51"/>
  <c r="BR43"/>
  <c r="BR35"/>
  <c r="BR27"/>
  <c r="BR19"/>
  <c r="BR11"/>
  <c r="BR3"/>
  <c r="BR132"/>
  <c r="BR124"/>
  <c r="BR116"/>
  <c r="BR108"/>
  <c r="BR100"/>
  <c r="BR92"/>
  <c r="BR84"/>
  <c r="BR76"/>
  <c r="BR68"/>
  <c r="BR60"/>
  <c r="BR52"/>
  <c r="BR44"/>
  <c r="BR36"/>
  <c r="BR28"/>
  <c r="BR20"/>
  <c r="BR12"/>
  <c r="BR4"/>
  <c r="BR10"/>
  <c r="BR133"/>
  <c r="BR125"/>
  <c r="BR117"/>
  <c r="BR109"/>
  <c r="BR101"/>
  <c r="BR93"/>
  <c r="BR85"/>
  <c r="BR77"/>
  <c r="BR69"/>
  <c r="BR61"/>
  <c r="BR53"/>
  <c r="BR45"/>
  <c r="BR37"/>
  <c r="BR29"/>
  <c r="BR21"/>
  <c r="BR13"/>
  <c r="BR5"/>
  <c r="BR18"/>
  <c r="BR134"/>
  <c r="BR126"/>
  <c r="BR118"/>
  <c r="BR110"/>
  <c r="BR102"/>
  <c r="BR94"/>
  <c r="BR86"/>
  <c r="BR78"/>
  <c r="BR70"/>
  <c r="BR62"/>
  <c r="BR54"/>
  <c r="BR46"/>
  <c r="BR38"/>
  <c r="BR30"/>
  <c r="BR22"/>
  <c r="BR14"/>
  <c r="BR6"/>
  <c r="BR34"/>
  <c r="BR135"/>
  <c r="BR127"/>
  <c r="BR119"/>
  <c r="BR111"/>
  <c r="BR103"/>
  <c r="BR95"/>
  <c r="BR87"/>
  <c r="BR79"/>
  <c r="BR71"/>
  <c r="BR63"/>
  <c r="BR55"/>
  <c r="BR47"/>
  <c r="BR39"/>
  <c r="BR31"/>
  <c r="BR23"/>
  <c r="BR15"/>
  <c r="BR7"/>
  <c r="BR42"/>
  <c r="BR128"/>
  <c r="BR120"/>
  <c r="BR112"/>
  <c r="BR104"/>
  <c r="BR96"/>
  <c r="BR88"/>
  <c r="BR80"/>
  <c r="BR72"/>
  <c r="BR64"/>
  <c r="BR56"/>
  <c r="BR48"/>
  <c r="BR40"/>
  <c r="BR32"/>
  <c r="BR24"/>
  <c r="BR16"/>
  <c r="BR8"/>
  <c r="BR129"/>
  <c r="BR121"/>
  <c r="BR113"/>
  <c r="BR105"/>
  <c r="BR97"/>
  <c r="BR89"/>
  <c r="BR81"/>
  <c r="BR73"/>
  <c r="BR65"/>
  <c r="BR57"/>
  <c r="BR49"/>
  <c r="BR41"/>
  <c r="BR33"/>
  <c r="BR25"/>
  <c r="BR17"/>
  <c r="BR9"/>
  <c r="BR50"/>
  <c r="BR130"/>
  <c r="BR122"/>
  <c r="BR114"/>
  <c r="BR106"/>
  <c r="BR98"/>
  <c r="BR90"/>
  <c r="BR82"/>
  <c r="BR74"/>
  <c r="BR66"/>
  <c r="BR58"/>
  <c r="BR26"/>
  <c r="K4" i="10"/>
  <c r="BS134" i="8"/>
  <c r="BS126"/>
  <c r="BS118"/>
  <c r="BS110"/>
  <c r="BS102"/>
  <c r="BS94"/>
  <c r="BS86"/>
  <c r="BS78"/>
  <c r="BS70"/>
  <c r="BS62"/>
  <c r="BS54"/>
  <c r="BS46"/>
  <c r="BS38"/>
  <c r="BS30"/>
  <c r="BS22"/>
  <c r="BS14"/>
  <c r="BS6"/>
  <c r="BS135"/>
  <c r="BS127"/>
  <c r="BS119"/>
  <c r="BS111"/>
  <c r="BS103"/>
  <c r="BS95"/>
  <c r="BS87"/>
  <c r="BS79"/>
  <c r="BS71"/>
  <c r="BS63"/>
  <c r="BS55"/>
  <c r="BS47"/>
  <c r="BS39"/>
  <c r="BS31"/>
  <c r="BS23"/>
  <c r="BS15"/>
  <c r="BS7"/>
  <c r="BS128"/>
  <c r="BS120"/>
  <c r="BS112"/>
  <c r="BS104"/>
  <c r="BS96"/>
  <c r="BS88"/>
  <c r="BS80"/>
  <c r="BS72"/>
  <c r="BS64"/>
  <c r="BS56"/>
  <c r="BS48"/>
  <c r="BS40"/>
  <c r="BS32"/>
  <c r="BS24"/>
  <c r="BS16"/>
  <c r="BS8"/>
  <c r="BS129"/>
  <c r="BS121"/>
  <c r="BS113"/>
  <c r="BS105"/>
  <c r="BS97"/>
  <c r="BS89"/>
  <c r="BS81"/>
  <c r="BS73"/>
  <c r="BS65"/>
  <c r="BS57"/>
  <c r="BS49"/>
  <c r="BS41"/>
  <c r="BS33"/>
  <c r="BS25"/>
  <c r="BS17"/>
  <c r="BS9"/>
  <c r="BS130"/>
  <c r="BS122"/>
  <c r="BS114"/>
  <c r="BS106"/>
  <c r="BS98"/>
  <c r="BS90"/>
  <c r="BS82"/>
  <c r="BS74"/>
  <c r="BS66"/>
  <c r="BS58"/>
  <c r="BS50"/>
  <c r="BS42"/>
  <c r="BS34"/>
  <c r="BS26"/>
  <c r="BS18"/>
  <c r="BS10"/>
  <c r="BS131"/>
  <c r="BS123"/>
  <c r="BS115"/>
  <c r="BS107"/>
  <c r="BS99"/>
  <c r="BS91"/>
  <c r="BS83"/>
  <c r="BS75"/>
  <c r="BS67"/>
  <c r="BS59"/>
  <c r="BS51"/>
  <c r="BS43"/>
  <c r="BS35"/>
  <c r="BS27"/>
  <c r="BS19"/>
  <c r="BS11"/>
  <c r="BS3"/>
  <c r="BS132"/>
  <c r="BS124"/>
  <c r="BS116"/>
  <c r="BS108"/>
  <c r="BS100"/>
  <c r="BS92"/>
  <c r="BS84"/>
  <c r="BS76"/>
  <c r="BS68"/>
  <c r="BS60"/>
  <c r="BS52"/>
  <c r="BS44"/>
  <c r="BS36"/>
  <c r="BS28"/>
  <c r="BS20"/>
  <c r="BS12"/>
  <c r="BS4"/>
  <c r="BS133"/>
  <c r="BS125"/>
  <c r="BS117"/>
  <c r="BS109"/>
  <c r="BS101"/>
  <c r="BS93"/>
  <c r="BS85"/>
  <c r="BS77"/>
  <c r="BS69"/>
  <c r="BS61"/>
  <c r="BS53"/>
  <c r="BS45"/>
  <c r="BS37"/>
  <c r="BS29"/>
  <c r="BS21"/>
  <c r="BS13"/>
  <c r="BS5"/>
  <c r="BY5" i="11"/>
  <c r="BY6" s="1"/>
  <c r="CZ3" i="5"/>
  <c r="M5" i="2"/>
  <c r="E6" i="8"/>
  <c r="M6" i="2" s="1"/>
  <c r="M4"/>
  <c r="DF4" i="8"/>
  <c r="P6" i="2"/>
  <c r="BX3" i="8"/>
  <c r="BX130"/>
  <c r="BX122"/>
  <c r="BX114"/>
  <c r="BX106"/>
  <c r="BX98"/>
  <c r="BX90"/>
  <c r="BX82"/>
  <c r="BX74"/>
  <c r="BX66"/>
  <c r="BX58"/>
  <c r="BX50"/>
  <c r="BX42"/>
  <c r="BX10"/>
  <c r="BX80"/>
  <c r="BX64"/>
  <c r="BX24"/>
  <c r="BX14"/>
  <c r="BX133"/>
  <c r="BX125"/>
  <c r="BX117"/>
  <c r="BX109"/>
  <c r="BX101"/>
  <c r="BX93"/>
  <c r="BX85"/>
  <c r="BX77"/>
  <c r="BX69"/>
  <c r="BX61"/>
  <c r="BX53"/>
  <c r="BX45"/>
  <c r="BX37"/>
  <c r="BX29"/>
  <c r="BX21"/>
  <c r="BX13"/>
  <c r="BX5"/>
  <c r="BX120"/>
  <c r="BX112"/>
  <c r="BX104"/>
  <c r="BX32"/>
  <c r="BX8"/>
  <c r="BX22"/>
  <c r="BX128"/>
  <c r="BX96"/>
  <c r="BX72"/>
  <c r="BX40"/>
  <c r="BX16"/>
  <c r="BX131"/>
  <c r="BX123"/>
  <c r="BX115"/>
  <c r="BX107"/>
  <c r="BX99"/>
  <c r="BX91"/>
  <c r="BX83"/>
  <c r="BX75"/>
  <c r="BX67"/>
  <c r="BX59"/>
  <c r="BX51"/>
  <c r="BX43"/>
  <c r="BX35"/>
  <c r="BX27"/>
  <c r="BX19"/>
  <c r="BX11"/>
  <c r="BX118"/>
  <c r="BX110"/>
  <c r="BX94"/>
  <c r="BX78"/>
  <c r="BX70"/>
  <c r="BX54"/>
  <c r="BX38"/>
  <c r="BX134"/>
  <c r="BX126"/>
  <c r="BX102"/>
  <c r="BX86"/>
  <c r="BX62"/>
  <c r="BX129"/>
  <c r="BX121"/>
  <c r="BX113"/>
  <c r="BX105"/>
  <c r="BX97"/>
  <c r="BX89"/>
  <c r="BX81"/>
  <c r="BX73"/>
  <c r="BX65"/>
  <c r="BX57"/>
  <c r="BX49"/>
  <c r="BX41"/>
  <c r="BX33"/>
  <c r="BX25"/>
  <c r="BX17"/>
  <c r="BX9"/>
  <c r="BX132"/>
  <c r="BX124"/>
  <c r="BX116"/>
  <c r="BX108"/>
  <c r="BX100"/>
  <c r="BX92"/>
  <c r="BX84"/>
  <c r="BX76"/>
  <c r="BX68"/>
  <c r="BX60"/>
  <c r="BX52"/>
  <c r="BX44"/>
  <c r="BX36"/>
  <c r="BX28"/>
  <c r="BX20"/>
  <c r="BX12"/>
  <c r="BX4"/>
  <c r="BX34"/>
  <c r="BX26"/>
  <c r="BX18"/>
  <c r="BX88"/>
  <c r="BX56"/>
  <c r="BX6"/>
  <c r="BX135"/>
  <c r="BX127"/>
  <c r="BX119"/>
  <c r="BX111"/>
  <c r="BX103"/>
  <c r="BX95"/>
  <c r="BX87"/>
  <c r="BX79"/>
  <c r="BX71"/>
  <c r="BX63"/>
  <c r="BX55"/>
  <c r="BX47"/>
  <c r="BX39"/>
  <c r="BX31"/>
  <c r="BX23"/>
  <c r="BX15"/>
  <c r="BX7"/>
  <c r="BX48"/>
  <c r="BX46"/>
  <c r="BX30"/>
  <c r="BV3"/>
  <c r="BV128"/>
  <c r="BV120"/>
  <c r="BV112"/>
  <c r="BV104"/>
  <c r="BV96"/>
  <c r="BV88"/>
  <c r="BV80"/>
  <c r="BV72"/>
  <c r="BV131"/>
  <c r="BV123"/>
  <c r="BV115"/>
  <c r="BV107"/>
  <c r="BV99"/>
  <c r="BV91"/>
  <c r="BV83"/>
  <c r="BV75"/>
  <c r="BV67"/>
  <c r="BV59"/>
  <c r="BV51"/>
  <c r="BV43"/>
  <c r="BV35"/>
  <c r="BV27"/>
  <c r="BV19"/>
  <c r="BV11"/>
  <c r="BV94"/>
  <c r="BV86"/>
  <c r="BV78"/>
  <c r="BV54"/>
  <c r="BV46"/>
  <c r="BV22"/>
  <c r="BV4"/>
  <c r="BV134"/>
  <c r="BV126"/>
  <c r="BV118"/>
  <c r="BV110"/>
  <c r="BV102"/>
  <c r="BV28"/>
  <c r="BV129"/>
  <c r="BV121"/>
  <c r="BV113"/>
  <c r="BV105"/>
  <c r="BV97"/>
  <c r="BV89"/>
  <c r="BV81"/>
  <c r="BV73"/>
  <c r="BV65"/>
  <c r="BV57"/>
  <c r="BV49"/>
  <c r="BV41"/>
  <c r="BV33"/>
  <c r="BV25"/>
  <c r="BV17"/>
  <c r="BV9"/>
  <c r="BV132"/>
  <c r="BV124"/>
  <c r="BV100"/>
  <c r="BV84"/>
  <c r="BV76"/>
  <c r="BV60"/>
  <c r="BV52"/>
  <c r="BV20"/>
  <c r="BV7"/>
  <c r="BV116"/>
  <c r="BV108"/>
  <c r="BV92"/>
  <c r="BV68"/>
  <c r="BV36"/>
  <c r="BV135"/>
  <c r="BV127"/>
  <c r="BV119"/>
  <c r="BV111"/>
  <c r="BV103"/>
  <c r="BV95"/>
  <c r="BV87"/>
  <c r="BV79"/>
  <c r="BV71"/>
  <c r="BV63"/>
  <c r="BV55"/>
  <c r="BV47"/>
  <c r="BV39"/>
  <c r="BV31"/>
  <c r="BV23"/>
  <c r="BV15"/>
  <c r="BV130"/>
  <c r="BV122"/>
  <c r="BV114"/>
  <c r="BV106"/>
  <c r="BV98"/>
  <c r="BV90"/>
  <c r="BV82"/>
  <c r="BV74"/>
  <c r="BV66"/>
  <c r="BV58"/>
  <c r="BV50"/>
  <c r="BV42"/>
  <c r="BV34"/>
  <c r="BV26"/>
  <c r="BV18"/>
  <c r="BV10"/>
  <c r="BV56"/>
  <c r="BV48"/>
  <c r="BV40"/>
  <c r="BV70"/>
  <c r="BV30"/>
  <c r="BV6"/>
  <c r="BV44"/>
  <c r="BV133"/>
  <c r="BV125"/>
  <c r="BV117"/>
  <c r="BV109"/>
  <c r="BV101"/>
  <c r="BV93"/>
  <c r="BV85"/>
  <c r="BV77"/>
  <c r="BV69"/>
  <c r="BV61"/>
  <c r="BV53"/>
  <c r="BV45"/>
  <c r="BV37"/>
  <c r="BV29"/>
  <c r="BV21"/>
  <c r="BV13"/>
  <c r="BV5"/>
  <c r="BV64"/>
  <c r="BV32"/>
  <c r="BV24"/>
  <c r="BV16"/>
  <c r="BV8"/>
  <c r="BV62"/>
  <c r="BV38"/>
  <c r="BV14"/>
  <c r="BV12"/>
  <c r="BW3"/>
  <c r="BW133"/>
  <c r="BW125"/>
  <c r="BW117"/>
  <c r="BW109"/>
  <c r="BW101"/>
  <c r="BW93"/>
  <c r="BW85"/>
  <c r="BW77"/>
  <c r="BW69"/>
  <c r="BW29"/>
  <c r="BW21"/>
  <c r="BW51"/>
  <c r="BW35"/>
  <c r="BW11"/>
  <c r="BW33"/>
  <c r="BW128"/>
  <c r="BW120"/>
  <c r="BW112"/>
  <c r="BW104"/>
  <c r="BW96"/>
  <c r="BW88"/>
  <c r="BW80"/>
  <c r="BW72"/>
  <c r="BW64"/>
  <c r="BW56"/>
  <c r="BW48"/>
  <c r="BW40"/>
  <c r="BW32"/>
  <c r="BW24"/>
  <c r="BW16"/>
  <c r="BW8"/>
  <c r="BW131"/>
  <c r="BW115"/>
  <c r="BW107"/>
  <c r="BW99"/>
  <c r="BW67"/>
  <c r="BW41"/>
  <c r="BW123"/>
  <c r="BW83"/>
  <c r="BW59"/>
  <c r="BW9"/>
  <c r="BW134"/>
  <c r="BW126"/>
  <c r="BW118"/>
  <c r="BW110"/>
  <c r="BW102"/>
  <c r="BW94"/>
  <c r="BW86"/>
  <c r="BW78"/>
  <c r="BW70"/>
  <c r="BW62"/>
  <c r="BW54"/>
  <c r="BW46"/>
  <c r="BW38"/>
  <c r="BW30"/>
  <c r="BW22"/>
  <c r="BW14"/>
  <c r="BW6"/>
  <c r="BW113"/>
  <c r="BW105"/>
  <c r="BW89"/>
  <c r="BW65"/>
  <c r="BW129"/>
  <c r="BW121"/>
  <c r="BW97"/>
  <c r="BW81"/>
  <c r="BW73"/>
  <c r="BW57"/>
  <c r="BW49"/>
  <c r="BW17"/>
  <c r="BW132"/>
  <c r="BW124"/>
  <c r="BW116"/>
  <c r="BW108"/>
  <c r="BW100"/>
  <c r="BW92"/>
  <c r="BW84"/>
  <c r="BW76"/>
  <c r="BW68"/>
  <c r="BW60"/>
  <c r="BW52"/>
  <c r="BW44"/>
  <c r="BW36"/>
  <c r="BW28"/>
  <c r="BW20"/>
  <c r="BW12"/>
  <c r="BW135"/>
  <c r="BW127"/>
  <c r="BW119"/>
  <c r="BW111"/>
  <c r="BW103"/>
  <c r="BW95"/>
  <c r="BW87"/>
  <c r="BW79"/>
  <c r="BW71"/>
  <c r="BW63"/>
  <c r="BW55"/>
  <c r="BW47"/>
  <c r="BW39"/>
  <c r="BW31"/>
  <c r="BW23"/>
  <c r="BW15"/>
  <c r="BW7"/>
  <c r="BW61"/>
  <c r="BW13"/>
  <c r="BW5"/>
  <c r="BW43"/>
  <c r="BW19"/>
  <c r="BW25"/>
  <c r="BW130"/>
  <c r="BW122"/>
  <c r="BW114"/>
  <c r="BW106"/>
  <c r="BW98"/>
  <c r="BW90"/>
  <c r="BW82"/>
  <c r="BW74"/>
  <c r="BW66"/>
  <c r="BW58"/>
  <c r="BW50"/>
  <c r="BW42"/>
  <c r="BW34"/>
  <c r="BW26"/>
  <c r="BW18"/>
  <c r="BW10"/>
  <c r="BW53"/>
  <c r="BW45"/>
  <c r="BW37"/>
  <c r="BW91"/>
  <c r="BW75"/>
  <c r="BW27"/>
  <c r="BW4"/>
  <c r="F4" i="5"/>
  <c r="B4" i="10" s="1"/>
  <c r="B3"/>
  <c r="D3" i="7"/>
  <c r="G24" i="4"/>
  <c r="J24"/>
  <c r="I24"/>
  <c r="H24"/>
  <c r="F24"/>
  <c r="C3" i="10"/>
  <c r="AK95" i="1"/>
  <c r="AK116"/>
  <c r="AK131"/>
  <c r="AK112"/>
  <c r="AK115"/>
  <c r="AK123"/>
  <c r="AK89"/>
  <c r="AK103"/>
  <c r="AK129"/>
  <c r="AK105"/>
  <c r="AK102"/>
  <c r="AK106"/>
  <c r="AK97"/>
  <c r="AK113"/>
  <c r="A6" i="2"/>
  <c r="K6" i="11"/>
  <c r="M6" i="5"/>
  <c r="J7" i="10"/>
  <c r="B6" i="14"/>
  <c r="A6" i="8"/>
  <c r="A6" i="9"/>
  <c r="AD6" i="8"/>
  <c r="A6" i="7"/>
  <c r="I11" i="12"/>
  <c r="J10"/>
  <c r="AK124" i="1"/>
  <c r="AK92"/>
  <c r="AK91"/>
  <c r="AK119"/>
  <c r="AK120"/>
  <c r="B5" i="2"/>
  <c r="L6" i="11"/>
  <c r="AK108" i="1"/>
  <c r="AK122"/>
  <c r="AK125"/>
  <c r="AK128"/>
  <c r="AK104"/>
  <c r="AK96"/>
  <c r="X4"/>
  <c r="F8" i="12"/>
  <c r="E8" s="1"/>
  <c r="D9"/>
  <c r="CM6" i="8"/>
  <c r="AJ7" i="14"/>
  <c r="AK110" i="1"/>
  <c r="AK130"/>
  <c r="AK109"/>
  <c r="AK133"/>
  <c r="AK101"/>
  <c r="AK90"/>
  <c r="AK121"/>
  <c r="AK111"/>
  <c r="AK98"/>
  <c r="I4" i="5"/>
  <c r="E4" i="10" s="1"/>
  <c r="I7" i="8"/>
  <c r="Q5" i="2"/>
  <c r="BP6" i="5"/>
  <c r="Y4" i="1"/>
  <c r="G4" i="5"/>
  <c r="G5" s="1"/>
  <c r="F5" i="8"/>
  <c r="F6" s="1"/>
  <c r="J4" i="5"/>
  <c r="J5" s="1"/>
  <c r="J6" s="1"/>
  <c r="H3" i="7"/>
  <c r="DC3" i="5"/>
  <c r="E24" i="4"/>
  <c r="F3" i="7"/>
  <c r="DA3" i="5"/>
  <c r="D3" i="10"/>
  <c r="L4" i="5"/>
  <c r="DE3"/>
  <c r="J3" i="7"/>
  <c r="H3" i="10"/>
  <c r="I3" i="7"/>
  <c r="DD3" i="5"/>
  <c r="G3" i="10"/>
  <c r="V3" i="2"/>
  <c r="K4" i="5"/>
  <c r="A3"/>
  <c r="E3" s="1"/>
  <c r="AR4"/>
  <c r="G3" i="7"/>
  <c r="DB3" i="5"/>
  <c r="E3" i="10"/>
  <c r="E58" i="4"/>
  <c r="BA6" i="5"/>
  <c r="B4"/>
  <c r="J4" i="2"/>
  <c r="H8" i="8"/>
  <c r="P7" i="2"/>
  <c r="AA5" i="7"/>
  <c r="AE5" i="8" s="1"/>
  <c r="BC5" s="1"/>
  <c r="K5" i="10"/>
  <c r="J6" i="8"/>
  <c r="R5" i="2"/>
  <c r="W3" i="1"/>
  <c r="BE5" i="5"/>
  <c r="AY8"/>
  <c r="K7" i="8"/>
  <c r="S6" i="2"/>
  <c r="BN7" i="5"/>
  <c r="AF6" i="1" s="1"/>
  <c r="X5"/>
  <c r="BK6" i="5"/>
  <c r="AD5" i="1" s="1"/>
  <c r="AX6" i="5"/>
  <c r="DG5"/>
  <c r="DE6" i="8"/>
  <c r="G7"/>
  <c r="O6" i="2"/>
  <c r="BH2" i="8"/>
  <c r="O2" i="2"/>
  <c r="G2" i="8"/>
  <c r="A34" i="6"/>
  <c r="AH2" i="8"/>
  <c r="A36" i="4"/>
  <c r="I36" s="1"/>
  <c r="DF3" i="5"/>
  <c r="A25" i="4"/>
  <c r="AC5" i="1" l="1"/>
  <c r="BC6" i="5"/>
  <c r="AB5" i="1"/>
  <c r="AZ6" i="5"/>
  <c r="B5"/>
  <c r="AE4" i="1"/>
  <c r="H5" i="5"/>
  <c r="F5" i="7" s="1"/>
  <c r="D4" i="10"/>
  <c r="DA4" i="5"/>
  <c r="O6" i="1"/>
  <c r="DK6" i="8" s="1"/>
  <c r="DI5"/>
  <c r="DJ5"/>
  <c r="EQ3"/>
  <c r="CZ3" s="1"/>
  <c r="EO3"/>
  <c r="DT3" s="1"/>
  <c r="Q6" i="2"/>
  <c r="Q7"/>
  <c r="DF6" i="8"/>
  <c r="C83" i="6"/>
  <c r="C95"/>
  <c r="E7" i="8"/>
  <c r="CB3"/>
  <c r="CB131"/>
  <c r="CB123"/>
  <c r="CB115"/>
  <c r="CB107"/>
  <c r="CB99"/>
  <c r="CB91"/>
  <c r="CB83"/>
  <c r="CB75"/>
  <c r="CB67"/>
  <c r="CB59"/>
  <c r="CB51"/>
  <c r="CB43"/>
  <c r="CB35"/>
  <c r="CB27"/>
  <c r="CB11"/>
  <c r="CB24"/>
  <c r="CB13"/>
  <c r="CB128"/>
  <c r="CB120"/>
  <c r="CB112"/>
  <c r="CB104"/>
  <c r="CB96"/>
  <c r="CB88"/>
  <c r="CB80"/>
  <c r="CB72"/>
  <c r="CB64"/>
  <c r="CB56"/>
  <c r="CB48"/>
  <c r="CB40"/>
  <c r="CB32"/>
  <c r="CB21"/>
  <c r="CB5"/>
  <c r="CB133"/>
  <c r="CB125"/>
  <c r="CB117"/>
  <c r="CB109"/>
  <c r="CB101"/>
  <c r="CB93"/>
  <c r="CB85"/>
  <c r="CB77"/>
  <c r="CB69"/>
  <c r="CB61"/>
  <c r="CB53"/>
  <c r="CB45"/>
  <c r="CB37"/>
  <c r="CB29"/>
  <c r="CB130"/>
  <c r="CB122"/>
  <c r="CB114"/>
  <c r="CB106"/>
  <c r="CB98"/>
  <c r="CB90"/>
  <c r="CB82"/>
  <c r="CB74"/>
  <c r="CB66"/>
  <c r="CB58"/>
  <c r="CB50"/>
  <c r="CB42"/>
  <c r="CB34"/>
  <c r="CB26"/>
  <c r="CB18"/>
  <c r="CB10"/>
  <c r="CB23"/>
  <c r="CB15"/>
  <c r="CB7"/>
  <c r="CB20"/>
  <c r="CB4"/>
  <c r="CB135"/>
  <c r="CB127"/>
  <c r="CB119"/>
  <c r="CB111"/>
  <c r="CB103"/>
  <c r="CB95"/>
  <c r="CB87"/>
  <c r="CB79"/>
  <c r="CB71"/>
  <c r="CB63"/>
  <c r="CB55"/>
  <c r="CB47"/>
  <c r="CB39"/>
  <c r="CB31"/>
  <c r="CB12"/>
  <c r="CB132"/>
  <c r="CB124"/>
  <c r="CB116"/>
  <c r="CB108"/>
  <c r="CB100"/>
  <c r="CB92"/>
  <c r="CB84"/>
  <c r="CB76"/>
  <c r="CB68"/>
  <c r="CB60"/>
  <c r="CB52"/>
  <c r="CB44"/>
  <c r="CB36"/>
  <c r="CB28"/>
  <c r="CB129"/>
  <c r="CB121"/>
  <c r="CB113"/>
  <c r="CB105"/>
  <c r="CB97"/>
  <c r="CB89"/>
  <c r="CB81"/>
  <c r="CB73"/>
  <c r="CB65"/>
  <c r="CB57"/>
  <c r="CB49"/>
  <c r="CB41"/>
  <c r="CB33"/>
  <c r="CB25"/>
  <c r="CB17"/>
  <c r="CB9"/>
  <c r="CB134"/>
  <c r="CB126"/>
  <c r="CB118"/>
  <c r="CB110"/>
  <c r="CB102"/>
  <c r="CB94"/>
  <c r="CB86"/>
  <c r="CB78"/>
  <c r="CB70"/>
  <c r="CB62"/>
  <c r="CB54"/>
  <c r="CB46"/>
  <c r="CB38"/>
  <c r="CB30"/>
  <c r="CB22"/>
  <c r="CB14"/>
  <c r="CB6"/>
  <c r="CB19"/>
  <c r="CB16"/>
  <c r="CB8"/>
  <c r="CE3"/>
  <c r="CE132"/>
  <c r="CE124"/>
  <c r="CE116"/>
  <c r="CE108"/>
  <c r="CE100"/>
  <c r="CE92"/>
  <c r="CE84"/>
  <c r="CE76"/>
  <c r="CE68"/>
  <c r="CE60"/>
  <c r="CE52"/>
  <c r="CE44"/>
  <c r="CE36"/>
  <c r="CE28"/>
  <c r="CE20"/>
  <c r="CE12"/>
  <c r="CE9"/>
  <c r="CE129"/>
  <c r="CE121"/>
  <c r="CE113"/>
  <c r="CE105"/>
  <c r="CE97"/>
  <c r="CE89"/>
  <c r="CE81"/>
  <c r="CE73"/>
  <c r="CE65"/>
  <c r="CE57"/>
  <c r="CE49"/>
  <c r="CE41"/>
  <c r="CE25"/>
  <c r="CE17"/>
  <c r="CE5"/>
  <c r="CE134"/>
  <c r="CE126"/>
  <c r="CE118"/>
  <c r="CE110"/>
  <c r="CE102"/>
  <c r="CE94"/>
  <c r="CE86"/>
  <c r="CE78"/>
  <c r="CE70"/>
  <c r="CE62"/>
  <c r="CE54"/>
  <c r="CE46"/>
  <c r="CE38"/>
  <c r="CE30"/>
  <c r="CE131"/>
  <c r="CE123"/>
  <c r="CE115"/>
  <c r="CE107"/>
  <c r="CE99"/>
  <c r="CE91"/>
  <c r="CE83"/>
  <c r="CE75"/>
  <c r="CE67"/>
  <c r="CE59"/>
  <c r="CE51"/>
  <c r="CE43"/>
  <c r="CE35"/>
  <c r="CE27"/>
  <c r="CE19"/>
  <c r="CE11"/>
  <c r="CE40"/>
  <c r="CE24"/>
  <c r="CE16"/>
  <c r="CE8"/>
  <c r="CE128"/>
  <c r="CE120"/>
  <c r="CE112"/>
  <c r="CE104"/>
  <c r="CE96"/>
  <c r="CE88"/>
  <c r="CE80"/>
  <c r="CE72"/>
  <c r="CE64"/>
  <c r="CE56"/>
  <c r="CE48"/>
  <c r="CE32"/>
  <c r="CE133"/>
  <c r="CE125"/>
  <c r="CE117"/>
  <c r="CE109"/>
  <c r="CE101"/>
  <c r="CE93"/>
  <c r="CE85"/>
  <c r="CE77"/>
  <c r="CE69"/>
  <c r="CE61"/>
  <c r="CE53"/>
  <c r="CE45"/>
  <c r="CE37"/>
  <c r="CE29"/>
  <c r="CE21"/>
  <c r="CE13"/>
  <c r="CE130"/>
  <c r="CE122"/>
  <c r="CE114"/>
  <c r="CE106"/>
  <c r="CE98"/>
  <c r="CE90"/>
  <c r="CE82"/>
  <c r="CE74"/>
  <c r="CE66"/>
  <c r="CE58"/>
  <c r="CE50"/>
  <c r="CE42"/>
  <c r="CE34"/>
  <c r="CE26"/>
  <c r="CE18"/>
  <c r="CE10"/>
  <c r="CE22"/>
  <c r="CE14"/>
  <c r="CE6"/>
  <c r="CE135"/>
  <c r="CE127"/>
  <c r="CE119"/>
  <c r="CE111"/>
  <c r="CE103"/>
  <c r="CE95"/>
  <c r="CE87"/>
  <c r="CE79"/>
  <c r="CE71"/>
  <c r="CE63"/>
  <c r="CE55"/>
  <c r="CE47"/>
  <c r="CE39"/>
  <c r="CE31"/>
  <c r="CE23"/>
  <c r="CE15"/>
  <c r="CE7"/>
  <c r="CE4"/>
  <c r="CE33"/>
  <c r="CD3"/>
  <c r="CD129"/>
  <c r="CD121"/>
  <c r="CD113"/>
  <c r="CD105"/>
  <c r="CD97"/>
  <c r="CD89"/>
  <c r="CD81"/>
  <c r="CD73"/>
  <c r="CD65"/>
  <c r="CD57"/>
  <c r="CD49"/>
  <c r="CD41"/>
  <c r="CD33"/>
  <c r="CD25"/>
  <c r="CD17"/>
  <c r="CD134"/>
  <c r="CD126"/>
  <c r="CD118"/>
  <c r="CD110"/>
  <c r="CD102"/>
  <c r="CD94"/>
  <c r="CD86"/>
  <c r="CD78"/>
  <c r="CD70"/>
  <c r="CD62"/>
  <c r="CD54"/>
  <c r="CD46"/>
  <c r="CD38"/>
  <c r="CD30"/>
  <c r="CD22"/>
  <c r="CD14"/>
  <c r="CD6"/>
  <c r="CD11"/>
  <c r="CD131"/>
  <c r="CD123"/>
  <c r="CD115"/>
  <c r="CD107"/>
  <c r="CD99"/>
  <c r="CD91"/>
  <c r="CD83"/>
  <c r="CD75"/>
  <c r="CD67"/>
  <c r="CD59"/>
  <c r="CD51"/>
  <c r="CD43"/>
  <c r="CD35"/>
  <c r="CD27"/>
  <c r="CD128"/>
  <c r="CD120"/>
  <c r="CD112"/>
  <c r="CD104"/>
  <c r="CD96"/>
  <c r="CD88"/>
  <c r="CD80"/>
  <c r="CD72"/>
  <c r="CD64"/>
  <c r="CD56"/>
  <c r="CD48"/>
  <c r="CD40"/>
  <c r="CD32"/>
  <c r="CD24"/>
  <c r="CD16"/>
  <c r="CD8"/>
  <c r="CD29"/>
  <c r="CD21"/>
  <c r="CD13"/>
  <c r="CD5"/>
  <c r="CD133"/>
  <c r="CD125"/>
  <c r="CD117"/>
  <c r="CD109"/>
  <c r="CD101"/>
  <c r="CD93"/>
  <c r="CD85"/>
  <c r="CD77"/>
  <c r="CD69"/>
  <c r="CD61"/>
  <c r="CD53"/>
  <c r="CD45"/>
  <c r="CD37"/>
  <c r="CD130"/>
  <c r="CD122"/>
  <c r="CD114"/>
  <c r="CD106"/>
  <c r="CD98"/>
  <c r="CD90"/>
  <c r="CD82"/>
  <c r="CD74"/>
  <c r="CD66"/>
  <c r="CD58"/>
  <c r="CD50"/>
  <c r="CD42"/>
  <c r="CD34"/>
  <c r="CD26"/>
  <c r="CD18"/>
  <c r="CD135"/>
  <c r="CD127"/>
  <c r="CD119"/>
  <c r="CD111"/>
  <c r="CD103"/>
  <c r="CD95"/>
  <c r="CD87"/>
  <c r="CD79"/>
  <c r="CD71"/>
  <c r="CD63"/>
  <c r="CD55"/>
  <c r="CD47"/>
  <c r="CD39"/>
  <c r="CD31"/>
  <c r="CD23"/>
  <c r="CD15"/>
  <c r="CD7"/>
  <c r="CD10"/>
  <c r="CD132"/>
  <c r="CD124"/>
  <c r="CD116"/>
  <c r="CD108"/>
  <c r="CD100"/>
  <c r="CD92"/>
  <c r="CD84"/>
  <c r="CD76"/>
  <c r="CD68"/>
  <c r="CD60"/>
  <c r="CD52"/>
  <c r="CD44"/>
  <c r="CD36"/>
  <c r="CD28"/>
  <c r="CD20"/>
  <c r="CD12"/>
  <c r="CD4"/>
  <c r="CD9"/>
  <c r="CD19"/>
  <c r="CC3"/>
  <c r="CC134"/>
  <c r="CC126"/>
  <c r="CC118"/>
  <c r="CC110"/>
  <c r="CC102"/>
  <c r="CC94"/>
  <c r="CC86"/>
  <c r="CC78"/>
  <c r="CC70"/>
  <c r="CC62"/>
  <c r="CC54"/>
  <c r="CC46"/>
  <c r="CC38"/>
  <c r="CC30"/>
  <c r="CC22"/>
  <c r="CC14"/>
  <c r="CC27"/>
  <c r="CC8"/>
  <c r="CC131"/>
  <c r="CC123"/>
  <c r="CC115"/>
  <c r="CC107"/>
  <c r="CC99"/>
  <c r="CC91"/>
  <c r="CC83"/>
  <c r="CC75"/>
  <c r="CC67"/>
  <c r="CC59"/>
  <c r="CC51"/>
  <c r="CC43"/>
  <c r="CC35"/>
  <c r="CC128"/>
  <c r="CC120"/>
  <c r="CC112"/>
  <c r="CC104"/>
  <c r="CC96"/>
  <c r="CC88"/>
  <c r="CC80"/>
  <c r="CC72"/>
  <c r="CC64"/>
  <c r="CC56"/>
  <c r="CC48"/>
  <c r="CC40"/>
  <c r="CC32"/>
  <c r="CC133"/>
  <c r="CC125"/>
  <c r="CC117"/>
  <c r="CC109"/>
  <c r="CC101"/>
  <c r="CC93"/>
  <c r="CC85"/>
  <c r="CC77"/>
  <c r="CC69"/>
  <c r="CC61"/>
  <c r="CC53"/>
  <c r="CC45"/>
  <c r="CC37"/>
  <c r="CC29"/>
  <c r="CC21"/>
  <c r="CC13"/>
  <c r="CC5"/>
  <c r="CC26"/>
  <c r="CC18"/>
  <c r="CC10"/>
  <c r="CC130"/>
  <c r="CC122"/>
  <c r="CC114"/>
  <c r="CC106"/>
  <c r="CC98"/>
  <c r="CC90"/>
  <c r="CC82"/>
  <c r="CC74"/>
  <c r="CC66"/>
  <c r="CC58"/>
  <c r="CC50"/>
  <c r="CC42"/>
  <c r="CC34"/>
  <c r="CC135"/>
  <c r="CC127"/>
  <c r="CC119"/>
  <c r="CC111"/>
  <c r="CC103"/>
  <c r="CC95"/>
  <c r="CC87"/>
  <c r="CC79"/>
  <c r="CC71"/>
  <c r="CC63"/>
  <c r="CC55"/>
  <c r="CC47"/>
  <c r="CC39"/>
  <c r="CC31"/>
  <c r="CC23"/>
  <c r="CC15"/>
  <c r="CC7"/>
  <c r="CC132"/>
  <c r="CC124"/>
  <c r="CC116"/>
  <c r="CC108"/>
  <c r="CC100"/>
  <c r="CC92"/>
  <c r="CC84"/>
  <c r="CC76"/>
  <c r="CC68"/>
  <c r="CC60"/>
  <c r="CC52"/>
  <c r="CC44"/>
  <c r="CC36"/>
  <c r="CC28"/>
  <c r="CC20"/>
  <c r="CC12"/>
  <c r="CC4"/>
  <c r="CC129"/>
  <c r="CC121"/>
  <c r="CC113"/>
  <c r="CC105"/>
  <c r="CC97"/>
  <c r="CC89"/>
  <c r="CC81"/>
  <c r="CC73"/>
  <c r="CC65"/>
  <c r="CC57"/>
  <c r="CC49"/>
  <c r="CC41"/>
  <c r="CC33"/>
  <c r="CC25"/>
  <c r="CC17"/>
  <c r="CC9"/>
  <c r="CC6"/>
  <c r="CC19"/>
  <c r="CC11"/>
  <c r="CC24"/>
  <c r="CC16"/>
  <c r="D4" i="7"/>
  <c r="CY4" i="5"/>
  <c r="F5"/>
  <c r="F6" s="1"/>
  <c r="B6" i="10" s="1"/>
  <c r="J25" i="4"/>
  <c r="I25"/>
  <c r="H25"/>
  <c r="G25"/>
  <c r="F25"/>
  <c r="E25"/>
  <c r="D10" i="12"/>
  <c r="F9"/>
  <c r="E9" s="1"/>
  <c r="A7" i="2"/>
  <c r="AD7" i="8"/>
  <c r="A7" i="9"/>
  <c r="A7" i="7"/>
  <c r="K7" i="11"/>
  <c r="J8" i="10"/>
  <c r="B7" i="14"/>
  <c r="A7" i="8"/>
  <c r="M7" i="5"/>
  <c r="AJ8" i="14"/>
  <c r="CM7" i="8"/>
  <c r="B6" i="2"/>
  <c r="L7" i="11"/>
  <c r="B6" i="1"/>
  <c r="BI6" s="1"/>
  <c r="I12" i="12"/>
  <c r="J11"/>
  <c r="DB4" i="5"/>
  <c r="N5" i="2"/>
  <c r="I5" i="5"/>
  <c r="G5" i="7" s="1"/>
  <c r="G4"/>
  <c r="W3" i="8"/>
  <c r="CT3"/>
  <c r="DQ3" s="1"/>
  <c r="CU3"/>
  <c r="BO3"/>
  <c r="DM3" s="1"/>
  <c r="CS3"/>
  <c r="DP3" s="1"/>
  <c r="I8"/>
  <c r="CQ3"/>
  <c r="DA3" s="1"/>
  <c r="BP7" i="5"/>
  <c r="Y5" i="1"/>
  <c r="CZ4" i="5"/>
  <c r="E4" i="7"/>
  <c r="C4" i="10"/>
  <c r="H4" i="7"/>
  <c r="F4" i="10"/>
  <c r="DC4" i="5"/>
  <c r="D25" i="4"/>
  <c r="AR5" i="5"/>
  <c r="DC5"/>
  <c r="F5" i="10"/>
  <c r="H5" i="7"/>
  <c r="A4" i="5"/>
  <c r="E4" s="1"/>
  <c r="EQ4" i="8" s="1"/>
  <c r="CZ4" s="1"/>
  <c r="V4" i="2"/>
  <c r="I4" i="7"/>
  <c r="K5" i="5"/>
  <c r="G4" i="10"/>
  <c r="DD4" i="5"/>
  <c r="DE4"/>
  <c r="L5"/>
  <c r="H4" i="10"/>
  <c r="J4" i="7"/>
  <c r="BN3" i="8"/>
  <c r="CO3" s="1"/>
  <c r="AH3" i="5"/>
  <c r="DL3" i="8"/>
  <c r="E3" i="1"/>
  <c r="A3" i="11"/>
  <c r="N3" s="1"/>
  <c r="AB3" i="8"/>
  <c r="BZ3" s="1"/>
  <c r="B3" i="7"/>
  <c r="AE3" s="1"/>
  <c r="AF3" s="1"/>
  <c r="AV3" i="5"/>
  <c r="AI3"/>
  <c r="Q3" i="1"/>
  <c r="E3" i="14" s="1"/>
  <c r="A3" i="10"/>
  <c r="AA3" s="1"/>
  <c r="B3" i="9"/>
  <c r="AD3" s="1"/>
  <c r="AU3" i="5"/>
  <c r="BS3"/>
  <c r="C3" i="14"/>
  <c r="BE6" i="5"/>
  <c r="W4" i="1"/>
  <c r="AA6" i="7"/>
  <c r="AE6" i="8" s="1"/>
  <c r="BC6" s="1"/>
  <c r="K6" i="10"/>
  <c r="BY7" i="11"/>
  <c r="M7" i="2"/>
  <c r="E8" i="8"/>
  <c r="DF7"/>
  <c r="G8"/>
  <c r="DE7"/>
  <c r="O7" i="2"/>
  <c r="E5" i="7"/>
  <c r="G6" i="5"/>
  <c r="C5" i="10"/>
  <c r="CZ5" i="5"/>
  <c r="H6" i="7"/>
  <c r="J7" i="5"/>
  <c r="DC6"/>
  <c r="F6" i="10"/>
  <c r="BK7" i="5"/>
  <c r="AD6" i="1" s="1"/>
  <c r="P8" i="2"/>
  <c r="H9" i="8"/>
  <c r="BA7" i="5"/>
  <c r="J5" i="2"/>
  <c r="X6" i="1"/>
  <c r="BN8" i="5"/>
  <c r="AF7" i="1" s="1"/>
  <c r="F7" i="8"/>
  <c r="N6" i="2"/>
  <c r="AX7" i="5"/>
  <c r="DG6"/>
  <c r="AY9"/>
  <c r="J7" i="8"/>
  <c r="R6" i="2"/>
  <c r="S7"/>
  <c r="K8" i="8"/>
  <c r="BI2"/>
  <c r="A35" i="6"/>
  <c r="H2" i="8"/>
  <c r="AI2"/>
  <c r="P2" i="2"/>
  <c r="A37" i="4"/>
  <c r="I37" s="1"/>
  <c r="DF4" i="5"/>
  <c r="AB6" i="1" l="1"/>
  <c r="AZ7" i="5"/>
  <c r="AC6" i="1"/>
  <c r="BC7" i="5"/>
  <c r="J6" i="2"/>
  <c r="AE5" i="1"/>
  <c r="CY6" i="5"/>
  <c r="DO3" i="8"/>
  <c r="DB3"/>
  <c r="EC3" s="1"/>
  <c r="ED3" s="1"/>
  <c r="DA5" i="5"/>
  <c r="H6"/>
  <c r="F6" i="7" s="1"/>
  <c r="D5" i="10"/>
  <c r="O7" i="1"/>
  <c r="DK7" i="8" s="1"/>
  <c r="DI6"/>
  <c r="DJ6"/>
  <c r="Q8" i="2"/>
  <c r="D6" i="7"/>
  <c r="C84" i="6"/>
  <c r="C96"/>
  <c r="F7" i="5"/>
  <c r="F8" s="1"/>
  <c r="B8" i="10" s="1"/>
  <c r="D5" i="7"/>
  <c r="CY5" i="5"/>
  <c r="B5" i="10"/>
  <c r="BY3" i="8"/>
  <c r="CA3"/>
  <c r="CH3"/>
  <c r="CL3"/>
  <c r="BA3" s="1"/>
  <c r="AZ3" i="1" s="1"/>
  <c r="N3" s="1"/>
  <c r="CL132" i="8"/>
  <c r="BA132" s="1"/>
  <c r="AZ132" i="1" s="1"/>
  <c r="CL124" i="8"/>
  <c r="BA124" s="1"/>
  <c r="AZ124" i="1" s="1"/>
  <c r="CL116" i="8"/>
  <c r="BA116" s="1"/>
  <c r="AZ116" i="1" s="1"/>
  <c r="CL108" i="8"/>
  <c r="BA108" s="1"/>
  <c r="AZ108" i="1" s="1"/>
  <c r="CL100" i="8"/>
  <c r="BA100" s="1"/>
  <c r="AZ100" i="1" s="1"/>
  <c r="CL92" i="8"/>
  <c r="BA92" s="1"/>
  <c r="AZ92" i="1" s="1"/>
  <c r="CL84" i="8"/>
  <c r="BA84" s="1"/>
  <c r="AZ84" i="1" s="1"/>
  <c r="CL76" i="8"/>
  <c r="BA76" s="1"/>
  <c r="AZ76" i="1" s="1"/>
  <c r="CL68" i="8"/>
  <c r="BA68" s="1"/>
  <c r="AZ68" i="1" s="1"/>
  <c r="CL60" i="8"/>
  <c r="BA60" s="1"/>
  <c r="AZ60" i="1" s="1"/>
  <c r="CL52" i="8"/>
  <c r="BA52" s="1"/>
  <c r="AZ52" i="1" s="1"/>
  <c r="CL44" i="8"/>
  <c r="BA44" s="1"/>
  <c r="AZ44" i="1" s="1"/>
  <c r="CL36" i="8"/>
  <c r="BA36" s="1"/>
  <c r="AZ36" i="1" s="1"/>
  <c r="CL28" i="8"/>
  <c r="BA28" s="1"/>
  <c r="AZ28" i="1" s="1"/>
  <c r="CL129" i="8"/>
  <c r="BA129" s="1"/>
  <c r="AZ129" i="1" s="1"/>
  <c r="CL121" i="8"/>
  <c r="BA121" s="1"/>
  <c r="AZ121" i="1" s="1"/>
  <c r="CL113" i="8"/>
  <c r="BA113" s="1"/>
  <c r="AZ113" i="1" s="1"/>
  <c r="CL105" i="8"/>
  <c r="BA105" s="1"/>
  <c r="AZ105" i="1" s="1"/>
  <c r="CL97" i="8"/>
  <c r="BA97" s="1"/>
  <c r="AZ97" i="1" s="1"/>
  <c r="CL89" i="8"/>
  <c r="BA89" s="1"/>
  <c r="AZ89" i="1" s="1"/>
  <c r="CL81" i="8"/>
  <c r="BA81" s="1"/>
  <c r="AZ81" i="1" s="1"/>
  <c r="CL73" i="8"/>
  <c r="BA73" s="1"/>
  <c r="AZ73" i="1" s="1"/>
  <c r="CL65" i="8"/>
  <c r="BA65" s="1"/>
  <c r="AZ65" i="1" s="1"/>
  <c r="CL57" i="8"/>
  <c r="BA57" s="1"/>
  <c r="AZ57" i="1" s="1"/>
  <c r="CL49" i="8"/>
  <c r="BA49" s="1"/>
  <c r="AZ49" i="1" s="1"/>
  <c r="CL41" i="8"/>
  <c r="BA41" s="1"/>
  <c r="AZ41" i="1" s="1"/>
  <c r="CL33" i="8"/>
  <c r="BA33" s="1"/>
  <c r="AZ33" i="1" s="1"/>
  <c r="CL25" i="8"/>
  <c r="BA25" s="1"/>
  <c r="AZ25" i="1" s="1"/>
  <c r="CL17" i="8"/>
  <c r="BA17" s="1"/>
  <c r="AZ17" i="1" s="1"/>
  <c r="CL9" i="8"/>
  <c r="BA9" s="1"/>
  <c r="AZ9" i="1" s="1"/>
  <c r="CL30" i="8"/>
  <c r="BA30" s="1"/>
  <c r="AZ30" i="1" s="1"/>
  <c r="CL22" i="8"/>
  <c r="BA22" s="1"/>
  <c r="AZ22" i="1" s="1"/>
  <c r="CL134" i="8"/>
  <c r="BA134" s="1"/>
  <c r="AZ134" i="1" s="1"/>
  <c r="CL126" i="8"/>
  <c r="BA126" s="1"/>
  <c r="AZ126" i="1" s="1"/>
  <c r="CL118" i="8"/>
  <c r="BA118" s="1"/>
  <c r="AZ118" i="1" s="1"/>
  <c r="CL110" i="8"/>
  <c r="BA110" s="1"/>
  <c r="AZ110" i="1" s="1"/>
  <c r="CL102" i="8"/>
  <c r="BA102" s="1"/>
  <c r="AZ102" i="1" s="1"/>
  <c r="CL94" i="8"/>
  <c r="BA94" s="1"/>
  <c r="AZ94" i="1" s="1"/>
  <c r="CL86" i="8"/>
  <c r="BA86" s="1"/>
  <c r="AZ86" i="1" s="1"/>
  <c r="CL78" i="8"/>
  <c r="BA78" s="1"/>
  <c r="AZ78" i="1" s="1"/>
  <c r="CL70" i="8"/>
  <c r="BA70" s="1"/>
  <c r="AZ70" i="1" s="1"/>
  <c r="CL62" i="8"/>
  <c r="BA62" s="1"/>
  <c r="AZ62" i="1" s="1"/>
  <c r="CL54" i="8"/>
  <c r="BA54" s="1"/>
  <c r="AZ54" i="1" s="1"/>
  <c r="CL46" i="8"/>
  <c r="BA46" s="1"/>
  <c r="AZ46" i="1" s="1"/>
  <c r="CL38" i="8"/>
  <c r="BA38" s="1"/>
  <c r="AZ38" i="1" s="1"/>
  <c r="CL14" i="8"/>
  <c r="BA14" s="1"/>
  <c r="AZ14" i="1" s="1"/>
  <c r="CL131" i="8"/>
  <c r="BA131" s="1"/>
  <c r="AZ131" i="1" s="1"/>
  <c r="CL123" i="8"/>
  <c r="BA123" s="1"/>
  <c r="AZ123" i="1" s="1"/>
  <c r="CL115" i="8"/>
  <c r="BA115" s="1"/>
  <c r="AZ115" i="1" s="1"/>
  <c r="CL107" i="8"/>
  <c r="BA107" s="1"/>
  <c r="AZ107" i="1" s="1"/>
  <c r="CL99" i="8"/>
  <c r="BA99" s="1"/>
  <c r="AZ99" i="1" s="1"/>
  <c r="CL91" i="8"/>
  <c r="BA91" s="1"/>
  <c r="AZ91" i="1" s="1"/>
  <c r="CL83" i="8"/>
  <c r="BA83" s="1"/>
  <c r="AZ83" i="1" s="1"/>
  <c r="CL75" i="8"/>
  <c r="BA75" s="1"/>
  <c r="AZ75" i="1" s="1"/>
  <c r="CL67" i="8"/>
  <c r="BA67" s="1"/>
  <c r="AZ67" i="1" s="1"/>
  <c r="CL59" i="8"/>
  <c r="BA59" s="1"/>
  <c r="AZ59" i="1" s="1"/>
  <c r="CL51" i="8"/>
  <c r="BA51" s="1"/>
  <c r="AZ51" i="1" s="1"/>
  <c r="CL43" i="8"/>
  <c r="BA43" s="1"/>
  <c r="AZ43" i="1" s="1"/>
  <c r="CL35" i="8"/>
  <c r="BA35" s="1"/>
  <c r="AZ35" i="1" s="1"/>
  <c r="CL27" i="8"/>
  <c r="BA27" s="1"/>
  <c r="AZ27" i="1" s="1"/>
  <c r="CL19" i="8"/>
  <c r="BA19" s="1"/>
  <c r="AZ19" i="1" s="1"/>
  <c r="CL11" i="8"/>
  <c r="BA11" s="1"/>
  <c r="AZ11" i="1" s="1"/>
  <c r="CL16" i="8"/>
  <c r="BA16" s="1"/>
  <c r="AZ16" i="1" s="1"/>
  <c r="CL8" i="8"/>
  <c r="BA8" s="1"/>
  <c r="AZ8" i="1" s="1"/>
  <c r="CL29" i="8"/>
  <c r="BA29" s="1"/>
  <c r="AZ29" i="1" s="1"/>
  <c r="CL5" i="8"/>
  <c r="BA5" s="1"/>
  <c r="AZ5" i="1" s="1"/>
  <c r="CL10" i="8"/>
  <c r="BA10" s="1"/>
  <c r="AZ10" i="1" s="1"/>
  <c r="CL128" i="8"/>
  <c r="BA128" s="1"/>
  <c r="AZ128" i="1" s="1"/>
  <c r="CL120" i="8"/>
  <c r="BA120" s="1"/>
  <c r="AZ120" i="1" s="1"/>
  <c r="CL112" i="8"/>
  <c r="BA112" s="1"/>
  <c r="AZ112" i="1" s="1"/>
  <c r="CL104" i="8"/>
  <c r="BA104" s="1"/>
  <c r="AZ104" i="1" s="1"/>
  <c r="CL96" i="8"/>
  <c r="BA96" s="1"/>
  <c r="AZ96" i="1" s="1"/>
  <c r="CL88" i="8"/>
  <c r="BA88" s="1"/>
  <c r="AZ88" i="1" s="1"/>
  <c r="CL80" i="8"/>
  <c r="BA80" s="1"/>
  <c r="AZ80" i="1" s="1"/>
  <c r="CL72" i="8"/>
  <c r="BA72" s="1"/>
  <c r="AZ72" i="1" s="1"/>
  <c r="CL64" i="8"/>
  <c r="BA64" s="1"/>
  <c r="AZ64" i="1" s="1"/>
  <c r="CL56" i="8"/>
  <c r="BA56" s="1"/>
  <c r="AZ56" i="1" s="1"/>
  <c r="CL48" i="8"/>
  <c r="BA48" s="1"/>
  <c r="AZ48" i="1" s="1"/>
  <c r="CL40" i="8"/>
  <c r="BA40" s="1"/>
  <c r="AZ40" i="1" s="1"/>
  <c r="CL32" i="8"/>
  <c r="BA32" s="1"/>
  <c r="AZ32" i="1" s="1"/>
  <c r="CL24" i="8"/>
  <c r="BA24" s="1"/>
  <c r="AZ24" i="1" s="1"/>
  <c r="CL21" i="8"/>
  <c r="BA21" s="1"/>
  <c r="AZ21" i="1" s="1"/>
  <c r="CL6" i="8"/>
  <c r="BA6" s="1"/>
  <c r="AZ6" i="1" s="1"/>
  <c r="CL133" i="8"/>
  <c r="BA133" s="1"/>
  <c r="AZ133" i="1" s="1"/>
  <c r="CL125" i="8"/>
  <c r="BA125" s="1"/>
  <c r="AZ125" i="1" s="1"/>
  <c r="CL117" i="8"/>
  <c r="BA117" s="1"/>
  <c r="AZ117" i="1" s="1"/>
  <c r="CL109" i="8"/>
  <c r="BA109" s="1"/>
  <c r="AZ109" i="1" s="1"/>
  <c r="CL101" i="8"/>
  <c r="BA101" s="1"/>
  <c r="AZ101" i="1" s="1"/>
  <c r="CL93" i="8"/>
  <c r="BA93" s="1"/>
  <c r="AZ93" i="1" s="1"/>
  <c r="CL85" i="8"/>
  <c r="BA85" s="1"/>
  <c r="AZ85" i="1" s="1"/>
  <c r="CL77" i="8"/>
  <c r="BA77" s="1"/>
  <c r="AZ77" i="1" s="1"/>
  <c r="CL69" i="8"/>
  <c r="BA69" s="1"/>
  <c r="AZ69" i="1" s="1"/>
  <c r="CL61" i="8"/>
  <c r="BA61" s="1"/>
  <c r="AZ61" i="1" s="1"/>
  <c r="CL53" i="8"/>
  <c r="BA53" s="1"/>
  <c r="AZ53" i="1" s="1"/>
  <c r="CL45" i="8"/>
  <c r="BA45" s="1"/>
  <c r="AZ45" i="1" s="1"/>
  <c r="CL37" i="8"/>
  <c r="BA37" s="1"/>
  <c r="AZ37" i="1" s="1"/>
  <c r="CL13" i="8"/>
  <c r="BA13" s="1"/>
  <c r="AZ13" i="1" s="1"/>
  <c r="CL130" i="8"/>
  <c r="BA130" s="1"/>
  <c r="AZ130" i="1" s="1"/>
  <c r="CL122" i="8"/>
  <c r="BA122" s="1"/>
  <c r="AZ122" i="1" s="1"/>
  <c r="CL114" i="8"/>
  <c r="BA114" s="1"/>
  <c r="AZ114" i="1" s="1"/>
  <c r="CL106" i="8"/>
  <c r="BA106" s="1"/>
  <c r="AZ106" i="1" s="1"/>
  <c r="CL98" i="8"/>
  <c r="BA98" s="1"/>
  <c r="AZ98" i="1" s="1"/>
  <c r="CL90" i="8"/>
  <c r="BA90" s="1"/>
  <c r="AZ90" i="1" s="1"/>
  <c r="CL82" i="8"/>
  <c r="BA82" s="1"/>
  <c r="AZ82" i="1" s="1"/>
  <c r="CL74" i="8"/>
  <c r="BA74" s="1"/>
  <c r="AZ74" i="1" s="1"/>
  <c r="CL66" i="8"/>
  <c r="BA66" s="1"/>
  <c r="AZ66" i="1" s="1"/>
  <c r="CL58" i="8"/>
  <c r="BA58" s="1"/>
  <c r="AZ58" i="1" s="1"/>
  <c r="CL50" i="8"/>
  <c r="BA50" s="1"/>
  <c r="AZ50" i="1" s="1"/>
  <c r="CL42" i="8"/>
  <c r="BA42" s="1"/>
  <c r="AZ42" i="1" s="1"/>
  <c r="CL34" i="8"/>
  <c r="BA34" s="1"/>
  <c r="AZ34" i="1" s="1"/>
  <c r="CL26" i="8"/>
  <c r="BA26" s="1"/>
  <c r="AZ26" i="1" s="1"/>
  <c r="CL18" i="8"/>
  <c r="BA18" s="1"/>
  <c r="AZ18" i="1" s="1"/>
  <c r="CL135" i="8"/>
  <c r="BA135" s="1"/>
  <c r="AZ135" i="1" s="1"/>
  <c r="CL127" i="8"/>
  <c r="BA127" s="1"/>
  <c r="AZ127" i="1" s="1"/>
  <c r="CL119" i="8"/>
  <c r="BA119" s="1"/>
  <c r="AZ119" i="1" s="1"/>
  <c r="CL111" i="8"/>
  <c r="BA111" s="1"/>
  <c r="AZ111" i="1" s="1"/>
  <c r="CL103" i="8"/>
  <c r="BA103" s="1"/>
  <c r="AZ103" i="1" s="1"/>
  <c r="CL95" i="8"/>
  <c r="BA95" s="1"/>
  <c r="AZ95" i="1" s="1"/>
  <c r="CL87" i="8"/>
  <c r="BA87" s="1"/>
  <c r="AZ87" i="1" s="1"/>
  <c r="CL79" i="8"/>
  <c r="BA79" s="1"/>
  <c r="AZ79" i="1" s="1"/>
  <c r="CL71" i="8"/>
  <c r="BA71" s="1"/>
  <c r="AZ71" i="1" s="1"/>
  <c r="CL63" i="8"/>
  <c r="BA63" s="1"/>
  <c r="AZ63" i="1" s="1"/>
  <c r="CL55" i="8"/>
  <c r="BA55" s="1"/>
  <c r="AZ55" i="1" s="1"/>
  <c r="CL47" i="8"/>
  <c r="BA47" s="1"/>
  <c r="AZ47" i="1" s="1"/>
  <c r="CL39" i="8"/>
  <c r="BA39" s="1"/>
  <c r="AZ39" i="1" s="1"/>
  <c r="CL31" i="8"/>
  <c r="BA31" s="1"/>
  <c r="AZ31" i="1" s="1"/>
  <c r="CL23" i="8"/>
  <c r="BA23" s="1"/>
  <c r="AZ23" i="1" s="1"/>
  <c r="CL15" i="8"/>
  <c r="BA15" s="1"/>
  <c r="AZ15" i="1" s="1"/>
  <c r="CL7" i="8"/>
  <c r="BA7" s="1"/>
  <c r="AZ7" i="1" s="1"/>
  <c r="CL20" i="8"/>
  <c r="BA20" s="1"/>
  <c r="AZ20" i="1" s="1"/>
  <c r="CL12" i="8"/>
  <c r="BA12" s="1"/>
  <c r="AZ12" i="1" s="1"/>
  <c r="CL4" i="8"/>
  <c r="BA4" s="1"/>
  <c r="AZ4" i="1" s="1"/>
  <c r="CK3" i="8"/>
  <c r="AZ3" s="1"/>
  <c r="AY3" i="1" s="1"/>
  <c r="I3" s="1"/>
  <c r="AO3" s="1"/>
  <c r="CK129" i="8"/>
  <c r="AZ129" s="1"/>
  <c r="AY129" i="1" s="1"/>
  <c r="CK121" i="8"/>
  <c r="AZ121" s="1"/>
  <c r="AY121" i="1" s="1"/>
  <c r="CK113" i="8"/>
  <c r="AZ113" s="1"/>
  <c r="AY113" i="1" s="1"/>
  <c r="CK105" i="8"/>
  <c r="AZ105" s="1"/>
  <c r="AY105" i="1" s="1"/>
  <c r="CK97" i="8"/>
  <c r="AZ97" s="1"/>
  <c r="AY97" i="1" s="1"/>
  <c r="CK89" i="8"/>
  <c r="AZ89" s="1"/>
  <c r="AY89" i="1" s="1"/>
  <c r="CK81" i="8"/>
  <c r="AZ81" s="1"/>
  <c r="AY81" i="1" s="1"/>
  <c r="CK73" i="8"/>
  <c r="AZ73" s="1"/>
  <c r="AY73" i="1" s="1"/>
  <c r="CK65" i="8"/>
  <c r="AZ65" s="1"/>
  <c r="AY65" i="1" s="1"/>
  <c r="CK57" i="8"/>
  <c r="AZ57" s="1"/>
  <c r="AY57" i="1" s="1"/>
  <c r="CK49" i="8"/>
  <c r="AZ49" s="1"/>
  <c r="AY49" i="1" s="1"/>
  <c r="CK41" i="8"/>
  <c r="AZ41" s="1"/>
  <c r="AY41" i="1" s="1"/>
  <c r="CK33" i="8"/>
  <c r="AZ33" s="1"/>
  <c r="AY33" i="1" s="1"/>
  <c r="CK11" i="8"/>
  <c r="AZ11" s="1"/>
  <c r="AY11" i="1" s="1"/>
  <c r="CK134" i="8"/>
  <c r="AZ134" s="1"/>
  <c r="AY134" i="1" s="1"/>
  <c r="CK126" i="8"/>
  <c r="AZ126" s="1"/>
  <c r="AY126" i="1" s="1"/>
  <c r="CK118" i="8"/>
  <c r="AZ118" s="1"/>
  <c r="AY118" i="1" s="1"/>
  <c r="CK110" i="8"/>
  <c r="AZ110" s="1"/>
  <c r="AY110" i="1" s="1"/>
  <c r="CK102" i="8"/>
  <c r="AZ102" s="1"/>
  <c r="AY102" i="1" s="1"/>
  <c r="CK94" i="8"/>
  <c r="AZ94" s="1"/>
  <c r="AY94" i="1" s="1"/>
  <c r="CK86" i="8"/>
  <c r="AZ86" s="1"/>
  <c r="AY86" i="1" s="1"/>
  <c r="CK78" i="8"/>
  <c r="AZ78" s="1"/>
  <c r="AY78" i="1" s="1"/>
  <c r="CK70" i="8"/>
  <c r="AZ70" s="1"/>
  <c r="AY70" i="1" s="1"/>
  <c r="CK62" i="8"/>
  <c r="AZ62" s="1"/>
  <c r="AY62" i="1" s="1"/>
  <c r="CK54" i="8"/>
  <c r="AZ54" s="1"/>
  <c r="AY54" i="1" s="1"/>
  <c r="CK46" i="8"/>
  <c r="AZ46" s="1"/>
  <c r="AY46" i="1" s="1"/>
  <c r="CK38" i="8"/>
  <c r="AZ38" s="1"/>
  <c r="AY38" i="1" s="1"/>
  <c r="CK30" i="8"/>
  <c r="AZ30" s="1"/>
  <c r="AY30" i="1" s="1"/>
  <c r="CK22" i="8"/>
  <c r="AZ22" s="1"/>
  <c r="AY22" i="1" s="1"/>
  <c r="CK14" i="8"/>
  <c r="AZ14" s="1"/>
  <c r="AY14" i="1" s="1"/>
  <c r="CK6" i="8"/>
  <c r="AZ6" s="1"/>
  <c r="AY6" i="1" s="1"/>
  <c r="CK131" i="8"/>
  <c r="AZ131" s="1"/>
  <c r="AY131" i="1" s="1"/>
  <c r="CK123" i="8"/>
  <c r="AZ123" s="1"/>
  <c r="AY123" i="1" s="1"/>
  <c r="CK115" i="8"/>
  <c r="AZ115" s="1"/>
  <c r="AY115" i="1" s="1"/>
  <c r="CK107" i="8"/>
  <c r="AZ107" s="1"/>
  <c r="AY107" i="1" s="1"/>
  <c r="CK99" i="8"/>
  <c r="AZ99" s="1"/>
  <c r="AY99" i="1" s="1"/>
  <c r="CK91" i="8"/>
  <c r="AZ91" s="1"/>
  <c r="AY91" i="1" s="1"/>
  <c r="CK83" i="8"/>
  <c r="AZ83" s="1"/>
  <c r="AY83" i="1" s="1"/>
  <c r="CK75" i="8"/>
  <c r="AZ75" s="1"/>
  <c r="AY75" i="1" s="1"/>
  <c r="CK67" i="8"/>
  <c r="AZ67" s="1"/>
  <c r="AY67" i="1" s="1"/>
  <c r="CK59" i="8"/>
  <c r="AZ59" s="1"/>
  <c r="AY59" i="1" s="1"/>
  <c r="CK51" i="8"/>
  <c r="AZ51" s="1"/>
  <c r="AY51" i="1" s="1"/>
  <c r="CK43" i="8"/>
  <c r="AZ43" s="1"/>
  <c r="AY43" i="1" s="1"/>
  <c r="CK35" i="8"/>
  <c r="AZ35" s="1"/>
  <c r="AY35" i="1" s="1"/>
  <c r="CK27" i="8"/>
  <c r="AZ27" s="1"/>
  <c r="AY27" i="1" s="1"/>
  <c r="CK128" i="8"/>
  <c r="AZ128" s="1"/>
  <c r="AY128" i="1" s="1"/>
  <c r="CK120" i="8"/>
  <c r="AZ120" s="1"/>
  <c r="AY120" i="1" s="1"/>
  <c r="CK112" i="8"/>
  <c r="AZ112" s="1"/>
  <c r="AY112" i="1" s="1"/>
  <c r="CK104" i="8"/>
  <c r="AZ104" s="1"/>
  <c r="AY104" i="1" s="1"/>
  <c r="CK96" i="8"/>
  <c r="AZ96" s="1"/>
  <c r="AY96" i="1" s="1"/>
  <c r="CK88" i="8"/>
  <c r="AZ88" s="1"/>
  <c r="AY88" i="1" s="1"/>
  <c r="CK80" i="8"/>
  <c r="AZ80" s="1"/>
  <c r="AY80" i="1" s="1"/>
  <c r="CK72" i="8"/>
  <c r="AZ72" s="1"/>
  <c r="AY72" i="1" s="1"/>
  <c r="CK64" i="8"/>
  <c r="AZ64" s="1"/>
  <c r="AY64" i="1" s="1"/>
  <c r="CK56" i="8"/>
  <c r="AZ56" s="1"/>
  <c r="AY56" i="1" s="1"/>
  <c r="CK48" i="8"/>
  <c r="AZ48" s="1"/>
  <c r="AY48" i="1" s="1"/>
  <c r="CK40" i="8"/>
  <c r="AZ40" s="1"/>
  <c r="AY40" i="1" s="1"/>
  <c r="CK32" i="8"/>
  <c r="AZ32" s="1"/>
  <c r="AY32" i="1" s="1"/>
  <c r="CK24" i="8"/>
  <c r="AZ24" s="1"/>
  <c r="AY24" i="1" s="1"/>
  <c r="CK16" i="8"/>
  <c r="AZ16" s="1"/>
  <c r="AY16" i="1" s="1"/>
  <c r="CK8" i="8"/>
  <c r="AZ8" s="1"/>
  <c r="AY8" i="1" s="1"/>
  <c r="CK21" i="8"/>
  <c r="AZ21" s="1"/>
  <c r="AY21" i="1" s="1"/>
  <c r="CK13" i="8"/>
  <c r="AZ13" s="1"/>
  <c r="AY13" i="1" s="1"/>
  <c r="CK5" i="8"/>
  <c r="AZ5" s="1"/>
  <c r="AY5" i="1" s="1"/>
  <c r="CK26" i="8"/>
  <c r="AZ26" s="1"/>
  <c r="AY26" i="1" s="1"/>
  <c r="CK10" i="8"/>
  <c r="AZ10" s="1"/>
  <c r="AY10" i="1" s="1"/>
  <c r="CK133" i="8"/>
  <c r="AZ133" s="1"/>
  <c r="AY133" i="1" s="1"/>
  <c r="CK125" i="8"/>
  <c r="AZ125" s="1"/>
  <c r="AY125" i="1" s="1"/>
  <c r="CK117" i="8"/>
  <c r="AZ117" s="1"/>
  <c r="AY117" i="1" s="1"/>
  <c r="CK109" i="8"/>
  <c r="AZ109" s="1"/>
  <c r="AY109" i="1" s="1"/>
  <c r="CK101" i="8"/>
  <c r="AZ101" s="1"/>
  <c r="AY101" i="1" s="1"/>
  <c r="CK93" i="8"/>
  <c r="AZ93" s="1"/>
  <c r="AY93" i="1" s="1"/>
  <c r="CK85" i="8"/>
  <c r="AZ85" s="1"/>
  <c r="AY85" i="1" s="1"/>
  <c r="CK77" i="8"/>
  <c r="AZ77" s="1"/>
  <c r="AY77" i="1" s="1"/>
  <c r="CK69" i="8"/>
  <c r="AZ69" s="1"/>
  <c r="AY69" i="1" s="1"/>
  <c r="CK61" i="8"/>
  <c r="AZ61" s="1"/>
  <c r="AY61" i="1" s="1"/>
  <c r="CK53" i="8"/>
  <c r="AZ53" s="1"/>
  <c r="AY53" i="1" s="1"/>
  <c r="CK45" i="8"/>
  <c r="AZ45" s="1"/>
  <c r="AY45" i="1" s="1"/>
  <c r="CK37" i="8"/>
  <c r="AZ37" s="1"/>
  <c r="AY37" i="1" s="1"/>
  <c r="CK29" i="8"/>
  <c r="AZ29" s="1"/>
  <c r="AY29" i="1" s="1"/>
  <c r="CK18" i="8"/>
  <c r="AZ18" s="1"/>
  <c r="AY18" i="1" s="1"/>
  <c r="CK7" i="8"/>
  <c r="AZ7" s="1"/>
  <c r="AY7" i="1" s="1"/>
  <c r="CK130" i="8"/>
  <c r="AZ130" s="1"/>
  <c r="AY130" i="1" s="1"/>
  <c r="CK122" i="8"/>
  <c r="AZ122" s="1"/>
  <c r="AY122" i="1" s="1"/>
  <c r="CK114" i="8"/>
  <c r="AZ114" s="1"/>
  <c r="AY114" i="1" s="1"/>
  <c r="CK106" i="8"/>
  <c r="AZ106" s="1"/>
  <c r="AY106" i="1" s="1"/>
  <c r="CK98" i="8"/>
  <c r="AZ98" s="1"/>
  <c r="AY98" i="1" s="1"/>
  <c r="CK90" i="8"/>
  <c r="AZ90" s="1"/>
  <c r="AY90" i="1" s="1"/>
  <c r="CK82" i="8"/>
  <c r="AZ82" s="1"/>
  <c r="AY82" i="1" s="1"/>
  <c r="CK74" i="8"/>
  <c r="AZ74" s="1"/>
  <c r="AY74" i="1" s="1"/>
  <c r="CK66" i="8"/>
  <c r="AZ66" s="1"/>
  <c r="AY66" i="1" s="1"/>
  <c r="CK58" i="8"/>
  <c r="AZ58" s="1"/>
  <c r="AY58" i="1" s="1"/>
  <c r="CK50" i="8"/>
  <c r="AZ50" s="1"/>
  <c r="AY50" i="1" s="1"/>
  <c r="CK42" i="8"/>
  <c r="AZ42" s="1"/>
  <c r="AY42" i="1" s="1"/>
  <c r="CK34" i="8"/>
  <c r="AZ34" s="1"/>
  <c r="AY34" i="1" s="1"/>
  <c r="CK135" i="8"/>
  <c r="AZ135" s="1"/>
  <c r="AY135" i="1" s="1"/>
  <c r="CK127" i="8"/>
  <c r="AZ127" s="1"/>
  <c r="AY127" i="1" s="1"/>
  <c r="CK119" i="8"/>
  <c r="AZ119" s="1"/>
  <c r="AY119" i="1" s="1"/>
  <c r="CK111" i="8"/>
  <c r="AZ111" s="1"/>
  <c r="AY111" i="1" s="1"/>
  <c r="CK103" i="8"/>
  <c r="AZ103" s="1"/>
  <c r="AY103" i="1" s="1"/>
  <c r="CK95" i="8"/>
  <c r="AZ95" s="1"/>
  <c r="AY95" i="1" s="1"/>
  <c r="CK87" i="8"/>
  <c r="AZ87" s="1"/>
  <c r="AY87" i="1" s="1"/>
  <c r="CK79" i="8"/>
  <c r="AZ79" s="1"/>
  <c r="AY79" i="1" s="1"/>
  <c r="CK71" i="8"/>
  <c r="AZ71" s="1"/>
  <c r="AY71" i="1" s="1"/>
  <c r="CK63" i="8"/>
  <c r="AZ63" s="1"/>
  <c r="AY63" i="1" s="1"/>
  <c r="CK55" i="8"/>
  <c r="AZ55" s="1"/>
  <c r="AY55" i="1" s="1"/>
  <c r="CK47" i="8"/>
  <c r="AZ47" s="1"/>
  <c r="AY47" i="1" s="1"/>
  <c r="CK39" i="8"/>
  <c r="AZ39" s="1"/>
  <c r="AY39" i="1" s="1"/>
  <c r="CK31" i="8"/>
  <c r="AZ31" s="1"/>
  <c r="AY31" i="1" s="1"/>
  <c r="CK23" i="8"/>
  <c r="AZ23" s="1"/>
  <c r="AY23" i="1" s="1"/>
  <c r="CK15" i="8"/>
  <c r="AZ15" s="1"/>
  <c r="AY15" i="1" s="1"/>
  <c r="CK132" i="8"/>
  <c r="AZ132" s="1"/>
  <c r="AY132" i="1" s="1"/>
  <c r="CK124" i="8"/>
  <c r="AZ124" s="1"/>
  <c r="AY124" i="1" s="1"/>
  <c r="CK116" i="8"/>
  <c r="AZ116" s="1"/>
  <c r="AY116" i="1" s="1"/>
  <c r="CK108" i="8"/>
  <c r="AZ108" s="1"/>
  <c r="AY108" i="1" s="1"/>
  <c r="CK100" i="8"/>
  <c r="AZ100" s="1"/>
  <c r="AY100" i="1" s="1"/>
  <c r="CK92" i="8"/>
  <c r="AZ92" s="1"/>
  <c r="AY92" i="1" s="1"/>
  <c r="CK84" i="8"/>
  <c r="AZ84" s="1"/>
  <c r="AY84" i="1" s="1"/>
  <c r="CK76" i="8"/>
  <c r="AZ76" s="1"/>
  <c r="AY76" i="1" s="1"/>
  <c r="CK68" i="8"/>
  <c r="AZ68" s="1"/>
  <c r="AY68" i="1" s="1"/>
  <c r="CK60" i="8"/>
  <c r="AZ60" s="1"/>
  <c r="AY60" i="1" s="1"/>
  <c r="CK52" i="8"/>
  <c r="AZ52" s="1"/>
  <c r="AY52" i="1" s="1"/>
  <c r="CK44" i="8"/>
  <c r="AZ44" s="1"/>
  <c r="AY44" i="1" s="1"/>
  <c r="CK36" i="8"/>
  <c r="AZ36" s="1"/>
  <c r="AY36" i="1" s="1"/>
  <c r="CK28" i="8"/>
  <c r="AZ28" s="1"/>
  <c r="AY28" i="1" s="1"/>
  <c r="CK20" i="8"/>
  <c r="AZ20" s="1"/>
  <c r="AY20" i="1" s="1"/>
  <c r="CK12" i="8"/>
  <c r="AZ12" s="1"/>
  <c r="AY12" i="1" s="1"/>
  <c r="CK4" i="8"/>
  <c r="AZ4" s="1"/>
  <c r="AY4" i="1" s="1"/>
  <c r="CK25" i="8"/>
  <c r="AZ25" s="1"/>
  <c r="AY25" i="1" s="1"/>
  <c r="CK17" i="8"/>
  <c r="AZ17" s="1"/>
  <c r="AY17" i="1" s="1"/>
  <c r="CK9" i="8"/>
  <c r="AZ9" s="1"/>
  <c r="AY9" i="1" s="1"/>
  <c r="CK19" i="8"/>
  <c r="AZ19" s="1"/>
  <c r="AY19" i="1" s="1"/>
  <c r="CJ3" i="8"/>
  <c r="AY3" s="1"/>
  <c r="AV3" i="1" s="1"/>
  <c r="K3" s="1"/>
  <c r="AR3" s="1"/>
  <c r="V3" s="1"/>
  <c r="CJ134" i="8"/>
  <c r="AY134" s="1"/>
  <c r="CJ126"/>
  <c r="AY126" s="1"/>
  <c r="CJ118"/>
  <c r="AY118" s="1"/>
  <c r="CJ110"/>
  <c r="AY110" s="1"/>
  <c r="CJ102"/>
  <c r="AY102" s="1"/>
  <c r="CJ94"/>
  <c r="AY94" s="1"/>
  <c r="CJ86"/>
  <c r="AY86" s="1"/>
  <c r="CJ78"/>
  <c r="AY78" s="1"/>
  <c r="CJ70"/>
  <c r="AY70" s="1"/>
  <c r="CJ62"/>
  <c r="AY62" s="1"/>
  <c r="CJ54"/>
  <c r="AY54" s="1"/>
  <c r="CJ46"/>
  <c r="AY46" s="1"/>
  <c r="CJ38"/>
  <c r="AY38" s="1"/>
  <c r="CJ30"/>
  <c r="AY30" s="1"/>
  <c r="CJ11"/>
  <c r="AY11" s="1"/>
  <c r="CJ131"/>
  <c r="AY131" s="1"/>
  <c r="CJ123"/>
  <c r="AY123" s="1"/>
  <c r="CJ115"/>
  <c r="AY115" s="1"/>
  <c r="CJ107"/>
  <c r="AY107" s="1"/>
  <c r="CJ99"/>
  <c r="AY99" s="1"/>
  <c r="CJ91"/>
  <c r="AY91" s="1"/>
  <c r="CJ83"/>
  <c r="AY83" s="1"/>
  <c r="CJ75"/>
  <c r="AY75" s="1"/>
  <c r="CJ67"/>
  <c r="AY67" s="1"/>
  <c r="CJ59"/>
  <c r="AY59" s="1"/>
  <c r="CJ51"/>
  <c r="AY51" s="1"/>
  <c r="CJ43"/>
  <c r="AY43" s="1"/>
  <c r="CJ35"/>
  <c r="AY35" s="1"/>
  <c r="CJ27"/>
  <c r="AY27" s="1"/>
  <c r="CJ128"/>
  <c r="AY128" s="1"/>
  <c r="CJ120"/>
  <c r="AY120" s="1"/>
  <c r="CJ112"/>
  <c r="AY112" s="1"/>
  <c r="CJ104"/>
  <c r="AY104" s="1"/>
  <c r="CJ96"/>
  <c r="AY96" s="1"/>
  <c r="CJ88"/>
  <c r="AY88" s="1"/>
  <c r="CJ80"/>
  <c r="AY80" s="1"/>
  <c r="CJ72"/>
  <c r="AY72" s="1"/>
  <c r="CJ64"/>
  <c r="AY64" s="1"/>
  <c r="CJ56"/>
  <c r="AY56" s="1"/>
  <c r="CJ48"/>
  <c r="AY48" s="1"/>
  <c r="CJ40"/>
  <c r="AY40" s="1"/>
  <c r="CJ133"/>
  <c r="AY133" s="1"/>
  <c r="CJ125"/>
  <c r="AY125" s="1"/>
  <c r="CJ117"/>
  <c r="AY117" s="1"/>
  <c r="CJ109"/>
  <c r="AY109" s="1"/>
  <c r="CJ101"/>
  <c r="AY101" s="1"/>
  <c r="CJ93"/>
  <c r="AY93" s="1"/>
  <c r="CJ85"/>
  <c r="AY85" s="1"/>
  <c r="CJ77"/>
  <c r="AY77" s="1"/>
  <c r="CJ69"/>
  <c r="AY69" s="1"/>
  <c r="CJ61"/>
  <c r="AY61" s="1"/>
  <c r="CJ53"/>
  <c r="AY53" s="1"/>
  <c r="CJ45"/>
  <c r="AY45" s="1"/>
  <c r="CJ37"/>
  <c r="AY37" s="1"/>
  <c r="CJ29"/>
  <c r="AY29" s="1"/>
  <c r="CJ21"/>
  <c r="AY21" s="1"/>
  <c r="CJ13"/>
  <c r="AY13" s="1"/>
  <c r="CJ5"/>
  <c r="AY5" s="1"/>
  <c r="CJ26"/>
  <c r="AY26" s="1"/>
  <c r="CJ18"/>
  <c r="AY18" s="1"/>
  <c r="CJ10"/>
  <c r="AY10" s="1"/>
  <c r="CJ31"/>
  <c r="AY31" s="1"/>
  <c r="CJ23"/>
  <c r="AY23" s="1"/>
  <c r="CJ130"/>
  <c r="AY130" s="1"/>
  <c r="CJ122"/>
  <c r="AY122" s="1"/>
  <c r="CJ114"/>
  <c r="AY114" s="1"/>
  <c r="CJ106"/>
  <c r="AY106" s="1"/>
  <c r="CJ98"/>
  <c r="AY98" s="1"/>
  <c r="CJ90"/>
  <c r="AY90" s="1"/>
  <c r="CJ82"/>
  <c r="AY82" s="1"/>
  <c r="CJ74"/>
  <c r="AY74" s="1"/>
  <c r="CJ66"/>
  <c r="AY66" s="1"/>
  <c r="CJ58"/>
  <c r="AY58" s="1"/>
  <c r="CJ50"/>
  <c r="AY50" s="1"/>
  <c r="CJ42"/>
  <c r="AY42" s="1"/>
  <c r="CJ34"/>
  <c r="AY34" s="1"/>
  <c r="CJ15"/>
  <c r="AY15" s="1"/>
  <c r="CJ7"/>
  <c r="AY7" s="1"/>
  <c r="CJ135"/>
  <c r="AY135" s="1"/>
  <c r="CJ127"/>
  <c r="AY127" s="1"/>
  <c r="CJ119"/>
  <c r="AY119" s="1"/>
  <c r="CJ111"/>
  <c r="AY111" s="1"/>
  <c r="CJ103"/>
  <c r="AY103" s="1"/>
  <c r="CJ95"/>
  <c r="AY95" s="1"/>
  <c r="CJ87"/>
  <c r="AY87" s="1"/>
  <c r="CJ79"/>
  <c r="AY79" s="1"/>
  <c r="CJ71"/>
  <c r="AY71" s="1"/>
  <c r="CJ63"/>
  <c r="AY63" s="1"/>
  <c r="CJ55"/>
  <c r="AY55" s="1"/>
  <c r="CJ47"/>
  <c r="AY47" s="1"/>
  <c r="CJ39"/>
  <c r="AY39" s="1"/>
  <c r="CJ132"/>
  <c r="AY132" s="1"/>
  <c r="CJ124"/>
  <c r="AY124" s="1"/>
  <c r="CJ116"/>
  <c r="AY116" s="1"/>
  <c r="CJ108"/>
  <c r="AY108" s="1"/>
  <c r="CJ100"/>
  <c r="AY100" s="1"/>
  <c r="CJ92"/>
  <c r="AY92" s="1"/>
  <c r="CJ84"/>
  <c r="AY84" s="1"/>
  <c r="CJ76"/>
  <c r="AY76" s="1"/>
  <c r="CJ68"/>
  <c r="AY68" s="1"/>
  <c r="CJ60"/>
  <c r="AY60" s="1"/>
  <c r="CJ52"/>
  <c r="AY52" s="1"/>
  <c r="CJ44"/>
  <c r="AY44" s="1"/>
  <c r="CJ36"/>
  <c r="AY36" s="1"/>
  <c r="CJ28"/>
  <c r="AY28" s="1"/>
  <c r="CJ20"/>
  <c r="AY20" s="1"/>
  <c r="CJ12"/>
  <c r="AY12" s="1"/>
  <c r="CJ4"/>
  <c r="AY4" s="1"/>
  <c r="CJ129"/>
  <c r="AY129" s="1"/>
  <c r="CJ121"/>
  <c r="AY121" s="1"/>
  <c r="CJ113"/>
  <c r="AY113" s="1"/>
  <c r="CJ105"/>
  <c r="AY105" s="1"/>
  <c r="CJ97"/>
  <c r="AY97" s="1"/>
  <c r="CJ89"/>
  <c r="AY89" s="1"/>
  <c r="CJ81"/>
  <c r="AY81" s="1"/>
  <c r="CJ73"/>
  <c r="AY73" s="1"/>
  <c r="CJ65"/>
  <c r="AY65" s="1"/>
  <c r="CJ57"/>
  <c r="AY57" s="1"/>
  <c r="CJ49"/>
  <c r="AY49" s="1"/>
  <c r="CJ41"/>
  <c r="AY41" s="1"/>
  <c r="CJ33"/>
  <c r="AY33" s="1"/>
  <c r="CJ25"/>
  <c r="AY25" s="1"/>
  <c r="CJ17"/>
  <c r="AY17" s="1"/>
  <c r="CJ9"/>
  <c r="AY9" s="1"/>
  <c r="CJ22"/>
  <c r="AY22" s="1"/>
  <c r="CJ14"/>
  <c r="AY14" s="1"/>
  <c r="CJ6"/>
  <c r="AY6" s="1"/>
  <c r="CJ19"/>
  <c r="AY19" s="1"/>
  <c r="CJ32"/>
  <c r="AY32" s="1"/>
  <c r="CJ24"/>
  <c r="AY24" s="1"/>
  <c r="CJ16"/>
  <c r="AY16" s="1"/>
  <c r="CJ8"/>
  <c r="AY8" s="1"/>
  <c r="CI3"/>
  <c r="AX3" s="1"/>
  <c r="AX3" i="1" s="1"/>
  <c r="M3" s="1"/>
  <c r="CI131" i="8"/>
  <c r="AX131" s="1"/>
  <c r="CI123"/>
  <c r="AX123" s="1"/>
  <c r="CI115"/>
  <c r="AX115" s="1"/>
  <c r="CI107"/>
  <c r="AX107" s="1"/>
  <c r="CI99"/>
  <c r="AX99" s="1"/>
  <c r="CI91"/>
  <c r="AX91" s="1"/>
  <c r="CI83"/>
  <c r="AX83" s="1"/>
  <c r="CI75"/>
  <c r="AX75" s="1"/>
  <c r="CI67"/>
  <c r="AX67" s="1"/>
  <c r="CI59"/>
  <c r="AX59" s="1"/>
  <c r="CI51"/>
  <c r="AX51" s="1"/>
  <c r="CI43"/>
  <c r="AX43" s="1"/>
  <c r="CI35"/>
  <c r="AX35" s="1"/>
  <c r="CI27"/>
  <c r="AX27" s="1"/>
  <c r="CI19"/>
  <c r="AX19" s="1"/>
  <c r="CI8"/>
  <c r="AX8" s="1"/>
  <c r="CI128"/>
  <c r="AX128" s="1"/>
  <c r="CI120"/>
  <c r="AX120" s="1"/>
  <c r="CI112"/>
  <c r="AX112" s="1"/>
  <c r="CI104"/>
  <c r="AX104" s="1"/>
  <c r="CI96"/>
  <c r="AX96" s="1"/>
  <c r="CI88"/>
  <c r="AX88" s="1"/>
  <c r="CI80"/>
  <c r="AX80" s="1"/>
  <c r="CI72"/>
  <c r="AX72" s="1"/>
  <c r="CI64"/>
  <c r="AX64" s="1"/>
  <c r="CI56"/>
  <c r="AX56" s="1"/>
  <c r="CI48"/>
  <c r="AX48" s="1"/>
  <c r="CI40"/>
  <c r="AX40" s="1"/>
  <c r="CI32"/>
  <c r="AX32" s="1"/>
  <c r="CI24"/>
  <c r="AX24" s="1"/>
  <c r="CI5"/>
  <c r="AX5" s="1"/>
  <c r="CI133"/>
  <c r="AX133" s="1"/>
  <c r="CI125"/>
  <c r="AX125" s="1"/>
  <c r="CI117"/>
  <c r="AX117" s="1"/>
  <c r="CI109"/>
  <c r="AX109" s="1"/>
  <c r="CI101"/>
  <c r="AX101" s="1"/>
  <c r="CI93"/>
  <c r="AX93" s="1"/>
  <c r="CI85"/>
  <c r="AX85" s="1"/>
  <c r="CI77"/>
  <c r="AX77" s="1"/>
  <c r="CI69"/>
  <c r="AX69" s="1"/>
  <c r="CI61"/>
  <c r="AX61" s="1"/>
  <c r="CI53"/>
  <c r="AX53" s="1"/>
  <c r="CI45"/>
  <c r="AX45" s="1"/>
  <c r="CI37"/>
  <c r="AX37" s="1"/>
  <c r="CI21"/>
  <c r="AX21" s="1"/>
  <c r="CI130"/>
  <c r="AX130" s="1"/>
  <c r="CI122"/>
  <c r="AX122" s="1"/>
  <c r="CI114"/>
  <c r="AX114" s="1"/>
  <c r="CI106"/>
  <c r="AX106" s="1"/>
  <c r="CI98"/>
  <c r="AX98" s="1"/>
  <c r="CI90"/>
  <c r="AX90" s="1"/>
  <c r="CI82"/>
  <c r="AX82" s="1"/>
  <c r="CI74"/>
  <c r="AX74" s="1"/>
  <c r="CI66"/>
  <c r="AX66" s="1"/>
  <c r="CI58"/>
  <c r="AX58" s="1"/>
  <c r="CI50"/>
  <c r="AX50" s="1"/>
  <c r="CI42"/>
  <c r="AX42" s="1"/>
  <c r="CI34"/>
  <c r="AX34" s="1"/>
  <c r="CI26"/>
  <c r="AX26" s="1"/>
  <c r="CI18"/>
  <c r="AX18" s="1"/>
  <c r="CI10"/>
  <c r="AX10" s="1"/>
  <c r="CI15"/>
  <c r="AX15" s="1"/>
  <c r="CI7"/>
  <c r="AX7" s="1"/>
  <c r="CI20"/>
  <c r="AX20" s="1"/>
  <c r="CI135"/>
  <c r="AX135" s="1"/>
  <c r="CI127"/>
  <c r="AX127" s="1"/>
  <c r="CI119"/>
  <c r="AX119" s="1"/>
  <c r="CI111"/>
  <c r="AX111" s="1"/>
  <c r="CI103"/>
  <c r="AX103" s="1"/>
  <c r="CI95"/>
  <c r="AX95" s="1"/>
  <c r="CI87"/>
  <c r="AX87" s="1"/>
  <c r="CI79"/>
  <c r="AX79" s="1"/>
  <c r="CI71"/>
  <c r="AX71" s="1"/>
  <c r="CI63"/>
  <c r="AX63" s="1"/>
  <c r="CI55"/>
  <c r="AX55" s="1"/>
  <c r="CI47"/>
  <c r="AX47" s="1"/>
  <c r="CI39"/>
  <c r="AX39" s="1"/>
  <c r="CI31"/>
  <c r="AX31" s="1"/>
  <c r="CI23"/>
  <c r="AX23" s="1"/>
  <c r="CI12"/>
  <c r="AX12" s="1"/>
  <c r="CI4"/>
  <c r="AX4" s="1"/>
  <c r="CI132"/>
  <c r="AX132" s="1"/>
  <c r="CI124"/>
  <c r="AX124" s="1"/>
  <c r="CI116"/>
  <c r="AX116" s="1"/>
  <c r="CI108"/>
  <c r="AX108" s="1"/>
  <c r="CI100"/>
  <c r="AX100" s="1"/>
  <c r="CI92"/>
  <c r="AX92" s="1"/>
  <c r="CI84"/>
  <c r="AX84" s="1"/>
  <c r="CI76"/>
  <c r="AX76" s="1"/>
  <c r="CI68"/>
  <c r="AX68" s="1"/>
  <c r="CI60"/>
  <c r="AX60" s="1"/>
  <c r="CI52"/>
  <c r="AX52" s="1"/>
  <c r="CI44"/>
  <c r="AX44" s="1"/>
  <c r="CI36"/>
  <c r="AX36" s="1"/>
  <c r="CI28"/>
  <c r="AX28" s="1"/>
  <c r="CI129"/>
  <c r="AX129" s="1"/>
  <c r="CI121"/>
  <c r="AX121" s="1"/>
  <c r="CI113"/>
  <c r="AX113" s="1"/>
  <c r="CI105"/>
  <c r="AX105" s="1"/>
  <c r="CI97"/>
  <c r="AX97" s="1"/>
  <c r="CI89"/>
  <c r="AX89" s="1"/>
  <c r="CI81"/>
  <c r="AX81" s="1"/>
  <c r="CI73"/>
  <c r="AX73" s="1"/>
  <c r="CI65"/>
  <c r="AX65" s="1"/>
  <c r="CI57"/>
  <c r="AX57" s="1"/>
  <c r="CI49"/>
  <c r="AX49" s="1"/>
  <c r="CI41"/>
  <c r="AX41" s="1"/>
  <c r="CI33"/>
  <c r="AX33" s="1"/>
  <c r="CI25"/>
  <c r="AX25" s="1"/>
  <c r="CI17"/>
  <c r="AX17" s="1"/>
  <c r="CI9"/>
  <c r="AX9" s="1"/>
  <c r="CI134"/>
  <c r="AX134" s="1"/>
  <c r="CI126"/>
  <c r="AX126" s="1"/>
  <c r="CI118"/>
  <c r="AX118" s="1"/>
  <c r="CI110"/>
  <c r="AX110" s="1"/>
  <c r="CI102"/>
  <c r="AX102" s="1"/>
  <c r="CI94"/>
  <c r="AX94" s="1"/>
  <c r="CI86"/>
  <c r="AX86" s="1"/>
  <c r="CI78"/>
  <c r="AX78" s="1"/>
  <c r="CI70"/>
  <c r="AX70" s="1"/>
  <c r="CI62"/>
  <c r="AX62" s="1"/>
  <c r="CI54"/>
  <c r="AX54" s="1"/>
  <c r="CI46"/>
  <c r="AX46" s="1"/>
  <c r="CI38"/>
  <c r="AX38" s="1"/>
  <c r="CI30"/>
  <c r="AX30" s="1"/>
  <c r="CI22"/>
  <c r="AX22" s="1"/>
  <c r="CI14"/>
  <c r="AX14" s="1"/>
  <c r="CI6"/>
  <c r="AX6" s="1"/>
  <c r="CI11"/>
  <c r="AX11" s="1"/>
  <c r="CI16"/>
  <c r="AX16" s="1"/>
  <c r="CI29"/>
  <c r="AX29" s="1"/>
  <c r="CI13"/>
  <c r="AX13" s="1"/>
  <c r="CG3"/>
  <c r="BQ3"/>
  <c r="BU3"/>
  <c r="DB5" i="5"/>
  <c r="I6"/>
  <c r="E6" i="10" s="1"/>
  <c r="E5"/>
  <c r="I13" i="12"/>
  <c r="J12"/>
  <c r="AJ9" i="14"/>
  <c r="CM8" i="8"/>
  <c r="F10" i="12"/>
  <c r="E10" s="1"/>
  <c r="D11"/>
  <c r="L8" i="11"/>
  <c r="B7" i="2"/>
  <c r="B7" i="1"/>
  <c r="BI7" s="1"/>
  <c r="A8" i="2"/>
  <c r="A8" i="7"/>
  <c r="A8" i="8"/>
  <c r="M8" i="5"/>
  <c r="J9" i="10"/>
  <c r="AD8" i="8"/>
  <c r="B8" i="14"/>
  <c r="A8" i="9"/>
  <c r="K8" i="11"/>
  <c r="EP3" i="8"/>
  <c r="DH3"/>
  <c r="EH3" s="1"/>
  <c r="DR3"/>
  <c r="DS3"/>
  <c r="CV3"/>
  <c r="DN3"/>
  <c r="CS4"/>
  <c r="DP4" s="1"/>
  <c r="CT4"/>
  <c r="DQ4" s="1"/>
  <c r="CU4"/>
  <c r="I9"/>
  <c r="BP8" i="5"/>
  <c r="Y6" i="1"/>
  <c r="B6" i="5"/>
  <c r="H7"/>
  <c r="F7" i="7" s="1"/>
  <c r="D6" i="10"/>
  <c r="A5" i="5"/>
  <c r="E5" s="1"/>
  <c r="EQ5" i="8" s="1"/>
  <c r="CZ5" s="1"/>
  <c r="AR6" i="5"/>
  <c r="G5" i="10"/>
  <c r="DD5" i="5"/>
  <c r="K6"/>
  <c r="I5" i="7"/>
  <c r="J5"/>
  <c r="H5" i="10"/>
  <c r="L6" i="5"/>
  <c r="DE5"/>
  <c r="V5" i="2"/>
  <c r="DG3" i="8"/>
  <c r="EG3" s="1"/>
  <c r="AL3" i="5"/>
  <c r="AP3" s="1"/>
  <c r="CN3" i="8"/>
  <c r="AN3" i="5"/>
  <c r="BP3" i="8"/>
  <c r="CW3"/>
  <c r="CX3"/>
  <c r="N3" i="7"/>
  <c r="CY3" i="8"/>
  <c r="EA3" s="1"/>
  <c r="CR3"/>
  <c r="AM3" i="5"/>
  <c r="AQ3" s="1"/>
  <c r="D4" i="9"/>
  <c r="Q3" i="7"/>
  <c r="AO3" i="5"/>
  <c r="AC3" i="10"/>
  <c r="X3" s="1"/>
  <c r="Y3" s="1"/>
  <c r="P3" i="1"/>
  <c r="D3" i="14" s="1"/>
  <c r="BT3" i="8"/>
  <c r="DC7" i="5"/>
  <c r="F7" i="10"/>
  <c r="H7" i="7"/>
  <c r="J8" i="5"/>
  <c r="G9" i="8"/>
  <c r="G10" s="1"/>
  <c r="G11" s="1"/>
  <c r="G12" s="1"/>
  <c r="G13" s="1"/>
  <c r="G14" s="1"/>
  <c r="G15" s="1"/>
  <c r="G16" s="1"/>
  <c r="G17" s="1"/>
  <c r="G18" s="1"/>
  <c r="G19" s="1"/>
  <c r="G20" s="1"/>
  <c r="G21" s="1"/>
  <c r="G22" s="1"/>
  <c r="G23" s="1"/>
  <c r="G24" s="1"/>
  <c r="G25" s="1"/>
  <c r="G26" s="1"/>
  <c r="G27" s="1"/>
  <c r="G28" s="1"/>
  <c r="G29" s="1"/>
  <c r="G30" s="1"/>
  <c r="G31" s="1"/>
  <c r="G32" s="1"/>
  <c r="G33" s="1"/>
  <c r="G34" s="1"/>
  <c r="G35" s="1"/>
  <c r="G36" s="1"/>
  <c r="G37" s="1"/>
  <c r="G38" s="1"/>
  <c r="G39" s="1"/>
  <c r="G40" s="1"/>
  <c r="G41" s="1"/>
  <c r="G42" s="1"/>
  <c r="G43" s="1"/>
  <c r="G44" s="1"/>
  <c r="G45" s="1"/>
  <c r="G46" s="1"/>
  <c r="G47" s="1"/>
  <c r="G48" s="1"/>
  <c r="G49" s="1"/>
  <c r="G50" s="1"/>
  <c r="G51" s="1"/>
  <c r="G52" s="1"/>
  <c r="G53" s="1"/>
  <c r="G54" s="1"/>
  <c r="G55" s="1"/>
  <c r="G56" s="1"/>
  <c r="G57" s="1"/>
  <c r="G58" s="1"/>
  <c r="G59" s="1"/>
  <c r="G60" s="1"/>
  <c r="G61" s="1"/>
  <c r="G62" s="1"/>
  <c r="G63" s="1"/>
  <c r="G64" s="1"/>
  <c r="G65" s="1"/>
  <c r="G66" s="1"/>
  <c r="G67" s="1"/>
  <c r="G68" s="1"/>
  <c r="G69" s="1"/>
  <c r="G70" s="1"/>
  <c r="G71" s="1"/>
  <c r="G72" s="1"/>
  <c r="G73" s="1"/>
  <c r="G74" s="1"/>
  <c r="G75" s="1"/>
  <c r="G76" s="1"/>
  <c r="G77" s="1"/>
  <c r="G78" s="1"/>
  <c r="G79" s="1"/>
  <c r="G80" s="1"/>
  <c r="G81" s="1"/>
  <c r="G82" s="1"/>
  <c r="G83" s="1"/>
  <c r="G84" s="1"/>
  <c r="G85" s="1"/>
  <c r="G86" s="1"/>
  <c r="G87" s="1"/>
  <c r="G88" s="1"/>
  <c r="G89" s="1"/>
  <c r="G90" s="1"/>
  <c r="G91" s="1"/>
  <c r="G92" s="1"/>
  <c r="G93" s="1"/>
  <c r="G94" s="1"/>
  <c r="G95" s="1"/>
  <c r="G96" s="1"/>
  <c r="G97" s="1"/>
  <c r="G98" s="1"/>
  <c r="G99" s="1"/>
  <c r="G100" s="1"/>
  <c r="G101" s="1"/>
  <c r="G102" s="1"/>
  <c r="G103" s="1"/>
  <c r="G104" s="1"/>
  <c r="G105" s="1"/>
  <c r="G106" s="1"/>
  <c r="G107" s="1"/>
  <c r="G108" s="1"/>
  <c r="G109" s="1"/>
  <c r="G110" s="1"/>
  <c r="G111" s="1"/>
  <c r="G112" s="1"/>
  <c r="G113" s="1"/>
  <c r="G114" s="1"/>
  <c r="G115" s="1"/>
  <c r="G116" s="1"/>
  <c r="G117" s="1"/>
  <c r="G118" s="1"/>
  <c r="G119" s="1"/>
  <c r="G120" s="1"/>
  <c r="G121" s="1"/>
  <c r="G122" s="1"/>
  <c r="G123" s="1"/>
  <c r="G124" s="1"/>
  <c r="G125" s="1"/>
  <c r="G126" s="1"/>
  <c r="G127" s="1"/>
  <c r="G128" s="1"/>
  <c r="G129" s="1"/>
  <c r="G130" s="1"/>
  <c r="G131" s="1"/>
  <c r="G132" s="1"/>
  <c r="G133" s="1"/>
  <c r="G134" s="1"/>
  <c r="G135" s="1"/>
  <c r="DE8"/>
  <c r="O8" i="2"/>
  <c r="W5" i="1"/>
  <c r="BE7" i="5"/>
  <c r="DA6"/>
  <c r="H10" i="8"/>
  <c r="P9" i="2"/>
  <c r="AA7" i="7"/>
  <c r="AE7" i="8" s="1"/>
  <c r="BC7" s="1"/>
  <c r="K7" i="10"/>
  <c r="BY8" i="11"/>
  <c r="BA8" i="5"/>
  <c r="J7" i="2"/>
  <c r="AY10" i="5"/>
  <c r="N7" i="2"/>
  <c r="F8" i="8"/>
  <c r="W4"/>
  <c r="AH4" i="5"/>
  <c r="Q4" i="1"/>
  <c r="E4" i="14" s="1"/>
  <c r="AV4" i="5"/>
  <c r="AI4"/>
  <c r="BO4" i="8"/>
  <c r="DM4" s="1"/>
  <c r="E4" i="1"/>
  <c r="C4" i="14"/>
  <c r="A4" i="11"/>
  <c r="AU4" i="5"/>
  <c r="AB4" i="8"/>
  <c r="CA4" s="1"/>
  <c r="B4" i="7"/>
  <c r="A4" i="10"/>
  <c r="AA4" s="1"/>
  <c r="B4" i="9"/>
  <c r="AD4" s="1"/>
  <c r="EO4" i="8"/>
  <c r="DT4" s="1"/>
  <c r="BN4"/>
  <c r="BS4" i="5"/>
  <c r="AB3" i="2"/>
  <c r="DL4" i="8"/>
  <c r="CQ4"/>
  <c r="DA4" s="1"/>
  <c r="BK8" i="5"/>
  <c r="AD7" i="1" s="1"/>
  <c r="AG3" i="7"/>
  <c r="AI3" s="1"/>
  <c r="AH3"/>
  <c r="R7" i="2"/>
  <c r="J8" i="8"/>
  <c r="DG7" i="5"/>
  <c r="AX8"/>
  <c r="CZ6"/>
  <c r="C6" i="10"/>
  <c r="G7" i="5"/>
  <c r="E6" i="7"/>
  <c r="E9" i="8"/>
  <c r="E10" s="1"/>
  <c r="E11" s="1"/>
  <c r="E12" s="1"/>
  <c r="E13" s="1"/>
  <c r="E14" s="1"/>
  <c r="E15" s="1"/>
  <c r="E16" s="1"/>
  <c r="E17" s="1"/>
  <c r="E18" s="1"/>
  <c r="E19" s="1"/>
  <c r="E20" s="1"/>
  <c r="E21" s="1"/>
  <c r="E22" s="1"/>
  <c r="E23" s="1"/>
  <c r="E24" s="1"/>
  <c r="E25" s="1"/>
  <c r="E26" s="1"/>
  <c r="E27" s="1"/>
  <c r="E28" s="1"/>
  <c r="E29" s="1"/>
  <c r="E30" s="1"/>
  <c r="E31" s="1"/>
  <c r="E32" s="1"/>
  <c r="E33" s="1"/>
  <c r="E34" s="1"/>
  <c r="E35" s="1"/>
  <c r="E36" s="1"/>
  <c r="E37" s="1"/>
  <c r="E38" s="1"/>
  <c r="E39" s="1"/>
  <c r="E40" s="1"/>
  <c r="E41" s="1"/>
  <c r="E42" s="1"/>
  <c r="E43" s="1"/>
  <c r="E44" s="1"/>
  <c r="E45" s="1"/>
  <c r="E46" s="1"/>
  <c r="E47" s="1"/>
  <c r="E48" s="1"/>
  <c r="E49" s="1"/>
  <c r="E50" s="1"/>
  <c r="E51" s="1"/>
  <c r="E52" s="1"/>
  <c r="E53" s="1"/>
  <c r="E54" s="1"/>
  <c r="E55" s="1"/>
  <c r="E56" s="1"/>
  <c r="E57" s="1"/>
  <c r="E58" s="1"/>
  <c r="E59" s="1"/>
  <c r="E60" s="1"/>
  <c r="E61" s="1"/>
  <c r="E62" s="1"/>
  <c r="E63" s="1"/>
  <c r="E64" s="1"/>
  <c r="E65" s="1"/>
  <c r="E66" s="1"/>
  <c r="E67" s="1"/>
  <c r="E68" s="1"/>
  <c r="E69" s="1"/>
  <c r="E70" s="1"/>
  <c r="E71" s="1"/>
  <c r="E72" s="1"/>
  <c r="E73" s="1"/>
  <c r="E74" s="1"/>
  <c r="E75" s="1"/>
  <c r="E76" s="1"/>
  <c r="E77" s="1"/>
  <c r="E78" s="1"/>
  <c r="E79" s="1"/>
  <c r="E80" s="1"/>
  <c r="E81" s="1"/>
  <c r="E82" s="1"/>
  <c r="E83" s="1"/>
  <c r="E84" s="1"/>
  <c r="E85" s="1"/>
  <c r="E86" s="1"/>
  <c r="E87" s="1"/>
  <c r="E88" s="1"/>
  <c r="E89" s="1"/>
  <c r="E90" s="1"/>
  <c r="E91" s="1"/>
  <c r="E92" s="1"/>
  <c r="E93" s="1"/>
  <c r="E94" s="1"/>
  <c r="E95" s="1"/>
  <c r="E96" s="1"/>
  <c r="E97" s="1"/>
  <c r="E98" s="1"/>
  <c r="E99" s="1"/>
  <c r="E100" s="1"/>
  <c r="E101" s="1"/>
  <c r="E102" s="1"/>
  <c r="E103" s="1"/>
  <c r="E104" s="1"/>
  <c r="E105" s="1"/>
  <c r="E106" s="1"/>
  <c r="E107" s="1"/>
  <c r="E108" s="1"/>
  <c r="E109" s="1"/>
  <c r="E110" s="1"/>
  <c r="E111" s="1"/>
  <c r="E112" s="1"/>
  <c r="E113" s="1"/>
  <c r="E114" s="1"/>
  <c r="E115" s="1"/>
  <c r="E116" s="1"/>
  <c r="E117" s="1"/>
  <c r="E118" s="1"/>
  <c r="E119" s="1"/>
  <c r="E120" s="1"/>
  <c r="E121" s="1"/>
  <c r="E122" s="1"/>
  <c r="E123" s="1"/>
  <c r="E124" s="1"/>
  <c r="E125" s="1"/>
  <c r="E126" s="1"/>
  <c r="E127" s="1"/>
  <c r="E128" s="1"/>
  <c r="E129" s="1"/>
  <c r="E130" s="1"/>
  <c r="E131" s="1"/>
  <c r="E132" s="1"/>
  <c r="E133" s="1"/>
  <c r="E134" s="1"/>
  <c r="E135" s="1"/>
  <c r="M8" i="2"/>
  <c r="DF8" i="8"/>
  <c r="K9"/>
  <c r="S8" i="2"/>
  <c r="X7" i="1"/>
  <c r="BN9" i="5"/>
  <c r="AF8" i="1" s="1"/>
  <c r="CF3" i="8"/>
  <c r="I1" i="14"/>
  <c r="DF5" i="5"/>
  <c r="AB7" i="1" l="1"/>
  <c r="AZ8" i="5"/>
  <c r="AC7" i="1"/>
  <c r="BC8" i="5"/>
  <c r="B7"/>
  <c r="AE6" i="1"/>
  <c r="O8"/>
  <c r="DK8" i="8" s="1"/>
  <c r="DI7"/>
  <c r="DJ7"/>
  <c r="I10"/>
  <c r="I11" s="1"/>
  <c r="C85" i="6"/>
  <c r="C99" s="1"/>
  <c r="C100" s="1"/>
  <c r="C101" s="1"/>
  <c r="C102" s="1"/>
  <c r="C103" s="1"/>
  <c r="C98" s="1"/>
  <c r="C97"/>
  <c r="AV4" i="1"/>
  <c r="K4" s="1"/>
  <c r="F9" i="5"/>
  <c r="D9" i="7" s="1"/>
  <c r="CY7" i="5"/>
  <c r="D8" i="7"/>
  <c r="B7" i="10"/>
  <c r="D7" i="7"/>
  <c r="AA3" i="11"/>
  <c r="AD3"/>
  <c r="AI3" i="1" s="1"/>
  <c r="Z3" i="11"/>
  <c r="AC3" i="2" s="1"/>
  <c r="Y3" i="11"/>
  <c r="AH3" i="1" s="1"/>
  <c r="N4"/>
  <c r="N5" s="1"/>
  <c r="N6" s="1"/>
  <c r="N7" s="1"/>
  <c r="AT3" i="8"/>
  <c r="AS3"/>
  <c r="BL3" i="1"/>
  <c r="F3" i="11"/>
  <c r="AQ3" i="8"/>
  <c r="M4" i="1"/>
  <c r="C3" i="9"/>
  <c r="AR3" i="8"/>
  <c r="BN3" i="1"/>
  <c r="AW3" i="8"/>
  <c r="AU3" i="1" s="1"/>
  <c r="J3" s="1"/>
  <c r="D3" i="11" s="1"/>
  <c r="AV3" i="8"/>
  <c r="AW3" i="1" s="1"/>
  <c r="L3" s="1"/>
  <c r="E3" i="11" s="1"/>
  <c r="CH4" i="8"/>
  <c r="AW4" s="1"/>
  <c r="CG4"/>
  <c r="BU4"/>
  <c r="I7" i="5"/>
  <c r="G7" i="7" s="1"/>
  <c r="G6"/>
  <c r="DB6" i="5"/>
  <c r="AC3" i="11"/>
  <c r="T3" i="8" s="1"/>
  <c r="AB3" i="11"/>
  <c r="P3" i="8" s="1"/>
  <c r="AJ10" i="14"/>
  <c r="CM9" i="8"/>
  <c r="A9" i="2"/>
  <c r="K9" i="11"/>
  <c r="J10" i="10"/>
  <c r="B9" i="14"/>
  <c r="A9" i="8"/>
  <c r="M9" i="5"/>
  <c r="A9" i="7"/>
  <c r="AD9" i="8"/>
  <c r="A9" i="9"/>
  <c r="F11" i="12"/>
  <c r="E11" s="1"/>
  <c r="D12"/>
  <c r="B8" i="2"/>
  <c r="B8" i="1"/>
  <c r="BI8" s="1"/>
  <c r="L9" i="11"/>
  <c r="J13" i="12"/>
  <c r="I14"/>
  <c r="DR4" i="8"/>
  <c r="DS4"/>
  <c r="DX3"/>
  <c r="EB3" s="1"/>
  <c r="DN4"/>
  <c r="DO4"/>
  <c r="DC3"/>
  <c r="DD3"/>
  <c r="CU5"/>
  <c r="CS5"/>
  <c r="DP5" s="1"/>
  <c r="CT5"/>
  <c r="DQ5" s="1"/>
  <c r="Q9" i="2"/>
  <c r="Y7" i="1"/>
  <c r="BP9" i="5"/>
  <c r="Q10" i="2"/>
  <c r="CQ5" i="8"/>
  <c r="DA5" s="1"/>
  <c r="DL5"/>
  <c r="AB5"/>
  <c r="A6" i="5"/>
  <c r="E6" s="1"/>
  <c r="EQ6" i="8" s="1"/>
  <c r="CZ6" s="1"/>
  <c r="C5" i="14"/>
  <c r="BN5" i="8"/>
  <c r="CO5" s="1"/>
  <c r="B5" i="7"/>
  <c r="Q5" s="1"/>
  <c r="Q5" i="1"/>
  <c r="E5" i="14" s="1"/>
  <c r="W5" i="8"/>
  <c r="EO5"/>
  <c r="BO5"/>
  <c r="DM5" s="1"/>
  <c r="BS5" i="5"/>
  <c r="AU5"/>
  <c r="A5" i="10"/>
  <c r="AA5" s="1"/>
  <c r="AH5" i="5"/>
  <c r="AC5" i="10" s="1"/>
  <c r="AB4" i="2"/>
  <c r="B5" i="9"/>
  <c r="AD5" s="1"/>
  <c r="E5" i="1"/>
  <c r="AI5" i="5"/>
  <c r="A5" i="11"/>
  <c r="AV5" i="5"/>
  <c r="H8"/>
  <c r="F8" i="7" s="1"/>
  <c r="D7" i="10"/>
  <c r="V6" i="2"/>
  <c r="AR7" i="5"/>
  <c r="DD6"/>
  <c r="K7"/>
  <c r="G6" i="10"/>
  <c r="I6" i="7"/>
  <c r="DE6" i="5"/>
  <c r="L7"/>
  <c r="H6" i="10"/>
  <c r="J6" i="7"/>
  <c r="EI3" i="8"/>
  <c r="DY3"/>
  <c r="AU3"/>
  <c r="AT3" i="1" s="1"/>
  <c r="H3" s="1"/>
  <c r="CF4" i="8"/>
  <c r="P4" i="1"/>
  <c r="CO4" i="8"/>
  <c r="CN4"/>
  <c r="CR4"/>
  <c r="H11"/>
  <c r="P10" i="2"/>
  <c r="BK9" i="5"/>
  <c r="AD8" i="1" s="1"/>
  <c r="BQ4" i="8"/>
  <c r="N4" i="7"/>
  <c r="BP4" i="8"/>
  <c r="BT4"/>
  <c r="BZ4"/>
  <c r="BY4"/>
  <c r="D5" i="9"/>
  <c r="AE4" i="7"/>
  <c r="AF4" s="1"/>
  <c r="Q4"/>
  <c r="N4" i="11"/>
  <c r="E7" i="7"/>
  <c r="C7" i="10"/>
  <c r="CZ7" i="5"/>
  <c r="G8"/>
  <c r="DB4" i="8"/>
  <c r="EC4" s="1"/>
  <c r="ED4" s="1"/>
  <c r="CX4"/>
  <c r="CW4"/>
  <c r="DG4"/>
  <c r="EG4" s="1"/>
  <c r="CY4"/>
  <c r="EA4" s="1"/>
  <c r="CV4"/>
  <c r="DX4" s="1"/>
  <c r="N8" i="2"/>
  <c r="F9" i="8"/>
  <c r="F10" s="1"/>
  <c r="F11" s="1"/>
  <c r="F12" s="1"/>
  <c r="F13" s="1"/>
  <c r="F14" s="1"/>
  <c r="F15" s="1"/>
  <c r="F16" s="1"/>
  <c r="F17" s="1"/>
  <c r="F18" s="1"/>
  <c r="F19" s="1"/>
  <c r="F20" s="1"/>
  <c r="F21" s="1"/>
  <c r="F22" s="1"/>
  <c r="F23" s="1"/>
  <c r="F24" s="1"/>
  <c r="F25" s="1"/>
  <c r="F26" s="1"/>
  <c r="F27" s="1"/>
  <c r="F28" s="1"/>
  <c r="F29" s="1"/>
  <c r="F30" s="1"/>
  <c r="F31" s="1"/>
  <c r="F32" s="1"/>
  <c r="F33" s="1"/>
  <c r="F34" s="1"/>
  <c r="F35" s="1"/>
  <c r="F36" s="1"/>
  <c r="F37" s="1"/>
  <c r="F38" s="1"/>
  <c r="F39" s="1"/>
  <c r="F40" s="1"/>
  <c r="F41" s="1"/>
  <c r="F42" s="1"/>
  <c r="F43" s="1"/>
  <c r="F44" s="1"/>
  <c r="F45" s="1"/>
  <c r="F46" s="1"/>
  <c r="F47" s="1"/>
  <c r="F48" s="1"/>
  <c r="F49" s="1"/>
  <c r="F50" s="1"/>
  <c r="F51" s="1"/>
  <c r="F52" s="1"/>
  <c r="F53" s="1"/>
  <c r="F54" s="1"/>
  <c r="F55" s="1"/>
  <c r="F56" s="1"/>
  <c r="F57" s="1"/>
  <c r="F58" s="1"/>
  <c r="F59" s="1"/>
  <c r="F60" s="1"/>
  <c r="F61" s="1"/>
  <c r="F62" s="1"/>
  <c r="F63" s="1"/>
  <c r="F64" s="1"/>
  <c r="F65" s="1"/>
  <c r="F66" s="1"/>
  <c r="F67" s="1"/>
  <c r="F68" s="1"/>
  <c r="F69" s="1"/>
  <c r="F70" s="1"/>
  <c r="F71" s="1"/>
  <c r="F72" s="1"/>
  <c r="F73" s="1"/>
  <c r="F74" s="1"/>
  <c r="F75" s="1"/>
  <c r="F76" s="1"/>
  <c r="F77" s="1"/>
  <c r="F78" s="1"/>
  <c r="F79" s="1"/>
  <c r="F80" s="1"/>
  <c r="F81" s="1"/>
  <c r="F82" s="1"/>
  <c r="F83" s="1"/>
  <c r="F84" s="1"/>
  <c r="F85" s="1"/>
  <c r="F86" s="1"/>
  <c r="F87" s="1"/>
  <c r="F88" s="1"/>
  <c r="F89" s="1"/>
  <c r="F90" s="1"/>
  <c r="F91" s="1"/>
  <c r="F92" s="1"/>
  <c r="F93" s="1"/>
  <c r="F94" s="1"/>
  <c r="F95" s="1"/>
  <c r="F96" s="1"/>
  <c r="F97" s="1"/>
  <c r="F98" s="1"/>
  <c r="F99" s="1"/>
  <c r="F100" s="1"/>
  <c r="F101" s="1"/>
  <c r="F102" s="1"/>
  <c r="F103" s="1"/>
  <c r="F104" s="1"/>
  <c r="F105" s="1"/>
  <c r="F106" s="1"/>
  <c r="F107" s="1"/>
  <c r="F108" s="1"/>
  <c r="F109" s="1"/>
  <c r="F110" s="1"/>
  <c r="F111" s="1"/>
  <c r="F112" s="1"/>
  <c r="F113" s="1"/>
  <c r="F114" s="1"/>
  <c r="F115" s="1"/>
  <c r="F116" s="1"/>
  <c r="F117" s="1"/>
  <c r="F118" s="1"/>
  <c r="F119" s="1"/>
  <c r="F120" s="1"/>
  <c r="F121" s="1"/>
  <c r="F122" s="1"/>
  <c r="F123" s="1"/>
  <c r="F124" s="1"/>
  <c r="F125" s="1"/>
  <c r="F126" s="1"/>
  <c r="F127" s="1"/>
  <c r="F128" s="1"/>
  <c r="F129" s="1"/>
  <c r="F130" s="1"/>
  <c r="F131" s="1"/>
  <c r="F132" s="1"/>
  <c r="F133" s="1"/>
  <c r="F134" s="1"/>
  <c r="F135" s="1"/>
  <c r="BY9" i="11"/>
  <c r="AA8" i="7"/>
  <c r="AE8" i="8" s="1"/>
  <c r="BC8" s="1"/>
  <c r="K8" i="10"/>
  <c r="AN4" i="5"/>
  <c r="M9" i="2"/>
  <c r="DF9" i="8"/>
  <c r="DG8" i="5"/>
  <c r="AX9"/>
  <c r="BA9"/>
  <c r="CY8"/>
  <c r="BE8"/>
  <c r="W6" i="1"/>
  <c r="DA7" i="5"/>
  <c r="BN10"/>
  <c r="AF9" i="1" s="1"/>
  <c r="X8"/>
  <c r="AM4" i="5"/>
  <c r="AC4" i="10"/>
  <c r="X4" s="1"/>
  <c r="Y4" s="1"/>
  <c r="AO4" i="5"/>
  <c r="AL4"/>
  <c r="AY11"/>
  <c r="AY12" s="1"/>
  <c r="AY13" s="1"/>
  <c r="AY14" s="1"/>
  <c r="AY15" s="1"/>
  <c r="AY16" s="1"/>
  <c r="AY17" s="1"/>
  <c r="AY18" s="1"/>
  <c r="AY19" s="1"/>
  <c r="AY20" s="1"/>
  <c r="AY21" s="1"/>
  <c r="AY22" s="1"/>
  <c r="AY23" s="1"/>
  <c r="AY24" s="1"/>
  <c r="AY25" s="1"/>
  <c r="AY26" s="1"/>
  <c r="AY27" s="1"/>
  <c r="AY28" s="1"/>
  <c r="AY29" s="1"/>
  <c r="AY30" s="1"/>
  <c r="AY31" s="1"/>
  <c r="AY32" s="1"/>
  <c r="AY33" s="1"/>
  <c r="AY34" s="1"/>
  <c r="AY35" s="1"/>
  <c r="AY36" s="1"/>
  <c r="AY37" s="1"/>
  <c r="AY38" s="1"/>
  <c r="AY39" s="1"/>
  <c r="AY40" s="1"/>
  <c r="AY41" s="1"/>
  <c r="AY42" s="1"/>
  <c r="AY43" s="1"/>
  <c r="AY44" s="1"/>
  <c r="AY45" s="1"/>
  <c r="AY46" s="1"/>
  <c r="AY47" s="1"/>
  <c r="AY48" s="1"/>
  <c r="AY49" s="1"/>
  <c r="AY50" s="1"/>
  <c r="AY51" s="1"/>
  <c r="AY52" s="1"/>
  <c r="AY53" s="1"/>
  <c r="AY54" s="1"/>
  <c r="AY55" s="1"/>
  <c r="AY56" s="1"/>
  <c r="AY57" s="1"/>
  <c r="AY58" s="1"/>
  <c r="AY59" s="1"/>
  <c r="AY60" s="1"/>
  <c r="AY61" s="1"/>
  <c r="AY62" s="1"/>
  <c r="AY63" s="1"/>
  <c r="AY64" s="1"/>
  <c r="AY65" s="1"/>
  <c r="AY66" s="1"/>
  <c r="AY67" s="1"/>
  <c r="AY68" s="1"/>
  <c r="AY69" s="1"/>
  <c r="AY70" s="1"/>
  <c r="AY71" s="1"/>
  <c r="AY72" s="1"/>
  <c r="AY73" s="1"/>
  <c r="AY74" s="1"/>
  <c r="AY75" s="1"/>
  <c r="AY76" s="1"/>
  <c r="AY77" s="1"/>
  <c r="AY78" s="1"/>
  <c r="AY79" s="1"/>
  <c r="AY80" s="1"/>
  <c r="AY81" s="1"/>
  <c r="AY82" s="1"/>
  <c r="AY83" s="1"/>
  <c r="AY84" s="1"/>
  <c r="AY85" s="1"/>
  <c r="AY86" s="1"/>
  <c r="AY87" s="1"/>
  <c r="AY88" s="1"/>
  <c r="AY89" s="1"/>
  <c r="AY90" s="1"/>
  <c r="AY91" s="1"/>
  <c r="AY92" s="1"/>
  <c r="AY93" s="1"/>
  <c r="AY94" s="1"/>
  <c r="AY95" s="1"/>
  <c r="AY96" s="1"/>
  <c r="AY97" s="1"/>
  <c r="AY98" s="1"/>
  <c r="AY99" s="1"/>
  <c r="AY100" s="1"/>
  <c r="AY101" s="1"/>
  <c r="AY102" s="1"/>
  <c r="AY103" s="1"/>
  <c r="AY104" s="1"/>
  <c r="AY105" s="1"/>
  <c r="AY106" s="1"/>
  <c r="AY107" s="1"/>
  <c r="AY108" s="1"/>
  <c r="AY109" s="1"/>
  <c r="AY110" s="1"/>
  <c r="AY111" s="1"/>
  <c r="AY112" s="1"/>
  <c r="AY113" s="1"/>
  <c r="AY114" s="1"/>
  <c r="AY115" s="1"/>
  <c r="AY116" s="1"/>
  <c r="AY117" s="1"/>
  <c r="AY118" s="1"/>
  <c r="AY119" s="1"/>
  <c r="AY120" s="1"/>
  <c r="AY121" s="1"/>
  <c r="AY122" s="1"/>
  <c r="AY123" s="1"/>
  <c r="AY124" s="1"/>
  <c r="AY125" s="1"/>
  <c r="AY126" s="1"/>
  <c r="AY127" s="1"/>
  <c r="AY128" s="1"/>
  <c r="AY129" s="1"/>
  <c r="AY130" s="1"/>
  <c r="AY131" s="1"/>
  <c r="AY132" s="1"/>
  <c r="AY133" s="1"/>
  <c r="AY134" s="1"/>
  <c r="AY135" s="1"/>
  <c r="DC8"/>
  <c r="F8" i="10"/>
  <c r="J9" i="5"/>
  <c r="H8" i="7"/>
  <c r="R8" i="2"/>
  <c r="J9" i="8"/>
  <c r="S9" i="2"/>
  <c r="K10" i="8"/>
  <c r="DH4"/>
  <c r="EH4" s="1"/>
  <c r="EP4"/>
  <c r="O9" i="2"/>
  <c r="DE9" i="8"/>
  <c r="DF6" i="5"/>
  <c r="J8" i="2" l="1"/>
  <c r="AE7" i="1"/>
  <c r="AB8"/>
  <c r="AZ9" i="5"/>
  <c r="AC8" i="1"/>
  <c r="BC9" i="5"/>
  <c r="O9" i="1"/>
  <c r="DK9" i="8" s="1"/>
  <c r="DJ8"/>
  <c r="DI8"/>
  <c r="F10" i="5"/>
  <c r="B10" i="10" s="1"/>
  <c r="B9"/>
  <c r="I8" i="5"/>
  <c r="DB8" s="1"/>
  <c r="E7" i="10"/>
  <c r="DB7" i="5"/>
  <c r="AV5" i="1"/>
  <c r="N8"/>
  <c r="AD4" i="11"/>
  <c r="AI4" i="1" s="1"/>
  <c r="Y4" i="11"/>
  <c r="AH4" i="1" s="1"/>
  <c r="AB4" i="11"/>
  <c r="P4" i="8" s="1"/>
  <c r="AA4" i="11"/>
  <c r="Z4"/>
  <c r="AC4" i="2" s="1"/>
  <c r="AC4" i="11"/>
  <c r="T4" i="8" s="1"/>
  <c r="AT4"/>
  <c r="AQ4"/>
  <c r="F4" i="11"/>
  <c r="M5" i="1"/>
  <c r="AQ3"/>
  <c r="U3" s="1"/>
  <c r="AK3" i="5"/>
  <c r="AP3" i="8"/>
  <c r="BM3" i="1"/>
  <c r="BN4"/>
  <c r="AR4" i="8"/>
  <c r="CA5"/>
  <c r="CH5"/>
  <c r="CG5"/>
  <c r="BU5"/>
  <c r="BQ5"/>
  <c r="DZ3"/>
  <c r="I15" i="12"/>
  <c r="J14"/>
  <c r="AJ11" i="14"/>
  <c r="CM10" i="8"/>
  <c r="F12" i="12"/>
  <c r="E12" s="1"/>
  <c r="D13"/>
  <c r="A10" i="2"/>
  <c r="A10" i="7"/>
  <c r="A10" i="8"/>
  <c r="K10" i="11"/>
  <c r="J11" i="10"/>
  <c r="M10" i="5"/>
  <c r="AD10" i="8"/>
  <c r="B10" i="14"/>
  <c r="A10" i="9"/>
  <c r="L10" i="11"/>
  <c r="B9" i="2"/>
  <c r="B9" i="1"/>
  <c r="BI9" s="1"/>
  <c r="EP5" i="8"/>
  <c r="DT5"/>
  <c r="DR5"/>
  <c r="DS5"/>
  <c r="DG5"/>
  <c r="EG5" s="1"/>
  <c r="DN5"/>
  <c r="DO5"/>
  <c r="EE3"/>
  <c r="EF3" s="1"/>
  <c r="CS6"/>
  <c r="DP6" s="1"/>
  <c r="CT6"/>
  <c r="DQ6" s="1"/>
  <c r="CU6"/>
  <c r="BT5"/>
  <c r="BY5"/>
  <c r="BZ5"/>
  <c r="BP5"/>
  <c r="BP10" i="5"/>
  <c r="Y8" i="1"/>
  <c r="CR5" i="8"/>
  <c r="DC5" s="1"/>
  <c r="B31" i="6"/>
  <c r="Z3" i="8" s="1"/>
  <c r="Q11" i="2"/>
  <c r="I12" i="8"/>
  <c r="N5" i="7"/>
  <c r="DB5" i="8"/>
  <c r="EC5" s="1"/>
  <c r="ED5" s="1"/>
  <c r="CY5"/>
  <c r="EA5" s="1"/>
  <c r="CW5"/>
  <c r="CX5"/>
  <c r="CV5"/>
  <c r="DX5" s="1"/>
  <c r="EB5" s="1"/>
  <c r="DL6"/>
  <c r="CN5"/>
  <c r="X5" i="10"/>
  <c r="Y5" s="1"/>
  <c r="EO6" i="8"/>
  <c r="CF5"/>
  <c r="A6" i="11"/>
  <c r="Y5" s="1"/>
  <c r="AM5" i="5"/>
  <c r="AH6"/>
  <c r="AC6" i="10" s="1"/>
  <c r="BO6" i="8"/>
  <c r="DM6" s="1"/>
  <c r="E6" i="1"/>
  <c r="A6" i="10"/>
  <c r="AA6" s="1"/>
  <c r="AL5" i="5"/>
  <c r="C6" i="14"/>
  <c r="BN6" i="8"/>
  <c r="CO6" s="1"/>
  <c r="AI6" i="5"/>
  <c r="B6" i="9"/>
  <c r="BS6" i="5"/>
  <c r="AB5" i="2"/>
  <c r="AV6" i="5"/>
  <c r="DH5" i="8"/>
  <c r="EH5" s="1"/>
  <c r="AB6"/>
  <c r="W6"/>
  <c r="B6" i="7"/>
  <c r="Q6" s="1"/>
  <c r="Q6" i="1"/>
  <c r="E6" i="14" s="1"/>
  <c r="AU6" i="5"/>
  <c r="AN5"/>
  <c r="D6" i="9"/>
  <c r="CQ6" i="8"/>
  <c r="DA6" s="1"/>
  <c r="AE5" i="7"/>
  <c r="AF5" s="1"/>
  <c r="AO5" i="5"/>
  <c r="N5" i="11"/>
  <c r="P5" i="1"/>
  <c r="D5" i="14" s="1"/>
  <c r="V7" i="2"/>
  <c r="H9" i="5"/>
  <c r="D8" i="10"/>
  <c r="AR4" i="1"/>
  <c r="V4" s="1"/>
  <c r="A7" i="5"/>
  <c r="E7" s="1"/>
  <c r="EQ7" i="8" s="1"/>
  <c r="CZ7" s="1"/>
  <c r="AR8" i="5"/>
  <c r="G7" i="10"/>
  <c r="DD7" i="5"/>
  <c r="K8"/>
  <c r="I7" i="7"/>
  <c r="DE7" i="5"/>
  <c r="J7" i="7"/>
  <c r="L8" i="5"/>
  <c r="H7" i="10"/>
  <c r="AO3" i="8"/>
  <c r="C4" i="9"/>
  <c r="BO3" i="1"/>
  <c r="AV4" i="8"/>
  <c r="AW4" i="1" s="1"/>
  <c r="L4" s="1"/>
  <c r="AO4" i="8" s="1"/>
  <c r="D4" i="14"/>
  <c r="DY4" i="8"/>
  <c r="DZ4" s="1"/>
  <c r="AU4"/>
  <c r="S10" i="2"/>
  <c r="K11" i="8"/>
  <c r="BA10" i="5"/>
  <c r="CY9"/>
  <c r="AG4" i="7"/>
  <c r="AI4" s="1"/>
  <c r="AH4"/>
  <c r="AP4" i="5"/>
  <c r="X9" i="1"/>
  <c r="BN11" i="5"/>
  <c r="M10" i="2"/>
  <c r="DF10" i="8"/>
  <c r="C8" i="10"/>
  <c r="E8" i="7"/>
  <c r="CZ8" i="5"/>
  <c r="G9"/>
  <c r="DD4" i="8"/>
  <c r="DC4"/>
  <c r="EI4"/>
  <c r="F9" i="10"/>
  <c r="DC9" i="5"/>
  <c r="H9" i="7"/>
  <c r="J10" i="5"/>
  <c r="BY10" i="11"/>
  <c r="AA9" i="7"/>
  <c r="AE9" i="8" s="1"/>
  <c r="BC9" s="1"/>
  <c r="K9" i="10"/>
  <c r="H12" i="8"/>
  <c r="P11" i="2"/>
  <c r="W7" i="1"/>
  <c r="BE9" i="5"/>
  <c r="DA8"/>
  <c r="EB4" i="8"/>
  <c r="BK10" i="5"/>
  <c r="AD9" i="1" s="1"/>
  <c r="B8" i="5"/>
  <c r="DE10" i="8"/>
  <c r="O10" i="2"/>
  <c r="J10" i="8"/>
  <c r="R9" i="2"/>
  <c r="DG9" i="5"/>
  <c r="AX10"/>
  <c r="N9" i="2"/>
  <c r="AQ4" i="5"/>
  <c r="AU4" i="1" s="1"/>
  <c r="AJ3" i="5"/>
  <c r="BK3" i="1"/>
  <c r="C3" i="11"/>
  <c r="V3" i="10"/>
  <c r="AC3" i="7"/>
  <c r="AN3" i="8"/>
  <c r="DF7" i="5"/>
  <c r="B3" i="8" l="1"/>
  <c r="D3" i="2" s="1"/>
  <c r="BN12" i="5"/>
  <c r="AF11" i="1" s="1"/>
  <c r="AF10"/>
  <c r="X10" s="1"/>
  <c r="AB9"/>
  <c r="AZ10" i="5"/>
  <c r="AC9" i="1"/>
  <c r="BC10" i="5"/>
  <c r="J9" i="2"/>
  <c r="AE8" i="1"/>
  <c r="W8" s="1"/>
  <c r="O10"/>
  <c r="DK10" i="8" s="1"/>
  <c r="DI9"/>
  <c r="DJ9"/>
  <c r="AD6" i="9"/>
  <c r="AV6" i="1" s="1"/>
  <c r="G8" i="7"/>
  <c r="F11" i="5"/>
  <c r="F12" s="1"/>
  <c r="B12" i="10" s="1"/>
  <c r="D10" i="7"/>
  <c r="I9" i="5"/>
  <c r="I10" s="1"/>
  <c r="E8" i="10"/>
  <c r="K5" i="1"/>
  <c r="AR5" i="8" s="1"/>
  <c r="N9" i="1"/>
  <c r="AH5"/>
  <c r="AA5" i="11"/>
  <c r="Z5"/>
  <c r="AC5" i="2" s="1"/>
  <c r="AC5" i="11"/>
  <c r="T5" i="8" s="1"/>
  <c r="AD5" i="11"/>
  <c r="AI5" i="1" s="1"/>
  <c r="AB5" i="11"/>
  <c r="P5" i="8" s="1"/>
  <c r="AT5"/>
  <c r="F5" i="11"/>
  <c r="AQ5" i="8"/>
  <c r="M6" i="1"/>
  <c r="AW5" i="8"/>
  <c r="J4" i="1"/>
  <c r="AP4" i="8" s="1"/>
  <c r="CA6"/>
  <c r="CH6"/>
  <c r="BP6"/>
  <c r="BU6"/>
  <c r="J15" i="12"/>
  <c r="I16"/>
  <c r="A11" i="2"/>
  <c r="A11" i="7"/>
  <c r="A11" i="9"/>
  <c r="K11" i="11"/>
  <c r="B11" i="14"/>
  <c r="A11" i="8"/>
  <c r="M11" i="5"/>
  <c r="J12" i="10"/>
  <c r="AD11" i="8"/>
  <c r="CM11"/>
  <c r="AJ12" i="14"/>
  <c r="F13" i="12"/>
  <c r="E13" s="1"/>
  <c r="D14"/>
  <c r="L11" i="11"/>
  <c r="B10" i="2"/>
  <c r="B10" i="1"/>
  <c r="BI10" s="1"/>
  <c r="EP6" i="8"/>
  <c r="DT6"/>
  <c r="DS6"/>
  <c r="DR6"/>
  <c r="EI5"/>
  <c r="DB6"/>
  <c r="EC6" s="1"/>
  <c r="ED6" s="1"/>
  <c r="DN6"/>
  <c r="DO6"/>
  <c r="CS7"/>
  <c r="DP7" s="1"/>
  <c r="CT7"/>
  <c r="DQ7" s="1"/>
  <c r="CU7"/>
  <c r="AV5"/>
  <c r="AW5" i="1" s="1"/>
  <c r="L5" s="1"/>
  <c r="AO5" i="8" s="1"/>
  <c r="BP11" i="5"/>
  <c r="Y9" i="1"/>
  <c r="DD5" i="8"/>
  <c r="EE5" s="1"/>
  <c r="EF5" s="1"/>
  <c r="B9" i="5"/>
  <c r="AH5" i="7"/>
  <c r="B30" i="6"/>
  <c r="C3" i="2" s="1"/>
  <c r="AB3" i="7"/>
  <c r="BD3" i="8"/>
  <c r="H3" i="11"/>
  <c r="E3" i="2"/>
  <c r="L3"/>
  <c r="Q12"/>
  <c r="I13" i="8"/>
  <c r="DH6"/>
  <c r="EH6" s="1"/>
  <c r="N6" i="11"/>
  <c r="AU5" i="8"/>
  <c r="DY5"/>
  <c r="DZ5" s="1"/>
  <c r="CQ7"/>
  <c r="DA7" s="1"/>
  <c r="AE6" i="7"/>
  <c r="AF6" s="1"/>
  <c r="AQ5" i="5"/>
  <c r="AU5" i="1" s="1"/>
  <c r="CN6" i="8"/>
  <c r="AL6" i="5"/>
  <c r="CR6" i="8"/>
  <c r="DC6" s="1"/>
  <c r="CF6"/>
  <c r="X6" i="10"/>
  <c r="Y6" s="1"/>
  <c r="AM6" i="5"/>
  <c r="AP5"/>
  <c r="CX6" i="8"/>
  <c r="D7" i="9"/>
  <c r="N6" i="7"/>
  <c r="BZ6" i="8"/>
  <c r="AO6" i="5"/>
  <c r="AN6"/>
  <c r="BT6" i="8"/>
  <c r="BY6"/>
  <c r="CG6"/>
  <c r="BQ6"/>
  <c r="C7" i="14"/>
  <c r="DL7" i="8"/>
  <c r="CV6"/>
  <c r="DX6" s="1"/>
  <c r="EB6" s="1"/>
  <c r="AG5" i="7"/>
  <c r="AI5" s="1"/>
  <c r="DG6" i="8"/>
  <c r="EG6" s="1"/>
  <c r="CY6"/>
  <c r="EA6" s="1"/>
  <c r="CW6"/>
  <c r="P6" i="1"/>
  <c r="D6" i="14" s="1"/>
  <c r="A8" i="5"/>
  <c r="E8" s="1"/>
  <c r="EQ8" i="8" s="1"/>
  <c r="CZ8" s="1"/>
  <c r="AV7" i="5"/>
  <c r="EO7" i="8"/>
  <c r="BO7"/>
  <c r="DM7" s="1"/>
  <c r="A7" i="10"/>
  <c r="AA7" s="1"/>
  <c r="AH7" i="5"/>
  <c r="AC7" i="10" s="1"/>
  <c r="D9"/>
  <c r="H10" i="5"/>
  <c r="F9" i="7"/>
  <c r="V8" i="2"/>
  <c r="AU7" i="5"/>
  <c r="B7" i="9"/>
  <c r="AR9" i="5"/>
  <c r="B7" i="7"/>
  <c r="Q7" s="1"/>
  <c r="E7" i="1"/>
  <c r="Q7"/>
  <c r="E7" i="14" s="1"/>
  <c r="W7" i="8"/>
  <c r="BN7"/>
  <c r="CR7" s="1"/>
  <c r="AB6" i="2"/>
  <c r="A7" i="11"/>
  <c r="AB7" i="8"/>
  <c r="AI7" i="5"/>
  <c r="BS7"/>
  <c r="I8" i="7"/>
  <c r="K9" i="5"/>
  <c r="DD8"/>
  <c r="G8" i="10"/>
  <c r="H8"/>
  <c r="J8" i="7"/>
  <c r="L9" i="5"/>
  <c r="DE8"/>
  <c r="BO4" i="1"/>
  <c r="E4" i="11"/>
  <c r="EE4" i="8"/>
  <c r="EF4" s="1"/>
  <c r="AT4" i="1"/>
  <c r="K12" i="8"/>
  <c r="S11" i="2"/>
  <c r="AX11" i="5"/>
  <c r="AX12" s="1"/>
  <c r="AX13" s="1"/>
  <c r="AX14" s="1"/>
  <c r="AX15" s="1"/>
  <c r="AX16" s="1"/>
  <c r="AX17" s="1"/>
  <c r="AX18" s="1"/>
  <c r="AX19" s="1"/>
  <c r="AX20" s="1"/>
  <c r="AX21" s="1"/>
  <c r="AX22" s="1"/>
  <c r="AX23" s="1"/>
  <c r="AX24" s="1"/>
  <c r="AX25" s="1"/>
  <c r="AX26" s="1"/>
  <c r="AX27" s="1"/>
  <c r="AX28" s="1"/>
  <c r="AX29" s="1"/>
  <c r="AX30" s="1"/>
  <c r="AX31" s="1"/>
  <c r="AX32" s="1"/>
  <c r="AX33" s="1"/>
  <c r="AX34" s="1"/>
  <c r="AX35" s="1"/>
  <c r="AX36" s="1"/>
  <c r="AX37" s="1"/>
  <c r="AX38" s="1"/>
  <c r="AX39" s="1"/>
  <c r="AX40" s="1"/>
  <c r="AX41" s="1"/>
  <c r="AX42" s="1"/>
  <c r="AX43" s="1"/>
  <c r="AX44" s="1"/>
  <c r="AX45" s="1"/>
  <c r="AX46" s="1"/>
  <c r="AX47" s="1"/>
  <c r="AX48" s="1"/>
  <c r="AX49" s="1"/>
  <c r="AX50" s="1"/>
  <c r="AX51" s="1"/>
  <c r="AX52" s="1"/>
  <c r="AX53" s="1"/>
  <c r="AX54" s="1"/>
  <c r="AX55" s="1"/>
  <c r="AX56" s="1"/>
  <c r="AX57" s="1"/>
  <c r="AX58" s="1"/>
  <c r="AX59" s="1"/>
  <c r="AX60" s="1"/>
  <c r="AX61" s="1"/>
  <c r="AX62" s="1"/>
  <c r="AX63" s="1"/>
  <c r="AX64" s="1"/>
  <c r="AX65" s="1"/>
  <c r="AX66" s="1"/>
  <c r="AX67" s="1"/>
  <c r="AX68" s="1"/>
  <c r="AX69" s="1"/>
  <c r="AX70" s="1"/>
  <c r="AX71" s="1"/>
  <c r="AX72" s="1"/>
  <c r="AX73" s="1"/>
  <c r="AX74" s="1"/>
  <c r="AX75" s="1"/>
  <c r="AX76" s="1"/>
  <c r="AX77" s="1"/>
  <c r="AX78" s="1"/>
  <c r="AX79" s="1"/>
  <c r="AX80" s="1"/>
  <c r="AX81" s="1"/>
  <c r="AX82" s="1"/>
  <c r="AX83" s="1"/>
  <c r="AX84" s="1"/>
  <c r="AX85" s="1"/>
  <c r="AX86" s="1"/>
  <c r="AX87" s="1"/>
  <c r="AX88" s="1"/>
  <c r="AX89" s="1"/>
  <c r="AX90" s="1"/>
  <c r="AX91" s="1"/>
  <c r="AX92" s="1"/>
  <c r="AX93" s="1"/>
  <c r="AX94" s="1"/>
  <c r="AX95" s="1"/>
  <c r="AX96" s="1"/>
  <c r="AX97" s="1"/>
  <c r="AX98" s="1"/>
  <c r="AX99" s="1"/>
  <c r="AX100" s="1"/>
  <c r="AX101" s="1"/>
  <c r="AX102" s="1"/>
  <c r="AX103" s="1"/>
  <c r="AX104" s="1"/>
  <c r="AX105" s="1"/>
  <c r="AX106" s="1"/>
  <c r="AX107" s="1"/>
  <c r="AX108" s="1"/>
  <c r="AX109" s="1"/>
  <c r="AX110" s="1"/>
  <c r="AX111" s="1"/>
  <c r="AX112" s="1"/>
  <c r="AX113" s="1"/>
  <c r="AX114" s="1"/>
  <c r="AX115" s="1"/>
  <c r="AX116" s="1"/>
  <c r="AX117" s="1"/>
  <c r="AX118" s="1"/>
  <c r="AX119" s="1"/>
  <c r="AX120" s="1"/>
  <c r="AX121" s="1"/>
  <c r="AX122" s="1"/>
  <c r="AX123" s="1"/>
  <c r="AX124" s="1"/>
  <c r="AX125" s="1"/>
  <c r="AX126" s="1"/>
  <c r="AX127" s="1"/>
  <c r="AX128" s="1"/>
  <c r="AX129" s="1"/>
  <c r="AX130" s="1"/>
  <c r="AX131" s="1"/>
  <c r="AX132" s="1"/>
  <c r="AX133" s="1"/>
  <c r="AX134" s="1"/>
  <c r="AX135" s="1"/>
  <c r="DG10"/>
  <c r="O11" i="2"/>
  <c r="DE11" i="8"/>
  <c r="CZ9" i="5"/>
  <c r="G10"/>
  <c r="E9" i="7"/>
  <c r="C9" i="10"/>
  <c r="N10" i="2"/>
  <c r="BK11" i="5"/>
  <c r="BE10"/>
  <c r="DA9"/>
  <c r="P12" i="2"/>
  <c r="H13" i="8"/>
  <c r="M11" i="2"/>
  <c r="DF11" i="8"/>
  <c r="K10" i="10"/>
  <c r="BY11" i="11"/>
  <c r="AA10" i="7"/>
  <c r="AE10" i="8" s="1"/>
  <c r="BC10" s="1"/>
  <c r="BA11" i="5"/>
  <c r="BA12" s="1"/>
  <c r="BA13" s="1"/>
  <c r="BA14" s="1"/>
  <c r="BA15" s="1"/>
  <c r="BA16" s="1"/>
  <c r="BA17" s="1"/>
  <c r="BA18" s="1"/>
  <c r="BA19" s="1"/>
  <c r="BA20" s="1"/>
  <c r="BA21" s="1"/>
  <c r="BA22" s="1"/>
  <c r="BA23" s="1"/>
  <c r="BA24" s="1"/>
  <c r="BA25" s="1"/>
  <c r="BA26" s="1"/>
  <c r="BA27" s="1"/>
  <c r="BA28" s="1"/>
  <c r="BA29" s="1"/>
  <c r="BA30" s="1"/>
  <c r="BA31" s="1"/>
  <c r="BA32" s="1"/>
  <c r="BA33" s="1"/>
  <c r="BA34" s="1"/>
  <c r="BA35" s="1"/>
  <c r="BA36" s="1"/>
  <c r="BA37" s="1"/>
  <c r="BA38" s="1"/>
  <c r="BA39" s="1"/>
  <c r="BA40" s="1"/>
  <c r="BA41" s="1"/>
  <c r="BA42" s="1"/>
  <c r="BA43" s="1"/>
  <c r="BA44" s="1"/>
  <c r="BA45" s="1"/>
  <c r="BA46" s="1"/>
  <c r="BA47" s="1"/>
  <c r="BA48" s="1"/>
  <c r="BA49" s="1"/>
  <c r="BA50" s="1"/>
  <c r="BA51" s="1"/>
  <c r="BA52" s="1"/>
  <c r="BA53" s="1"/>
  <c r="BA54" s="1"/>
  <c r="BA55" s="1"/>
  <c r="BA56" s="1"/>
  <c r="BA57" s="1"/>
  <c r="BA58" s="1"/>
  <c r="BA59" s="1"/>
  <c r="BA60" s="1"/>
  <c r="BA61" s="1"/>
  <c r="BA62" s="1"/>
  <c r="BA63" s="1"/>
  <c r="BA64" s="1"/>
  <c r="BA65" s="1"/>
  <c r="BA66" s="1"/>
  <c r="BA67" s="1"/>
  <c r="BA68" s="1"/>
  <c r="BA69" s="1"/>
  <c r="BA70" s="1"/>
  <c r="BA71" s="1"/>
  <c r="BA72" s="1"/>
  <c r="BA73" s="1"/>
  <c r="BA74" s="1"/>
  <c r="BA75" s="1"/>
  <c r="BA76" s="1"/>
  <c r="BA77" s="1"/>
  <c r="BA78" s="1"/>
  <c r="BA79" s="1"/>
  <c r="BA80" s="1"/>
  <c r="BA81" s="1"/>
  <c r="BA82" s="1"/>
  <c r="BA83" s="1"/>
  <c r="BA84" s="1"/>
  <c r="BA85" s="1"/>
  <c r="BA86" s="1"/>
  <c r="BA87" s="1"/>
  <c r="BA88" s="1"/>
  <c r="BA89" s="1"/>
  <c r="BA90" s="1"/>
  <c r="BA91" s="1"/>
  <c r="BA92" s="1"/>
  <c r="BA93" s="1"/>
  <c r="BA94" s="1"/>
  <c r="BA95" s="1"/>
  <c r="BA96" s="1"/>
  <c r="BA97" s="1"/>
  <c r="BA98" s="1"/>
  <c r="BA99" s="1"/>
  <c r="BA100" s="1"/>
  <c r="BA101" s="1"/>
  <c r="BA102" s="1"/>
  <c r="BA103" s="1"/>
  <c r="BA104" s="1"/>
  <c r="BA105" s="1"/>
  <c r="BA106" s="1"/>
  <c r="BA107" s="1"/>
  <c r="BA108" s="1"/>
  <c r="BA109" s="1"/>
  <c r="BA110" s="1"/>
  <c r="BA111" s="1"/>
  <c r="BA112" s="1"/>
  <c r="BA113" s="1"/>
  <c r="BA114" s="1"/>
  <c r="BA115" s="1"/>
  <c r="BA116" s="1"/>
  <c r="BA117" s="1"/>
  <c r="BA118" s="1"/>
  <c r="BA119" s="1"/>
  <c r="BA120" s="1"/>
  <c r="BA121" s="1"/>
  <c r="BA122" s="1"/>
  <c r="BA123" s="1"/>
  <c r="BA124" s="1"/>
  <c r="BA125" s="1"/>
  <c r="BA126" s="1"/>
  <c r="BA127" s="1"/>
  <c r="BA128" s="1"/>
  <c r="BA129" s="1"/>
  <c r="BA130" s="1"/>
  <c r="BA131" s="1"/>
  <c r="BA132" s="1"/>
  <c r="BA133" s="1"/>
  <c r="BA134" s="1"/>
  <c r="BA135" s="1"/>
  <c r="CY10"/>
  <c r="J11" i="8"/>
  <c r="R10" i="2"/>
  <c r="J11" i="5"/>
  <c r="DC10"/>
  <c r="H10" i="7"/>
  <c r="F10" i="10"/>
  <c r="DF8" i="5"/>
  <c r="U3" i="2" l="1"/>
  <c r="BN13" i="5"/>
  <c r="BN14" s="1"/>
  <c r="AB10" i="1"/>
  <c r="AZ11" i="5"/>
  <c r="BK12"/>
  <c r="AD11" i="1" s="1"/>
  <c r="AD10"/>
  <c r="B10" i="5"/>
  <c r="AE9" i="1"/>
  <c r="W9" s="1"/>
  <c r="AC10"/>
  <c r="BC11" i="5"/>
  <c r="O11" i="1"/>
  <c r="DK11" i="8" s="1"/>
  <c r="DI10"/>
  <c r="DJ10"/>
  <c r="AD7" i="9"/>
  <c r="AV7" i="1" s="1"/>
  <c r="D11" i="7"/>
  <c r="F13" i="5"/>
  <c r="B13" i="10" s="1"/>
  <c r="D12" i="7"/>
  <c r="B11" i="10"/>
  <c r="E9"/>
  <c r="DB9" i="5"/>
  <c r="G9" i="7"/>
  <c r="AQ4" i="1"/>
  <c r="U4" s="1"/>
  <c r="J5" s="1"/>
  <c r="N10"/>
  <c r="C5" i="9"/>
  <c r="AR5" i="1"/>
  <c r="V5" s="1"/>
  <c r="K6" s="1"/>
  <c r="AR6" i="8" s="1"/>
  <c r="BN5" i="1"/>
  <c r="Y6" i="11"/>
  <c r="AH6" i="1" s="1"/>
  <c r="Z6" i="11"/>
  <c r="AC6" i="2" s="1"/>
  <c r="AD6" i="11"/>
  <c r="AI6" i="1" s="1"/>
  <c r="AB6" i="11"/>
  <c r="P6" i="8" s="1"/>
  <c r="AC6" i="11"/>
  <c r="T6" i="8" s="1"/>
  <c r="AA6" i="11"/>
  <c r="J10" i="2"/>
  <c r="BP12" i="5"/>
  <c r="BM4" i="1"/>
  <c r="AK4" i="5"/>
  <c r="AT6" i="8"/>
  <c r="AQ6"/>
  <c r="F6" i="11"/>
  <c r="M7" i="1"/>
  <c r="AW6" i="8"/>
  <c r="D4" i="11"/>
  <c r="AV6" i="8"/>
  <c r="AW6" i="1" s="1"/>
  <c r="L6" s="1"/>
  <c r="E6" i="11" s="1"/>
  <c r="BU7" i="8"/>
  <c r="CA7"/>
  <c r="CH7"/>
  <c r="A12" i="2"/>
  <c r="AD12" i="8"/>
  <c r="K12" i="11"/>
  <c r="B12" i="14"/>
  <c r="A12" i="8"/>
  <c r="M12" i="5"/>
  <c r="A12" i="9"/>
  <c r="A12" i="7"/>
  <c r="J13" i="10"/>
  <c r="I17" i="12"/>
  <c r="J17" s="1"/>
  <c r="J16"/>
  <c r="AJ13" i="14"/>
  <c r="CM12" i="8"/>
  <c r="D15" i="12"/>
  <c r="F14"/>
  <c r="E14" s="1"/>
  <c r="L12" i="11"/>
  <c r="B11" i="1"/>
  <c r="BI11" s="1"/>
  <c r="B11" i="2"/>
  <c r="DR7" i="8"/>
  <c r="DS7"/>
  <c r="EP7"/>
  <c r="DT7"/>
  <c r="CY7"/>
  <c r="EA7" s="1"/>
  <c r="DN7"/>
  <c r="DO7"/>
  <c r="CU8"/>
  <c r="CS8"/>
  <c r="DP8" s="1"/>
  <c r="CT8"/>
  <c r="DQ8" s="1"/>
  <c r="Y10" i="1"/>
  <c r="AG6" i="7"/>
  <c r="AI6" s="1"/>
  <c r="AH6"/>
  <c r="I14" i="8"/>
  <c r="Q13" i="2"/>
  <c r="EI6" i="8"/>
  <c r="AT5" i="1"/>
  <c r="DD6" i="8"/>
  <c r="EE6" s="1"/>
  <c r="EF6" s="1"/>
  <c r="DB7"/>
  <c r="EC7" s="1"/>
  <c r="ED7" s="1"/>
  <c r="CV7"/>
  <c r="DX7" s="1"/>
  <c r="EB7" s="1"/>
  <c r="CW7"/>
  <c r="CX7"/>
  <c r="DG7"/>
  <c r="EG7" s="1"/>
  <c r="AP6" i="5"/>
  <c r="DY6" i="8"/>
  <c r="DZ6" s="1"/>
  <c r="AQ6" i="5"/>
  <c r="AU6" i="1" s="1"/>
  <c r="AU6" i="8"/>
  <c r="AE7" i="7"/>
  <c r="AF7" s="1"/>
  <c r="D8" i="9"/>
  <c r="CO7" i="8"/>
  <c r="AO7" i="5"/>
  <c r="X7" i="10"/>
  <c r="Y7" s="1"/>
  <c r="CN7" i="8"/>
  <c r="AL7" i="5"/>
  <c r="AM7"/>
  <c r="DH7" i="8"/>
  <c r="EH7" s="1"/>
  <c r="P7" i="1"/>
  <c r="D7" i="14" s="1"/>
  <c r="N7" i="11"/>
  <c r="AN7" i="5"/>
  <c r="BY7" i="8"/>
  <c r="D10" i="10"/>
  <c r="H11" i="5"/>
  <c r="F10" i="7"/>
  <c r="CG7" i="8"/>
  <c r="BZ7"/>
  <c r="CF7"/>
  <c r="BQ7"/>
  <c r="N7" i="7"/>
  <c r="BP7" i="8"/>
  <c r="BT7"/>
  <c r="AR10" i="5"/>
  <c r="V9" i="2"/>
  <c r="A9" i="5"/>
  <c r="E9" s="1"/>
  <c r="EQ9" i="8" s="1"/>
  <c r="CZ9" s="1"/>
  <c r="DD9" i="5"/>
  <c r="G9" i="10"/>
  <c r="K10" i="5"/>
  <c r="I9" i="7"/>
  <c r="L10" i="5"/>
  <c r="H9" i="10"/>
  <c r="J9" i="7"/>
  <c r="DE9" i="5"/>
  <c r="G10" i="7"/>
  <c r="E10" i="10"/>
  <c r="I11" i="5"/>
  <c r="DB10"/>
  <c r="BO5" i="1"/>
  <c r="E5" i="11"/>
  <c r="AA11" i="7"/>
  <c r="AE11" i="8" s="1"/>
  <c r="BC11" s="1"/>
  <c r="K11" i="10"/>
  <c r="BY12" i="11"/>
  <c r="J12" i="8"/>
  <c r="R11" i="2"/>
  <c r="H14" i="8"/>
  <c r="P13" i="2"/>
  <c r="N11"/>
  <c r="DG11" i="5"/>
  <c r="X11" i="1"/>
  <c r="C8" i="14"/>
  <c r="Q8" i="1"/>
  <c r="E8" i="14" s="1"/>
  <c r="BN8" i="8"/>
  <c r="B8" i="7"/>
  <c r="W8" i="8"/>
  <c r="A8" i="11"/>
  <c r="E8" i="1"/>
  <c r="AU8" i="5"/>
  <c r="AV8"/>
  <c r="B8" i="9"/>
  <c r="BO8" i="8"/>
  <c r="DM8" s="1"/>
  <c r="AI8" i="5"/>
  <c r="BS8"/>
  <c r="A8" i="10"/>
  <c r="AA8" s="1"/>
  <c r="AH8" i="5"/>
  <c r="AB7" i="2"/>
  <c r="EO8" i="8"/>
  <c r="DT8" s="1"/>
  <c r="AB8"/>
  <c r="DL8"/>
  <c r="CQ8"/>
  <c r="DA8" s="1"/>
  <c r="DC7"/>
  <c r="DD7"/>
  <c r="G11" i="5"/>
  <c r="C10" i="10"/>
  <c r="CZ10" i="5"/>
  <c r="E10" i="7"/>
  <c r="CY11" i="5"/>
  <c r="O12" i="2"/>
  <c r="DE12" i="8"/>
  <c r="DF12"/>
  <c r="M12" i="2"/>
  <c r="J12" i="5"/>
  <c r="H11" i="7"/>
  <c r="F11" i="10"/>
  <c r="DC11" i="5"/>
  <c r="BE11"/>
  <c r="AE10" i="1" s="1"/>
  <c r="DA10" i="5"/>
  <c r="S12" i="2"/>
  <c r="K13" i="8"/>
  <c r="DF9" i="5"/>
  <c r="AZ12" l="1"/>
  <c r="AZ13" s="1"/>
  <c r="AZ14" s="1"/>
  <c r="AZ15" s="1"/>
  <c r="AB11" i="1"/>
  <c r="AF12"/>
  <c r="X12" s="1"/>
  <c r="BC12" i="5"/>
  <c r="AC11" i="1"/>
  <c r="BK13" i="5"/>
  <c r="AD12" i="1" s="1"/>
  <c r="BN15" i="5"/>
  <c r="AF13" i="1"/>
  <c r="BP13" i="5"/>
  <c r="H3" i="2"/>
  <c r="I3"/>
  <c r="O3" i="7" s="1"/>
  <c r="F3" i="2"/>
  <c r="AP3" i="1" s="1"/>
  <c r="T3" s="1"/>
  <c r="I4" s="1"/>
  <c r="AO4" s="1"/>
  <c r="F3"/>
  <c r="O12"/>
  <c r="DK12" i="8" s="1"/>
  <c r="DI11"/>
  <c r="DJ11"/>
  <c r="D13" i="7"/>
  <c r="AD8" i="9"/>
  <c r="AV8" i="1" s="1"/>
  <c r="F14" i="5"/>
  <c r="F15" s="1"/>
  <c r="N11" i="1"/>
  <c r="C6" i="9"/>
  <c r="AR6" i="1"/>
  <c r="V6" s="1"/>
  <c r="K7" s="1"/>
  <c r="AR7" s="1"/>
  <c r="V7" s="1"/>
  <c r="BN6"/>
  <c r="B11" i="5"/>
  <c r="BE12"/>
  <c r="Y7" i="11"/>
  <c r="AH7" i="1" s="1"/>
  <c r="AB7" i="11"/>
  <c r="P7" i="8" s="1"/>
  <c r="Z7" i="11"/>
  <c r="AC7" i="2" s="1"/>
  <c r="AC7" i="11"/>
  <c r="T7" i="8" s="1"/>
  <c r="AA7" i="11"/>
  <c r="AD7"/>
  <c r="AI7" i="1" s="1"/>
  <c r="AT7" i="8"/>
  <c r="AQ7"/>
  <c r="F7" i="11"/>
  <c r="M8" i="1"/>
  <c r="AW7" i="8"/>
  <c r="AQ5" i="1"/>
  <c r="U5" s="1"/>
  <c r="J6" s="1"/>
  <c r="AP5" i="8"/>
  <c r="BU8"/>
  <c r="CA8"/>
  <c r="CH8"/>
  <c r="A13" i="2"/>
  <c r="A13" i="8"/>
  <c r="K13" i="11"/>
  <c r="B13" i="14"/>
  <c r="M13" i="5"/>
  <c r="J14" i="10"/>
  <c r="A13" i="9"/>
  <c r="AD13" i="8"/>
  <c r="A13" i="7"/>
  <c r="CM13" i="8"/>
  <c r="AJ14" i="14"/>
  <c r="F15" i="12"/>
  <c r="E15" s="1"/>
  <c r="D16"/>
  <c r="L13" i="11"/>
  <c r="B12" i="1"/>
  <c r="BI12" s="1"/>
  <c r="B12" i="2"/>
  <c r="DR8" i="8"/>
  <c r="DS8"/>
  <c r="DN8"/>
  <c r="DO8"/>
  <c r="CS9"/>
  <c r="DP9" s="1"/>
  <c r="CT9"/>
  <c r="DQ9" s="1"/>
  <c r="CU9"/>
  <c r="J11" i="2"/>
  <c r="Y11" i="1"/>
  <c r="AG7" i="7"/>
  <c r="AI7" s="1"/>
  <c r="AH7"/>
  <c r="I15" i="8"/>
  <c r="Q14" i="2"/>
  <c r="BM5" i="1"/>
  <c r="AK5" i="5"/>
  <c r="D5" i="11"/>
  <c r="EI7" i="8"/>
  <c r="DY7"/>
  <c r="DZ7" s="1"/>
  <c r="DL9"/>
  <c r="AT6" i="1"/>
  <c r="D9" i="9"/>
  <c r="AQ7" i="5"/>
  <c r="AU7" i="1" s="1"/>
  <c r="A9" i="10"/>
  <c r="AA9" s="1"/>
  <c r="AP7" i="5"/>
  <c r="AH9"/>
  <c r="AC9" i="10" s="1"/>
  <c r="E9" i="1"/>
  <c r="AB8" i="2"/>
  <c r="V10"/>
  <c r="AU7" i="8"/>
  <c r="AV7"/>
  <c r="AW7" i="1" s="1"/>
  <c r="L7" s="1"/>
  <c r="H12" i="5"/>
  <c r="F11" i="7"/>
  <c r="D11" i="10"/>
  <c r="AR11" i="5"/>
  <c r="A10"/>
  <c r="E10" s="1"/>
  <c r="EQ10" i="8" s="1"/>
  <c r="CZ10" s="1"/>
  <c r="AB9"/>
  <c r="Q9" i="1"/>
  <c r="E9" i="14" s="1"/>
  <c r="B9" i="9"/>
  <c r="A9" i="11"/>
  <c r="AV9" i="5"/>
  <c r="EO9" i="8"/>
  <c r="W9"/>
  <c r="BO9"/>
  <c r="DM9" s="1"/>
  <c r="CQ9"/>
  <c r="DA9" s="1"/>
  <c r="B9" i="7"/>
  <c r="AE9" s="1"/>
  <c r="AF9" s="1"/>
  <c r="AI9" i="5"/>
  <c r="AU9"/>
  <c r="BN9" i="8"/>
  <c r="C9" i="14"/>
  <c r="BS9" i="5"/>
  <c r="DD10"/>
  <c r="K11"/>
  <c r="I10" i="7"/>
  <c r="G10" i="10"/>
  <c r="DE10" i="5"/>
  <c r="J10" i="7"/>
  <c r="L11" i="5"/>
  <c r="H10" i="10"/>
  <c r="G11" i="7"/>
  <c r="E11" i="10"/>
  <c r="I12" i="5"/>
  <c r="DB11"/>
  <c r="AO6" i="8"/>
  <c r="BO6" i="1"/>
  <c r="P8"/>
  <c r="B14" i="10"/>
  <c r="F12"/>
  <c r="J13" i="5"/>
  <c r="H12" i="7"/>
  <c r="DC12" i="5"/>
  <c r="M13" i="2"/>
  <c r="DF13" i="8"/>
  <c r="N12" i="2"/>
  <c r="AM8" i="5"/>
  <c r="AC8" i="10"/>
  <c r="X8" s="1"/>
  <c r="Y8" s="1"/>
  <c r="AO8" i="5"/>
  <c r="AL8"/>
  <c r="DH8" i="8"/>
  <c r="EH8" s="1"/>
  <c r="EP8"/>
  <c r="J13"/>
  <c r="R12" i="2"/>
  <c r="O13"/>
  <c r="DE13" i="8"/>
  <c r="BQ8"/>
  <c r="BP8"/>
  <c r="N8" i="7"/>
  <c r="BT8" i="8"/>
  <c r="BY8"/>
  <c r="BZ8"/>
  <c r="CG8"/>
  <c r="CF8"/>
  <c r="CN8"/>
  <c r="CO8"/>
  <c r="CR8"/>
  <c r="P14" i="2"/>
  <c r="H15" i="8"/>
  <c r="S13" i="2"/>
  <c r="K14" i="8"/>
  <c r="Q8" i="7"/>
  <c r="AE8"/>
  <c r="AF8" s="1"/>
  <c r="G12" i="5"/>
  <c r="C11" i="10"/>
  <c r="E11" i="7"/>
  <c r="CZ11" i="5"/>
  <c r="W10" i="1"/>
  <c r="DA11" i="5"/>
  <c r="CV8" i="8"/>
  <c r="DX8" s="1"/>
  <c r="DG8"/>
  <c r="EG8" s="1"/>
  <c r="DB8"/>
  <c r="EC8" s="1"/>
  <c r="ED8" s="1"/>
  <c r="CX8"/>
  <c r="CW8"/>
  <c r="CY8"/>
  <c r="EA8" s="1"/>
  <c r="DG12" i="5"/>
  <c r="AN8"/>
  <c r="N8" i="11"/>
  <c r="AA12" i="7"/>
  <c r="AE12" i="8" s="1"/>
  <c r="BC12" s="1"/>
  <c r="K12" i="10"/>
  <c r="BY13" i="11"/>
  <c r="EE7" i="8"/>
  <c r="EF7" s="1"/>
  <c r="DF10" i="5"/>
  <c r="CY12" l="1"/>
  <c r="BK14"/>
  <c r="AD13" i="1" s="1"/>
  <c r="AC12"/>
  <c r="BC13" i="5"/>
  <c r="AB12" i="1"/>
  <c r="BP14" i="5"/>
  <c r="AB13" i="1"/>
  <c r="BE13" i="5"/>
  <c r="AE11" i="1"/>
  <c r="W11" s="1"/>
  <c r="BN16" i="5"/>
  <c r="AF14" i="1"/>
  <c r="AZ16" i="5"/>
  <c r="AA3" i="1"/>
  <c r="S3" s="1"/>
  <c r="H4" s="1"/>
  <c r="AJ4" i="5" s="1"/>
  <c r="I3" i="11"/>
  <c r="BL4" i="1"/>
  <c r="AS4" i="8"/>
  <c r="J3" i="11"/>
  <c r="F3" i="9" s="1"/>
  <c r="G3" i="2"/>
  <c r="Z3" s="1"/>
  <c r="Z4" i="8" s="1"/>
  <c r="O13" i="1"/>
  <c r="DK13" i="8" s="1"/>
  <c r="DJ12"/>
  <c r="DI12"/>
  <c r="K8" i="1"/>
  <c r="AR8" i="8" s="1"/>
  <c r="AD9" i="9"/>
  <c r="AV9" i="1" s="1"/>
  <c r="D14" i="7"/>
  <c r="AR7" i="8"/>
  <c r="N12" i="1"/>
  <c r="AM9" i="5"/>
  <c r="BN7" i="1"/>
  <c r="C7" i="9"/>
  <c r="J12" i="2"/>
  <c r="AB8" i="11"/>
  <c r="P8" i="8" s="1"/>
  <c r="AA8" i="11"/>
  <c r="AC8"/>
  <c r="T8" i="8" s="1"/>
  <c r="Z8" i="11"/>
  <c r="AC8" i="2" s="1"/>
  <c r="AD8" i="11"/>
  <c r="AI8" i="1" s="1"/>
  <c r="Y8" i="11"/>
  <c r="AH8" i="1" s="1"/>
  <c r="AT8" i="8"/>
  <c r="AQ8"/>
  <c r="F8" i="11"/>
  <c r="M9" i="1"/>
  <c r="AW8" i="8"/>
  <c r="AK6" i="5"/>
  <c r="AP6" i="8"/>
  <c r="CA9"/>
  <c r="CH9"/>
  <c r="BY9"/>
  <c r="BU9"/>
  <c r="CM14"/>
  <c r="AJ15" i="14"/>
  <c r="F16" i="12"/>
  <c r="E16" s="1"/>
  <c r="D17"/>
  <c r="F17" s="1"/>
  <c r="E17" s="1"/>
  <c r="L14" i="11"/>
  <c r="B13" i="1"/>
  <c r="BI13" s="1"/>
  <c r="B13" i="2"/>
  <c r="A14"/>
  <c r="A14" i="7"/>
  <c r="K14" i="11"/>
  <c r="AD14" i="8"/>
  <c r="M14" i="5"/>
  <c r="J15" i="10"/>
  <c r="A14" i="8"/>
  <c r="B14" i="14"/>
  <c r="A14" i="9"/>
  <c r="EP9" i="8"/>
  <c r="DT9"/>
  <c r="DR9"/>
  <c r="DS9"/>
  <c r="DG9"/>
  <c r="EG9" s="1"/>
  <c r="DN9"/>
  <c r="DO9"/>
  <c r="CS10"/>
  <c r="DP10" s="1"/>
  <c r="CT10"/>
  <c r="DQ10" s="1"/>
  <c r="CU10"/>
  <c r="Y12" i="1"/>
  <c r="B12" i="5"/>
  <c r="Q15" i="2"/>
  <c r="I16" i="8"/>
  <c r="BM6" i="1"/>
  <c r="DL10" i="8"/>
  <c r="D6" i="11"/>
  <c r="AQ6" i="1"/>
  <c r="U6" s="1"/>
  <c r="J7" s="1"/>
  <c r="D10" i="9"/>
  <c r="X9" i="10"/>
  <c r="Y9" s="1"/>
  <c r="AT7" i="1"/>
  <c r="CR9" i="8"/>
  <c r="DD9" s="1"/>
  <c r="CO9"/>
  <c r="CN9"/>
  <c r="AL9" i="5"/>
  <c r="CF9" i="8"/>
  <c r="N9" i="11"/>
  <c r="AO9" i="5"/>
  <c r="CX9" i="8"/>
  <c r="W10"/>
  <c r="AN9" i="5"/>
  <c r="EI8" i="8"/>
  <c r="AV10" i="5"/>
  <c r="DH9" i="8"/>
  <c r="EH9" s="1"/>
  <c r="BO7" i="1"/>
  <c r="AO7" i="8"/>
  <c r="H13" i="5"/>
  <c r="F12" i="7"/>
  <c r="D12" i="10"/>
  <c r="BS10" i="5"/>
  <c r="E10" i="1"/>
  <c r="B10" i="7"/>
  <c r="Q10" s="1"/>
  <c r="AB9" i="2"/>
  <c r="BO10" i="8"/>
  <c r="DM10" s="1"/>
  <c r="C10" i="14"/>
  <c r="Q10" i="1"/>
  <c r="E10" i="14" s="1"/>
  <c r="AU10" i="5"/>
  <c r="BN10" i="8"/>
  <c r="A10" i="11"/>
  <c r="CQ10" i="8"/>
  <c r="DA10" s="1"/>
  <c r="A11" i="5"/>
  <c r="E11" s="1"/>
  <c r="EQ11" i="8" s="1"/>
  <c r="CZ11" s="1"/>
  <c r="AB10"/>
  <c r="AH10" i="5"/>
  <c r="AC10" i="10" s="1"/>
  <c r="B10" i="9"/>
  <c r="EO10" i="8"/>
  <c r="A10" i="10"/>
  <c r="AA10" s="1"/>
  <c r="AI10" i="5"/>
  <c r="CW9" i="8"/>
  <c r="V11" i="2"/>
  <c r="AR12" i="5"/>
  <c r="BP9" i="8"/>
  <c r="DB9"/>
  <c r="EC9" s="1"/>
  <c r="ED9" s="1"/>
  <c r="N9" i="7"/>
  <c r="Q9"/>
  <c r="BQ9" i="8"/>
  <c r="BT9"/>
  <c r="CY9"/>
  <c r="EA9" s="1"/>
  <c r="CG9"/>
  <c r="BZ9"/>
  <c r="P9" i="1"/>
  <c r="CV9" i="8"/>
  <c r="DX9" s="1"/>
  <c r="EB9" s="1"/>
  <c r="DD11" i="5"/>
  <c r="K12"/>
  <c r="G11" i="10"/>
  <c r="I11" i="7"/>
  <c r="L12" i="5"/>
  <c r="DE11"/>
  <c r="J11" i="7"/>
  <c r="H11" i="10"/>
  <c r="E12"/>
  <c r="I13" i="5"/>
  <c r="G12" i="7"/>
  <c r="DB12" i="5"/>
  <c r="E7" i="11"/>
  <c r="AQ8" i="5"/>
  <c r="AU8" i="1" s="1"/>
  <c r="D8" i="14"/>
  <c r="AP8" i="5"/>
  <c r="DC8" i="8"/>
  <c r="DD8"/>
  <c r="M14" i="2"/>
  <c r="DF14" i="8"/>
  <c r="DA12" i="5"/>
  <c r="AH8" i="7"/>
  <c r="AG8"/>
  <c r="AI8" s="1"/>
  <c r="R13" i="2"/>
  <c r="J14" i="8"/>
  <c r="F16" i="5"/>
  <c r="B15" i="10"/>
  <c r="D15" i="7"/>
  <c r="DY8" i="8"/>
  <c r="DZ8" s="1"/>
  <c r="C12" i="10"/>
  <c r="CZ12" i="5"/>
  <c r="E12" i="7"/>
  <c r="G13" i="5"/>
  <c r="DE14" i="8"/>
  <c r="O14" i="2"/>
  <c r="AH9" i="7"/>
  <c r="AG9"/>
  <c r="AI9" s="1"/>
  <c r="K13" i="10"/>
  <c r="AA13" i="7"/>
  <c r="AE13" i="8" s="1"/>
  <c r="BC13" s="1"/>
  <c r="BY14" i="11"/>
  <c r="CY13" i="5"/>
  <c r="F13" i="10"/>
  <c r="H13" i="7"/>
  <c r="J14" i="5"/>
  <c r="DC13"/>
  <c r="AV8" i="8"/>
  <c r="AW8" i="1" s="1"/>
  <c r="L8" s="1"/>
  <c r="E8" i="11" s="1"/>
  <c r="X13" i="1"/>
  <c r="P15" i="2"/>
  <c r="H16" i="8"/>
  <c r="N13" i="2"/>
  <c r="AU8" i="8"/>
  <c r="S14" i="2"/>
  <c r="K15" i="8"/>
  <c r="B13" i="5"/>
  <c r="DG13"/>
  <c r="EB8" i="8"/>
  <c r="DF11" i="5"/>
  <c r="J13" i="2" l="1"/>
  <c r="BK15" i="5"/>
  <c r="BK16" s="1"/>
  <c r="AC13" i="1"/>
  <c r="BC14" i="5"/>
  <c r="C3" i="8"/>
  <c r="AZ17" i="5"/>
  <c r="BP15"/>
  <c r="AB14" i="1"/>
  <c r="BE14" i="5"/>
  <c r="AE12" i="1"/>
  <c r="W12" s="1"/>
  <c r="Y3" i="2"/>
  <c r="X3" s="1"/>
  <c r="BN17" i="5"/>
  <c r="AF15" i="1"/>
  <c r="BK4"/>
  <c r="V4" i="10"/>
  <c r="AC4" i="7"/>
  <c r="C4" i="11"/>
  <c r="AN4" i="8"/>
  <c r="P3" i="7"/>
  <c r="O14" i="1"/>
  <c r="DK14" i="8" s="1"/>
  <c r="DI13"/>
  <c r="DJ13"/>
  <c r="AD10" i="9"/>
  <c r="AV10" i="1" s="1"/>
  <c r="C8" i="9"/>
  <c r="AR8" i="1"/>
  <c r="V8" s="1"/>
  <c r="K9" s="1"/>
  <c r="AR9" i="8" s="1"/>
  <c r="BN8" i="1"/>
  <c r="N13"/>
  <c r="AQ9" i="5"/>
  <c r="AU9" i="1" s="1"/>
  <c r="Y9" i="11"/>
  <c r="AH9" i="1" s="1"/>
  <c r="AB9" i="11"/>
  <c r="P9" i="8" s="1"/>
  <c r="AA9" i="11"/>
  <c r="Z9"/>
  <c r="AC9" i="2" s="1"/>
  <c r="AC9" i="11"/>
  <c r="T9" i="8" s="1"/>
  <c r="AD9" i="11"/>
  <c r="AI9" i="1" s="1"/>
  <c r="AT9" i="8"/>
  <c r="AQ9"/>
  <c r="F9" i="11"/>
  <c r="M10" i="1"/>
  <c r="AW9" i="8"/>
  <c r="AK7" i="5"/>
  <c r="AP7" i="8"/>
  <c r="CA10"/>
  <c r="CH10"/>
  <c r="BY10"/>
  <c r="BU10"/>
  <c r="AJ16" i="14"/>
  <c r="CM15" i="8"/>
  <c r="A15" i="2"/>
  <c r="A15" i="7"/>
  <c r="B15" i="14"/>
  <c r="J16" i="10"/>
  <c r="K15" i="11"/>
  <c r="A15" i="8"/>
  <c r="M15" i="5"/>
  <c r="A15" i="9"/>
  <c r="AD15" i="8"/>
  <c r="B14" i="2"/>
  <c r="B14" i="1"/>
  <c r="BI14" s="1"/>
  <c r="L15" i="11"/>
  <c r="EP10" i="8"/>
  <c r="DT10"/>
  <c r="DS10"/>
  <c r="DR10"/>
  <c r="EI9"/>
  <c r="CY10"/>
  <c r="EA10" s="1"/>
  <c r="DN10"/>
  <c r="DO10"/>
  <c r="CT11"/>
  <c r="DQ11" s="1"/>
  <c r="CU11"/>
  <c r="CS11"/>
  <c r="DP11" s="1"/>
  <c r="DB10"/>
  <c r="EC10" s="1"/>
  <c r="ED10" s="1"/>
  <c r="Y13" i="1"/>
  <c r="B4" i="8"/>
  <c r="D4" i="2" s="1"/>
  <c r="E4"/>
  <c r="L4"/>
  <c r="H4" i="11"/>
  <c r="AB4" i="7"/>
  <c r="BD4" i="8"/>
  <c r="Q16" i="2"/>
  <c r="I17" i="8"/>
  <c r="CQ11"/>
  <c r="DA11" s="1"/>
  <c r="D11" i="9"/>
  <c r="BM7" i="1"/>
  <c r="D7" i="11"/>
  <c r="AQ7" i="1"/>
  <c r="U7" s="1"/>
  <c r="J8" s="1"/>
  <c r="DC9" i="8"/>
  <c r="EE9" s="1"/>
  <c r="EF9" s="1"/>
  <c r="B11" i="7"/>
  <c r="Q11" s="1"/>
  <c r="AP9" i="5"/>
  <c r="CG10" i="8"/>
  <c r="CF10"/>
  <c r="BQ10"/>
  <c r="DY9"/>
  <c r="DZ9" s="1"/>
  <c r="AH11" i="5"/>
  <c r="AC11" i="10" s="1"/>
  <c r="Q11" i="1"/>
  <c r="E11" i="14" s="1"/>
  <c r="N10" i="11"/>
  <c r="AV11" i="5"/>
  <c r="AO10"/>
  <c r="CX10" i="8"/>
  <c r="N10" i="7"/>
  <c r="AM10" i="5"/>
  <c r="V12" i="2"/>
  <c r="AN10" i="5"/>
  <c r="C11" i="14"/>
  <c r="BP10" i="8"/>
  <c r="AU11" i="5"/>
  <c r="BT10" i="8"/>
  <c r="D13" i="10"/>
  <c r="F13" i="7"/>
  <c r="H14" i="5"/>
  <c r="A11" i="10"/>
  <c r="AA11" s="1"/>
  <c r="DL11" i="8"/>
  <c r="AE10" i="7"/>
  <c r="AF10" s="1"/>
  <c r="AL10" i="5"/>
  <c r="BO11" i="8"/>
  <c r="DM11" s="1"/>
  <c r="W11"/>
  <c r="A11" i="11"/>
  <c r="E11" i="1"/>
  <c r="AB11" i="8"/>
  <c r="BS11" i="5"/>
  <c r="AI11"/>
  <c r="BZ10" i="8"/>
  <c r="CW10"/>
  <c r="P10" i="1"/>
  <c r="AB10" i="2"/>
  <c r="EO11" i="8"/>
  <c r="BN11"/>
  <c r="B11" i="9"/>
  <c r="CV10" i="8"/>
  <c r="DX10" s="1"/>
  <c r="EB10" s="1"/>
  <c r="DH10"/>
  <c r="EH10" s="1"/>
  <c r="CO10"/>
  <c r="AV9"/>
  <c r="AW9" i="1" s="1"/>
  <c r="L9" s="1"/>
  <c r="AO9" i="8" s="1"/>
  <c r="X10" i="10"/>
  <c r="Y10" s="1"/>
  <c r="CN10" i="8"/>
  <c r="CR10"/>
  <c r="DC10" s="1"/>
  <c r="D9" i="14"/>
  <c r="DG10" i="8"/>
  <c r="EG10" s="1"/>
  <c r="AR13" i="5"/>
  <c r="AU9" i="8"/>
  <c r="A12" i="5"/>
  <c r="E12" s="1"/>
  <c r="EQ12" i="8" s="1"/>
  <c r="CZ12" s="1"/>
  <c r="G12" i="10"/>
  <c r="K13" i="5"/>
  <c r="DD12"/>
  <c r="I12" i="7"/>
  <c r="L13" i="5"/>
  <c r="J12" i="7"/>
  <c r="H12" i="10"/>
  <c r="DE12" i="5"/>
  <c r="I14"/>
  <c r="E13" i="10"/>
  <c r="DB13" i="5"/>
  <c r="G13" i="7"/>
  <c r="AT8" i="1"/>
  <c r="BO8"/>
  <c r="AO8" i="8"/>
  <c r="X14" i="1"/>
  <c r="S15" i="2"/>
  <c r="K16" i="8"/>
  <c r="DA13" i="5"/>
  <c r="CY14"/>
  <c r="DF15" i="8"/>
  <c r="M15" i="2"/>
  <c r="N14"/>
  <c r="R14"/>
  <c r="J15" i="8"/>
  <c r="H14" i="7"/>
  <c r="J15" i="5"/>
  <c r="F14" i="10"/>
  <c r="DC14" i="5"/>
  <c r="CZ13"/>
  <c r="G14"/>
  <c r="E13" i="7"/>
  <c r="C13" i="10"/>
  <c r="B16"/>
  <c r="F17" i="5"/>
  <c r="D16" i="7"/>
  <c r="DG14" i="5"/>
  <c r="P16" i="2"/>
  <c r="H17" i="8"/>
  <c r="BY15" i="11"/>
  <c r="AA14" i="7"/>
  <c r="AE14" i="8" s="1"/>
  <c r="BC14" s="1"/>
  <c r="K14" i="10"/>
  <c r="O15" i="2"/>
  <c r="DE15" i="8"/>
  <c r="EE8"/>
  <c r="EF8" s="1"/>
  <c r="DF12" i="5"/>
  <c r="AD14" i="1" l="1"/>
  <c r="J14" i="2"/>
  <c r="AC14" i="1"/>
  <c r="BC15" i="5"/>
  <c r="B14"/>
  <c r="BE15"/>
  <c r="AE13" i="1"/>
  <c r="W13" s="1"/>
  <c r="AZ18" i="5"/>
  <c r="BP16"/>
  <c r="AB15" i="1"/>
  <c r="BN18" i="5"/>
  <c r="AF16" i="1"/>
  <c r="BK17" i="5"/>
  <c r="AD15" i="1"/>
  <c r="O15"/>
  <c r="DK15" i="8" s="1"/>
  <c r="DI14"/>
  <c r="DJ14"/>
  <c r="C9" i="9"/>
  <c r="AR9" i="1"/>
  <c r="V9" s="1"/>
  <c r="K10" s="1"/>
  <c r="C10" i="9" s="1"/>
  <c r="BN9" i="1"/>
  <c r="AD11" i="9"/>
  <c r="AV11" i="1" s="1"/>
  <c r="N14"/>
  <c r="Y10" i="11"/>
  <c r="AH10" i="1" s="1"/>
  <c r="AC10" i="11"/>
  <c r="T10" i="8" s="1"/>
  <c r="AD10" i="11"/>
  <c r="AI10" i="1" s="1"/>
  <c r="AA10" i="11"/>
  <c r="Z10"/>
  <c r="AC10" i="2" s="1"/>
  <c r="AB10" i="11"/>
  <c r="P10" i="8" s="1"/>
  <c r="AT10"/>
  <c r="AQ10"/>
  <c r="F10" i="11"/>
  <c r="M11" i="1"/>
  <c r="AW10" i="8"/>
  <c r="AQ8" i="1"/>
  <c r="U8" s="1"/>
  <c r="J9" s="1"/>
  <c r="AP9" i="8" s="1"/>
  <c r="AP8"/>
  <c r="CA11"/>
  <c r="CH11"/>
  <c r="N11" i="7"/>
  <c r="BU11" i="8"/>
  <c r="AJ17" i="14"/>
  <c r="CM16" i="8"/>
  <c r="B15" i="2"/>
  <c r="B15" i="1"/>
  <c r="BI15" s="1"/>
  <c r="L16" i="11"/>
  <c r="A16" i="2"/>
  <c r="A16" i="8"/>
  <c r="A16" i="9"/>
  <c r="B16" i="14"/>
  <c r="AD16" i="8"/>
  <c r="K16" i="11"/>
  <c r="J17" i="10"/>
  <c r="M16" i="5"/>
  <c r="A16" i="7"/>
  <c r="DR11" i="8"/>
  <c r="DS11"/>
  <c r="EP11"/>
  <c r="DT11"/>
  <c r="DB11"/>
  <c r="EC11" s="1"/>
  <c r="ED11" s="1"/>
  <c r="DN11"/>
  <c r="DO11"/>
  <c r="CS12"/>
  <c r="DP12" s="1"/>
  <c r="CT12"/>
  <c r="DQ12" s="1"/>
  <c r="CU12"/>
  <c r="Y14" i="1"/>
  <c r="AG10" i="7"/>
  <c r="AI10" s="1"/>
  <c r="U4" i="2"/>
  <c r="W3" s="1"/>
  <c r="C4" s="1"/>
  <c r="Q17"/>
  <c r="I18" i="8"/>
  <c r="AE11" i="7"/>
  <c r="AF11" s="1"/>
  <c r="CX11" i="8"/>
  <c r="CV11"/>
  <c r="DX11" s="1"/>
  <c r="EB11" s="1"/>
  <c r="DG11"/>
  <c r="EG11" s="1"/>
  <c r="CW11"/>
  <c r="CY11"/>
  <c r="EA11" s="1"/>
  <c r="CQ12"/>
  <c r="DA12" s="1"/>
  <c r="D12" i="9"/>
  <c r="EI10" i="8"/>
  <c r="AL11" i="5"/>
  <c r="AM11"/>
  <c r="AO11"/>
  <c r="AT9" i="1"/>
  <c r="DD10" i="8"/>
  <c r="EE10" s="1"/>
  <c r="EF10" s="1"/>
  <c r="P11" i="1"/>
  <c r="D11" i="14" s="1"/>
  <c r="N11" i="11"/>
  <c r="D10" i="14"/>
  <c r="AP10" i="5"/>
  <c r="BT11" i="8"/>
  <c r="AQ10" i="5"/>
  <c r="AU10" i="1" s="1"/>
  <c r="AV10" i="8"/>
  <c r="AW10" i="1" s="1"/>
  <c r="L10" s="1"/>
  <c r="BO10" s="1"/>
  <c r="A13" i="5"/>
  <c r="E13" s="1"/>
  <c r="EQ13" i="8" s="1"/>
  <c r="CZ13" s="1"/>
  <c r="BZ11"/>
  <c r="BY11"/>
  <c r="AN11" i="5"/>
  <c r="DH11" i="8"/>
  <c r="EH11" s="1"/>
  <c r="CF11"/>
  <c r="DY10"/>
  <c r="DZ10" s="1"/>
  <c r="CN11"/>
  <c r="CO11"/>
  <c r="BQ11"/>
  <c r="AH10" i="7"/>
  <c r="CR11" i="8"/>
  <c r="DC11" s="1"/>
  <c r="BP11"/>
  <c r="CG11"/>
  <c r="AU10"/>
  <c r="D8" i="11"/>
  <c r="BM8" i="1"/>
  <c r="AK8" i="5"/>
  <c r="A12" i="11"/>
  <c r="F14" i="7"/>
  <c r="D14" i="10"/>
  <c r="H15" i="5"/>
  <c r="X11" i="10"/>
  <c r="Y11" s="1"/>
  <c r="AR14" i="5"/>
  <c r="V13" i="2"/>
  <c r="BN12" i="8"/>
  <c r="EO12"/>
  <c r="Q12" i="1"/>
  <c r="E12" i="14" s="1"/>
  <c r="E12" i="1"/>
  <c r="AV12" i="5"/>
  <c r="B12" i="9"/>
  <c r="B12" i="7"/>
  <c r="Q12" s="1"/>
  <c r="C12" i="14"/>
  <c r="BO12" i="8"/>
  <c r="DM12" s="1"/>
  <c r="AI12" i="5"/>
  <c r="AH12"/>
  <c r="BS12"/>
  <c r="AB11" i="2"/>
  <c r="W12" i="8"/>
  <c r="DL12"/>
  <c r="AB12"/>
  <c r="A12" i="10"/>
  <c r="AA12" s="1"/>
  <c r="AU12" i="5"/>
  <c r="DD13"/>
  <c r="I13" i="7"/>
  <c r="K14" i="5"/>
  <c r="G13" i="10"/>
  <c r="DE13" i="5"/>
  <c r="H13" i="10"/>
  <c r="J13" i="7"/>
  <c r="L14" i="5"/>
  <c r="DB14"/>
  <c r="I15"/>
  <c r="G14" i="7"/>
  <c r="E14" i="10"/>
  <c r="E9" i="11"/>
  <c r="BO9" i="1"/>
  <c r="CY15" i="5"/>
  <c r="DG15"/>
  <c r="DE16" i="8"/>
  <c r="O16" i="2"/>
  <c r="H15" i="7"/>
  <c r="J16" i="5"/>
  <c r="DC15"/>
  <c r="F15" i="10"/>
  <c r="AA15" i="7"/>
  <c r="AE15" i="8" s="1"/>
  <c r="BC15" s="1"/>
  <c r="BY16" i="11"/>
  <c r="K15" i="10"/>
  <c r="R15" i="2"/>
  <c r="J16" i="8"/>
  <c r="N15" i="2"/>
  <c r="CZ14" i="5"/>
  <c r="C14" i="10"/>
  <c r="E14" i="7"/>
  <c r="G15" i="5"/>
  <c r="M16" i="2"/>
  <c r="DF16" i="8"/>
  <c r="J15" i="2"/>
  <c r="DA14" i="5"/>
  <c r="X15" i="1"/>
  <c r="P17" i="2"/>
  <c r="H18" i="8"/>
  <c r="B17" i="10"/>
  <c r="F18" i="5"/>
  <c r="D17" i="7"/>
  <c r="K17" i="8"/>
  <c r="S16" i="2"/>
  <c r="DF13" i="5"/>
  <c r="AC15" i="1" l="1"/>
  <c r="BC16" i="5"/>
  <c r="BK18"/>
  <c r="AD16" i="1"/>
  <c r="BE16" i="5"/>
  <c r="AE14" i="1"/>
  <c r="W14" s="1"/>
  <c r="AZ19" i="5"/>
  <c r="BP17"/>
  <c r="AB16" i="1"/>
  <c r="BN19" i="5"/>
  <c r="AF17" i="1"/>
  <c r="H4" i="2"/>
  <c r="O16" i="1"/>
  <c r="DK16" i="8" s="1"/>
  <c r="DI15"/>
  <c r="DJ15"/>
  <c r="BN10" i="1"/>
  <c r="AR10" i="8"/>
  <c r="AR10" i="1"/>
  <c r="V10" s="1"/>
  <c r="K11" s="1"/>
  <c r="C11" i="9" s="1"/>
  <c r="AD12"/>
  <c r="AV12" i="1" s="1"/>
  <c r="N15"/>
  <c r="AD11" i="11"/>
  <c r="AI11" i="1" s="1"/>
  <c r="AC11" i="11"/>
  <c r="T11" i="8" s="1"/>
  <c r="AB11" i="11"/>
  <c r="P11" i="8" s="1"/>
  <c r="Z11" i="11"/>
  <c r="AC11" i="2" s="1"/>
  <c r="Y11" i="11"/>
  <c r="AH11" i="1" s="1"/>
  <c r="AA11" i="11"/>
  <c r="AT11" i="8"/>
  <c r="AQ11"/>
  <c r="M12" i="1"/>
  <c r="F11" i="11"/>
  <c r="AW11" i="8"/>
  <c r="BM9" i="1"/>
  <c r="D9" i="11"/>
  <c r="AQ9" i="1"/>
  <c r="U9" s="1"/>
  <c r="J10" s="1"/>
  <c r="AK9" i="5"/>
  <c r="CA12" i="8"/>
  <c r="CH12"/>
  <c r="BQ12"/>
  <c r="BU12"/>
  <c r="CM17"/>
  <c r="AJ18" i="14"/>
  <c r="A17" i="2"/>
  <c r="M17" i="5"/>
  <c r="A17" i="9"/>
  <c r="A17" i="7"/>
  <c r="B17" i="14"/>
  <c r="K17" i="11"/>
  <c r="J18" i="10"/>
  <c r="AD17" i="8"/>
  <c r="A17"/>
  <c r="B16" i="2"/>
  <c r="B16" i="1"/>
  <c r="BI16" s="1"/>
  <c r="L17" i="11"/>
  <c r="DR12" i="8"/>
  <c r="DS12"/>
  <c r="DH12"/>
  <c r="EH12" s="1"/>
  <c r="DT12"/>
  <c r="CY12"/>
  <c r="EA12" s="1"/>
  <c r="DN12"/>
  <c r="DO12"/>
  <c r="EO13"/>
  <c r="EP13" s="1"/>
  <c r="CS13"/>
  <c r="DP13" s="1"/>
  <c r="CT13"/>
  <c r="DQ13" s="1"/>
  <c r="CU13"/>
  <c r="Y15" i="1"/>
  <c r="AG11" i="7"/>
  <c r="AI11" s="1"/>
  <c r="AH11"/>
  <c r="I4" i="2"/>
  <c r="AA4" i="1" s="1"/>
  <c r="S4" s="1"/>
  <c r="H5" s="1"/>
  <c r="AC5" i="7" s="1"/>
  <c r="F4" i="2"/>
  <c r="G4" s="1"/>
  <c r="I19" i="8"/>
  <c r="Q18" i="2"/>
  <c r="CV12" i="8"/>
  <c r="DX12" s="1"/>
  <c r="EB12" s="1"/>
  <c r="DY11"/>
  <c r="DZ11" s="1"/>
  <c r="CX12"/>
  <c r="CW12"/>
  <c r="DB12"/>
  <c r="EC12" s="1"/>
  <c r="ED12" s="1"/>
  <c r="DG12"/>
  <c r="EG12" s="1"/>
  <c r="EI11"/>
  <c r="CQ13"/>
  <c r="DA13" s="1"/>
  <c r="D13" i="9"/>
  <c r="AQ11" i="5"/>
  <c r="AU11" i="1" s="1"/>
  <c r="Q13"/>
  <c r="E13" i="14" s="1"/>
  <c r="A13" i="11"/>
  <c r="DL13" i="8"/>
  <c r="AP11" i="5"/>
  <c r="BN13" i="8"/>
  <c r="CR13" s="1"/>
  <c r="B13" i="9"/>
  <c r="AE12" i="7"/>
  <c r="AF12" s="1"/>
  <c r="C13" i="14"/>
  <c r="BO13" i="8"/>
  <c r="DM13" s="1"/>
  <c r="AU13" i="5"/>
  <c r="AB12" i="2"/>
  <c r="AN12" i="5"/>
  <c r="AT10" i="1"/>
  <c r="AV11" i="8"/>
  <c r="AW11" i="1" s="1"/>
  <c r="L11" s="1"/>
  <c r="E11" i="11" s="1"/>
  <c r="AV13" i="5"/>
  <c r="B13" i="7"/>
  <c r="Q13" s="1"/>
  <c r="BS13" i="5"/>
  <c r="W13" i="8"/>
  <c r="AU11"/>
  <c r="CN12"/>
  <c r="DD11"/>
  <c r="EE11" s="1"/>
  <c r="EF11" s="1"/>
  <c r="AB13"/>
  <c r="E13" i="1"/>
  <c r="A13" i="10"/>
  <c r="AA13" s="1"/>
  <c r="AH13" i="5"/>
  <c r="AI13"/>
  <c r="AR15"/>
  <c r="EP12" i="8"/>
  <c r="A14" i="5"/>
  <c r="E14" s="1"/>
  <c r="EQ14" i="8" s="1"/>
  <c r="CZ14" s="1"/>
  <c r="N12" i="11"/>
  <c r="AL12" i="5"/>
  <c r="H16"/>
  <c r="D15" i="10"/>
  <c r="F15" i="7"/>
  <c r="AC12" i="10"/>
  <c r="X12" s="1"/>
  <c r="Y12" s="1"/>
  <c r="CG12" i="8"/>
  <c r="AO12" i="5"/>
  <c r="AM12"/>
  <c r="BP12" i="8"/>
  <c r="CO12"/>
  <c r="CR12"/>
  <c r="DC12" s="1"/>
  <c r="V14" i="2"/>
  <c r="BT12" i="8"/>
  <c r="BY12"/>
  <c r="BZ12"/>
  <c r="P12" i="1"/>
  <c r="D12" i="14" s="1"/>
  <c r="CF12" i="8"/>
  <c r="N12" i="7"/>
  <c r="I14"/>
  <c r="DD14" i="5"/>
  <c r="K15"/>
  <c r="G14" i="10"/>
  <c r="DE14" i="5"/>
  <c r="L15"/>
  <c r="J14" i="7"/>
  <c r="H14" i="10"/>
  <c r="DB15" i="5"/>
  <c r="G15" i="7"/>
  <c r="E15" i="10"/>
  <c r="I16" i="5"/>
  <c r="E10" i="11"/>
  <c r="AO10" i="8"/>
  <c r="H19"/>
  <c r="P18" i="2"/>
  <c r="DA15" i="5"/>
  <c r="E15" i="7"/>
  <c r="CZ15" i="5"/>
  <c r="C15" i="10"/>
  <c r="G16" i="5"/>
  <c r="O17" i="2"/>
  <c r="DE17" i="8"/>
  <c r="R16" i="2"/>
  <c r="J17" i="8"/>
  <c r="DG16" i="5"/>
  <c r="S17" i="2"/>
  <c r="K18" i="8"/>
  <c r="X16" i="1"/>
  <c r="M17" i="2"/>
  <c r="DF17" i="8"/>
  <c r="N16" i="2"/>
  <c r="CY16" i="5"/>
  <c r="B15"/>
  <c r="B18" i="10"/>
  <c r="D18" i="7"/>
  <c r="F19" i="5"/>
  <c r="AA16" i="7"/>
  <c r="AE16" i="8" s="1"/>
  <c r="BC16" s="1"/>
  <c r="K16" i="10"/>
  <c r="BY17" i="11"/>
  <c r="DC16" i="5"/>
  <c r="H16" i="7"/>
  <c r="J17" i="5"/>
  <c r="F16" i="10"/>
  <c r="DF14" i="5"/>
  <c r="BC17" l="1"/>
  <c r="AC16" i="1"/>
  <c r="BP18" i="5"/>
  <c r="AB17" i="1"/>
  <c r="BK19" i="5"/>
  <c r="AD17" i="1"/>
  <c r="BN20" i="5"/>
  <c r="AF18" i="1"/>
  <c r="BE17" i="5"/>
  <c r="B17" s="1"/>
  <c r="AE15" i="1"/>
  <c r="W15" s="1"/>
  <c r="AZ20" i="5"/>
  <c r="F4" i="1"/>
  <c r="O17"/>
  <c r="DK17" i="8" s="1"/>
  <c r="DJ16"/>
  <c r="DI16"/>
  <c r="BN11" i="1"/>
  <c r="AD13" i="9"/>
  <c r="AV13" i="1" s="1"/>
  <c r="AR11" i="8"/>
  <c r="AR11" i="1"/>
  <c r="V11" s="1"/>
  <c r="K12" s="1"/>
  <c r="C12" i="9" s="1"/>
  <c r="N16" i="1"/>
  <c r="C4" i="8"/>
  <c r="Z4" i="2"/>
  <c r="Z5" i="8" s="1"/>
  <c r="AA12" i="11"/>
  <c r="Z12"/>
  <c r="AC12" i="2" s="1"/>
  <c r="AB12" i="11"/>
  <c r="P12" i="8" s="1"/>
  <c r="Y12" i="11"/>
  <c r="AH12" i="1" s="1"/>
  <c r="AC12" i="11"/>
  <c r="T12" i="8" s="1"/>
  <c r="AD12" i="11"/>
  <c r="AI12" i="1" s="1"/>
  <c r="AT12" i="8"/>
  <c r="AQ12"/>
  <c r="F12" i="11"/>
  <c r="M13" i="1"/>
  <c r="AW12" i="8"/>
  <c r="BM10" i="1"/>
  <c r="AP10" i="8"/>
  <c r="CA13"/>
  <c r="CH13"/>
  <c r="BY13"/>
  <c r="BU13"/>
  <c r="EI12"/>
  <c r="CM18"/>
  <c r="AJ19" i="14"/>
  <c r="B17" i="1"/>
  <c r="BI17" s="1"/>
  <c r="B17" i="2"/>
  <c r="L18" i="11"/>
  <c r="A18" i="2"/>
  <c r="A18" i="7"/>
  <c r="K18" i="11"/>
  <c r="B18" i="14"/>
  <c r="AD18" i="8"/>
  <c r="A18" i="9"/>
  <c r="J19" i="10"/>
  <c r="M18" i="5"/>
  <c r="A18" i="8"/>
  <c r="DR13"/>
  <c r="DS13"/>
  <c r="DH13"/>
  <c r="EH13" s="1"/>
  <c r="DT13"/>
  <c r="CW13"/>
  <c r="DN13"/>
  <c r="DO13"/>
  <c r="CS14"/>
  <c r="DP14" s="1"/>
  <c r="CT14"/>
  <c r="DQ14" s="1"/>
  <c r="CU14"/>
  <c r="Y16" i="1"/>
  <c r="AJ5" i="5"/>
  <c r="V5" i="10"/>
  <c r="BK5" i="1"/>
  <c r="C5" i="11"/>
  <c r="J4"/>
  <c r="P4" i="7" s="1"/>
  <c r="AN5" i="8"/>
  <c r="I4" i="11"/>
  <c r="O4" i="7"/>
  <c r="AG12"/>
  <c r="AI12" s="1"/>
  <c r="AP4" i="1"/>
  <c r="T4" s="1"/>
  <c r="I5" s="1"/>
  <c r="AO5" s="1"/>
  <c r="I20" i="8"/>
  <c r="Q19" i="2"/>
  <c r="AO13" i="5"/>
  <c r="DY12" i="8"/>
  <c r="DZ12" s="1"/>
  <c r="DG13"/>
  <c r="EG13" s="1"/>
  <c r="CY13"/>
  <c r="EA13" s="1"/>
  <c r="CV13"/>
  <c r="DX13" s="1"/>
  <c r="EB13" s="1"/>
  <c r="DB13"/>
  <c r="EC13" s="1"/>
  <c r="ED13" s="1"/>
  <c r="CX13"/>
  <c r="CQ14"/>
  <c r="DA14" s="1"/>
  <c r="DL14"/>
  <c r="D14" i="9"/>
  <c r="AE13" i="7"/>
  <c r="AF13" s="1"/>
  <c r="AN13" i="5"/>
  <c r="AC13" i="10"/>
  <c r="X13" s="1"/>
  <c r="Y13" s="1"/>
  <c r="AH12" i="7"/>
  <c r="CN13" i="8"/>
  <c r="AV14" i="5"/>
  <c r="A14" i="10"/>
  <c r="AA14" s="1"/>
  <c r="AT11" i="1"/>
  <c r="AI14" i="5"/>
  <c r="W14" i="8"/>
  <c r="BO14"/>
  <c r="DM14" s="1"/>
  <c r="AQ10" i="1"/>
  <c r="U10" s="1"/>
  <c r="J11" s="1"/>
  <c r="N13" i="11"/>
  <c r="AK10" i="5"/>
  <c r="AB14" i="8"/>
  <c r="AQ12" i="5"/>
  <c r="AU12" i="1" s="1"/>
  <c r="B14" i="7"/>
  <c r="Q14" s="1"/>
  <c r="EO14" i="8"/>
  <c r="D10" i="11"/>
  <c r="CF13" i="8"/>
  <c r="AP12" i="5"/>
  <c r="CO13" i="8"/>
  <c r="CG13"/>
  <c r="BQ13"/>
  <c r="BP13"/>
  <c r="N13" i="7"/>
  <c r="BT13" i="8"/>
  <c r="BZ13"/>
  <c r="AM13" i="5"/>
  <c r="AL13"/>
  <c r="BN14" i="8"/>
  <c r="CR14" s="1"/>
  <c r="BS14" i="5"/>
  <c r="E14" i="1"/>
  <c r="Q14"/>
  <c r="E14" i="14" s="1"/>
  <c r="AH14" i="5"/>
  <c r="AU14"/>
  <c r="A14" i="11"/>
  <c r="B14" i="9"/>
  <c r="AB13" i="2"/>
  <c r="C14" i="14"/>
  <c r="P13" i="1"/>
  <c r="D13" i="14" s="1"/>
  <c r="F16" i="7"/>
  <c r="H17" i="5"/>
  <c r="D16" i="10"/>
  <c r="AV12" i="8"/>
  <c r="AW12" i="1" s="1"/>
  <c r="L12" s="1"/>
  <c r="AO12" i="8" s="1"/>
  <c r="AU12"/>
  <c r="DD12"/>
  <c r="EE12" s="1"/>
  <c r="EF12" s="1"/>
  <c r="A15" i="5"/>
  <c r="E15" s="1"/>
  <c r="EQ15" i="8" s="1"/>
  <c r="CZ15" s="1"/>
  <c r="DD15" i="5"/>
  <c r="I15" i="7"/>
  <c r="K16" i="5"/>
  <c r="G15" i="10"/>
  <c r="V15" i="2"/>
  <c r="L16" i="5"/>
  <c r="J15" i="7"/>
  <c r="DE15" i="5"/>
  <c r="H15" i="10"/>
  <c r="AR16" i="5"/>
  <c r="E16" i="10"/>
  <c r="DB16" i="5"/>
  <c r="I17"/>
  <c r="G16" i="7"/>
  <c r="AO11" i="8"/>
  <c r="BO11" i="1"/>
  <c r="N17" i="2"/>
  <c r="X17" i="1"/>
  <c r="B19" i="10"/>
  <c r="D19" i="7"/>
  <c r="F20" i="5"/>
  <c r="CY17"/>
  <c r="DA16"/>
  <c r="E16" i="7"/>
  <c r="C16" i="10"/>
  <c r="G17" i="5"/>
  <c r="CZ16"/>
  <c r="DF18" i="8"/>
  <c r="M18" i="2"/>
  <c r="DG17" i="5"/>
  <c r="DE18" i="8"/>
  <c r="O18" i="2"/>
  <c r="DC13" i="8"/>
  <c r="DD13"/>
  <c r="S18" i="2"/>
  <c r="K19" i="8"/>
  <c r="J16" i="2"/>
  <c r="P19"/>
  <c r="H20" i="8"/>
  <c r="F17" i="10"/>
  <c r="J18" i="5"/>
  <c r="DC17"/>
  <c r="H17" i="7"/>
  <c r="AA17"/>
  <c r="AE17" i="8" s="1"/>
  <c r="BC17" s="1"/>
  <c r="K17" i="10"/>
  <c r="BY18" i="11"/>
  <c r="B16" i="5"/>
  <c r="J18" i="8"/>
  <c r="R17" i="2"/>
  <c r="DF15" i="5"/>
  <c r="Y4" i="2" l="1"/>
  <c r="X4" s="1"/>
  <c r="AC17" i="1"/>
  <c r="BC18" i="5"/>
  <c r="BP19"/>
  <c r="AB18" i="1"/>
  <c r="AZ21" i="5"/>
  <c r="BK20"/>
  <c r="AD18" i="1"/>
  <c r="BN21" i="5"/>
  <c r="AF19" i="1"/>
  <c r="BE18" i="5"/>
  <c r="J18" i="2" s="1"/>
  <c r="AE16" i="1"/>
  <c r="W16" s="1"/>
  <c r="O18"/>
  <c r="DK18" i="8" s="1"/>
  <c r="DI17"/>
  <c r="DJ17"/>
  <c r="AR12" i="1"/>
  <c r="V12" s="1"/>
  <c r="K13" s="1"/>
  <c r="BN13" s="1"/>
  <c r="BN12"/>
  <c r="AR12" i="8"/>
  <c r="AD14" i="9"/>
  <c r="AV14" i="1" s="1"/>
  <c r="N17"/>
  <c r="AA13" i="11"/>
  <c r="Y13"/>
  <c r="AH13" i="1" s="1"/>
  <c r="Z13" i="11"/>
  <c r="AC13" i="2" s="1"/>
  <c r="AC13" i="11"/>
  <c r="T13" i="8" s="1"/>
  <c r="AD13" i="11"/>
  <c r="AI13" i="1" s="1"/>
  <c r="AB13" i="11"/>
  <c r="P13" i="8" s="1"/>
  <c r="AT13"/>
  <c r="AW13"/>
  <c r="AQ13"/>
  <c r="M14" i="1"/>
  <c r="F13" i="11"/>
  <c r="BL5" i="1"/>
  <c r="AS5" i="8"/>
  <c r="AQ11" i="1"/>
  <c r="U11" s="1"/>
  <c r="J12" s="1"/>
  <c r="AP11" i="8"/>
  <c r="BU14"/>
  <c r="CA14"/>
  <c r="CH14"/>
  <c r="AJ20" i="14"/>
  <c r="CM19" i="8"/>
  <c r="A19" i="2"/>
  <c r="A19" i="7"/>
  <c r="A19" i="9"/>
  <c r="K19" i="11"/>
  <c r="M19" i="5"/>
  <c r="J20" i="10"/>
  <c r="AD19" i="8"/>
  <c r="B19" i="14"/>
  <c r="A19" i="8"/>
  <c r="B18" i="1"/>
  <c r="BI18" s="1"/>
  <c r="L19" i="11"/>
  <c r="B18" i="2"/>
  <c r="DS14" i="8"/>
  <c r="DR14"/>
  <c r="DH14"/>
  <c r="EH14" s="1"/>
  <c r="DT14"/>
  <c r="EI13"/>
  <c r="DY13"/>
  <c r="DZ13" s="1"/>
  <c r="CV14"/>
  <c r="DX14" s="1"/>
  <c r="EB14" s="1"/>
  <c r="DN14"/>
  <c r="DO14"/>
  <c r="CS15"/>
  <c r="DP15" s="1"/>
  <c r="CT15"/>
  <c r="DQ15" s="1"/>
  <c r="CU15"/>
  <c r="L5" i="2"/>
  <c r="Y17" i="1"/>
  <c r="F4" i="9"/>
  <c r="AH13" i="7"/>
  <c r="Q20" i="2"/>
  <c r="I21" i="8"/>
  <c r="N14" i="7"/>
  <c r="AG13"/>
  <c r="AI13" s="1"/>
  <c r="CG14" i="8"/>
  <c r="AQ13" i="5"/>
  <c r="AU13" i="1" s="1"/>
  <c r="CY14" i="8"/>
  <c r="EA14" s="1"/>
  <c r="CX14"/>
  <c r="DG14"/>
  <c r="EG14" s="1"/>
  <c r="CW14"/>
  <c r="DB14"/>
  <c r="EC14" s="1"/>
  <c r="ED14" s="1"/>
  <c r="AP13" i="5"/>
  <c r="BT14" i="8"/>
  <c r="AN14" i="5"/>
  <c r="AM14"/>
  <c r="BM11" i="1"/>
  <c r="AK11" i="5"/>
  <c r="D11" i="11"/>
  <c r="BQ14" i="8"/>
  <c r="AE14" i="7"/>
  <c r="AF14" s="1"/>
  <c r="BP14" i="8"/>
  <c r="BY14"/>
  <c r="BZ14"/>
  <c r="CF14"/>
  <c r="EP14"/>
  <c r="AT12" i="1"/>
  <c r="AV13" i="8"/>
  <c r="AW13" i="1" s="1"/>
  <c r="L13" s="1"/>
  <c r="AO13" i="8" s="1"/>
  <c r="AU13"/>
  <c r="AL14" i="5"/>
  <c r="AO14"/>
  <c r="AC14" i="10"/>
  <c r="X14" s="1"/>
  <c r="Y14" s="1"/>
  <c r="CN14" i="8"/>
  <c r="N14" i="11"/>
  <c r="P14" i="1"/>
  <c r="D14" i="14" s="1"/>
  <c r="CO14" i="8"/>
  <c r="D15" i="9"/>
  <c r="AR17" i="5"/>
  <c r="D17" i="10"/>
  <c r="F17" i="7"/>
  <c r="H18" i="5"/>
  <c r="A16"/>
  <c r="E16" s="1"/>
  <c r="EQ16" i="8" s="1"/>
  <c r="CZ16" s="1"/>
  <c r="V16" i="2"/>
  <c r="E12" i="11"/>
  <c r="DD16" i="5"/>
  <c r="K17"/>
  <c r="G16" i="10"/>
  <c r="I16" i="7"/>
  <c r="DE16" i="5"/>
  <c r="H16" i="10"/>
  <c r="J16" i="7"/>
  <c r="L17" i="5"/>
  <c r="BO12" i="1"/>
  <c r="DB17" i="5"/>
  <c r="E17" i="10"/>
  <c r="G17" i="7"/>
  <c r="I18" i="5"/>
  <c r="CY18"/>
  <c r="M19" i="2"/>
  <c r="DF19" i="8"/>
  <c r="AA18" i="7"/>
  <c r="AE18" i="8" s="1"/>
  <c r="BC18" s="1"/>
  <c r="BY19" i="11"/>
  <c r="K18" i="10"/>
  <c r="P20" i="2"/>
  <c r="H21" i="8"/>
  <c r="DE19"/>
  <c r="O19" i="2"/>
  <c r="DA17" i="5"/>
  <c r="J17" i="2"/>
  <c r="DC18" i="5"/>
  <c r="H18" i="7"/>
  <c r="J19" i="5"/>
  <c r="F18" i="10"/>
  <c r="Q15" i="1"/>
  <c r="E15" i="14" s="1"/>
  <c r="AV15" i="5"/>
  <c r="AU15"/>
  <c r="B15" i="7"/>
  <c r="BO15" i="8"/>
  <c r="DM15" s="1"/>
  <c r="BS15" i="5"/>
  <c r="E15" i="1"/>
  <c r="AI15" i="5"/>
  <c r="B15" i="9"/>
  <c r="BN15" i="8"/>
  <c r="C15" i="14"/>
  <c r="A15" i="10"/>
  <c r="AA15" s="1"/>
  <c r="A15" i="11"/>
  <c r="AH15" i="5"/>
  <c r="W15" i="8"/>
  <c r="AB14" i="2"/>
  <c r="AB15" i="8"/>
  <c r="EO15"/>
  <c r="DT15" s="1"/>
  <c r="DL15"/>
  <c r="CQ15"/>
  <c r="DA15" s="1"/>
  <c r="N18" i="2"/>
  <c r="DD14" i="8"/>
  <c r="DC14"/>
  <c r="R18" i="2"/>
  <c r="J19" i="8"/>
  <c r="DG18" i="5"/>
  <c r="X18" i="1"/>
  <c r="EE13" i="8"/>
  <c r="EF13" s="1"/>
  <c r="S19" i="2"/>
  <c r="K20" i="8"/>
  <c r="E17" i="7"/>
  <c r="G18" i="5"/>
  <c r="CZ17"/>
  <c r="C17" i="10"/>
  <c r="D20" i="7"/>
  <c r="B20" i="10"/>
  <c r="F21" i="5"/>
  <c r="DF16"/>
  <c r="AC18" i="1" l="1"/>
  <c r="BC19" i="5"/>
  <c r="BN22"/>
  <c r="AF20" i="1"/>
  <c r="BE19" i="5"/>
  <c r="AE17" i="1"/>
  <c r="W17" s="1"/>
  <c r="BP20" i="5"/>
  <c r="AB19" i="1"/>
  <c r="AZ22" i="5"/>
  <c r="BK21"/>
  <c r="AD19" i="1"/>
  <c r="O19"/>
  <c r="DK19" i="8" s="1"/>
  <c r="DI18"/>
  <c r="DJ18"/>
  <c r="AR13" i="1"/>
  <c r="V13" s="1"/>
  <c r="K14" s="1"/>
  <c r="C14" i="9" s="1"/>
  <c r="C13"/>
  <c r="AR13" i="8"/>
  <c r="AD15" i="9"/>
  <c r="AV15" i="1" s="1"/>
  <c r="N18"/>
  <c r="AA14" i="11"/>
  <c r="AC14"/>
  <c r="T14" i="8" s="1"/>
  <c r="Y14" i="11"/>
  <c r="AH14" i="1" s="1"/>
  <c r="Z14" i="11"/>
  <c r="AC14" i="2" s="1"/>
  <c r="AB14" i="11"/>
  <c r="P14" i="8" s="1"/>
  <c r="AD14" i="11"/>
  <c r="AI14" i="1" s="1"/>
  <c r="AT14" i="8"/>
  <c r="AQ14"/>
  <c r="F14" i="11"/>
  <c r="M15" i="1"/>
  <c r="AW14" i="8"/>
  <c r="BM12" i="1"/>
  <c r="AP12" i="8"/>
  <c r="BU15"/>
  <c r="CA15"/>
  <c r="CH15"/>
  <c r="AJ21" i="14"/>
  <c r="CM20" i="8"/>
  <c r="EI14"/>
  <c r="B19" i="2"/>
  <c r="B19" i="1"/>
  <c r="BI19" s="1"/>
  <c r="L20" i="11"/>
  <c r="A20" i="2"/>
  <c r="M20" i="5"/>
  <c r="J21" i="10"/>
  <c r="B20" i="14"/>
  <c r="A20" i="7"/>
  <c r="AD20" i="8"/>
  <c r="K20" i="11"/>
  <c r="A20" i="9"/>
  <c r="A20" i="8"/>
  <c r="DR15"/>
  <c r="DS15"/>
  <c r="DN15"/>
  <c r="DO15"/>
  <c r="CU16"/>
  <c r="CT16"/>
  <c r="DQ16" s="1"/>
  <c r="CS16"/>
  <c r="DP16" s="1"/>
  <c r="B5"/>
  <c r="D5" i="2" s="1"/>
  <c r="BD5" i="8"/>
  <c r="AB5" i="7"/>
  <c r="E5" i="2"/>
  <c r="H5" i="11"/>
  <c r="B18" i="5"/>
  <c r="Y18" i="1"/>
  <c r="AH14" i="7"/>
  <c r="Q21" i="2"/>
  <c r="I22" i="8"/>
  <c r="AQ14" i="5"/>
  <c r="AU14" i="1" s="1"/>
  <c r="DY14" i="8"/>
  <c r="DZ14" s="1"/>
  <c r="AT13" i="1"/>
  <c r="CQ16" i="8"/>
  <c r="DA16" s="1"/>
  <c r="AP14" i="5"/>
  <c r="AK12"/>
  <c r="AQ12" i="1"/>
  <c r="U12" s="1"/>
  <c r="J13" s="1"/>
  <c r="D12" i="11"/>
  <c r="AV14" i="8"/>
  <c r="AW14" i="1" s="1"/>
  <c r="L14" s="1"/>
  <c r="BO14" s="1"/>
  <c r="AG14" i="7"/>
  <c r="AI14" s="1"/>
  <c r="A17" i="5"/>
  <c r="E17" s="1"/>
  <c r="AU14" i="8"/>
  <c r="AR18" i="5"/>
  <c r="BO13" i="1"/>
  <c r="C16" i="14"/>
  <c r="V17" i="2"/>
  <c r="BS16" i="5"/>
  <c r="H19"/>
  <c r="F18" i="7"/>
  <c r="D18" i="10"/>
  <c r="BO16" i="8"/>
  <c r="DM16" s="1"/>
  <c r="B16" i="9"/>
  <c r="E16" i="1"/>
  <c r="BN16" i="8"/>
  <c r="CR16" s="1"/>
  <c r="AH16" i="5"/>
  <c r="AC16" i="10" s="1"/>
  <c r="AI16" i="5"/>
  <c r="AB15" i="2"/>
  <c r="B16" i="7"/>
  <c r="Q16" s="1"/>
  <c r="DL16" i="8"/>
  <c r="AB16"/>
  <c r="AV16" i="5"/>
  <c r="Q16" i="1"/>
  <c r="E16" i="14" s="1"/>
  <c r="EO16" i="8"/>
  <c r="A16" i="11"/>
  <c r="A16" i="10"/>
  <c r="AA16" s="1"/>
  <c r="W16" i="8"/>
  <c r="AU16" i="5"/>
  <c r="E13" i="11"/>
  <c r="K18" i="5"/>
  <c r="I17" i="7"/>
  <c r="G17" i="10"/>
  <c r="DD17" i="5"/>
  <c r="L18"/>
  <c r="J17" i="7"/>
  <c r="H17" i="10"/>
  <c r="DE17" i="5"/>
  <c r="I19"/>
  <c r="DB18"/>
  <c r="G18" i="7"/>
  <c r="E18" i="10"/>
  <c r="P15" i="1"/>
  <c r="CN15" i="8"/>
  <c r="CO15"/>
  <c r="CR15"/>
  <c r="D16" i="9"/>
  <c r="CZ18" i="5"/>
  <c r="C18" i="10"/>
  <c r="G19" i="5"/>
  <c r="E18" i="7"/>
  <c r="Q15"/>
  <c r="AE15"/>
  <c r="AF15" s="1"/>
  <c r="M20" i="2"/>
  <c r="DF20" i="8"/>
  <c r="DB15"/>
  <c r="EC15" s="1"/>
  <c r="ED15" s="1"/>
  <c r="CY15"/>
  <c r="EA15" s="1"/>
  <c r="CW15"/>
  <c r="DG15"/>
  <c r="EG15" s="1"/>
  <c r="CX15"/>
  <c r="CV15"/>
  <c r="DX15" s="1"/>
  <c r="K19" i="10"/>
  <c r="BY20" i="11"/>
  <c r="AA19" i="7"/>
  <c r="AE19" i="8" s="1"/>
  <c r="BC19" s="1"/>
  <c r="CY19" i="5"/>
  <c r="X19" i="1"/>
  <c r="D21" i="7"/>
  <c r="F22" i="5"/>
  <c r="B21" i="10"/>
  <c r="S20" i="2"/>
  <c r="K21" i="8"/>
  <c r="N15" i="11"/>
  <c r="F19" i="10"/>
  <c r="H19" i="7"/>
  <c r="DC19" i="5"/>
  <c r="J20"/>
  <c r="DH15" i="8"/>
  <c r="EH15" s="1"/>
  <c r="EP15"/>
  <c r="AC15" i="10"/>
  <c r="X15" s="1"/>
  <c r="Y15" s="1"/>
  <c r="AO15" i="5"/>
  <c r="AM15"/>
  <c r="AL15"/>
  <c r="R19" i="2"/>
  <c r="J20" i="8"/>
  <c r="BQ15"/>
  <c r="BP15"/>
  <c r="N15" i="7"/>
  <c r="BT15" i="8"/>
  <c r="BY15"/>
  <c r="BZ15"/>
  <c r="CF15"/>
  <c r="CG15"/>
  <c r="P21" i="2"/>
  <c r="H22" i="8"/>
  <c r="EE14"/>
  <c r="EF14" s="1"/>
  <c r="N19" i="2"/>
  <c r="DG19" i="5"/>
  <c r="DA18"/>
  <c r="O20" i="2"/>
  <c r="DE20" i="8"/>
  <c r="AN15" i="5"/>
  <c r="DF17"/>
  <c r="J19" i="2" l="1"/>
  <c r="AC19" i="1"/>
  <c r="BC20" i="5"/>
  <c r="AZ23"/>
  <c r="BN23"/>
  <c r="AF21" i="1"/>
  <c r="BK22" i="5"/>
  <c r="AD20" i="1"/>
  <c r="BE20" i="5"/>
  <c r="AE18" i="1"/>
  <c r="W18" s="1"/>
  <c r="BP21" i="5"/>
  <c r="AB20" i="1"/>
  <c r="O20"/>
  <c r="DK20" i="8" s="1"/>
  <c r="DI19"/>
  <c r="DJ19"/>
  <c r="EO17"/>
  <c r="DT17" s="1"/>
  <c r="EQ17"/>
  <c r="CZ17" s="1"/>
  <c r="BN14" i="1"/>
  <c r="AR14"/>
  <c r="V14" s="1"/>
  <c r="K15" s="1"/>
  <c r="AR15" i="8" s="1"/>
  <c r="AR14"/>
  <c r="AD16" i="9"/>
  <c r="AV16" i="1" s="1"/>
  <c r="N19"/>
  <c r="AA15" i="11"/>
  <c r="Y15"/>
  <c r="AH15" i="1" s="1"/>
  <c r="AC15" i="11"/>
  <c r="T15" i="8" s="1"/>
  <c r="AD15" i="11"/>
  <c r="AI15" i="1" s="1"/>
  <c r="AB15" i="11"/>
  <c r="P15" i="8" s="1"/>
  <c r="Z15" i="11"/>
  <c r="AC15" i="2" s="1"/>
  <c r="AT15" i="8"/>
  <c r="AQ15"/>
  <c r="F15" i="11"/>
  <c r="M16" i="1"/>
  <c r="AW15" i="8"/>
  <c r="AK13" i="5"/>
  <c r="AP13" i="8"/>
  <c r="CA16"/>
  <c r="CH16"/>
  <c r="CG16"/>
  <c r="BU16"/>
  <c r="N16" i="11"/>
  <c r="A21" i="2"/>
  <c r="K21" i="11"/>
  <c r="A21" i="9"/>
  <c r="A21" i="7"/>
  <c r="A21" i="8"/>
  <c r="M21" i="5"/>
  <c r="J22" i="10"/>
  <c r="B21" i="14"/>
  <c r="AD21" i="8"/>
  <c r="AJ22" i="14"/>
  <c r="CM21" i="8"/>
  <c r="L21" i="11"/>
  <c r="B20" i="1"/>
  <c r="BI20" s="1"/>
  <c r="B20" i="2"/>
  <c r="DR16" i="8"/>
  <c r="DS16"/>
  <c r="DH16"/>
  <c r="EH16" s="1"/>
  <c r="DT16"/>
  <c r="CX16"/>
  <c r="DN16"/>
  <c r="DO16"/>
  <c r="AB16" i="2"/>
  <c r="CS17" i="8"/>
  <c r="DP17" s="1"/>
  <c r="CT17"/>
  <c r="DQ17" s="1"/>
  <c r="CU17"/>
  <c r="U5" i="2"/>
  <c r="W4" s="1"/>
  <c r="C5" s="1"/>
  <c r="Y19" i="1"/>
  <c r="BN17" i="8"/>
  <c r="CN17" s="1"/>
  <c r="Q22" i="2"/>
  <c r="I23" i="8"/>
  <c r="A17" i="11"/>
  <c r="E17" i="1"/>
  <c r="CV16" i="8"/>
  <c r="DX16" s="1"/>
  <c r="EB16" s="1"/>
  <c r="DG16"/>
  <c r="EG16" s="1"/>
  <c r="CW16"/>
  <c r="DB16"/>
  <c r="EC16" s="1"/>
  <c r="ED16" s="1"/>
  <c r="CY16"/>
  <c r="EA16" s="1"/>
  <c r="CQ17"/>
  <c r="DA17" s="1"/>
  <c r="DL17"/>
  <c r="AT14" i="1"/>
  <c r="AI17" i="5"/>
  <c r="BM13" i="1"/>
  <c r="D13" i="11"/>
  <c r="AQ13" i="1"/>
  <c r="U13" s="1"/>
  <c r="J14" s="1"/>
  <c r="BS17" i="5"/>
  <c r="W17" i="8"/>
  <c r="AE16" i="7"/>
  <c r="AF16" s="1"/>
  <c r="AB17" i="8"/>
  <c r="BO17"/>
  <c r="DM17" s="1"/>
  <c r="AU17" i="5"/>
  <c r="AV17"/>
  <c r="C17" i="14"/>
  <c r="A17" i="10"/>
  <c r="AA17" s="1"/>
  <c r="B17" i="9"/>
  <c r="B17" i="7"/>
  <c r="AE17" s="1"/>
  <c r="AF17" s="1"/>
  <c r="AH17" i="5"/>
  <c r="AC17" i="10" s="1"/>
  <c r="Q17" i="1"/>
  <c r="E17" i="14" s="1"/>
  <c r="BY16" i="8"/>
  <c r="CF16"/>
  <c r="BQ16"/>
  <c r="BP16"/>
  <c r="N16" i="7"/>
  <c r="BT16" i="8"/>
  <c r="BZ16"/>
  <c r="CO16"/>
  <c r="CN16"/>
  <c r="AL16" i="5"/>
  <c r="D17" i="9"/>
  <c r="X16" i="10"/>
  <c r="Y16" s="1"/>
  <c r="AM16" i="5"/>
  <c r="EP16" i="8"/>
  <c r="D19" i="10"/>
  <c r="H20" i="5"/>
  <c r="F19" i="7"/>
  <c r="AO16" i="5"/>
  <c r="AN16"/>
  <c r="P16" i="1"/>
  <c r="D16" i="14" s="1"/>
  <c r="V18" i="2"/>
  <c r="AO14" i="8"/>
  <c r="E14" i="11"/>
  <c r="A18" i="5"/>
  <c r="E18" s="1"/>
  <c r="EQ18" i="8" s="1"/>
  <c r="CZ18" s="1"/>
  <c r="AR19" i="5"/>
  <c r="DE18"/>
  <c r="J18" i="7"/>
  <c r="H18" i="10"/>
  <c r="L19" i="5"/>
  <c r="DD18"/>
  <c r="K19"/>
  <c r="G18" i="10"/>
  <c r="I18" i="7"/>
  <c r="G19"/>
  <c r="I20" i="5"/>
  <c r="E19" i="10"/>
  <c r="DB19" i="5"/>
  <c r="AQ15"/>
  <c r="AU15" i="1" s="1"/>
  <c r="D15" i="14"/>
  <c r="DY15" i="8"/>
  <c r="DZ15" s="1"/>
  <c r="AU15"/>
  <c r="AV15"/>
  <c r="AW15" i="1" s="1"/>
  <c r="L15" s="1"/>
  <c r="E15" i="11" s="1"/>
  <c r="DF21" i="8"/>
  <c r="M21" i="2"/>
  <c r="EI15" i="8"/>
  <c r="CY20" i="5"/>
  <c r="F23"/>
  <c r="D22" i="7"/>
  <c r="B22" i="10"/>
  <c r="S21" i="2"/>
  <c r="K22" i="8"/>
  <c r="AH15" i="7"/>
  <c r="AG15"/>
  <c r="AI15" s="1"/>
  <c r="DG20" i="5"/>
  <c r="DD16" i="8"/>
  <c r="DC16"/>
  <c r="EB15"/>
  <c r="CZ19" i="5"/>
  <c r="G20"/>
  <c r="E19" i="7"/>
  <c r="C19" i="10"/>
  <c r="J20" i="2"/>
  <c r="DA19" i="5"/>
  <c r="X20" i="1"/>
  <c r="O21" i="2"/>
  <c r="DE21" i="8"/>
  <c r="N20" i="2"/>
  <c r="P22"/>
  <c r="H23" i="8"/>
  <c r="H20" i="7"/>
  <c r="DC20" i="5"/>
  <c r="F20" i="10"/>
  <c r="J21" i="5"/>
  <c r="BY21" i="11"/>
  <c r="K20" i="10"/>
  <c r="AA20" i="7"/>
  <c r="AE20" i="8" s="1"/>
  <c r="BC20" s="1"/>
  <c r="DC15"/>
  <c r="DD15"/>
  <c r="B19" i="5"/>
  <c r="AP15"/>
  <c r="J21" i="8"/>
  <c r="R20" i="2"/>
  <c r="DF18" i="5"/>
  <c r="AC20" i="1" l="1"/>
  <c r="BC21" i="5"/>
  <c r="EP17" i="8"/>
  <c r="DH17"/>
  <c r="EH17" s="1"/>
  <c r="BE21" i="5"/>
  <c r="AE19" i="1"/>
  <c r="W19" s="1"/>
  <c r="AZ24" i="5"/>
  <c r="BP22"/>
  <c r="AB21" i="1"/>
  <c r="BN24" i="5"/>
  <c r="AF22" i="1"/>
  <c r="BK23" i="5"/>
  <c r="AD21" i="1"/>
  <c r="I5" i="2"/>
  <c r="O21" i="1"/>
  <c r="DK21" i="8" s="1"/>
  <c r="DJ20"/>
  <c r="DI20"/>
  <c r="AR15" i="1"/>
  <c r="V15" s="1"/>
  <c r="K16" s="1"/>
  <c r="AR16" i="8" s="1"/>
  <c r="BN15" i="1"/>
  <c r="C15" i="9"/>
  <c r="AD17"/>
  <c r="AV17" i="1" s="1"/>
  <c r="N20"/>
  <c r="AA16" i="11"/>
  <c r="AB16"/>
  <c r="P16" i="8" s="1"/>
  <c r="Y16" i="11"/>
  <c r="AH16" i="1" s="1"/>
  <c r="Z16" i="11"/>
  <c r="AC16" i="2" s="1"/>
  <c r="AC16" i="11"/>
  <c r="T16" i="8" s="1"/>
  <c r="AD16" i="11"/>
  <c r="AI16" i="1" s="1"/>
  <c r="AT16" i="8"/>
  <c r="AQ16"/>
  <c r="F16" i="11"/>
  <c r="M17" i="1"/>
  <c r="AW16" i="8"/>
  <c r="BM14" i="1"/>
  <c r="AP14" i="8"/>
  <c r="CA17"/>
  <c r="CH17"/>
  <c r="BZ17"/>
  <c r="BU17"/>
  <c r="L22" i="11"/>
  <c r="B21" i="1"/>
  <c r="BI21" s="1"/>
  <c r="B21" i="2"/>
  <c r="AJ23" i="14"/>
  <c r="CM22" i="8"/>
  <c r="A22" i="2"/>
  <c r="K22" i="11"/>
  <c r="A22" i="9"/>
  <c r="A22" i="8"/>
  <c r="M22" i="5"/>
  <c r="J23" i="10"/>
  <c r="AD22" i="8"/>
  <c r="B22" i="14"/>
  <c r="A22" i="7"/>
  <c r="DR17" i="8"/>
  <c r="DS17"/>
  <c r="EI16"/>
  <c r="DY16"/>
  <c r="DZ16" s="1"/>
  <c r="CV17"/>
  <c r="DX17" s="1"/>
  <c r="EB17" s="1"/>
  <c r="DN17"/>
  <c r="DO17"/>
  <c r="CS18"/>
  <c r="DP18" s="1"/>
  <c r="CT18"/>
  <c r="DQ18" s="1"/>
  <c r="CU18"/>
  <c r="Y20" i="1"/>
  <c r="CR17" i="8"/>
  <c r="DD17" s="1"/>
  <c r="AG16" i="7"/>
  <c r="AI16" s="1"/>
  <c r="AH16"/>
  <c r="D18" i="9"/>
  <c r="CO17" i="8"/>
  <c r="Q23" i="2"/>
  <c r="I24" i="8"/>
  <c r="CG17"/>
  <c r="CF17"/>
  <c r="BP17"/>
  <c r="N17" i="7"/>
  <c r="BT17" i="8"/>
  <c r="BY17"/>
  <c r="BQ17"/>
  <c r="Q17" i="7"/>
  <c r="CW17" i="8"/>
  <c r="N17" i="11"/>
  <c r="DB17" i="8"/>
  <c r="EC17" s="1"/>
  <c r="ED17" s="1"/>
  <c r="DG17"/>
  <c r="EG17" s="1"/>
  <c r="CX17"/>
  <c r="CY17"/>
  <c r="EA17" s="1"/>
  <c r="D14" i="11"/>
  <c r="DL18" i="8"/>
  <c r="AN17" i="5"/>
  <c r="AQ14" i="1"/>
  <c r="U14" s="1"/>
  <c r="J15" s="1"/>
  <c r="AK14" i="5"/>
  <c r="AO17"/>
  <c r="AL17"/>
  <c r="X17" i="10"/>
  <c r="Y17" s="1"/>
  <c r="AM17" i="5"/>
  <c r="AV16" i="8"/>
  <c r="AW16" i="1" s="1"/>
  <c r="L16" s="1"/>
  <c r="AO16" i="8" s="1"/>
  <c r="AP16" i="5"/>
  <c r="Q18" i="1"/>
  <c r="E18" i="14" s="1"/>
  <c r="AU16" i="8"/>
  <c r="V19" i="2"/>
  <c r="AQ16" i="5"/>
  <c r="AU16" i="1" s="1"/>
  <c r="AI18" i="5"/>
  <c r="D20" i="10"/>
  <c r="F20" i="7"/>
  <c r="H21" i="5"/>
  <c r="P17" i="1"/>
  <c r="D17" i="14" s="1"/>
  <c r="A19" i="5"/>
  <c r="E19" s="1"/>
  <c r="EQ19" i="8" s="1"/>
  <c r="CZ19" s="1"/>
  <c r="AR20" i="5"/>
  <c r="AB17" i="2"/>
  <c r="BN18" i="8"/>
  <c r="AB18"/>
  <c r="BS18" i="5"/>
  <c r="A18" i="11"/>
  <c r="EO18" i="8"/>
  <c r="A18" i="10"/>
  <c r="AA18" s="1"/>
  <c r="W18" i="8"/>
  <c r="CQ18"/>
  <c r="DA18" s="1"/>
  <c r="L20" i="5"/>
  <c r="DE19"/>
  <c r="H19" i="10"/>
  <c r="J19" i="7"/>
  <c r="B18"/>
  <c r="AE18" s="1"/>
  <c r="AF18" s="1"/>
  <c r="AU18" i="5"/>
  <c r="BO18" i="8"/>
  <c r="DM18" s="1"/>
  <c r="B18" i="9"/>
  <c r="AH18" i="5"/>
  <c r="AC18" i="10" s="1"/>
  <c r="DD19" i="5"/>
  <c r="K20"/>
  <c r="G19" i="10"/>
  <c r="I19" i="7"/>
  <c r="E18" i="1"/>
  <c r="AV18" i="5"/>
  <c r="C18" i="14"/>
  <c r="DB20" i="5"/>
  <c r="G20" i="7"/>
  <c r="I21" i="5"/>
  <c r="E20" i="10"/>
  <c r="BO15" i="1"/>
  <c r="EE15" i="8"/>
  <c r="EF15" s="1"/>
  <c r="AO15"/>
  <c r="AT15" i="1"/>
  <c r="P23" i="2"/>
  <c r="H24" i="8"/>
  <c r="EE16"/>
  <c r="EF16" s="1"/>
  <c r="DF22"/>
  <c r="M22" i="2"/>
  <c r="DG21" i="5"/>
  <c r="X21" i="1"/>
  <c r="G21" i="5"/>
  <c r="E20" i="7"/>
  <c r="CZ20" i="5"/>
  <c r="C20" i="10"/>
  <c r="O22" i="2"/>
  <c r="DE22" i="8"/>
  <c r="D23" i="7"/>
  <c r="F24" i="5"/>
  <c r="B23" i="10"/>
  <c r="J21" i="2"/>
  <c r="DA20" i="5"/>
  <c r="CY21"/>
  <c r="AG17" i="7"/>
  <c r="AI17" s="1"/>
  <c r="AH17"/>
  <c r="J22" i="5"/>
  <c r="F21" i="10"/>
  <c r="DC21" i="5"/>
  <c r="H21" i="7"/>
  <c r="S22" i="2"/>
  <c r="K23" i="8"/>
  <c r="B20" i="5"/>
  <c r="R21" i="2"/>
  <c r="J22" i="8"/>
  <c r="AA21" i="7"/>
  <c r="AE21" i="8" s="1"/>
  <c r="BC21" s="1"/>
  <c r="K21" i="10"/>
  <c r="BY22" i="11"/>
  <c r="N21" i="2"/>
  <c r="DF19" i="5"/>
  <c r="AC21" i="1" l="1"/>
  <c r="BC22" i="5"/>
  <c r="EI17" i="8"/>
  <c r="BK24" i="5"/>
  <c r="AD22" i="1"/>
  <c r="BE22" i="5"/>
  <c r="AE20" i="1"/>
  <c r="W20" s="1"/>
  <c r="AZ25" i="5"/>
  <c r="BP23"/>
  <c r="AB22" i="1"/>
  <c r="BN25" i="5"/>
  <c r="AF23" i="1"/>
  <c r="F5" i="2"/>
  <c r="G5" s="1"/>
  <c r="Z5" s="1"/>
  <c r="Z6" i="8" s="1"/>
  <c r="F5" i="1"/>
  <c r="H5" i="2"/>
  <c r="AA5" i="1"/>
  <c r="S5" s="1"/>
  <c r="H6" s="1"/>
  <c r="I5" i="11"/>
  <c r="O5" i="7"/>
  <c r="O22" i="1"/>
  <c r="DK22" i="8" s="1"/>
  <c r="DI21"/>
  <c r="DJ21"/>
  <c r="AR16" i="1"/>
  <c r="V16" s="1"/>
  <c r="K17" s="1"/>
  <c r="BN16"/>
  <c r="C16" i="9"/>
  <c r="AD18"/>
  <c r="AV18" i="1" s="1"/>
  <c r="N21"/>
  <c r="AA17" i="11"/>
  <c r="Y17"/>
  <c r="AH17" i="1" s="1"/>
  <c r="AD17" i="11"/>
  <c r="AI17" i="1" s="1"/>
  <c r="Z17" i="11"/>
  <c r="AC17" i="2" s="1"/>
  <c r="AB17" i="11"/>
  <c r="P17" i="8" s="1"/>
  <c r="AC17" i="11"/>
  <c r="T17" i="8" s="1"/>
  <c r="AT17"/>
  <c r="AQ17"/>
  <c r="M18" i="1"/>
  <c r="F17" i="11"/>
  <c r="AW17" i="8"/>
  <c r="AQ15" i="1"/>
  <c r="U15" s="1"/>
  <c r="J16" s="1"/>
  <c r="AP15" i="8"/>
  <c r="CA18"/>
  <c r="CH18"/>
  <c r="BQ18"/>
  <c r="BU18"/>
  <c r="A23" i="2"/>
  <c r="K23" i="11"/>
  <c r="A23" i="9"/>
  <c r="B23" i="14"/>
  <c r="J24" i="10"/>
  <c r="A23" i="8"/>
  <c r="AD23"/>
  <c r="A23" i="7"/>
  <c r="M23" i="5"/>
  <c r="AJ24" i="14"/>
  <c r="CM23" i="8"/>
  <c r="L23" i="11"/>
  <c r="B22" i="1"/>
  <c r="BI22" s="1"/>
  <c r="B22" i="2"/>
  <c r="DR18" i="8"/>
  <c r="DS18"/>
  <c r="EP18"/>
  <c r="DT18"/>
  <c r="CV18"/>
  <c r="DX18" s="1"/>
  <c r="EB18" s="1"/>
  <c r="DN18"/>
  <c r="DO18"/>
  <c r="CT19"/>
  <c r="DQ19" s="1"/>
  <c r="CU19"/>
  <c r="CS19"/>
  <c r="DP19" s="1"/>
  <c r="DC17"/>
  <c r="EE17" s="1"/>
  <c r="EF17" s="1"/>
  <c r="J5" i="11"/>
  <c r="P5" i="7" s="1"/>
  <c r="Y21" i="1"/>
  <c r="D19" i="9"/>
  <c r="I25" i="8"/>
  <c r="Q24" i="2"/>
  <c r="AU17" i="8"/>
  <c r="DY17"/>
  <c r="DZ17" s="1"/>
  <c r="AV17"/>
  <c r="AW17" i="1" s="1"/>
  <c r="L17" s="1"/>
  <c r="E17" i="11" s="1"/>
  <c r="V20" i="2"/>
  <c r="AP17" i="5"/>
  <c r="AQ17"/>
  <c r="AU17" i="1" s="1"/>
  <c r="AT16"/>
  <c r="DH18" i="8"/>
  <c r="EH18" s="1"/>
  <c r="AN18" i="5"/>
  <c r="N18" i="11"/>
  <c r="AO18" i="5"/>
  <c r="BP18" i="8"/>
  <c r="BZ18"/>
  <c r="CG18"/>
  <c r="N18" i="7"/>
  <c r="H22" i="5"/>
  <c r="F21" i="7"/>
  <c r="D21" i="10"/>
  <c r="BT18" i="8"/>
  <c r="BY18"/>
  <c r="CF18"/>
  <c r="P18" i="1"/>
  <c r="D18" i="14" s="1"/>
  <c r="Q18" i="7"/>
  <c r="X18" i="10"/>
  <c r="Y18" s="1"/>
  <c r="AM18" i="5"/>
  <c r="A20"/>
  <c r="E20" s="1"/>
  <c r="EQ20" i="8" s="1"/>
  <c r="CZ20" s="1"/>
  <c r="AL18" i="5"/>
  <c r="CR18" i="8"/>
  <c r="DD18" s="1"/>
  <c r="CO18"/>
  <c r="AR21" i="5"/>
  <c r="CN18" i="8"/>
  <c r="CX18"/>
  <c r="CW18"/>
  <c r="DE20" i="5"/>
  <c r="L21"/>
  <c r="J20" i="7"/>
  <c r="H20" i="10"/>
  <c r="DG18" i="8"/>
  <c r="EG18" s="1"/>
  <c r="DD20" i="5"/>
  <c r="G20" i="10"/>
  <c r="I20" i="7"/>
  <c r="K21" i="5"/>
  <c r="CY18" i="8"/>
  <c r="EA18" s="1"/>
  <c r="DB18"/>
  <c r="EC18" s="1"/>
  <c r="ED18" s="1"/>
  <c r="E16" i="11"/>
  <c r="E21" i="10"/>
  <c r="DB21" i="5"/>
  <c r="G21" i="7"/>
  <c r="I22" i="5"/>
  <c r="BO16" i="1"/>
  <c r="BM15"/>
  <c r="D15" i="11"/>
  <c r="AK15" i="5"/>
  <c r="S23" i="2"/>
  <c r="K24" i="8"/>
  <c r="H22" i="7"/>
  <c r="F22" i="10"/>
  <c r="J23" i="5"/>
  <c r="DC22"/>
  <c r="P24" i="2"/>
  <c r="H25" i="8"/>
  <c r="CZ21" i="5"/>
  <c r="G22"/>
  <c r="E21" i="7"/>
  <c r="C21" i="10"/>
  <c r="B24"/>
  <c r="D24" i="7"/>
  <c r="F25" i="5"/>
  <c r="X22" i="1"/>
  <c r="DG22" i="5"/>
  <c r="N22" i="2"/>
  <c r="R22"/>
  <c r="J23" i="8"/>
  <c r="AH18" i="7"/>
  <c r="AG18"/>
  <c r="AI18" s="1"/>
  <c r="B21" i="5"/>
  <c r="K22" i="10"/>
  <c r="AA22" i="7"/>
  <c r="AE22" i="8" s="1"/>
  <c r="BC22" s="1"/>
  <c r="BY23" i="11"/>
  <c r="O23" i="2"/>
  <c r="DE23" i="8"/>
  <c r="AH19" i="5"/>
  <c r="E19" i="1"/>
  <c r="A19" i="10"/>
  <c r="AA19" s="1"/>
  <c r="B19" i="9"/>
  <c r="BO19" i="8"/>
  <c r="DM19" s="1"/>
  <c r="B19" i="7"/>
  <c r="BN19" i="8"/>
  <c r="A19" i="11"/>
  <c r="C19" i="14"/>
  <c r="AU19" i="5"/>
  <c r="Q19" i="1"/>
  <c r="E19" i="14" s="1"/>
  <c r="BS19" i="5"/>
  <c r="AI19"/>
  <c r="W19" i="8"/>
  <c r="AV19" i="5"/>
  <c r="AB18" i="2"/>
  <c r="EO19" i="8"/>
  <c r="DT19" s="1"/>
  <c r="AB19"/>
  <c r="CQ19"/>
  <c r="DA19" s="1"/>
  <c r="DL19"/>
  <c r="B22" i="5"/>
  <c r="DA21"/>
  <c r="CY22"/>
  <c r="M23" i="2"/>
  <c r="DF23" i="8"/>
  <c r="DF20" i="5"/>
  <c r="BC23" l="1"/>
  <c r="AC22" i="1"/>
  <c r="BP24" i="5"/>
  <c r="AB23" i="1"/>
  <c r="BK25" i="5"/>
  <c r="AD23" i="1"/>
  <c r="BN26" i="5"/>
  <c r="AF24" i="1"/>
  <c r="BE23" i="5"/>
  <c r="J23" i="2" s="1"/>
  <c r="AE21" i="1"/>
  <c r="W21" s="1"/>
  <c r="AZ26" i="5"/>
  <c r="AP5" i="1"/>
  <c r="T5" s="1"/>
  <c r="I6" s="1"/>
  <c r="AO6" s="1"/>
  <c r="C5" i="8"/>
  <c r="AC6" i="7"/>
  <c r="C6" i="11"/>
  <c r="V6" i="10"/>
  <c r="AN6" i="8"/>
  <c r="BK6" i="1"/>
  <c r="AJ6" i="5"/>
  <c r="O23" i="1"/>
  <c r="DK23" i="8" s="1"/>
  <c r="DI22"/>
  <c r="DJ22"/>
  <c r="AR17"/>
  <c r="AR17" i="1"/>
  <c r="V17" s="1"/>
  <c r="K18" s="1"/>
  <c r="C17" i="9"/>
  <c r="BN17" i="1"/>
  <c r="AD19" i="9"/>
  <c r="AV19" i="1" s="1"/>
  <c r="N22"/>
  <c r="AA18" i="11"/>
  <c r="Y18"/>
  <c r="AH18" i="1" s="1"/>
  <c r="AB18" i="11"/>
  <c r="P18" i="8" s="1"/>
  <c r="AD18" i="11"/>
  <c r="AI18" i="1" s="1"/>
  <c r="AC18" i="11"/>
  <c r="T18" i="8" s="1"/>
  <c r="Z18" i="11"/>
  <c r="AC18" i="2" s="1"/>
  <c r="AT18" i="8"/>
  <c r="AQ18"/>
  <c r="F18" i="11"/>
  <c r="M19" i="1"/>
  <c r="AW18" i="8"/>
  <c r="BM16" i="1"/>
  <c r="AP16" i="8"/>
  <c r="BU19"/>
  <c r="CA19"/>
  <c r="CH19"/>
  <c r="CM24"/>
  <c r="AJ25" i="14"/>
  <c r="L24" i="11"/>
  <c r="B23" i="2"/>
  <c r="B23" i="1"/>
  <c r="BI23" s="1"/>
  <c r="A24" i="2"/>
  <c r="K24" i="11"/>
  <c r="J25" i="10"/>
  <c r="M24" i="5"/>
  <c r="A24" i="9"/>
  <c r="AD24" i="8"/>
  <c r="A24" i="7"/>
  <c r="A24" i="8"/>
  <c r="B24" i="14"/>
  <c r="DR19" i="8"/>
  <c r="DS19"/>
  <c r="DN19"/>
  <c r="DO19"/>
  <c r="CS20"/>
  <c r="DP20" s="1"/>
  <c r="CT20"/>
  <c r="DQ20" s="1"/>
  <c r="CU20"/>
  <c r="F5" i="9"/>
  <c r="Y22" i="1"/>
  <c r="J22" i="2"/>
  <c r="I26" i="8"/>
  <c r="Q25" i="2"/>
  <c r="AT17" i="1"/>
  <c r="EI18" i="8"/>
  <c r="AQ18" i="5"/>
  <c r="AU18" i="1" s="1"/>
  <c r="AK16" i="5"/>
  <c r="D16" i="11"/>
  <c r="AQ16" i="1"/>
  <c r="U16" s="1"/>
  <c r="J17" s="1"/>
  <c r="AP18" i="5"/>
  <c r="AV18" i="8"/>
  <c r="AW18" i="1" s="1"/>
  <c r="L18" s="1"/>
  <c r="BO18" s="1"/>
  <c r="D22" i="10"/>
  <c r="F22" i="7"/>
  <c r="H23" i="5"/>
  <c r="AR22"/>
  <c r="AU18" i="8"/>
  <c r="DC18"/>
  <c r="EE18" s="1"/>
  <c r="EF18" s="1"/>
  <c r="A21" i="5"/>
  <c r="E21" s="1"/>
  <c r="EQ21" i="8" s="1"/>
  <c r="CZ21" s="1"/>
  <c r="V21" i="2"/>
  <c r="DY18" i="8"/>
  <c r="DZ18" s="1"/>
  <c r="I21" i="7"/>
  <c r="DD21" i="5"/>
  <c r="G21" i="10"/>
  <c r="K22" i="5"/>
  <c r="L22"/>
  <c r="DE21"/>
  <c r="H21" i="10"/>
  <c r="J21" i="7"/>
  <c r="BO17" i="1"/>
  <c r="DB22" i="5"/>
  <c r="G22" i="7"/>
  <c r="I23" i="5"/>
  <c r="E22" i="10"/>
  <c r="AO17" i="8"/>
  <c r="P19" i="1"/>
  <c r="D19" i="14" s="1"/>
  <c r="BP19" i="8"/>
  <c r="BQ19"/>
  <c r="N19" i="7"/>
  <c r="BT19" i="8"/>
  <c r="BZ19"/>
  <c r="BY19"/>
  <c r="CG19"/>
  <c r="CF19"/>
  <c r="E22" i="7"/>
  <c r="G23" i="5"/>
  <c r="CZ22"/>
  <c r="C22" i="10"/>
  <c r="CW19" i="8"/>
  <c r="CX19"/>
  <c r="CV19"/>
  <c r="DX19" s="1"/>
  <c r="DB19"/>
  <c r="EC19" s="1"/>
  <c r="ED19" s="1"/>
  <c r="DG19"/>
  <c r="EG19" s="1"/>
  <c r="CY19"/>
  <c r="EA19" s="1"/>
  <c r="BY24" i="11"/>
  <c r="AA23" i="7"/>
  <c r="AE23" i="8" s="1"/>
  <c r="BC23" s="1"/>
  <c r="K23" i="10"/>
  <c r="R23" i="2"/>
  <c r="J24" i="8"/>
  <c r="H23" i="7"/>
  <c r="J24" i="5"/>
  <c r="DC23"/>
  <c r="F23" i="10"/>
  <c r="DF24" i="8"/>
  <c r="M24" i="2"/>
  <c r="Y5"/>
  <c r="X5" s="1"/>
  <c r="AN19" i="5"/>
  <c r="DA22"/>
  <c r="Q19" i="7"/>
  <c r="AE19"/>
  <c r="AF19" s="1"/>
  <c r="N23" i="2"/>
  <c r="B25" i="10"/>
  <c r="D25" i="7"/>
  <c r="F26" i="5"/>
  <c r="DE24" i="8"/>
  <c r="O24" i="2"/>
  <c r="CR19" i="8"/>
  <c r="CO19"/>
  <c r="CN19"/>
  <c r="D20" i="9"/>
  <c r="H26" i="8"/>
  <c r="P25" i="2"/>
  <c r="AU20" i="5"/>
  <c r="W20" i="8"/>
  <c r="B20" i="7"/>
  <c r="BO20" i="8"/>
  <c r="DM20" s="1"/>
  <c r="AV20" i="5"/>
  <c r="AI20"/>
  <c r="E20" i="1"/>
  <c r="BN20" i="8"/>
  <c r="AH20" i="5"/>
  <c r="Q20" i="1"/>
  <c r="E20" i="14" s="1"/>
  <c r="B20" i="9"/>
  <c r="A20" i="11"/>
  <c r="A20" i="10"/>
  <c r="AA20" s="1"/>
  <c r="BS20" i="5"/>
  <c r="C20" i="14"/>
  <c r="AB19" i="2"/>
  <c r="EO20" i="8"/>
  <c r="DT20" s="1"/>
  <c r="AB20"/>
  <c r="DL20"/>
  <c r="CQ20"/>
  <c r="DA20" s="1"/>
  <c r="N19" i="11"/>
  <c r="X23" i="1"/>
  <c r="DH19" i="8"/>
  <c r="EH19" s="1"/>
  <c r="EP19"/>
  <c r="CY23" i="5"/>
  <c r="AO19"/>
  <c r="AC19" i="10"/>
  <c r="X19" s="1"/>
  <c r="Y19" s="1"/>
  <c r="AM19" i="5"/>
  <c r="AL19"/>
  <c r="DG23"/>
  <c r="S24" i="2"/>
  <c r="K25" i="8"/>
  <c r="DF21" i="5"/>
  <c r="AC23" i="1" l="1"/>
  <c r="BC24" i="5"/>
  <c r="BP25"/>
  <c r="AB24" i="1"/>
  <c r="AZ27" i="5"/>
  <c r="BK26"/>
  <c r="AD24" i="1"/>
  <c r="BN27" i="5"/>
  <c r="AF25" i="1"/>
  <c r="BE24" i="5"/>
  <c r="AE22" i="1"/>
  <c r="W22" s="1"/>
  <c r="BL6"/>
  <c r="AS6" i="8"/>
  <c r="O24" i="1"/>
  <c r="DK24" i="8" s="1"/>
  <c r="DI23"/>
  <c r="DJ23"/>
  <c r="AR18"/>
  <c r="BN18" i="1"/>
  <c r="AR18"/>
  <c r="V18" s="1"/>
  <c r="K19" s="1"/>
  <c r="AR19" i="8" s="1"/>
  <c r="C18" i="9"/>
  <c r="AD20"/>
  <c r="AV20" i="1" s="1"/>
  <c r="N23"/>
  <c r="AA19" i="11"/>
  <c r="Y19"/>
  <c r="AH19" i="1" s="1"/>
  <c r="AC19" i="11"/>
  <c r="T19" i="8" s="1"/>
  <c r="AD19" i="11"/>
  <c r="AI19" i="1" s="1"/>
  <c r="Z19" i="11"/>
  <c r="AC19" i="2" s="1"/>
  <c r="AB19" i="11"/>
  <c r="P19" i="8" s="1"/>
  <c r="AT19"/>
  <c r="AQ19"/>
  <c r="F19" i="11"/>
  <c r="M20" i="1"/>
  <c r="AW19" i="8"/>
  <c r="AK17" i="5"/>
  <c r="AP17" i="8"/>
  <c r="BU20"/>
  <c r="CA20"/>
  <c r="CH20"/>
  <c r="AJ26" i="14"/>
  <c r="CM25" i="8"/>
  <c r="B24" i="1"/>
  <c r="BI24" s="1"/>
  <c r="L25" i="11"/>
  <c r="B24" i="2"/>
  <c r="A25"/>
  <c r="A25" i="9"/>
  <c r="A25" i="8"/>
  <c r="A25" i="7"/>
  <c r="B25" i="14"/>
  <c r="AD25" i="8"/>
  <c r="M25" i="5"/>
  <c r="J26" i="10"/>
  <c r="K25" i="11"/>
  <c r="DR20" i="8"/>
  <c r="DS20"/>
  <c r="DN20"/>
  <c r="DO20"/>
  <c r="CU21"/>
  <c r="CS21"/>
  <c r="DP21" s="1"/>
  <c r="CT21"/>
  <c r="DQ21" s="1"/>
  <c r="Y23" i="1"/>
  <c r="B23" i="5"/>
  <c r="I27" i="8"/>
  <c r="Q26" i="2"/>
  <c r="AQ17" i="1"/>
  <c r="U17" s="1"/>
  <c r="J18" s="1"/>
  <c r="BM17"/>
  <c r="D17" i="11"/>
  <c r="AT18" i="1"/>
  <c r="F23" i="7"/>
  <c r="D23" i="10"/>
  <c r="H24" i="5"/>
  <c r="V22" i="2"/>
  <c r="AR23" i="5"/>
  <c r="A22"/>
  <c r="E22" s="1"/>
  <c r="EQ22" i="8" s="1"/>
  <c r="CZ22" s="1"/>
  <c r="AO18"/>
  <c r="E18" i="11"/>
  <c r="DD22" i="5"/>
  <c r="K23"/>
  <c r="G22" i="10"/>
  <c r="I22" i="7"/>
  <c r="L23" i="5"/>
  <c r="J22" i="7"/>
  <c r="DE22" i="5"/>
  <c r="H22" i="10"/>
  <c r="G23" i="7"/>
  <c r="E23" i="10"/>
  <c r="DB23" i="5"/>
  <c r="I24"/>
  <c r="AP19"/>
  <c r="DY19" i="8"/>
  <c r="DZ19" s="1"/>
  <c r="P20" i="1"/>
  <c r="D20" i="14" s="1"/>
  <c r="CO20" i="8"/>
  <c r="CR20"/>
  <c r="CN20"/>
  <c r="DH20"/>
  <c r="EH20" s="1"/>
  <c r="EP20"/>
  <c r="B26" i="10"/>
  <c r="D26" i="7"/>
  <c r="F27" i="5"/>
  <c r="AH19" i="7"/>
  <c r="AG19"/>
  <c r="AI19" s="1"/>
  <c r="R24" i="2"/>
  <c r="J25" i="8"/>
  <c r="AQ19" i="5"/>
  <c r="AU19" i="1" s="1"/>
  <c r="DC19" i="8"/>
  <c r="DD19"/>
  <c r="BQ20"/>
  <c r="N20" i="7"/>
  <c r="BP20" i="8"/>
  <c r="BT20"/>
  <c r="BY20"/>
  <c r="BZ20"/>
  <c r="CF20"/>
  <c r="CG20"/>
  <c r="AE20" i="7"/>
  <c r="AF20" s="1"/>
  <c r="Q20"/>
  <c r="M25" i="2"/>
  <c r="DF25" i="8"/>
  <c r="D21" i="9"/>
  <c r="AV19" i="8"/>
  <c r="AW19" i="1" s="1"/>
  <c r="L19" s="1"/>
  <c r="E19" i="11" s="1"/>
  <c r="AA24" i="7"/>
  <c r="AE24" i="8" s="1"/>
  <c r="BC24" s="1"/>
  <c r="K24" i="10"/>
  <c r="BY25" i="11"/>
  <c r="H27" i="8"/>
  <c r="P26" i="2"/>
  <c r="W21" i="8"/>
  <c r="A21" i="10"/>
  <c r="AA21" s="1"/>
  <c r="B21" i="9"/>
  <c r="A21" i="11"/>
  <c r="Q21" i="1"/>
  <c r="E21" i="14" s="1"/>
  <c r="C21"/>
  <c r="B21" i="7"/>
  <c r="BN21" i="8"/>
  <c r="AI21" i="5"/>
  <c r="E21" i="1"/>
  <c r="BO21" i="8"/>
  <c r="DM21" s="1"/>
  <c r="AU21" i="5"/>
  <c r="BS21"/>
  <c r="AH21"/>
  <c r="AV21"/>
  <c r="AB20" i="2"/>
  <c r="EO21" i="8"/>
  <c r="DT21" s="1"/>
  <c r="AB21"/>
  <c r="CQ21"/>
  <c r="DA21" s="1"/>
  <c r="DL21"/>
  <c r="AU19"/>
  <c r="CX20"/>
  <c r="CW20"/>
  <c r="DB20"/>
  <c r="EC20" s="1"/>
  <c r="ED20" s="1"/>
  <c r="CY20"/>
  <c r="EA20" s="1"/>
  <c r="CV20"/>
  <c r="DX20" s="1"/>
  <c r="DG20"/>
  <c r="EG20" s="1"/>
  <c r="N20" i="11"/>
  <c r="O25" i="2"/>
  <c r="DE25" i="8"/>
  <c r="N24" i="2"/>
  <c r="EB19" i="8"/>
  <c r="DG24" i="5"/>
  <c r="CY24"/>
  <c r="X24" i="1"/>
  <c r="DA23" i="5"/>
  <c r="E23" i="7"/>
  <c r="G24" i="5"/>
  <c r="C23" i="10"/>
  <c r="CZ23" i="5"/>
  <c r="AN20"/>
  <c r="S25" i="2"/>
  <c r="K26" i="8"/>
  <c r="AC20" i="10"/>
  <c r="X20" s="1"/>
  <c r="Y20" s="1"/>
  <c r="AM20" i="5"/>
  <c r="AO20"/>
  <c r="AL20"/>
  <c r="BD6" i="8"/>
  <c r="AB6" i="7"/>
  <c r="E6" i="2"/>
  <c r="L6"/>
  <c r="B6" i="8"/>
  <c r="D6" i="2" s="1"/>
  <c r="H6" i="11"/>
  <c r="F24" i="10"/>
  <c r="J25" i="5"/>
  <c r="DC24"/>
  <c r="H24" i="7"/>
  <c r="EI19" i="8"/>
  <c r="DF22" i="5"/>
  <c r="BC25" l="1"/>
  <c r="AC24" i="1"/>
  <c r="BN28" i="5"/>
  <c r="AF26" i="1"/>
  <c r="BE25" i="5"/>
  <c r="AE23" i="1"/>
  <c r="W23" s="1"/>
  <c r="BP26" i="5"/>
  <c r="AB25" i="1"/>
  <c r="AZ28" i="5"/>
  <c r="BK27"/>
  <c r="AD25" i="1"/>
  <c r="O25"/>
  <c r="DK25" i="8" s="1"/>
  <c r="DJ24"/>
  <c r="DI24"/>
  <c r="AD21" i="9"/>
  <c r="AV21" i="1" s="1"/>
  <c r="C19" i="9"/>
  <c r="BN19" i="1"/>
  <c r="AR19"/>
  <c r="V19" s="1"/>
  <c r="K20" s="1"/>
  <c r="AR20" i="8" s="1"/>
  <c r="N24" i="1"/>
  <c r="AA20" i="11"/>
  <c r="AC20"/>
  <c r="T20" i="8" s="1"/>
  <c r="Y20" i="11"/>
  <c r="AH20" i="1" s="1"/>
  <c r="Z20" i="11"/>
  <c r="AC20" i="2" s="1"/>
  <c r="AB20" i="11"/>
  <c r="P20" i="8" s="1"/>
  <c r="AD20" i="11"/>
  <c r="AI20" i="1" s="1"/>
  <c r="AT20" i="8"/>
  <c r="AQ20"/>
  <c r="M21" i="1"/>
  <c r="F20" i="11"/>
  <c r="AW20" i="8"/>
  <c r="AK18" i="5"/>
  <c r="AP18" i="8"/>
  <c r="BU21"/>
  <c r="CA21"/>
  <c r="CH21"/>
  <c r="CM26"/>
  <c r="AJ27" i="14"/>
  <c r="B25" i="2"/>
  <c r="B25" i="1"/>
  <c r="BI25" s="1"/>
  <c r="L26" i="11"/>
  <c r="A26" i="2"/>
  <c r="M26" i="5"/>
  <c r="A26" i="8"/>
  <c r="A26" i="7"/>
  <c r="AD26" i="8"/>
  <c r="K26" i="11"/>
  <c r="J27" i="10"/>
  <c r="B26" i="14"/>
  <c r="A26" i="9"/>
  <c r="DR21" i="8"/>
  <c r="DS21"/>
  <c r="DN21"/>
  <c r="DO21"/>
  <c r="CS22"/>
  <c r="DP22" s="1"/>
  <c r="CT22"/>
  <c r="DQ22" s="1"/>
  <c r="CU22"/>
  <c r="Y24" i="1"/>
  <c r="Q27" i="2"/>
  <c r="I28" i="8"/>
  <c r="DL22"/>
  <c r="BM18" i="1"/>
  <c r="D18" i="11"/>
  <c r="AQ18" i="1"/>
  <c r="U18" s="1"/>
  <c r="J19" s="1"/>
  <c r="BO22" i="8"/>
  <c r="DM22" s="1"/>
  <c r="BN22"/>
  <c r="CR22" s="1"/>
  <c r="F24" i="7"/>
  <c r="H25" i="5"/>
  <c r="D24" i="10"/>
  <c r="AR24" i="5"/>
  <c r="B22" i="7"/>
  <c r="Q22" s="1"/>
  <c r="CQ22" i="8"/>
  <c r="DA22" s="1"/>
  <c r="AV22" i="5"/>
  <c r="C22" i="14"/>
  <c r="EO22" i="8"/>
  <c r="A22" i="11"/>
  <c r="A22" i="10"/>
  <c r="AA22" s="1"/>
  <c r="B22" i="9"/>
  <c r="AB21" i="2"/>
  <c r="AH22" i="5"/>
  <c r="W22" i="8"/>
  <c r="Q22" i="1"/>
  <c r="E22" i="14" s="1"/>
  <c r="A23" i="5"/>
  <c r="E23" s="1"/>
  <c r="EQ23" i="8" s="1"/>
  <c r="CZ23" s="1"/>
  <c r="AU22" i="5"/>
  <c r="E22" i="1"/>
  <c r="AB22" i="8"/>
  <c r="BS22" i="5"/>
  <c r="AI22"/>
  <c r="DD23"/>
  <c r="V23" i="2"/>
  <c r="I23" i="7"/>
  <c r="G23" i="10"/>
  <c r="K24" i="5"/>
  <c r="H23" i="10"/>
  <c r="L24" i="5"/>
  <c r="DE23"/>
  <c r="J23" i="7"/>
  <c r="DB24" i="5"/>
  <c r="G24" i="7"/>
  <c r="E24" i="10"/>
  <c r="I25" i="5"/>
  <c r="P21" i="1"/>
  <c r="D21" i="14" s="1"/>
  <c r="EI20" i="8"/>
  <c r="AQ20" i="5"/>
  <c r="AU20" i="1" s="1"/>
  <c r="AT19"/>
  <c r="DY20" i="8"/>
  <c r="DZ20" s="1"/>
  <c r="AP20" i="5"/>
  <c r="DA24"/>
  <c r="DC20" i="8"/>
  <c r="DD20"/>
  <c r="DG25" i="5"/>
  <c r="N21" i="11"/>
  <c r="EB20" i="8"/>
  <c r="J26"/>
  <c r="R25" i="2"/>
  <c r="BO19" i="1"/>
  <c r="J24" i="2"/>
  <c r="AM21" i="5"/>
  <c r="AC21" i="10"/>
  <c r="X21" s="1"/>
  <c r="Y21" s="1"/>
  <c r="AO21" i="5"/>
  <c r="AL21"/>
  <c r="H28" i="8"/>
  <c r="P27" i="2"/>
  <c r="B24" i="5"/>
  <c r="EE19" i="8"/>
  <c r="EF19" s="1"/>
  <c r="X25" i="1"/>
  <c r="DE26" i="8"/>
  <c r="O26" i="2"/>
  <c r="AE21" i="7"/>
  <c r="AF21" s="1"/>
  <c r="Q21"/>
  <c r="M26" i="2"/>
  <c r="DF26" i="8"/>
  <c r="AU20"/>
  <c r="DG21"/>
  <c r="EG21" s="1"/>
  <c r="CV21"/>
  <c r="DX21" s="1"/>
  <c r="CY21"/>
  <c r="EA21" s="1"/>
  <c r="CW21"/>
  <c r="CX21"/>
  <c r="DB21"/>
  <c r="EC21" s="1"/>
  <c r="ED21" s="1"/>
  <c r="U6" i="2"/>
  <c r="W5" s="1"/>
  <c r="C6" s="1"/>
  <c r="CR21" i="8"/>
  <c r="CN21"/>
  <c r="CO21"/>
  <c r="AO19"/>
  <c r="AV20"/>
  <c r="AW20" i="1" s="1"/>
  <c r="L20" s="1"/>
  <c r="DH21" i="8"/>
  <c r="EH21" s="1"/>
  <c r="EP21"/>
  <c r="AG20" i="7"/>
  <c r="AI20" s="1"/>
  <c r="AH20"/>
  <c r="B27" i="10"/>
  <c r="D27" i="7"/>
  <c r="F28" i="5"/>
  <c r="AN21"/>
  <c r="H25" i="7"/>
  <c r="DC25" i="5"/>
  <c r="F25" i="10"/>
  <c r="J26" i="5"/>
  <c r="K27" i="8"/>
  <c r="S26" i="2"/>
  <c r="CZ24" i="5"/>
  <c r="C24" i="10"/>
  <c r="E24" i="7"/>
  <c r="G25" i="5"/>
  <c r="CY25"/>
  <c r="N25" i="2"/>
  <c r="BQ21" i="8"/>
  <c r="BP21"/>
  <c r="N21" i="7"/>
  <c r="BT21" i="8"/>
  <c r="BY21"/>
  <c r="BZ21"/>
  <c r="CF21"/>
  <c r="CG21"/>
  <c r="BY26" i="11"/>
  <c r="K25" i="10"/>
  <c r="AA25" i="7"/>
  <c r="AE25" i="8" s="1"/>
  <c r="BC25" s="1"/>
  <c r="D22" i="9"/>
  <c r="DF23" i="5"/>
  <c r="AC25" i="1" l="1"/>
  <c r="BC26" i="5"/>
  <c r="B25"/>
  <c r="J25" i="2"/>
  <c r="AZ29" i="5"/>
  <c r="BN29"/>
  <c r="AF27" i="1"/>
  <c r="BK28" i="5"/>
  <c r="AD26" i="1"/>
  <c r="BE26" i="5"/>
  <c r="B26" s="1"/>
  <c r="AE24" i="1"/>
  <c r="W24" s="1"/>
  <c r="BP27" i="5"/>
  <c r="AB26" i="1"/>
  <c r="O26"/>
  <c r="DK26" i="8" s="1"/>
  <c r="DI25"/>
  <c r="DJ25"/>
  <c r="C20" i="9"/>
  <c r="BN20" i="1"/>
  <c r="AR20"/>
  <c r="V20" s="1"/>
  <c r="K21" s="1"/>
  <c r="AR21" i="8" s="1"/>
  <c r="AD22" i="9"/>
  <c r="AV22" i="1" s="1"/>
  <c r="N25"/>
  <c r="Y21" i="11"/>
  <c r="AH21" i="1" s="1"/>
  <c r="AC21" i="11"/>
  <c r="T21" i="8" s="1"/>
  <c r="AA21" i="11"/>
  <c r="AB21"/>
  <c r="P21" i="8" s="1"/>
  <c r="AD21" i="11"/>
  <c r="AI21" i="1" s="1"/>
  <c r="Z21" i="11"/>
  <c r="AC21" i="2" s="1"/>
  <c r="AT21" i="8"/>
  <c r="AQ21"/>
  <c r="F21" i="11"/>
  <c r="M22" i="1"/>
  <c r="AW21" i="8"/>
  <c r="AK19" i="5"/>
  <c r="AP19" i="8"/>
  <c r="BU22"/>
  <c r="CA22"/>
  <c r="CH22"/>
  <c r="AJ28" i="14"/>
  <c r="CM27" i="8"/>
  <c r="A27" i="2"/>
  <c r="M27" i="5"/>
  <c r="J28" i="10"/>
  <c r="A27" i="8"/>
  <c r="K27" i="11"/>
  <c r="A27" i="9"/>
  <c r="A27" i="7"/>
  <c r="AD27" i="8"/>
  <c r="B27" i="14"/>
  <c r="B26" i="2"/>
  <c r="L27" i="11"/>
  <c r="B26" i="1"/>
  <c r="BI26" s="1"/>
  <c r="DH22" i="8"/>
  <c r="EH22" s="1"/>
  <c r="DT22"/>
  <c r="DR22"/>
  <c r="DS22"/>
  <c r="DN22"/>
  <c r="DO22"/>
  <c r="N22" i="11"/>
  <c r="CS23" i="8"/>
  <c r="DP23" s="1"/>
  <c r="CT23"/>
  <c r="DQ23" s="1"/>
  <c r="CU23"/>
  <c r="Y25" i="1"/>
  <c r="Q28" i="2"/>
  <c r="I29" i="8"/>
  <c r="D23" i="9"/>
  <c r="CO22" i="8"/>
  <c r="DL23"/>
  <c r="BT22"/>
  <c r="CN22"/>
  <c r="AM22" i="5"/>
  <c r="AO22"/>
  <c r="AR25"/>
  <c r="A24"/>
  <c r="E24" s="1"/>
  <c r="EQ24" i="8" s="1"/>
  <c r="CZ24" s="1"/>
  <c r="E23" i="1"/>
  <c r="W23" i="8"/>
  <c r="CQ23"/>
  <c r="DA23" s="1"/>
  <c r="EP22"/>
  <c r="D25" i="10"/>
  <c r="F25" i="7"/>
  <c r="H26" i="5"/>
  <c r="B23" i="9"/>
  <c r="AI23" i="5"/>
  <c r="A23" i="10"/>
  <c r="AA23" s="1"/>
  <c r="AH23" i="5"/>
  <c r="AC23" i="10" s="1"/>
  <c r="BN23" i="8"/>
  <c r="CR23" s="1"/>
  <c r="AB23"/>
  <c r="CG23" s="1"/>
  <c r="Q23" i="1"/>
  <c r="E23" i="14" s="1"/>
  <c r="A23" i="11"/>
  <c r="EO23" i="8"/>
  <c r="AU23" i="5"/>
  <c r="B23" i="7"/>
  <c r="AE23" s="1"/>
  <c r="AF23" s="1"/>
  <c r="AL22" i="5"/>
  <c r="AB22" i="2"/>
  <c r="C23" i="14"/>
  <c r="BS23" i="5"/>
  <c r="AV23"/>
  <c r="BO23" i="8"/>
  <c r="DM23" s="1"/>
  <c r="DB22"/>
  <c r="EC22" s="1"/>
  <c r="ED22" s="1"/>
  <c r="CV22"/>
  <c r="DX22" s="1"/>
  <c r="EB22" s="1"/>
  <c r="AE22" i="7"/>
  <c r="AF22" s="1"/>
  <c r="AC22" i="10"/>
  <c r="X22" s="1"/>
  <c r="Y22" s="1"/>
  <c r="CX22" i="8"/>
  <c r="DG22"/>
  <c r="EG22" s="1"/>
  <c r="CY22"/>
  <c r="EA22" s="1"/>
  <c r="V24" i="2"/>
  <c r="CW22" i="8"/>
  <c r="BY22"/>
  <c r="BZ22"/>
  <c r="CG22"/>
  <c r="BQ22"/>
  <c r="BP22"/>
  <c r="CF22"/>
  <c r="N22" i="7"/>
  <c r="AN22" i="5"/>
  <c r="I24" i="7"/>
  <c r="K25" i="5"/>
  <c r="DD24"/>
  <c r="G24" i="10"/>
  <c r="DE24" i="5"/>
  <c r="H24" i="10"/>
  <c r="L25" i="5"/>
  <c r="J24" i="7"/>
  <c r="I26" i="5"/>
  <c r="G25" i="7"/>
  <c r="E25" i="10"/>
  <c r="DB25" i="5"/>
  <c r="P22" i="1"/>
  <c r="EE20" i="8"/>
  <c r="EF20" s="1"/>
  <c r="D19" i="11"/>
  <c r="BM19" i="1"/>
  <c r="AQ19"/>
  <c r="U19" s="1"/>
  <c r="J20" s="1"/>
  <c r="AQ21" i="5"/>
  <c r="AU21" i="1" s="1"/>
  <c r="AT20"/>
  <c r="DY21" i="8"/>
  <c r="DZ21" s="1"/>
  <c r="AO20"/>
  <c r="E20" i="11"/>
  <c r="BO20" i="1"/>
  <c r="CY26" i="5"/>
  <c r="F29"/>
  <c r="D28" i="7"/>
  <c r="B28" i="10"/>
  <c r="O27" i="2"/>
  <c r="DE27" i="8"/>
  <c r="DD22"/>
  <c r="DC22"/>
  <c r="EI21"/>
  <c r="H6" i="2"/>
  <c r="I6"/>
  <c r="AA6" i="1" s="1"/>
  <c r="S6" s="1"/>
  <c r="H7" s="1"/>
  <c r="F6" i="2"/>
  <c r="F6" i="1"/>
  <c r="EB21" i="8"/>
  <c r="J27"/>
  <c r="R26" i="2"/>
  <c r="AP21" i="5"/>
  <c r="K26" i="10"/>
  <c r="AA26" i="7"/>
  <c r="AE26" i="8" s="1"/>
  <c r="BC26" s="1"/>
  <c r="BY27" i="11"/>
  <c r="K28" i="8"/>
  <c r="S27" i="2"/>
  <c r="AH21" i="7"/>
  <c r="AG21"/>
  <c r="AI21" s="1"/>
  <c r="P28" i="2"/>
  <c r="H29" i="8"/>
  <c r="N26" i="2"/>
  <c r="E25" i="7"/>
  <c r="CZ25" i="5"/>
  <c r="C25" i="10"/>
  <c r="G26" i="5"/>
  <c r="M27" i="2"/>
  <c r="DF27" i="8"/>
  <c r="AU21"/>
  <c r="J27" i="5"/>
  <c r="DC26"/>
  <c r="H26" i="7"/>
  <c r="F26" i="10"/>
  <c r="DC21" i="8"/>
  <c r="DD21"/>
  <c r="X26" i="1"/>
  <c r="DG26" i="5"/>
  <c r="DA25"/>
  <c r="AV21" i="8"/>
  <c r="AW21" i="1" s="1"/>
  <c r="L21" s="1"/>
  <c r="DF24" i="5"/>
  <c r="AC26" i="1" l="1"/>
  <c r="BC27" i="5"/>
  <c r="BE27"/>
  <c r="AE25" i="1"/>
  <c r="AZ30" i="5"/>
  <c r="BP28"/>
  <c r="AB27" i="1"/>
  <c r="BN30" i="5"/>
  <c r="AF28" i="1"/>
  <c r="BK29" i="5"/>
  <c r="AD27" i="1"/>
  <c r="O27"/>
  <c r="DI26" i="8"/>
  <c r="DJ26"/>
  <c r="C21" i="9"/>
  <c r="AR21" i="1"/>
  <c r="V21" s="1"/>
  <c r="K22" s="1"/>
  <c r="BN21"/>
  <c r="AD23" i="9"/>
  <c r="AV23" i="1" s="1"/>
  <c r="N26"/>
  <c r="AC22" i="11"/>
  <c r="T22" i="8" s="1"/>
  <c r="Y22" i="11"/>
  <c r="AH22" i="1" s="1"/>
  <c r="AA22" i="11"/>
  <c r="AD22"/>
  <c r="AI22" i="1" s="1"/>
  <c r="Z22" i="11"/>
  <c r="AC22" i="2" s="1"/>
  <c r="AB22" i="11"/>
  <c r="P22" i="8" s="1"/>
  <c r="AT22"/>
  <c r="AQ22"/>
  <c r="F22" i="11"/>
  <c r="M23" i="1"/>
  <c r="AW22" i="8"/>
  <c r="AK20" i="5"/>
  <c r="AP20" i="8"/>
  <c r="CA23"/>
  <c r="CH23"/>
  <c r="BZ23"/>
  <c r="BU23"/>
  <c r="CM28"/>
  <c r="AJ29" i="14"/>
  <c r="L28" i="11"/>
  <c r="B27" i="1"/>
  <c r="BI27" s="1"/>
  <c r="B27" i="2"/>
  <c r="A28"/>
  <c r="M28" i="5"/>
  <c r="J29" i="10"/>
  <c r="B28" i="14"/>
  <c r="K28" i="11"/>
  <c r="AD28" i="8"/>
  <c r="A28" i="7"/>
  <c r="A28" i="9"/>
  <c r="A28" i="8"/>
  <c r="DR23"/>
  <c r="DS23"/>
  <c r="EI22"/>
  <c r="EP23"/>
  <c r="DT23"/>
  <c r="DG23"/>
  <c r="EG23" s="1"/>
  <c r="DN23"/>
  <c r="DO23"/>
  <c r="A24" i="10"/>
  <c r="AA24" s="1"/>
  <c r="CU24" i="8"/>
  <c r="CS24"/>
  <c r="DP24" s="1"/>
  <c r="CT24"/>
  <c r="DQ24" s="1"/>
  <c r="Y26" i="1"/>
  <c r="AH22" i="7"/>
  <c r="Q23"/>
  <c r="Q29" i="2"/>
  <c r="I30" i="8"/>
  <c r="AB23" i="2"/>
  <c r="X23" i="10"/>
  <c r="Y23" s="1"/>
  <c r="AL23" i="5"/>
  <c r="CO23" i="8"/>
  <c r="W24"/>
  <c r="CN23"/>
  <c r="AQ22" i="5"/>
  <c r="AU22" i="1" s="1"/>
  <c r="AM23" i="5"/>
  <c r="D24" i="9"/>
  <c r="BN24" i="8"/>
  <c r="CR24" s="1"/>
  <c r="AH24" i="5"/>
  <c r="AC24" i="10" s="1"/>
  <c r="AP22" i="5"/>
  <c r="AO23"/>
  <c r="N23" i="11"/>
  <c r="E24" i="1"/>
  <c r="AI24" i="5"/>
  <c r="DH23" i="8"/>
  <c r="EH23" s="1"/>
  <c r="DL24"/>
  <c r="BO24"/>
  <c r="DM24" s="1"/>
  <c r="A24" i="11"/>
  <c r="AB24" i="8"/>
  <c r="B24" i="9"/>
  <c r="Q24" i="1"/>
  <c r="E24" i="14" s="1"/>
  <c r="AG22" i="7"/>
  <c r="AI22" s="1"/>
  <c r="EO24" i="8"/>
  <c r="B24" i="7"/>
  <c r="AE24" s="1"/>
  <c r="AF24" s="1"/>
  <c r="AV24" i="5"/>
  <c r="BS24"/>
  <c r="C24" i="14"/>
  <c r="CQ24" i="8"/>
  <c r="DA24" s="1"/>
  <c r="AU24" i="5"/>
  <c r="DB23" i="8"/>
  <c r="EC23" s="1"/>
  <c r="ED23" s="1"/>
  <c r="AN23" i="5"/>
  <c r="CW23" i="8"/>
  <c r="AV22"/>
  <c r="AW22" i="1" s="1"/>
  <c r="L22" s="1"/>
  <c r="BO22" s="1"/>
  <c r="CV23" i="8"/>
  <c r="DX23" s="1"/>
  <c r="EB23" s="1"/>
  <c r="CX23"/>
  <c r="DY22"/>
  <c r="DZ22" s="1"/>
  <c r="CY23"/>
  <c r="EA23" s="1"/>
  <c r="F26" i="7"/>
  <c r="D26" i="10"/>
  <c r="H27" i="5"/>
  <c r="BP23" i="8"/>
  <c r="N23" i="7"/>
  <c r="P23" i="1"/>
  <c r="D23" i="14" s="1"/>
  <c r="BQ23" i="8"/>
  <c r="BT23"/>
  <c r="CF23"/>
  <c r="BY23"/>
  <c r="AU22"/>
  <c r="AR26" i="5"/>
  <c r="V25" i="2"/>
  <c r="A25" i="5"/>
  <c r="E25" s="1"/>
  <c r="EQ25" i="8" s="1"/>
  <c r="CZ25" s="1"/>
  <c r="DD25" i="5"/>
  <c r="I25" i="7"/>
  <c r="K26" i="5"/>
  <c r="G25" i="10"/>
  <c r="H25"/>
  <c r="L26" i="5"/>
  <c r="DE25"/>
  <c r="J25" i="7"/>
  <c r="I27" i="5"/>
  <c r="E26" i="10"/>
  <c r="G26" i="7"/>
  <c r="DB26" i="5"/>
  <c r="BM20" i="1"/>
  <c r="D22" i="14"/>
  <c r="AQ20" i="1"/>
  <c r="U20" s="1"/>
  <c r="J21" s="1"/>
  <c r="D20" i="11"/>
  <c r="AT21" i="1"/>
  <c r="EE22" i="8"/>
  <c r="EF22" s="1"/>
  <c r="E21" i="11"/>
  <c r="AO21" i="8"/>
  <c r="BO21" i="1"/>
  <c r="M28" i="2"/>
  <c r="DF28" i="8"/>
  <c r="H30"/>
  <c r="P29" i="2"/>
  <c r="EE21" i="8"/>
  <c r="EF21" s="1"/>
  <c r="K29"/>
  <c r="S28" i="2"/>
  <c r="DG27" i="5"/>
  <c r="O28" i="2"/>
  <c r="DE28" i="8"/>
  <c r="W25" i="1"/>
  <c r="DA26" i="5"/>
  <c r="CY27"/>
  <c r="BK7" i="1"/>
  <c r="C7" i="11"/>
  <c r="AC7" i="7"/>
  <c r="V7" i="10"/>
  <c r="AJ7" i="5"/>
  <c r="AN7" i="8"/>
  <c r="X27" i="1"/>
  <c r="D29" i="7"/>
  <c r="F30" i="5"/>
  <c r="B29" i="10"/>
  <c r="DD23" i="8"/>
  <c r="DC23"/>
  <c r="J28"/>
  <c r="R27" i="2"/>
  <c r="J26"/>
  <c r="N27"/>
  <c r="CZ26" i="5"/>
  <c r="G27"/>
  <c r="E26" i="7"/>
  <c r="C26" i="10"/>
  <c r="I6" i="11"/>
  <c r="O6" i="7"/>
  <c r="AG23"/>
  <c r="AI23" s="1"/>
  <c r="AH23"/>
  <c r="J28" i="5"/>
  <c r="H27" i="7"/>
  <c r="DC27" i="5"/>
  <c r="F27" i="10"/>
  <c r="K27"/>
  <c r="AA27" i="7"/>
  <c r="AE27" i="8" s="1"/>
  <c r="BC27" s="1"/>
  <c r="BY28" i="11"/>
  <c r="J6"/>
  <c r="AP6" i="1"/>
  <c r="T6" s="1"/>
  <c r="G6" i="2"/>
  <c r="Z6" s="1"/>
  <c r="Z7" i="8" s="1"/>
  <c r="DF25" i="5"/>
  <c r="AC27" i="1" l="1"/>
  <c r="BC28" i="5"/>
  <c r="D81" i="4"/>
  <c r="DK27" i="8"/>
  <c r="C92" i="4"/>
  <c r="D93"/>
  <c r="BK30" i="5"/>
  <c r="AD28" i="1"/>
  <c r="BE28" i="5"/>
  <c r="AE26" i="1"/>
  <c r="W26" s="1"/>
  <c r="AZ31" i="5"/>
  <c r="BP29"/>
  <c r="AB28" i="1"/>
  <c r="BN31" i="5"/>
  <c r="AF29" i="1"/>
  <c r="O28"/>
  <c r="DK28" i="8" s="1"/>
  <c r="DI27"/>
  <c r="DJ27"/>
  <c r="AR22"/>
  <c r="AR22" i="1"/>
  <c r="V22" s="1"/>
  <c r="K23" s="1"/>
  <c r="C22" i="9"/>
  <c r="BN22" i="1"/>
  <c r="AD24" i="9"/>
  <c r="AV24" i="1" s="1"/>
  <c r="N27"/>
  <c r="AC23" i="11"/>
  <c r="T23" i="8" s="1"/>
  <c r="Y23" i="11"/>
  <c r="AH23" i="1" s="1"/>
  <c r="AA23" i="11"/>
  <c r="Z23"/>
  <c r="AC23" i="2" s="1"/>
  <c r="AD23" i="11"/>
  <c r="AI23" i="1" s="1"/>
  <c r="AB23" i="11"/>
  <c r="P23" i="8" s="1"/>
  <c r="I7" i="1"/>
  <c r="AT23" i="8"/>
  <c r="AW23"/>
  <c r="AQ23"/>
  <c r="M24" i="1"/>
  <c r="F23" i="11"/>
  <c r="AK21" i="5"/>
  <c r="AP21" i="8"/>
  <c r="CA24"/>
  <c r="CH24"/>
  <c r="BZ24"/>
  <c r="BU24"/>
  <c r="AJ30" i="14"/>
  <c r="CM29" i="8"/>
  <c r="B28" i="1"/>
  <c r="BI28" s="1"/>
  <c r="B28" i="2"/>
  <c r="L29" i="11"/>
  <c r="A29" i="2"/>
  <c r="M29" i="5"/>
  <c r="A29" i="9"/>
  <c r="A29" i="7"/>
  <c r="A29" i="8"/>
  <c r="K29" i="11"/>
  <c r="B29" i="14"/>
  <c r="AD29" i="8"/>
  <c r="J30" i="10"/>
  <c r="DR24" i="8"/>
  <c r="DS24"/>
  <c r="EP24"/>
  <c r="DT24"/>
  <c r="EI23"/>
  <c r="DB24"/>
  <c r="EC24" s="1"/>
  <c r="ED24" s="1"/>
  <c r="DN24"/>
  <c r="DO24"/>
  <c r="X24" i="10"/>
  <c r="Y24" s="1"/>
  <c r="CS25" i="8"/>
  <c r="DP25" s="1"/>
  <c r="CT25"/>
  <c r="DQ25" s="1"/>
  <c r="CU25"/>
  <c r="Y27" i="1"/>
  <c r="AT22"/>
  <c r="I31" i="8"/>
  <c r="Q30" i="2"/>
  <c r="CQ25" i="8"/>
  <c r="DA25" s="1"/>
  <c r="AQ23" i="5"/>
  <c r="AU23" i="1" s="1"/>
  <c r="DH24" i="8"/>
  <c r="EH24" s="1"/>
  <c r="AP23" i="5"/>
  <c r="Q24" i="7"/>
  <c r="AO24" i="5"/>
  <c r="D25" i="9"/>
  <c r="CX24" i="8"/>
  <c r="BY24"/>
  <c r="CF24"/>
  <c r="CY24"/>
  <c r="EA24" s="1"/>
  <c r="CG24"/>
  <c r="BQ24"/>
  <c r="N24" i="7"/>
  <c r="N24" i="11"/>
  <c r="AN24" i="5"/>
  <c r="P24" i="1"/>
  <c r="D24" i="14" s="1"/>
  <c r="BP24" i="8"/>
  <c r="BT24"/>
  <c r="AR27" i="5"/>
  <c r="CW24" i="8"/>
  <c r="CV24"/>
  <c r="DX24" s="1"/>
  <c r="EB24" s="1"/>
  <c r="AL24" i="5"/>
  <c r="DG24" i="8"/>
  <c r="EG24" s="1"/>
  <c r="AM24" i="5"/>
  <c r="CN24" i="8"/>
  <c r="CO24"/>
  <c r="DY23"/>
  <c r="DZ23" s="1"/>
  <c r="AV23"/>
  <c r="AW23" i="1" s="1"/>
  <c r="L23" s="1"/>
  <c r="E23" i="11" s="1"/>
  <c r="AU23" i="8"/>
  <c r="Q25" i="1"/>
  <c r="E25" i="14" s="1"/>
  <c r="AI25" i="5"/>
  <c r="BO25" i="8"/>
  <c r="DM25" s="1"/>
  <c r="EO25"/>
  <c r="BM21" i="1"/>
  <c r="D27" i="10"/>
  <c r="H28" i="5"/>
  <c r="F27" i="7"/>
  <c r="A26" i="5"/>
  <c r="E26" s="1"/>
  <c r="EQ26" i="8" s="1"/>
  <c r="CZ26" s="1"/>
  <c r="DL25"/>
  <c r="BS25" i="5"/>
  <c r="V26" i="2"/>
  <c r="BN25" i="8"/>
  <c r="CO25" s="1"/>
  <c r="C25" i="14"/>
  <c r="AH25" i="5"/>
  <c r="AC25" i="10" s="1"/>
  <c r="AV25" i="5"/>
  <c r="AU25"/>
  <c r="A25" i="11"/>
  <c r="B25" i="9"/>
  <c r="E25" i="1"/>
  <c r="W25" i="8"/>
  <c r="A25" i="10"/>
  <c r="AA25" s="1"/>
  <c r="AB25" i="8"/>
  <c r="AB24" i="2"/>
  <c r="B25" i="7"/>
  <c r="Q25" s="1"/>
  <c r="G26" i="10"/>
  <c r="K27" i="5"/>
  <c r="DD26"/>
  <c r="I26" i="7"/>
  <c r="L27" i="5"/>
  <c r="H26" i="10"/>
  <c r="DE26" i="5"/>
  <c r="J26" i="7"/>
  <c r="G27"/>
  <c r="I28" i="5"/>
  <c r="E27" i="10"/>
  <c r="DB27" i="5"/>
  <c r="AO22" i="8"/>
  <c r="E22" i="11"/>
  <c r="D21"/>
  <c r="AQ21" i="1"/>
  <c r="U21" s="1"/>
  <c r="J22" s="1"/>
  <c r="DC24" i="8"/>
  <c r="DD24"/>
  <c r="CY28" i="5"/>
  <c r="F28" i="10"/>
  <c r="J29" i="5"/>
  <c r="H28" i="7"/>
  <c r="DC28" i="5"/>
  <c r="R28" i="2"/>
  <c r="J29" i="8"/>
  <c r="DA27" i="5"/>
  <c r="S29" i="2"/>
  <c r="K30" i="8"/>
  <c r="AA28" i="7"/>
  <c r="AE28" i="8" s="1"/>
  <c r="BC28" s="1"/>
  <c r="K28" i="10"/>
  <c r="BY29" i="11"/>
  <c r="DF29" i="8"/>
  <c r="M29" i="2"/>
  <c r="J27"/>
  <c r="P6" i="7"/>
  <c r="F6" i="9"/>
  <c r="G28" i="5"/>
  <c r="C27" i="10"/>
  <c r="E27" i="7"/>
  <c r="CZ27" i="5"/>
  <c r="N28" i="2"/>
  <c r="DG28" i="5"/>
  <c r="F31"/>
  <c r="D30" i="7"/>
  <c r="B30" i="10"/>
  <c r="EE23" i="8"/>
  <c r="EF23" s="1"/>
  <c r="X28" i="1"/>
  <c r="C6" i="8"/>
  <c r="B27" i="5"/>
  <c r="H31" i="8"/>
  <c r="P30" i="2"/>
  <c r="AH24" i="7"/>
  <c r="AG24"/>
  <c r="AI24" s="1"/>
  <c r="O29" i="2"/>
  <c r="DE29" i="8"/>
  <c r="DF26" i="5"/>
  <c r="AC28" i="1" l="1"/>
  <c r="BC29" i="5"/>
  <c r="BP30"/>
  <c r="AB29" i="1"/>
  <c r="BK31" i="5"/>
  <c r="AD29" i="1"/>
  <c r="BN32" i="5"/>
  <c r="AF30" i="1"/>
  <c r="BE29" i="5"/>
  <c r="AE27" i="1"/>
  <c r="W27" s="1"/>
  <c r="AZ32" i="5"/>
  <c r="O29" i="1"/>
  <c r="DK29" i="8" s="1"/>
  <c r="DJ28"/>
  <c r="DI28"/>
  <c r="AS7"/>
  <c r="AO7" i="1"/>
  <c r="AR23" i="8"/>
  <c r="C23" i="9"/>
  <c r="AR23" i="1"/>
  <c r="V23" s="1"/>
  <c r="K24" s="1"/>
  <c r="AR24" i="8" s="1"/>
  <c r="BN23" i="1"/>
  <c r="AD25" i="9"/>
  <c r="AV25" i="1" s="1"/>
  <c r="N28"/>
  <c r="BL7"/>
  <c r="AC24" i="11"/>
  <c r="T24" i="8" s="1"/>
  <c r="Y24" i="11"/>
  <c r="AH24" i="1" s="1"/>
  <c r="AA24" i="11"/>
  <c r="AB24"/>
  <c r="P24" i="8" s="1"/>
  <c r="AD24" i="11"/>
  <c r="AI24" i="1" s="1"/>
  <c r="Z24" i="11"/>
  <c r="AC24" i="2" s="1"/>
  <c r="AT24" i="8"/>
  <c r="AQ24"/>
  <c r="F24" i="11"/>
  <c r="M25" i="1"/>
  <c r="AW24" i="8"/>
  <c r="D22" i="11"/>
  <c r="AP22" i="8"/>
  <c r="CA25"/>
  <c r="CH25"/>
  <c r="BZ25"/>
  <c r="BU25"/>
  <c r="AJ31" i="14"/>
  <c r="CM30" i="8"/>
  <c r="L30" i="11"/>
  <c r="B29" i="2"/>
  <c r="B29" i="1"/>
  <c r="BI29" s="1"/>
  <c r="A30" i="2"/>
  <c r="A30" i="8"/>
  <c r="K30" i="11"/>
  <c r="A30" i="7"/>
  <c r="B30" i="14"/>
  <c r="A30" i="9"/>
  <c r="M30" i="5"/>
  <c r="J31" i="10"/>
  <c r="AD30" i="8"/>
  <c r="EP25"/>
  <c r="DT25"/>
  <c r="DR25"/>
  <c r="DS25"/>
  <c r="CY25"/>
  <c r="EA25" s="1"/>
  <c r="DN25"/>
  <c r="DO25"/>
  <c r="CS26"/>
  <c r="DP26" s="1"/>
  <c r="CT26"/>
  <c r="DQ26" s="1"/>
  <c r="CU26"/>
  <c r="Y28" i="1"/>
  <c r="AQ24" i="5"/>
  <c r="AU24" i="1" s="1"/>
  <c r="I32" i="8"/>
  <c r="Q31" i="2"/>
  <c r="CX25" i="8"/>
  <c r="DG25"/>
  <c r="EG25" s="1"/>
  <c r="CV25"/>
  <c r="DX25" s="1"/>
  <c r="EB25" s="1"/>
  <c r="CW25"/>
  <c r="DB25"/>
  <c r="EC25" s="1"/>
  <c r="ED25" s="1"/>
  <c r="CQ26"/>
  <c r="DA26" s="1"/>
  <c r="EI24"/>
  <c r="B26" i="7"/>
  <c r="AE26" s="1"/>
  <c r="AF26" s="1"/>
  <c r="AB25" i="2"/>
  <c r="DL26" i="8"/>
  <c r="AT23" i="1"/>
  <c r="A26" i="10"/>
  <c r="AA26" s="1"/>
  <c r="DY24" i="8"/>
  <c r="DZ24" s="1"/>
  <c r="AU24"/>
  <c r="AP24" i="5"/>
  <c r="AV24" i="8"/>
  <c r="AW24" i="1" s="1"/>
  <c r="L24" s="1"/>
  <c r="BO24" s="1"/>
  <c r="DH25" i="8"/>
  <c r="EH25" s="1"/>
  <c r="CN25"/>
  <c r="AN25" i="5"/>
  <c r="E26" i="1"/>
  <c r="AV26" i="5"/>
  <c r="AU26"/>
  <c r="X25" i="10"/>
  <c r="Y25" s="1"/>
  <c r="W26" i="8"/>
  <c r="EO26"/>
  <c r="B26" i="9"/>
  <c r="AH26" i="5"/>
  <c r="AC26" i="10" s="1"/>
  <c r="P25" i="1"/>
  <c r="D25" i="14" s="1"/>
  <c r="BN26" i="8"/>
  <c r="CR26" s="1"/>
  <c r="AI26" i="5"/>
  <c r="A26" i="11"/>
  <c r="BO26" i="8"/>
  <c r="DM26" s="1"/>
  <c r="BS26" i="5"/>
  <c r="AB26" i="8"/>
  <c r="C26" i="14"/>
  <c r="Q26" i="1"/>
  <c r="E26" i="14" s="1"/>
  <c r="AL25" i="5"/>
  <c r="AR28"/>
  <c r="H29"/>
  <c r="F28" i="7"/>
  <c r="D28" i="10"/>
  <c r="AO25" i="5"/>
  <c r="BQ25" i="8"/>
  <c r="A27" i="5"/>
  <c r="E27" s="1"/>
  <c r="EQ27" i="8" s="1"/>
  <c r="CZ27" s="1"/>
  <c r="N25" i="7"/>
  <c r="BY25" i="8"/>
  <c r="AM25" i="5"/>
  <c r="BP25" i="8"/>
  <c r="BT25"/>
  <c r="CF25"/>
  <c r="CG25"/>
  <c r="AE25" i="7"/>
  <c r="AF25" s="1"/>
  <c r="N25" i="11"/>
  <c r="D26" i="9"/>
  <c r="V27" i="2"/>
  <c r="CR25" i="8"/>
  <c r="DD25" s="1"/>
  <c r="DD27" i="5"/>
  <c r="G27" i="10"/>
  <c r="K28" i="5"/>
  <c r="I27" i="7"/>
  <c r="J27"/>
  <c r="L28" i="5"/>
  <c r="H27" i="10"/>
  <c r="DE27" i="5"/>
  <c r="DB28"/>
  <c r="E28" i="10"/>
  <c r="I29" i="5"/>
  <c r="G28" i="7"/>
  <c r="BM22" i="1"/>
  <c r="AK22" i="5"/>
  <c r="AQ22" i="1"/>
  <c r="U22" s="1"/>
  <c r="J23" s="1"/>
  <c r="AO23" i="8"/>
  <c r="BO23" i="1"/>
  <c r="EE24" i="8"/>
  <c r="EF24" s="1"/>
  <c r="B31" i="10"/>
  <c r="D31" i="7"/>
  <c r="F32" i="5"/>
  <c r="J30" i="8"/>
  <c r="R29" i="2"/>
  <c r="CY29" i="5"/>
  <c r="Y6" i="2"/>
  <c r="X6" s="1"/>
  <c r="X29" i="1"/>
  <c r="O30" i="2"/>
  <c r="DE30" i="8"/>
  <c r="DG29" i="5"/>
  <c r="S30" i="2"/>
  <c r="K31" i="8"/>
  <c r="H32"/>
  <c r="P31" i="2"/>
  <c r="N29"/>
  <c r="B28" i="5"/>
  <c r="J28" i="2"/>
  <c r="G29" i="5"/>
  <c r="CZ28"/>
  <c r="E28" i="7"/>
  <c r="C28" i="10"/>
  <c r="M30" i="2"/>
  <c r="DF30" i="8"/>
  <c r="J30" i="5"/>
  <c r="H29" i="7"/>
  <c r="F29" i="10"/>
  <c r="DC29" i="5"/>
  <c r="DA28"/>
  <c r="AA29" i="7"/>
  <c r="AE29" i="8" s="1"/>
  <c r="BC29" s="1"/>
  <c r="K29" i="10"/>
  <c r="BY30" i="11"/>
  <c r="DF27" i="5"/>
  <c r="J29" i="2" l="1"/>
  <c r="AC29" i="1"/>
  <c r="BC30" i="5"/>
  <c r="BP31"/>
  <c r="AB30" i="1"/>
  <c r="AZ33" i="5"/>
  <c r="BK32"/>
  <c r="AD30" i="1"/>
  <c r="BN33" i="5"/>
  <c r="AF31" i="1"/>
  <c r="BE30" i="5"/>
  <c r="AE28" i="1"/>
  <c r="W28" s="1"/>
  <c r="O30"/>
  <c r="DK30" i="8" s="1"/>
  <c r="DI29"/>
  <c r="DJ29"/>
  <c r="BN24" i="1"/>
  <c r="AR24"/>
  <c r="V24" s="1"/>
  <c r="K25" s="1"/>
  <c r="C24" i="9"/>
  <c r="AD26"/>
  <c r="AV26" i="1" s="1"/>
  <c r="N29"/>
  <c r="Y25" i="11"/>
  <c r="AH25" i="1" s="1"/>
  <c r="AC25" i="11"/>
  <c r="T25" i="8" s="1"/>
  <c r="AA25" i="11"/>
  <c r="AD25"/>
  <c r="AI25" i="1" s="1"/>
  <c r="AB25" i="11"/>
  <c r="P25" i="8" s="1"/>
  <c r="Z25" i="11"/>
  <c r="AC25" i="2" s="1"/>
  <c r="AT25" i="8"/>
  <c r="AW25"/>
  <c r="AQ25"/>
  <c r="F25" i="11"/>
  <c r="M26" i="1"/>
  <c r="AQ23"/>
  <c r="U23" s="1"/>
  <c r="J24" s="1"/>
  <c r="AP23" i="8"/>
  <c r="CA26"/>
  <c r="CH26"/>
  <c r="N26" i="7"/>
  <c r="BU26" i="8"/>
  <c r="CM31"/>
  <c r="AJ32" i="14"/>
  <c r="B30" i="2"/>
  <c r="L31" i="11"/>
  <c r="B30" i="1"/>
  <c r="BI30" s="1"/>
  <c r="A31" i="2"/>
  <c r="A31" i="7"/>
  <c r="K31" i="11"/>
  <c r="A31" i="8"/>
  <c r="A31" i="9"/>
  <c r="B31" i="14"/>
  <c r="AD31" i="8"/>
  <c r="J32" i="10"/>
  <c r="M31" i="5"/>
  <c r="AU25" i="8"/>
  <c r="EP26"/>
  <c r="DT26"/>
  <c r="DR26"/>
  <c r="DS26"/>
  <c r="DB26"/>
  <c r="EC26" s="1"/>
  <c r="ED26" s="1"/>
  <c r="DN26"/>
  <c r="DO26"/>
  <c r="CT27"/>
  <c r="DQ27" s="1"/>
  <c r="CU27"/>
  <c r="CS27"/>
  <c r="DP27" s="1"/>
  <c r="Y29" i="1"/>
  <c r="X26" i="10"/>
  <c r="Y26" s="1"/>
  <c r="AH25" i="7"/>
  <c r="CX26" i="8"/>
  <c r="CV26"/>
  <c r="DX26" s="1"/>
  <c r="EB26" s="1"/>
  <c r="I33"/>
  <c r="Q32" i="2"/>
  <c r="CY26" i="8"/>
  <c r="EA26" s="1"/>
  <c r="DG26"/>
  <c r="EG26" s="1"/>
  <c r="CW26"/>
  <c r="DY25"/>
  <c r="DZ25" s="1"/>
  <c r="EI25"/>
  <c r="Q26" i="7"/>
  <c r="CO26" i="8"/>
  <c r="N26" i="11"/>
  <c r="AO26" i="5"/>
  <c r="AT24" i="1"/>
  <c r="AL26" i="5"/>
  <c r="AP25"/>
  <c r="AM26"/>
  <c r="BQ26" i="8"/>
  <c r="BP26"/>
  <c r="BZ26"/>
  <c r="CG26"/>
  <c r="BY26"/>
  <c r="BT26"/>
  <c r="D27" i="9"/>
  <c r="AN26" i="5"/>
  <c r="CN26" i="8"/>
  <c r="AQ25" i="5"/>
  <c r="AU25" i="1" s="1"/>
  <c r="CF26" i="8"/>
  <c r="DH26"/>
  <c r="EH26" s="1"/>
  <c r="P26" i="1"/>
  <c r="D26" i="14" s="1"/>
  <c r="H30" i="5"/>
  <c r="D29" i="10"/>
  <c r="F29" i="7"/>
  <c r="E24" i="11"/>
  <c r="AV25" i="8"/>
  <c r="AW25" i="1" s="1"/>
  <c r="L25" s="1"/>
  <c r="AO25" i="8" s="1"/>
  <c r="DC25"/>
  <c r="EE25" s="1"/>
  <c r="EF25" s="1"/>
  <c r="AR29" i="5"/>
  <c r="AG25" i="7"/>
  <c r="AI25" s="1"/>
  <c r="V28" i="2"/>
  <c r="A28" i="5"/>
  <c r="E28" s="1"/>
  <c r="EQ28" i="8" s="1"/>
  <c r="CZ28" s="1"/>
  <c r="AO24"/>
  <c r="DD28" i="5"/>
  <c r="I28" i="7"/>
  <c r="K29" i="5"/>
  <c r="G28" i="10"/>
  <c r="J28" i="7"/>
  <c r="H28" i="10"/>
  <c r="L29" i="5"/>
  <c r="DE28"/>
  <c r="DB29"/>
  <c r="E29" i="10"/>
  <c r="I30" i="5"/>
  <c r="G29" i="7"/>
  <c r="BM23" i="1"/>
  <c r="D23" i="11"/>
  <c r="AK23" i="5"/>
  <c r="X30" i="1"/>
  <c r="K30" i="10"/>
  <c r="AA30" i="7"/>
  <c r="AE30" i="8" s="1"/>
  <c r="BC30" s="1"/>
  <c r="BY31" i="11"/>
  <c r="H7"/>
  <c r="B7" i="8"/>
  <c r="D7" i="2" s="1"/>
  <c r="AB7" i="7"/>
  <c r="BD7" i="8"/>
  <c r="E7" i="2"/>
  <c r="L7"/>
  <c r="J31" i="8"/>
  <c r="R30" i="2"/>
  <c r="B29" i="5"/>
  <c r="DC30"/>
  <c r="H30" i="7"/>
  <c r="F30" i="10"/>
  <c r="J31" i="5"/>
  <c r="AH26" i="7"/>
  <c r="AG26"/>
  <c r="AI26" s="1"/>
  <c r="M31" i="2"/>
  <c r="DF31" i="8"/>
  <c r="O31" i="2"/>
  <c r="DE31" i="8"/>
  <c r="DG30" i="5"/>
  <c r="A27" i="11"/>
  <c r="BN27" i="8"/>
  <c r="Q27" i="1"/>
  <c r="E27" i="14" s="1"/>
  <c r="AV27" i="5"/>
  <c r="AH27"/>
  <c r="E27" i="1"/>
  <c r="B27" i="9"/>
  <c r="A27" i="10"/>
  <c r="AA27" s="1"/>
  <c r="AI27" i="5"/>
  <c r="C27" i="14"/>
  <c r="BS27" i="5"/>
  <c r="W27" i="8"/>
  <c r="B27" i="7"/>
  <c r="AU27" i="5"/>
  <c r="AB26" i="2"/>
  <c r="BO27" i="8"/>
  <c r="DM27" s="1"/>
  <c r="EO27"/>
  <c r="DT27" s="1"/>
  <c r="AB27"/>
  <c r="DL27"/>
  <c r="CQ27"/>
  <c r="DA27" s="1"/>
  <c r="N30" i="2"/>
  <c r="S31"/>
  <c r="K32" i="8"/>
  <c r="CY30" i="5"/>
  <c r="DC26" i="8"/>
  <c r="DD26"/>
  <c r="P32" i="2"/>
  <c r="H33" i="8"/>
  <c r="DA29" i="5"/>
  <c r="E29" i="7"/>
  <c r="G30" i="5"/>
  <c r="CZ29"/>
  <c r="C29" i="10"/>
  <c r="D32" i="7"/>
  <c r="F33" i="5"/>
  <c r="B32" i="10"/>
  <c r="DF28" i="5"/>
  <c r="AC30" i="1" l="1"/>
  <c r="BC31" i="5"/>
  <c r="B30"/>
  <c r="BN34"/>
  <c r="AF32" i="1"/>
  <c r="BE31" i="5"/>
  <c r="AE29" i="1"/>
  <c r="W29" s="1"/>
  <c r="BP32" i="5"/>
  <c r="AB31" i="1"/>
  <c r="AZ34" i="5"/>
  <c r="BK33"/>
  <c r="AD31" i="1"/>
  <c r="O31"/>
  <c r="DK31" i="8" s="1"/>
  <c r="DI30"/>
  <c r="DJ30"/>
  <c r="AR25"/>
  <c r="C25" i="9"/>
  <c r="AR25" i="1"/>
  <c r="V25" s="1"/>
  <c r="K26" s="1"/>
  <c r="BN25"/>
  <c r="AD27" i="9"/>
  <c r="AV27" i="1" s="1"/>
  <c r="N30"/>
  <c r="AA26" i="11"/>
  <c r="AC26"/>
  <c r="T26" i="8" s="1"/>
  <c r="Y26" i="11"/>
  <c r="AH26" i="1" s="1"/>
  <c r="AD26" i="11"/>
  <c r="AI26" i="1" s="1"/>
  <c r="AB26" i="11"/>
  <c r="P26" i="8" s="1"/>
  <c r="Z26" i="11"/>
  <c r="AC26" i="2" s="1"/>
  <c r="AT26" i="8"/>
  <c r="AQ26"/>
  <c r="F26" i="11"/>
  <c r="M27" i="1"/>
  <c r="AW26" i="8"/>
  <c r="AQ24" i="1"/>
  <c r="U24" s="1"/>
  <c r="J25" s="1"/>
  <c r="AP24" i="8"/>
  <c r="BU27"/>
  <c r="CA27"/>
  <c r="CH27"/>
  <c r="AJ33" i="14"/>
  <c r="CM32" i="8"/>
  <c r="L32" i="11"/>
  <c r="B31" i="1"/>
  <c r="BI31" s="1"/>
  <c r="B31" i="2"/>
  <c r="A32"/>
  <c r="M32" i="5"/>
  <c r="A32" i="9"/>
  <c r="K32" i="11"/>
  <c r="AD32" i="8"/>
  <c r="A32" i="7"/>
  <c r="J33" i="10"/>
  <c r="B32" i="14"/>
  <c r="A32" i="8"/>
  <c r="DR27"/>
  <c r="DS27"/>
  <c r="DN27"/>
  <c r="DO27"/>
  <c r="CS28"/>
  <c r="DP28" s="1"/>
  <c r="CT28"/>
  <c r="DQ28" s="1"/>
  <c r="CU28"/>
  <c r="Y30" i="1"/>
  <c r="BM24"/>
  <c r="D24" i="11"/>
  <c r="AK24" i="5"/>
  <c r="DY26" i="8"/>
  <c r="DZ26" s="1"/>
  <c r="I34"/>
  <c r="Q33" i="2"/>
  <c r="EI26" i="8"/>
  <c r="CQ28"/>
  <c r="DA28" s="1"/>
  <c r="AP26" i="5"/>
  <c r="AT25" i="1"/>
  <c r="AV26" i="8"/>
  <c r="AW26" i="1" s="1"/>
  <c r="L26" s="1"/>
  <c r="D28" i="9"/>
  <c r="AQ26" i="5"/>
  <c r="AU26" i="1" s="1"/>
  <c r="AU26" i="8"/>
  <c r="AI28" i="5"/>
  <c r="V29" i="2"/>
  <c r="AU28" i="5"/>
  <c r="D30" i="10"/>
  <c r="F30" i="7"/>
  <c r="H31" i="5"/>
  <c r="A29"/>
  <c r="E29" s="1"/>
  <c r="EQ29" i="8" s="1"/>
  <c r="CZ29" s="1"/>
  <c r="AB27" i="2"/>
  <c r="W28" i="8"/>
  <c r="BO28"/>
  <c r="DM28" s="1"/>
  <c r="BN28"/>
  <c r="AR30" i="5"/>
  <c r="AB28" i="8"/>
  <c r="C28" i="14"/>
  <c r="Q28" i="1"/>
  <c r="E28" i="14" s="1"/>
  <c r="EO28" i="8"/>
  <c r="E28" i="1"/>
  <c r="AH28" i="5"/>
  <c r="AC28" i="10" s="1"/>
  <c r="BS28" i="5"/>
  <c r="B28" i="7"/>
  <c r="AE28" s="1"/>
  <c r="AF28" s="1"/>
  <c r="DL28" i="8"/>
  <c r="A28" i="10"/>
  <c r="AA28" s="1"/>
  <c r="B28" i="9"/>
  <c r="AV28" i="5"/>
  <c r="A28" i="11"/>
  <c r="DD29" i="5"/>
  <c r="I29" i="7"/>
  <c r="G29" i="10"/>
  <c r="K30" i="5"/>
  <c r="L30"/>
  <c r="H29" i="10"/>
  <c r="DE29" i="5"/>
  <c r="J29" i="7"/>
  <c r="E30" i="10"/>
  <c r="G30" i="7"/>
  <c r="DB30" i="5"/>
  <c r="I31"/>
  <c r="E25" i="11"/>
  <c r="BO25" i="1"/>
  <c r="AN27" i="5"/>
  <c r="P27" i="1"/>
  <c r="DG31" i="5"/>
  <c r="N31" i="2"/>
  <c r="DH27" i="8"/>
  <c r="EH27" s="1"/>
  <c r="EP27"/>
  <c r="CR27"/>
  <c r="CN27"/>
  <c r="CO27"/>
  <c r="J32"/>
  <c r="R31" i="2"/>
  <c r="B31" i="5"/>
  <c r="DA30"/>
  <c r="CY31"/>
  <c r="BQ27" i="8"/>
  <c r="BP27"/>
  <c r="N27" i="7"/>
  <c r="BT27" i="8"/>
  <c r="BZ27"/>
  <c r="BY27"/>
  <c r="CG27"/>
  <c r="CF27"/>
  <c r="O32" i="2"/>
  <c r="DE32" i="8"/>
  <c r="U7" i="2"/>
  <c r="W6" s="1"/>
  <c r="C7" s="1"/>
  <c r="X31" i="1"/>
  <c r="CV27" i="8"/>
  <c r="DX27" s="1"/>
  <c r="CW27"/>
  <c r="DG27"/>
  <c r="EG27" s="1"/>
  <c r="CX27"/>
  <c r="DB27"/>
  <c r="EC27" s="1"/>
  <c r="ED27" s="1"/>
  <c r="CY27"/>
  <c r="EA27" s="1"/>
  <c r="AM27" i="5"/>
  <c r="AO27"/>
  <c r="AC27" i="10"/>
  <c r="X27" s="1"/>
  <c r="Y27" s="1"/>
  <c r="AL27" i="5"/>
  <c r="M32" i="2"/>
  <c r="DF32" i="8"/>
  <c r="J30" i="2"/>
  <c r="N27" i="11"/>
  <c r="H34" i="8"/>
  <c r="P33" i="2"/>
  <c r="B33" i="10"/>
  <c r="D33" i="7"/>
  <c r="F34" i="5"/>
  <c r="Q27" i="7"/>
  <c r="AE27"/>
  <c r="AF27" s="1"/>
  <c r="CZ30" i="5"/>
  <c r="C30" i="10"/>
  <c r="E30" i="7"/>
  <c r="G31" i="5"/>
  <c r="K33" i="8"/>
  <c r="S32" i="2"/>
  <c r="F31" i="10"/>
  <c r="H31" i="7"/>
  <c r="J32" i="5"/>
  <c r="DC31"/>
  <c r="AA31" i="7"/>
  <c r="AE31" i="8" s="1"/>
  <c r="BC31" s="1"/>
  <c r="BY32" i="11"/>
  <c r="K31" i="10"/>
  <c r="EE26" i="8"/>
  <c r="EF26" s="1"/>
  <c r="DF29" i="5"/>
  <c r="AC31" i="1" l="1"/>
  <c r="BC32" i="5"/>
  <c r="AZ35"/>
  <c r="BN35"/>
  <c r="AF33" i="1"/>
  <c r="BK34" i="5"/>
  <c r="AD32" i="1"/>
  <c r="BE32" i="5"/>
  <c r="AE30" i="1"/>
  <c r="W30" s="1"/>
  <c r="BP33" i="5"/>
  <c r="AB32" i="1"/>
  <c r="O32"/>
  <c r="DK32" i="8" s="1"/>
  <c r="DI31"/>
  <c r="DJ31"/>
  <c r="AR26"/>
  <c r="C26" i="9"/>
  <c r="BN26" i="1"/>
  <c r="AR26"/>
  <c r="V26" s="1"/>
  <c r="K27" s="1"/>
  <c r="AR27" i="8" s="1"/>
  <c r="AD28" i="9"/>
  <c r="AV28" i="1" s="1"/>
  <c r="N31"/>
  <c r="AA27" i="11"/>
  <c r="Y27"/>
  <c r="AH27" i="1" s="1"/>
  <c r="AC27" i="11"/>
  <c r="T27" i="8" s="1"/>
  <c r="AD27" i="11"/>
  <c r="AI27" i="1" s="1"/>
  <c r="Z27" i="11"/>
  <c r="AC27" i="2" s="1"/>
  <c r="AB27" i="11"/>
  <c r="P27" i="8" s="1"/>
  <c r="AT27"/>
  <c r="AQ27"/>
  <c r="M28" i="1"/>
  <c r="F27" i="11"/>
  <c r="AW27" i="8"/>
  <c r="AQ25" i="1"/>
  <c r="U25" s="1"/>
  <c r="J26" s="1"/>
  <c r="AP25" i="8"/>
  <c r="BU28"/>
  <c r="CA28"/>
  <c r="CH28"/>
  <c r="AJ34" i="14"/>
  <c r="CM33" i="8"/>
  <c r="B32" i="2"/>
  <c r="B32" i="1"/>
  <c r="BI32" s="1"/>
  <c r="L33" i="11"/>
  <c r="A33" i="2"/>
  <c r="K33" i="11"/>
  <c r="B33" i="14"/>
  <c r="M33" i="5"/>
  <c r="AD33" i="8"/>
  <c r="A33" i="9"/>
  <c r="J34" i="10"/>
  <c r="A33" i="7"/>
  <c r="A33" i="8"/>
  <c r="EP28"/>
  <c r="DT28"/>
  <c r="DR28"/>
  <c r="DS28"/>
  <c r="CX28"/>
  <c r="DN28"/>
  <c r="DO28"/>
  <c r="CU29"/>
  <c r="CS29"/>
  <c r="DP29" s="1"/>
  <c r="CT29"/>
  <c r="DQ29" s="1"/>
  <c r="Y31" i="1"/>
  <c r="I35" i="8"/>
  <c r="Q34" i="2"/>
  <c r="CY28" i="8"/>
  <c r="EA28" s="1"/>
  <c r="CW28"/>
  <c r="DB28"/>
  <c r="EC28" s="1"/>
  <c r="ED28" s="1"/>
  <c r="CV28"/>
  <c r="DX28" s="1"/>
  <c r="EB28" s="1"/>
  <c r="DL29"/>
  <c r="DG28"/>
  <c r="EG28" s="1"/>
  <c r="AT26" i="1"/>
  <c r="BM25"/>
  <c r="DH28" i="8"/>
  <c r="EH28" s="1"/>
  <c r="AO26"/>
  <c r="E26" i="11"/>
  <c r="D25"/>
  <c r="D29" i="9"/>
  <c r="BO26" i="1"/>
  <c r="AK25" i="5"/>
  <c r="CQ29" i="8"/>
  <c r="DA29" s="1"/>
  <c r="CR28"/>
  <c r="DD28" s="1"/>
  <c r="N28" i="11"/>
  <c r="CN28" i="8"/>
  <c r="CO28"/>
  <c r="AL28" i="5"/>
  <c r="W29" i="8"/>
  <c r="AO28" i="5"/>
  <c r="BZ28" i="8"/>
  <c r="Q29" i="1"/>
  <c r="E29" i="14" s="1"/>
  <c r="AN28" i="5"/>
  <c r="AM28"/>
  <c r="D31" i="10"/>
  <c r="H32" i="5"/>
  <c r="F31" i="7"/>
  <c r="BN29" i="8"/>
  <c r="CR29" s="1"/>
  <c r="C29" i="14"/>
  <c r="CF28" i="8"/>
  <c r="V30" i="2"/>
  <c r="AU29" i="5"/>
  <c r="AH29"/>
  <c r="AC29" i="10" s="1"/>
  <c r="CG28" i="8"/>
  <c r="BQ28"/>
  <c r="BY28"/>
  <c r="AB28" i="2"/>
  <c r="A29" i="11"/>
  <c r="BP28" i="8"/>
  <c r="B29" i="9"/>
  <c r="BO29" i="8"/>
  <c r="DM29" s="1"/>
  <c r="BS29" i="5"/>
  <c r="N28" i="7"/>
  <c r="B29"/>
  <c r="Q29" s="1"/>
  <c r="Q28"/>
  <c r="AB29" i="8"/>
  <c r="A29" i="10"/>
  <c r="AA29" s="1"/>
  <c r="AI29" i="5"/>
  <c r="AN29" s="1"/>
  <c r="BT28" i="8"/>
  <c r="EO29"/>
  <c r="AV29" i="5"/>
  <c r="E29" i="1"/>
  <c r="A30" i="5"/>
  <c r="E30" s="1"/>
  <c r="EQ30" i="8" s="1"/>
  <c r="CZ30" s="1"/>
  <c r="AR31" i="5"/>
  <c r="X28" i="10"/>
  <c r="Y28" s="1"/>
  <c r="P28" i="1"/>
  <c r="D28" i="14" s="1"/>
  <c r="DD30" i="5"/>
  <c r="I30" i="7"/>
  <c r="G30" i="10"/>
  <c r="K31" i="5"/>
  <c r="DE30"/>
  <c r="H30" i="10"/>
  <c r="L31" i="5"/>
  <c r="J30" i="7"/>
  <c r="DB31" i="5"/>
  <c r="E31" i="10"/>
  <c r="I32" i="5"/>
  <c r="G31" i="7"/>
  <c r="EI27" i="8"/>
  <c r="D27" i="14"/>
  <c r="AP27" i="5"/>
  <c r="DY27" i="8"/>
  <c r="DZ27" s="1"/>
  <c r="CY32" i="5"/>
  <c r="R32" i="2"/>
  <c r="J33" i="8"/>
  <c r="G32" i="5"/>
  <c r="C31" i="10"/>
  <c r="E31" i="7"/>
  <c r="CZ31" i="5"/>
  <c r="H35" i="8"/>
  <c r="P34" i="2"/>
  <c r="DF33" i="8"/>
  <c r="M33" i="2"/>
  <c r="X32" i="1"/>
  <c r="I7" i="2"/>
  <c r="F7"/>
  <c r="F7" i="1"/>
  <c r="H7" i="2"/>
  <c r="N32"/>
  <c r="DG32" i="5"/>
  <c r="EB27" i="8"/>
  <c r="B34" i="10"/>
  <c r="D34" i="7"/>
  <c r="F35" i="5"/>
  <c r="BY33" i="11"/>
  <c r="AA32" i="7"/>
  <c r="AE32" i="8" s="1"/>
  <c r="BC32" s="1"/>
  <c r="K32" i="10"/>
  <c r="AV27" i="8"/>
  <c r="AW27" i="1" s="1"/>
  <c r="L27" s="1"/>
  <c r="E27" i="11" s="1"/>
  <c r="J31" i="2"/>
  <c r="AU27" i="8"/>
  <c r="K34"/>
  <c r="S33" i="2"/>
  <c r="DA31" i="5"/>
  <c r="O33" i="2"/>
  <c r="DE33" i="8"/>
  <c r="J33" i="5"/>
  <c r="F32" i="10"/>
  <c r="DC32" i="5"/>
  <c r="H32" i="7"/>
  <c r="AG27"/>
  <c r="AI27" s="1"/>
  <c r="AH27"/>
  <c r="AG28"/>
  <c r="AI28" s="1"/>
  <c r="AH28"/>
  <c r="DD27" i="8"/>
  <c r="DC27"/>
  <c r="AQ27" i="5"/>
  <c r="AU27" i="1" s="1"/>
  <c r="DF30" i="5"/>
  <c r="B32" l="1"/>
  <c r="AC32" i="1"/>
  <c r="BC33" i="5"/>
  <c r="BE33"/>
  <c r="AE31" i="1"/>
  <c r="AZ36" i="5"/>
  <c r="BP34"/>
  <c r="AB33" i="1"/>
  <c r="BN36" i="5"/>
  <c r="AF34" i="1"/>
  <c r="BK35" i="5"/>
  <c r="AD33" i="1"/>
  <c r="O33"/>
  <c r="DK33" i="8" s="1"/>
  <c r="DJ32"/>
  <c r="DI32"/>
  <c r="C27" i="9"/>
  <c r="BN27" i="1"/>
  <c r="AR27"/>
  <c r="V27" s="1"/>
  <c r="K28" s="1"/>
  <c r="AD29" i="9"/>
  <c r="AV29" i="1" s="1"/>
  <c r="N32"/>
  <c r="AC28" i="11"/>
  <c r="T28" i="8" s="1"/>
  <c r="Y28" i="11"/>
  <c r="AH28" i="1" s="1"/>
  <c r="AA28" i="11"/>
  <c r="AB28"/>
  <c r="P28" i="8" s="1"/>
  <c r="AD28" i="11"/>
  <c r="AI28" i="1" s="1"/>
  <c r="Z28" i="11"/>
  <c r="AC28" i="2" s="1"/>
  <c r="AT28" i="8"/>
  <c r="AQ28"/>
  <c r="F28" i="11"/>
  <c r="M29" i="1"/>
  <c r="AW28" i="8"/>
  <c r="D26" i="11"/>
  <c r="AP26" i="8"/>
  <c r="CA29"/>
  <c r="CH29"/>
  <c r="CG29"/>
  <c r="BU29"/>
  <c r="DC28"/>
  <c r="EE28" s="1"/>
  <c r="EF28" s="1"/>
  <c r="CM34"/>
  <c r="AJ35" i="14"/>
  <c r="A34" i="2"/>
  <c r="K34" i="11"/>
  <c r="A34" i="7"/>
  <c r="AD34" i="8"/>
  <c r="J35" i="10"/>
  <c r="M34" i="5"/>
  <c r="B34" i="14"/>
  <c r="A34" i="9"/>
  <c r="A34" i="8"/>
  <c r="B33" i="2"/>
  <c r="L34" i="11"/>
  <c r="B33" i="1"/>
  <c r="BI33" s="1"/>
  <c r="DH29" i="8"/>
  <c r="EH29" s="1"/>
  <c r="DT29"/>
  <c r="DR29"/>
  <c r="DS29"/>
  <c r="DG29"/>
  <c r="EG29" s="1"/>
  <c r="DN29"/>
  <c r="DO29"/>
  <c r="DY28"/>
  <c r="DZ28" s="1"/>
  <c r="CS30"/>
  <c r="DP30" s="1"/>
  <c r="CT30"/>
  <c r="DQ30" s="1"/>
  <c r="CU30"/>
  <c r="Y32" i="1"/>
  <c r="I36" i="8"/>
  <c r="Q35" i="2"/>
  <c r="DL30" i="8"/>
  <c r="EI28"/>
  <c r="DB29"/>
  <c r="EC29" s="1"/>
  <c r="ED29" s="1"/>
  <c r="CX29"/>
  <c r="CV29"/>
  <c r="DX29" s="1"/>
  <c r="EB29" s="1"/>
  <c r="CW29"/>
  <c r="CY29"/>
  <c r="EA29" s="1"/>
  <c r="BM26" i="1"/>
  <c r="AK26" i="5"/>
  <c r="AQ26" i="1"/>
  <c r="U26" s="1"/>
  <c r="J27" s="1"/>
  <c r="AP27" i="8" s="1"/>
  <c r="AP28" i="5"/>
  <c r="EP29" i="8"/>
  <c r="AO29" i="5"/>
  <c r="AL29"/>
  <c r="AP29" s="1"/>
  <c r="AI30"/>
  <c r="AM29"/>
  <c r="AQ28"/>
  <c r="AU28" i="1" s="1"/>
  <c r="AV28" i="8"/>
  <c r="AW28" i="1" s="1"/>
  <c r="L28" s="1"/>
  <c r="E28" i="11" s="1"/>
  <c r="BQ29" i="8"/>
  <c r="N29" i="11"/>
  <c r="BP29" i="8"/>
  <c r="V31" i="2"/>
  <c r="CF29" i="8"/>
  <c r="D32" i="10"/>
  <c r="H33" i="5"/>
  <c r="F32" i="7"/>
  <c r="P29" i="1"/>
  <c r="D29" i="14" s="1"/>
  <c r="N29" i="7"/>
  <c r="AU28" i="8"/>
  <c r="CO29"/>
  <c r="AR32" i="5"/>
  <c r="BT29" i="8"/>
  <c r="D30" i="9"/>
  <c r="CN29" i="8"/>
  <c r="BZ29"/>
  <c r="X29" i="10"/>
  <c r="Y29" s="1"/>
  <c r="BY29" i="8"/>
  <c r="AE29" i="7"/>
  <c r="AF29" s="1"/>
  <c r="AB29" i="2"/>
  <c r="BO30" i="8"/>
  <c r="DM30" s="1"/>
  <c r="Q30" i="1"/>
  <c r="E30" i="14" s="1"/>
  <c r="EO30" i="8"/>
  <c r="E30" i="1"/>
  <c r="A30" i="11"/>
  <c r="CQ30" i="8"/>
  <c r="DA30" s="1"/>
  <c r="AB30"/>
  <c r="BS30" i="5"/>
  <c r="B30" i="9"/>
  <c r="BN30" i="8"/>
  <c r="CO30" s="1"/>
  <c r="B30" i="7"/>
  <c r="AE30" s="1"/>
  <c r="AF30" s="1"/>
  <c r="AV30" i="5"/>
  <c r="C30" i="14"/>
  <c r="AU30" i="5"/>
  <c r="AH30"/>
  <c r="AC30" i="10" s="1"/>
  <c r="W30" i="8"/>
  <c r="A30" i="10"/>
  <c r="AA30" s="1"/>
  <c r="A31" i="5"/>
  <c r="E31" s="1"/>
  <c r="EQ31" i="8" s="1"/>
  <c r="CZ31" s="1"/>
  <c r="I31" i="7"/>
  <c r="G31" i="10"/>
  <c r="K32" i="5"/>
  <c r="DD31"/>
  <c r="J31" i="7"/>
  <c r="L32" i="5"/>
  <c r="DE31"/>
  <c r="H31" i="10"/>
  <c r="I33" i="5"/>
  <c r="E32" i="10"/>
  <c r="G32" i="7"/>
  <c r="DB32" i="5"/>
  <c r="AT27" i="1"/>
  <c r="AO27" i="8"/>
  <c r="BO27" i="1"/>
  <c r="J34" i="8"/>
  <c r="R33" i="2"/>
  <c r="DG33" i="5"/>
  <c r="AP7" i="1"/>
  <c r="T7" s="1"/>
  <c r="J7" i="11"/>
  <c r="G7" i="2"/>
  <c r="Z7" s="1"/>
  <c r="Z8" i="8" s="1"/>
  <c r="DF34"/>
  <c r="M34" i="2"/>
  <c r="K35" i="8"/>
  <c r="S34" i="2"/>
  <c r="F36" i="5"/>
  <c r="D35" i="7"/>
  <c r="B35" i="10"/>
  <c r="G33" i="5"/>
  <c r="C32" i="10"/>
  <c r="CZ32" i="5"/>
  <c r="E32" i="7"/>
  <c r="CY33" i="5"/>
  <c r="K33" i="10"/>
  <c r="BY34" i="11"/>
  <c r="AA33" i="7"/>
  <c r="AE33" i="8" s="1"/>
  <c r="BC33" s="1"/>
  <c r="EE27"/>
  <c r="EF27" s="1"/>
  <c r="H33" i="7"/>
  <c r="F33" i="10"/>
  <c r="DC33" i="5"/>
  <c r="J34"/>
  <c r="O34" i="2"/>
  <c r="DE34" i="8"/>
  <c r="DC29"/>
  <c r="DD29"/>
  <c r="N33" i="2"/>
  <c r="W31" i="1"/>
  <c r="DA32" i="5"/>
  <c r="H36" i="8"/>
  <c r="P35" i="2"/>
  <c r="AA7" i="1"/>
  <c r="S7" s="1"/>
  <c r="H8" s="1"/>
  <c r="I7" i="11"/>
  <c r="O7" i="7"/>
  <c r="X33" i="1"/>
  <c r="J32" i="2"/>
  <c r="DF31" i="5"/>
  <c r="AC33" i="1" l="1"/>
  <c r="BC34" i="5"/>
  <c r="BK36"/>
  <c r="AD34" i="1"/>
  <c r="BE34" i="5"/>
  <c r="AE32" i="1"/>
  <c r="AZ37" i="5"/>
  <c r="BP35"/>
  <c r="AB34" i="1"/>
  <c r="BN37" i="5"/>
  <c r="AF35" i="1"/>
  <c r="O34"/>
  <c r="DK34" i="8" s="1"/>
  <c r="DI33"/>
  <c r="DJ33"/>
  <c r="AR28"/>
  <c r="BN28" i="1"/>
  <c r="AR28"/>
  <c r="V28" s="1"/>
  <c r="K29" s="1"/>
  <c r="AR29" i="8" s="1"/>
  <c r="C28" i="9"/>
  <c r="AD30"/>
  <c r="AV30" i="1" s="1"/>
  <c r="N33"/>
  <c r="AA29" i="11"/>
  <c r="Y29"/>
  <c r="AH29" i="1" s="1"/>
  <c r="AC29" i="11"/>
  <c r="T29" i="8" s="1"/>
  <c r="AB29" i="11"/>
  <c r="P29" i="8" s="1"/>
  <c r="Z29" i="11"/>
  <c r="AC29" i="2" s="1"/>
  <c r="AD29" i="11"/>
  <c r="AI29" i="1" s="1"/>
  <c r="I8"/>
  <c r="AT29" i="8"/>
  <c r="AQ29"/>
  <c r="F29" i="11"/>
  <c r="M30" i="1"/>
  <c r="AW29" i="8"/>
  <c r="CA30"/>
  <c r="CH30"/>
  <c r="CF30"/>
  <c r="BU30"/>
  <c r="Q30" i="7"/>
  <c r="AJ36" i="14"/>
  <c r="CM35" i="8"/>
  <c r="B34" i="1"/>
  <c r="BI34" s="1"/>
  <c r="B34" i="2"/>
  <c r="L35" i="11"/>
  <c r="A35" i="2"/>
  <c r="K35" i="11"/>
  <c r="B35" i="14"/>
  <c r="M35" i="5"/>
  <c r="A35" i="7"/>
  <c r="J36" i="10"/>
  <c r="AD35" i="8"/>
  <c r="A35"/>
  <c r="A35" i="9"/>
  <c r="DR30" i="8"/>
  <c r="DS30"/>
  <c r="EI29"/>
  <c r="EP30"/>
  <c r="DT30"/>
  <c r="CY30"/>
  <c r="EA30" s="1"/>
  <c r="DN30"/>
  <c r="DO30"/>
  <c r="CS31"/>
  <c r="DP31" s="1"/>
  <c r="CT31"/>
  <c r="DQ31" s="1"/>
  <c r="CU31"/>
  <c r="Y33" i="1"/>
  <c r="AG29" i="7"/>
  <c r="AI29" s="1"/>
  <c r="AH29"/>
  <c r="I37" i="8"/>
  <c r="Q36" i="2"/>
  <c r="CQ31" i="8"/>
  <c r="DA31" s="1"/>
  <c r="CG30"/>
  <c r="BQ30"/>
  <c r="DY29"/>
  <c r="DZ29" s="1"/>
  <c r="AT28" i="1"/>
  <c r="BP30" i="8"/>
  <c r="AQ29" i="5"/>
  <c r="AU29" i="1" s="1"/>
  <c r="BZ30" i="8"/>
  <c r="DH30"/>
  <c r="EH30" s="1"/>
  <c r="A31" i="11"/>
  <c r="AU29" i="8"/>
  <c r="AN30" i="5"/>
  <c r="AM30"/>
  <c r="DL31" i="8"/>
  <c r="E31" i="1"/>
  <c r="N30" i="7"/>
  <c r="AO30" i="5"/>
  <c r="BT30" i="8"/>
  <c r="D31" i="9"/>
  <c r="BY30" i="8"/>
  <c r="CW30"/>
  <c r="V32" i="2"/>
  <c r="N30" i="11"/>
  <c r="BS31" i="5"/>
  <c r="AU31"/>
  <c r="AV29" i="8"/>
  <c r="AW29" i="1" s="1"/>
  <c r="L29" s="1"/>
  <c r="E29" i="11" s="1"/>
  <c r="CN30" i="8"/>
  <c r="AL30" i="5"/>
  <c r="BO31" i="8"/>
  <c r="DM31" s="1"/>
  <c r="DG30"/>
  <c r="EG30" s="1"/>
  <c r="F33" i="7"/>
  <c r="H34" i="5"/>
  <c r="D33" i="10"/>
  <c r="CR30" i="8"/>
  <c r="DC30" s="1"/>
  <c r="AV31" i="5"/>
  <c r="P30" i="1"/>
  <c r="BN31" i="8"/>
  <c r="CR31" s="1"/>
  <c r="B31" i="7"/>
  <c r="Q31" s="1"/>
  <c r="CX30" i="8"/>
  <c r="AB30" i="2"/>
  <c r="AH31" i="5"/>
  <c r="AC31" i="10" s="1"/>
  <c r="CV30" i="8"/>
  <c r="DX30" s="1"/>
  <c r="EB30" s="1"/>
  <c r="EO31"/>
  <c r="A31" i="10"/>
  <c r="AA31" s="1"/>
  <c r="B31" i="9"/>
  <c r="AI31" i="5"/>
  <c r="Q31" i="1"/>
  <c r="E31" i="14" s="1"/>
  <c r="AR33" i="5"/>
  <c r="A32"/>
  <c r="E32" s="1"/>
  <c r="EQ32" i="8" s="1"/>
  <c r="CZ32" s="1"/>
  <c r="X30" i="10"/>
  <c r="Y30" s="1"/>
  <c r="AB31" i="8"/>
  <c r="W31"/>
  <c r="C31" i="14"/>
  <c r="DB30" i="8"/>
  <c r="EC30" s="1"/>
  <c r="ED30" s="1"/>
  <c r="I32" i="7"/>
  <c r="K33" i="5"/>
  <c r="DD32"/>
  <c r="G32" i="10"/>
  <c r="J32" i="7"/>
  <c r="L33" i="5"/>
  <c r="DE32"/>
  <c r="H32" i="10"/>
  <c r="E33"/>
  <c r="G33" i="7"/>
  <c r="I34" i="5"/>
  <c r="DB33"/>
  <c r="EE29" i="8"/>
  <c r="EF29" s="1"/>
  <c r="AO28"/>
  <c r="BO28" i="1"/>
  <c r="DG34" i="5"/>
  <c r="CY34"/>
  <c r="AH30" i="7"/>
  <c r="AG30"/>
  <c r="AI30" s="1"/>
  <c r="J35" i="5"/>
  <c r="F34" i="10"/>
  <c r="DC34" i="5"/>
  <c r="H34" i="7"/>
  <c r="BK8" i="1"/>
  <c r="AC8" i="7"/>
  <c r="C8" i="11"/>
  <c r="AJ8" i="5"/>
  <c r="AN8" i="8"/>
  <c r="V8" i="10"/>
  <c r="F7" i="9"/>
  <c r="P7" i="7"/>
  <c r="W32" i="1"/>
  <c r="DA33" i="5"/>
  <c r="X34" i="1"/>
  <c r="BY35" i="11"/>
  <c r="K34" i="10"/>
  <c r="AA34" i="7"/>
  <c r="AE34" i="8" s="1"/>
  <c r="BC34" s="1"/>
  <c r="C33" i="10"/>
  <c r="CZ33" i="5"/>
  <c r="E33" i="7"/>
  <c r="G34" i="5"/>
  <c r="B36" i="10"/>
  <c r="F37" i="5"/>
  <c r="D36" i="7"/>
  <c r="C7" i="8"/>
  <c r="J33" i="2"/>
  <c r="N34"/>
  <c r="S35"/>
  <c r="K36" i="8"/>
  <c r="DF35"/>
  <c r="M35" i="2"/>
  <c r="J35" i="8"/>
  <c r="R34" i="2"/>
  <c r="AQ27" i="1"/>
  <c r="U27" s="1"/>
  <c r="J28" s="1"/>
  <c r="AP28" i="8" s="1"/>
  <c r="BM27" i="1"/>
  <c r="D27" i="11"/>
  <c r="AK27" i="5"/>
  <c r="P36" i="2"/>
  <c r="H37" i="8"/>
  <c r="O35" i="2"/>
  <c r="DE35" i="8"/>
  <c r="B33" i="5"/>
  <c r="DF32"/>
  <c r="BC35" l="1"/>
  <c r="AC34" i="1"/>
  <c r="BP36" i="5"/>
  <c r="AB35" i="1"/>
  <c r="BK37" i="5"/>
  <c r="AD35" i="1"/>
  <c r="BN38" i="5"/>
  <c r="AF36" i="1"/>
  <c r="BE35" i="5"/>
  <c r="AE33" i="1"/>
  <c r="W33" s="1"/>
  <c r="AZ38" i="5"/>
  <c r="O35" i="1"/>
  <c r="DK35" i="8" s="1"/>
  <c r="DI34"/>
  <c r="DJ34"/>
  <c r="AS8"/>
  <c r="AO8" i="1"/>
  <c r="AD31" i="9"/>
  <c r="AV31" i="1" s="1"/>
  <c r="BN29"/>
  <c r="AR29"/>
  <c r="V29" s="1"/>
  <c r="K30" s="1"/>
  <c r="AR30" i="8" s="1"/>
  <c r="C29" i="9"/>
  <c r="N34" i="1"/>
  <c r="AA30" i="11"/>
  <c r="Y30"/>
  <c r="AH30" i="1" s="1"/>
  <c r="AC30" i="11"/>
  <c r="T30" i="8" s="1"/>
  <c r="AD30" i="11"/>
  <c r="AI30" i="1" s="1"/>
  <c r="AB30" i="11"/>
  <c r="P30" i="8" s="1"/>
  <c r="Z30" i="11"/>
  <c r="AC30" i="2" s="1"/>
  <c r="BL8" i="1"/>
  <c r="AT30" i="8"/>
  <c r="AQ30"/>
  <c r="M31" i="1"/>
  <c r="F30" i="11"/>
  <c r="AW30" i="8"/>
  <c r="CA31"/>
  <c r="CH31"/>
  <c r="N31" i="7"/>
  <c r="BU31" i="8"/>
  <c r="AJ37" i="14"/>
  <c r="CM36" i="8"/>
  <c r="A36" i="2"/>
  <c r="K36" i="11"/>
  <c r="A36" i="7"/>
  <c r="AD36" i="8"/>
  <c r="M36" i="5"/>
  <c r="J37" i="10"/>
  <c r="A36" i="9"/>
  <c r="A36" i="8"/>
  <c r="B36" i="14"/>
  <c r="L36" i="11"/>
  <c r="B35" i="2"/>
  <c r="B35" i="1"/>
  <c r="BI35" s="1"/>
  <c r="DR31" i="8"/>
  <c r="DS31"/>
  <c r="DH31"/>
  <c r="EH31" s="1"/>
  <c r="DT31"/>
  <c r="CW31"/>
  <c r="DN31"/>
  <c r="DO31"/>
  <c r="CU32"/>
  <c r="CT32"/>
  <c r="DQ32" s="1"/>
  <c r="CS32"/>
  <c r="DP32" s="1"/>
  <c r="Y34" i="1"/>
  <c r="I38" i="8"/>
  <c r="Q37" i="2"/>
  <c r="CX31" i="8"/>
  <c r="CY31"/>
  <c r="EA31" s="1"/>
  <c r="CV31"/>
  <c r="DX31" s="1"/>
  <c r="EB31" s="1"/>
  <c r="DG31"/>
  <c r="EG31" s="1"/>
  <c r="DB31"/>
  <c r="EC31" s="1"/>
  <c r="ED31" s="1"/>
  <c r="DL32"/>
  <c r="W32"/>
  <c r="A32" i="10"/>
  <c r="AA32" s="1"/>
  <c r="DD30" i="8"/>
  <c r="EE30" s="1"/>
  <c r="EF30" s="1"/>
  <c r="AT29" i="1"/>
  <c r="AP30" i="5"/>
  <c r="AU32"/>
  <c r="AV30" i="8"/>
  <c r="AW30" i="1" s="1"/>
  <c r="L30" s="1"/>
  <c r="AO30" i="8" s="1"/>
  <c r="CO31"/>
  <c r="AQ30" i="5"/>
  <c r="AU30" i="1" s="1"/>
  <c r="AO31" i="5"/>
  <c r="EI30" i="8"/>
  <c r="Q32" i="1"/>
  <c r="E32" i="14" s="1"/>
  <c r="AL31" i="5"/>
  <c r="AE31" i="7"/>
  <c r="AF31" s="1"/>
  <c r="N31" i="11"/>
  <c r="AH32" i="5"/>
  <c r="AC32" i="10" s="1"/>
  <c r="D32" i="9"/>
  <c r="DY30" i="8"/>
  <c r="DZ30" s="1"/>
  <c r="BP31"/>
  <c r="BN32"/>
  <c r="CR32" s="1"/>
  <c r="BS32" i="5"/>
  <c r="AN31"/>
  <c r="X31" i="10"/>
  <c r="Y31" s="1"/>
  <c r="BO32" i="8"/>
  <c r="DM32" s="1"/>
  <c r="AV32" i="5"/>
  <c r="CN31" i="8"/>
  <c r="EO32"/>
  <c r="A32" i="11"/>
  <c r="CQ32" i="8"/>
  <c r="DA32" s="1"/>
  <c r="C32" i="14"/>
  <c r="E32" i="1"/>
  <c r="AM31" i="5"/>
  <c r="AU30" i="8"/>
  <c r="P31" i="1"/>
  <c r="D31" i="14" s="1"/>
  <c r="D30"/>
  <c r="AB31" i="2"/>
  <c r="AI32" i="5"/>
  <c r="AB32" i="8"/>
  <c r="B32" i="9"/>
  <c r="B32" i="7"/>
  <c r="Q32" s="1"/>
  <c r="EP31" i="8"/>
  <c r="H35" i="5"/>
  <c r="D34" i="10"/>
  <c r="F34" i="7"/>
  <c r="BT31" i="8"/>
  <c r="BY31"/>
  <c r="AR34" i="5"/>
  <c r="CG31" i="8"/>
  <c r="CF31"/>
  <c r="BQ31"/>
  <c r="BZ31"/>
  <c r="V33" i="2"/>
  <c r="A33" i="5"/>
  <c r="E33" s="1"/>
  <c r="EQ33" i="8" s="1"/>
  <c r="CZ33" s="1"/>
  <c r="DD33" i="5"/>
  <c r="K34"/>
  <c r="G33" i="10"/>
  <c r="I33" i="7"/>
  <c r="DE33" i="5"/>
  <c r="L34"/>
  <c r="H33" i="10"/>
  <c r="J33" i="7"/>
  <c r="G34"/>
  <c r="E34" i="10"/>
  <c r="I35" i="5"/>
  <c r="DB34"/>
  <c r="AO29" i="8"/>
  <c r="BO29" i="1"/>
  <c r="R35" i="2"/>
  <c r="J36" i="8"/>
  <c r="DF36"/>
  <c r="M36" i="2"/>
  <c r="N35"/>
  <c r="DA34" i="5"/>
  <c r="O36" i="2"/>
  <c r="DE36" i="8"/>
  <c r="DD31"/>
  <c r="DC31"/>
  <c r="CY35" i="5"/>
  <c r="DG35"/>
  <c r="P37" i="2"/>
  <c r="H38" i="8"/>
  <c r="E34" i="7"/>
  <c r="G35" i="5"/>
  <c r="C34" i="10"/>
  <c r="CZ34" i="5"/>
  <c r="X35" i="1"/>
  <c r="D28" i="11"/>
  <c r="BM28" i="1"/>
  <c r="AQ28"/>
  <c r="U28" s="1"/>
  <c r="J29" s="1"/>
  <c r="AP29" i="8" s="1"/>
  <c r="AK28" i="5"/>
  <c r="B37" i="10"/>
  <c r="F38" i="5"/>
  <c r="D37" i="7"/>
  <c r="J36" i="5"/>
  <c r="DC35"/>
  <c r="F35" i="10"/>
  <c r="H35" i="7"/>
  <c r="B34" i="5"/>
  <c r="Y7" i="2"/>
  <c r="X7" s="1"/>
  <c r="K37" i="8"/>
  <c r="S36" i="2"/>
  <c r="AA35" i="7"/>
  <c r="AE35" i="8" s="1"/>
  <c r="BC35" s="1"/>
  <c r="K35" i="10"/>
  <c r="BY36" i="11"/>
  <c r="J34" i="2"/>
  <c r="DF33" i="5"/>
  <c r="AC35" i="1" l="1"/>
  <c r="BC36" i="5"/>
  <c r="B35"/>
  <c r="BP37"/>
  <c r="AB36" i="1"/>
  <c r="AZ39" i="5"/>
  <c r="BK38"/>
  <c r="AD36" i="1"/>
  <c r="BN39" i="5"/>
  <c r="AF37" i="1"/>
  <c r="BE36" i="5"/>
  <c r="AE34" i="1"/>
  <c r="O36"/>
  <c r="DK36" i="8" s="1"/>
  <c r="DI35"/>
  <c r="DJ35"/>
  <c r="AR30" i="1"/>
  <c r="V30" s="1"/>
  <c r="K31" s="1"/>
  <c r="AR31" i="8" s="1"/>
  <c r="C30" i="9"/>
  <c r="BN30" i="1"/>
  <c r="AD32" i="9"/>
  <c r="AV32" i="1" s="1"/>
  <c r="N35"/>
  <c r="AA31" i="11"/>
  <c r="Y31"/>
  <c r="AH31" i="1" s="1"/>
  <c r="AC31" i="11"/>
  <c r="T31" i="8" s="1"/>
  <c r="AD31" i="11"/>
  <c r="AI31" i="1" s="1"/>
  <c r="AB31" i="11"/>
  <c r="P31" i="8" s="1"/>
  <c r="Z31" i="11"/>
  <c r="AC31" i="2" s="1"/>
  <c r="AT31" i="8"/>
  <c r="AQ31"/>
  <c r="M32" i="1"/>
  <c r="F31" i="11"/>
  <c r="AW31" i="8"/>
  <c r="CA32"/>
  <c r="CH32"/>
  <c r="EI31"/>
  <c r="N32" i="7"/>
  <c r="BU32" i="8"/>
  <c r="AJ38" i="14"/>
  <c r="CM37" i="8"/>
  <c r="B36" i="2"/>
  <c r="L37" i="11"/>
  <c r="B36" i="1"/>
  <c r="BI36" s="1"/>
  <c r="A37" i="2"/>
  <c r="K37" i="11"/>
  <c r="AD37" i="8"/>
  <c r="J38" i="10"/>
  <c r="B37" i="14"/>
  <c r="A37" i="9"/>
  <c r="A37" i="7"/>
  <c r="A37" i="8"/>
  <c r="M37" i="5"/>
  <c r="EP32" i="8"/>
  <c r="DT32"/>
  <c r="DR32"/>
  <c r="DS32"/>
  <c r="CV32"/>
  <c r="DX32" s="1"/>
  <c r="EB32" s="1"/>
  <c r="DN32"/>
  <c r="DO32"/>
  <c r="DY31"/>
  <c r="DZ31" s="1"/>
  <c r="CS33"/>
  <c r="DP33" s="1"/>
  <c r="CT33"/>
  <c r="DQ33" s="1"/>
  <c r="CU33"/>
  <c r="AT30" i="1"/>
  <c r="Y35"/>
  <c r="J35" i="2"/>
  <c r="AH31" i="7"/>
  <c r="Q38" i="2"/>
  <c r="I39" i="8"/>
  <c r="AN32" i="5"/>
  <c r="AO32"/>
  <c r="X32" i="10"/>
  <c r="Y32" s="1"/>
  <c r="AL32" i="5"/>
  <c r="CN32" i="8"/>
  <c r="DH32"/>
  <c r="EH32" s="1"/>
  <c r="AP31" i="5"/>
  <c r="CO32" i="8"/>
  <c r="D33" i="9"/>
  <c r="DG32" i="8"/>
  <c r="EG32" s="1"/>
  <c r="AM32" i="5"/>
  <c r="AQ31"/>
  <c r="AU31" i="1" s="1"/>
  <c r="AG31" i="7"/>
  <c r="AI31" s="1"/>
  <c r="CY32" i="8"/>
  <c r="EA32" s="1"/>
  <c r="N32" i="11"/>
  <c r="CW32" i="8"/>
  <c r="DB32"/>
  <c r="EC32" s="1"/>
  <c r="ED32" s="1"/>
  <c r="P32" i="1"/>
  <c r="D32" i="14" s="1"/>
  <c r="CX32" i="8"/>
  <c r="AE32" i="7"/>
  <c r="AF32" s="1"/>
  <c r="BZ32" i="8"/>
  <c r="BT32"/>
  <c r="CF32"/>
  <c r="CG32"/>
  <c r="BP32"/>
  <c r="BY32"/>
  <c r="BQ32"/>
  <c r="AU31"/>
  <c r="AV31"/>
  <c r="AW31" i="1" s="1"/>
  <c r="L31" s="1"/>
  <c r="AO31" i="8" s="1"/>
  <c r="D35" i="10"/>
  <c r="F35" i="7"/>
  <c r="H36" i="5"/>
  <c r="V34" i="2"/>
  <c r="AR35" i="5"/>
  <c r="A34"/>
  <c r="E34" s="1"/>
  <c r="EQ34" i="8" s="1"/>
  <c r="CZ34" s="1"/>
  <c r="G34" i="10"/>
  <c r="I34" i="7"/>
  <c r="K35" i="5"/>
  <c r="DD34"/>
  <c r="L35"/>
  <c r="J34" i="7"/>
  <c r="H34" i="10"/>
  <c r="DE34" i="5"/>
  <c r="I36"/>
  <c r="G35" i="7"/>
  <c r="DB35" i="5"/>
  <c r="E35" i="10"/>
  <c r="BO30" i="1"/>
  <c r="E30" i="11"/>
  <c r="EE31" i="8"/>
  <c r="EF31" s="1"/>
  <c r="W33"/>
  <c r="AH33" i="5"/>
  <c r="BS33"/>
  <c r="A33" i="10"/>
  <c r="AA33" s="1"/>
  <c r="B33" i="9"/>
  <c r="Q33" i="1"/>
  <c r="E33" i="14" s="1"/>
  <c r="AU33" i="5"/>
  <c r="A33" i="11"/>
  <c r="BN33" i="8"/>
  <c r="AV33" i="5"/>
  <c r="C33" i="14"/>
  <c r="AI33" i="5"/>
  <c r="E33" i="1"/>
  <c r="B33" i="7"/>
  <c r="AB32" i="2"/>
  <c r="BO33" i="8"/>
  <c r="DM33" s="1"/>
  <c r="EO33"/>
  <c r="DT33" s="1"/>
  <c r="AB33"/>
  <c r="CQ33"/>
  <c r="DA33" s="1"/>
  <c r="DL33"/>
  <c r="H39"/>
  <c r="P38" i="2"/>
  <c r="M37"/>
  <c r="DF37" i="8"/>
  <c r="F39" i="5"/>
  <c r="B38" i="10"/>
  <c r="D38" i="7"/>
  <c r="S37" i="2"/>
  <c r="K38" i="8"/>
  <c r="DC32"/>
  <c r="DD32"/>
  <c r="BM29" i="1"/>
  <c r="AK29" i="5"/>
  <c r="AQ29" i="1"/>
  <c r="U29" s="1"/>
  <c r="J30" s="1"/>
  <c r="AP30" i="8" s="1"/>
  <c r="D29" i="11"/>
  <c r="X36" i="1"/>
  <c r="DG36" i="5"/>
  <c r="CY36"/>
  <c r="N36" i="2"/>
  <c r="BY37" i="11"/>
  <c r="K36" i="10"/>
  <c r="AA36" i="7"/>
  <c r="AE36" i="8" s="1"/>
  <c r="BC36" s="1"/>
  <c r="BD8"/>
  <c r="L8" i="2"/>
  <c r="B8" i="8"/>
  <c r="D8" i="2" s="1"/>
  <c r="H8" i="11"/>
  <c r="AB8" i="7"/>
  <c r="E8" i="2"/>
  <c r="DE37" i="8"/>
  <c r="O37" i="2"/>
  <c r="DC36" i="5"/>
  <c r="J37"/>
  <c r="F36" i="10"/>
  <c r="H36" i="7"/>
  <c r="W34" i="1"/>
  <c r="DA35" i="5"/>
  <c r="J37" i="8"/>
  <c r="R36" i="2"/>
  <c r="C35" i="10"/>
  <c r="CZ35" i="5"/>
  <c r="G36"/>
  <c r="E35" i="7"/>
  <c r="DF34" i="5"/>
  <c r="AC36" i="1" l="1"/>
  <c r="BC37" i="5"/>
  <c r="J37" i="2" s="1"/>
  <c r="BN40" i="5"/>
  <c r="AF38" i="1"/>
  <c r="BE37" i="5"/>
  <c r="AE35" i="1"/>
  <c r="W35" s="1"/>
  <c r="BP38" i="5"/>
  <c r="AB37" i="1"/>
  <c r="AZ40" i="5"/>
  <c r="BK39"/>
  <c r="AD37" i="1"/>
  <c r="O37"/>
  <c r="DK37" i="8" s="1"/>
  <c r="DJ36"/>
  <c r="DI36"/>
  <c r="BN31" i="1"/>
  <c r="C31" i="9"/>
  <c r="AR31" i="1"/>
  <c r="V31" s="1"/>
  <c r="K32" s="1"/>
  <c r="AR32" i="8" s="1"/>
  <c r="AD33" i="9"/>
  <c r="AV33" i="1" s="1"/>
  <c r="N36"/>
  <c r="AA32" i="11"/>
  <c r="AC32"/>
  <c r="T32" i="8" s="1"/>
  <c r="Y32" i="11"/>
  <c r="AH32" i="1" s="1"/>
  <c r="AB32" i="11"/>
  <c r="P32" i="8" s="1"/>
  <c r="AD32" i="11"/>
  <c r="AI32" i="1" s="1"/>
  <c r="Z32" i="11"/>
  <c r="AC32" i="2" s="1"/>
  <c r="AT32" i="8"/>
  <c r="AQ32"/>
  <c r="F32" i="11"/>
  <c r="M33" i="1"/>
  <c r="AW32" i="8"/>
  <c r="BU33"/>
  <c r="CA33"/>
  <c r="CH33"/>
  <c r="AJ39" i="14"/>
  <c r="CM38" i="8"/>
  <c r="B37" i="2"/>
  <c r="L38" i="11"/>
  <c r="B37" i="1"/>
  <c r="BI37" s="1"/>
  <c r="A38" i="2"/>
  <c r="K38" i="11"/>
  <c r="A38" i="7"/>
  <c r="A38" i="9"/>
  <c r="M38" i="5"/>
  <c r="J39" i="10"/>
  <c r="A38" i="8"/>
  <c r="B38" i="14"/>
  <c r="AD38" i="8"/>
  <c r="DR33"/>
  <c r="DS33"/>
  <c r="DN33"/>
  <c r="DO33"/>
  <c r="CS34"/>
  <c r="DP34" s="1"/>
  <c r="CT34"/>
  <c r="DQ34" s="1"/>
  <c r="CU34"/>
  <c r="Y36" i="1"/>
  <c r="AG32" i="7"/>
  <c r="AI32" s="1"/>
  <c r="AH32"/>
  <c r="Q39" i="2"/>
  <c r="I40" i="8"/>
  <c r="CQ34"/>
  <c r="DA34" s="1"/>
  <c r="AP32" i="5"/>
  <c r="AQ32"/>
  <c r="AU32" i="1" s="1"/>
  <c r="EI32" i="8"/>
  <c r="AT31" i="1"/>
  <c r="DY32" i="8"/>
  <c r="DZ32" s="1"/>
  <c r="A35" i="5"/>
  <c r="E35" s="1"/>
  <c r="EQ35" i="8" s="1"/>
  <c r="CZ35" s="1"/>
  <c r="AV34" i="5"/>
  <c r="B34" i="7"/>
  <c r="Q34" s="1"/>
  <c r="AU34" i="5"/>
  <c r="AB33" i="2"/>
  <c r="BN34" i="8"/>
  <c r="CO34" s="1"/>
  <c r="BO34"/>
  <c r="DM34" s="1"/>
  <c r="A34" i="11"/>
  <c r="AB34" i="8"/>
  <c r="BS34" i="5"/>
  <c r="EO34" i="8"/>
  <c r="AI34" i="5"/>
  <c r="E34" i="1"/>
  <c r="W34" i="8"/>
  <c r="AV32"/>
  <c r="AW32" i="1" s="1"/>
  <c r="L32" s="1"/>
  <c r="BO32" s="1"/>
  <c r="V35" i="2"/>
  <c r="AU32" i="8"/>
  <c r="D36" i="10"/>
  <c r="H37" i="5"/>
  <c r="F36" i="7"/>
  <c r="AR36" i="5"/>
  <c r="AH34"/>
  <c r="A34" i="10"/>
  <c r="AA34" s="1"/>
  <c r="Q34" i="1"/>
  <c r="E34" i="14" s="1"/>
  <c r="C34"/>
  <c r="B34" i="9"/>
  <c r="DL34" i="8"/>
  <c r="G35" i="10"/>
  <c r="DD35" i="5"/>
  <c r="I35" i="7"/>
  <c r="K36" i="5"/>
  <c r="J35" i="7"/>
  <c r="L36" i="5"/>
  <c r="H35" i="10"/>
  <c r="DE35" i="5"/>
  <c r="E36" i="10"/>
  <c r="DB36" i="5"/>
  <c r="G36" i="7"/>
  <c r="I37" i="5"/>
  <c r="AN33"/>
  <c r="P33" i="1"/>
  <c r="D33" i="14" s="1"/>
  <c r="E31" i="11"/>
  <c r="BO31" i="1"/>
  <c r="EE32" i="8"/>
  <c r="EF32" s="1"/>
  <c r="DH33"/>
  <c r="EH33" s="1"/>
  <c r="EP33"/>
  <c r="D39" i="7"/>
  <c r="B39" i="10"/>
  <c r="F40" i="5"/>
  <c r="DA36"/>
  <c r="O38" i="2"/>
  <c r="DE38" i="8"/>
  <c r="CY37" i="5"/>
  <c r="AQ30" i="1"/>
  <c r="U30" s="1"/>
  <c r="J31" s="1"/>
  <c r="AP31" i="8" s="1"/>
  <c r="BM30" i="1"/>
  <c r="AK30" i="5"/>
  <c r="D30" i="11"/>
  <c r="CY33" i="8"/>
  <c r="EA33" s="1"/>
  <c r="DB33"/>
  <c r="EC33" s="1"/>
  <c r="ED33" s="1"/>
  <c r="CV33"/>
  <c r="DX33" s="1"/>
  <c r="CW33"/>
  <c r="DG33"/>
  <c r="EG33" s="1"/>
  <c r="CX33"/>
  <c r="G37" i="5"/>
  <c r="C36" i="10"/>
  <c r="E36" i="7"/>
  <c r="CZ36" i="5"/>
  <c r="N37" i="2"/>
  <c r="U8"/>
  <c r="W7" s="1"/>
  <c r="C8" s="1"/>
  <c r="AC33" i="10"/>
  <c r="X33" s="1"/>
  <c r="Y33" s="1"/>
  <c r="AO33" i="5"/>
  <c r="AM33"/>
  <c r="AL33"/>
  <c r="X37" i="1"/>
  <c r="DF38" i="8"/>
  <c r="M38" i="2"/>
  <c r="B37" i="5"/>
  <c r="DG37"/>
  <c r="H40" i="8"/>
  <c r="P39" i="2"/>
  <c r="Q33" i="7"/>
  <c r="AE33"/>
  <c r="AF33" s="1"/>
  <c r="J36" i="2"/>
  <c r="J38" i="8"/>
  <c r="R37" i="2"/>
  <c r="N33" i="11"/>
  <c r="K39" i="8"/>
  <c r="S38" i="2"/>
  <c r="BQ33" i="8"/>
  <c r="BP33"/>
  <c r="N33" i="7"/>
  <c r="BT33" i="8"/>
  <c r="BZ33"/>
  <c r="BY33"/>
  <c r="CG33"/>
  <c r="CF33"/>
  <c r="F37" i="10"/>
  <c r="J38" i="5"/>
  <c r="H37" i="7"/>
  <c r="DC37" i="5"/>
  <c r="BY38" i="11"/>
  <c r="AA37" i="7"/>
  <c r="AE37" i="8" s="1"/>
  <c r="BC37" s="1"/>
  <c r="K37" i="10"/>
  <c r="CN33" i="8"/>
  <c r="CO33"/>
  <c r="CR33"/>
  <c r="D34" i="9"/>
  <c r="B36" i="5"/>
  <c r="DF35"/>
  <c r="AC37" i="1" l="1"/>
  <c r="BC38" i="5"/>
  <c r="J38" i="2" s="1"/>
  <c r="AZ41" i="5"/>
  <c r="BN41"/>
  <c r="AF39" i="1"/>
  <c r="BK40" i="5"/>
  <c r="AD38" i="1"/>
  <c r="BE38" i="5"/>
  <c r="AE36" i="1"/>
  <c r="W36" s="1"/>
  <c r="BP39" i="5"/>
  <c r="AB38" i="1"/>
  <c r="O38"/>
  <c r="DK38" i="8" s="1"/>
  <c r="DI37"/>
  <c r="DJ37"/>
  <c r="C32" i="9"/>
  <c r="AD34"/>
  <c r="AV34" i="1" s="1"/>
  <c r="BN32"/>
  <c r="AR32"/>
  <c r="V32" s="1"/>
  <c r="K33" s="1"/>
  <c r="AR33" i="8" s="1"/>
  <c r="N37" i="1"/>
  <c r="AC33" i="11"/>
  <c r="T33" i="8" s="1"/>
  <c r="Y33" i="11"/>
  <c r="AH33" i="1" s="1"/>
  <c r="AA33" i="11"/>
  <c r="AB33"/>
  <c r="P33" i="8" s="1"/>
  <c r="Z33" i="11"/>
  <c r="AC33" i="2" s="1"/>
  <c r="AD33" i="11"/>
  <c r="AI33" i="1" s="1"/>
  <c r="AT33" i="8"/>
  <c r="AW33"/>
  <c r="AQ33"/>
  <c r="F33" i="11"/>
  <c r="M34" i="1"/>
  <c r="CA34" i="8"/>
  <c r="CH34"/>
  <c r="BP34"/>
  <c r="BU34"/>
  <c r="A39" i="2"/>
  <c r="A39" i="7"/>
  <c r="A39" i="9"/>
  <c r="K39" i="11"/>
  <c r="M39" i="5"/>
  <c r="J40" i="10"/>
  <c r="AD39" i="8"/>
  <c r="B39" i="14"/>
  <c r="A39" i="8"/>
  <c r="B38" i="2"/>
  <c r="L39" i="11"/>
  <c r="B38" i="1"/>
  <c r="BI38" s="1"/>
  <c r="AJ40" i="14"/>
  <c r="CM39" i="8"/>
  <c r="EP34"/>
  <c r="DT34"/>
  <c r="DR34"/>
  <c r="DS34"/>
  <c r="DG34"/>
  <c r="EG34" s="1"/>
  <c r="DN34"/>
  <c r="DO34"/>
  <c r="CT35"/>
  <c r="DQ35" s="1"/>
  <c r="CU35"/>
  <c r="CS35"/>
  <c r="DP35" s="1"/>
  <c r="BY34"/>
  <c r="BZ34"/>
  <c r="Y37" i="1"/>
  <c r="CG34" i="8"/>
  <c r="I41"/>
  <c r="Q40" i="2"/>
  <c r="BQ34" i="8"/>
  <c r="BT34"/>
  <c r="N34" i="7"/>
  <c r="AE34"/>
  <c r="AF34" s="1"/>
  <c r="DB34" i="8"/>
  <c r="EC34" s="1"/>
  <c r="ED34" s="1"/>
  <c r="CX34"/>
  <c r="CW34"/>
  <c r="CY34"/>
  <c r="EA34" s="1"/>
  <c r="CV34"/>
  <c r="DX34" s="1"/>
  <c r="EB34" s="1"/>
  <c r="DL35"/>
  <c r="AU35" i="5"/>
  <c r="CF34" i="8"/>
  <c r="DH34"/>
  <c r="EH34" s="1"/>
  <c r="AN34" i="5"/>
  <c r="AT32" i="1"/>
  <c r="AL34" i="5"/>
  <c r="A35" i="11"/>
  <c r="AB34" i="2"/>
  <c r="BO35" i="8"/>
  <c r="DM35" s="1"/>
  <c r="E35" i="1"/>
  <c r="AB35" i="8"/>
  <c r="AH35" i="5"/>
  <c r="B35" i="9"/>
  <c r="CR34" i="8"/>
  <c r="DC34" s="1"/>
  <c r="CQ35"/>
  <c r="DA35" s="1"/>
  <c r="D35" i="9"/>
  <c r="BN35" i="8"/>
  <c r="CN35" s="1"/>
  <c r="C35" i="14"/>
  <c r="CN34" i="8"/>
  <c r="EO35"/>
  <c r="W35"/>
  <c r="AI35" i="5"/>
  <c r="BS35"/>
  <c r="Q35" i="1"/>
  <c r="E35" i="14" s="1"/>
  <c r="AV35" i="5"/>
  <c r="A35" i="10"/>
  <c r="AA35" s="1"/>
  <c r="B35" i="7"/>
  <c r="Q35" s="1"/>
  <c r="N34" i="11"/>
  <c r="AR37" i="5"/>
  <c r="H38"/>
  <c r="F37" i="7"/>
  <c r="D37" i="10"/>
  <c r="AO34" i="5"/>
  <c r="A36"/>
  <c r="E36" s="1"/>
  <c r="EQ36" i="8" s="1"/>
  <c r="CZ36" s="1"/>
  <c r="AC34" i="10"/>
  <c r="X34" s="1"/>
  <c r="Y34" s="1"/>
  <c r="AM34" i="5"/>
  <c r="P34" i="1"/>
  <c r="V36" i="2"/>
  <c r="DD36" i="5"/>
  <c r="G36" i="10"/>
  <c r="K37" i="5"/>
  <c r="I36" i="7"/>
  <c r="H36" i="10"/>
  <c r="DE36" i="5"/>
  <c r="J36" i="7"/>
  <c r="L37" i="5"/>
  <c r="I38"/>
  <c r="G37" i="7"/>
  <c r="E37" i="10"/>
  <c r="DB37" i="5"/>
  <c r="E32" i="11"/>
  <c r="AO32" i="8"/>
  <c r="AP33" i="5"/>
  <c r="AQ33"/>
  <c r="AU33" i="1" s="1"/>
  <c r="CY38" i="5"/>
  <c r="H8" i="2"/>
  <c r="I8"/>
  <c r="F8" i="1"/>
  <c r="F8" i="2"/>
  <c r="C37" i="10"/>
  <c r="E37" i="7"/>
  <c r="G38" i="5"/>
  <c r="CZ37"/>
  <c r="M39" i="2"/>
  <c r="DF39" i="8"/>
  <c r="D40" i="7"/>
  <c r="B40" i="10"/>
  <c r="F41" i="5"/>
  <c r="DA37"/>
  <c r="X38" i="1"/>
  <c r="EB33" i="8"/>
  <c r="AQ31" i="1"/>
  <c r="U31" s="1"/>
  <c r="J32" s="1"/>
  <c r="AP32" i="8" s="1"/>
  <c r="D31" i="11"/>
  <c r="AK31" i="5"/>
  <c r="BM31" i="1"/>
  <c r="DC33" i="8"/>
  <c r="DD33"/>
  <c r="K40"/>
  <c r="S39" i="2"/>
  <c r="DG38" i="5"/>
  <c r="N38" i="2"/>
  <c r="O39"/>
  <c r="DE39" i="8"/>
  <c r="AV33"/>
  <c r="AW33" i="1" s="1"/>
  <c r="L33" s="1"/>
  <c r="BO33" s="1"/>
  <c r="AU33" i="8"/>
  <c r="DY33"/>
  <c r="DZ33" s="1"/>
  <c r="H38" i="7"/>
  <c r="F38" i="10"/>
  <c r="DC38" i="5"/>
  <c r="J39"/>
  <c r="P40" i="2"/>
  <c r="H41" i="8"/>
  <c r="BY39" i="11"/>
  <c r="K38" i="10"/>
  <c r="AA38" i="7"/>
  <c r="AE38" i="8" s="1"/>
  <c r="BC38" s="1"/>
  <c r="R38" i="2"/>
  <c r="J39" i="8"/>
  <c r="AH33" i="7"/>
  <c r="AG33"/>
  <c r="AI33" s="1"/>
  <c r="EI33" i="8"/>
  <c r="DF36" i="5"/>
  <c r="AC38" i="1" l="1"/>
  <c r="BC39" i="5"/>
  <c r="BE39"/>
  <c r="AE37" i="1"/>
  <c r="AZ42" i="5"/>
  <c r="BP40"/>
  <c r="AB39" i="1"/>
  <c r="BN42" i="5"/>
  <c r="AF40" i="1"/>
  <c r="BK41" i="5"/>
  <c r="AD39" i="1"/>
  <c r="O39"/>
  <c r="DK39" i="8" s="1"/>
  <c r="DI38"/>
  <c r="DJ38"/>
  <c r="C33" i="9"/>
  <c r="BN33" i="1"/>
  <c r="AR33"/>
  <c r="V33" s="1"/>
  <c r="K34" s="1"/>
  <c r="AR34" i="8" s="1"/>
  <c r="AD35" i="9"/>
  <c r="AV35" i="1" s="1"/>
  <c r="N38"/>
  <c r="AC34" i="11"/>
  <c r="T34" i="8" s="1"/>
  <c r="Y34" i="11"/>
  <c r="AH34" i="1" s="1"/>
  <c r="AA34" i="11"/>
  <c r="AB34"/>
  <c r="P34" i="8" s="1"/>
  <c r="Z34" i="11"/>
  <c r="AC34" i="2" s="1"/>
  <c r="AD34" i="11"/>
  <c r="AI34" i="1" s="1"/>
  <c r="AT34" i="8"/>
  <c r="AQ34"/>
  <c r="M35" i="1"/>
  <c r="F34" i="11"/>
  <c r="AW34" i="8"/>
  <c r="CA35"/>
  <c r="CH35"/>
  <c r="CG35"/>
  <c r="BU35"/>
  <c r="B39" i="2"/>
  <c r="L40" i="11"/>
  <c r="B39" i="1"/>
  <c r="BI39" s="1"/>
  <c r="CM40" i="8"/>
  <c r="AJ41" i="14"/>
  <c r="A40" i="2"/>
  <c r="M40" i="5"/>
  <c r="A40" i="9"/>
  <c r="AD40" i="8"/>
  <c r="B40" i="14"/>
  <c r="A40" i="7"/>
  <c r="J41" i="10"/>
  <c r="K40" i="11"/>
  <c r="A40" i="8"/>
  <c r="DR35"/>
  <c r="DS35"/>
  <c r="EP35"/>
  <c r="DT35"/>
  <c r="CY35"/>
  <c r="EA35" s="1"/>
  <c r="DN35"/>
  <c r="DO35"/>
  <c r="EI34"/>
  <c r="CS36"/>
  <c r="DP36" s="1"/>
  <c r="CT36"/>
  <c r="DQ36" s="1"/>
  <c r="CU36"/>
  <c r="Y38" i="1"/>
  <c r="B38" i="5"/>
  <c r="AG34" i="7"/>
  <c r="AI34" s="1"/>
  <c r="AH34"/>
  <c r="AV34" i="8"/>
  <c r="AW34" i="1" s="1"/>
  <c r="L34" s="1"/>
  <c r="E34" i="11" s="1"/>
  <c r="Q41" i="2"/>
  <c r="I42" i="8"/>
  <c r="N35" i="7"/>
  <c r="CF35" i="8"/>
  <c r="AL35" i="5"/>
  <c r="AN35"/>
  <c r="DY34" i="8"/>
  <c r="DZ34" s="1"/>
  <c r="DH35"/>
  <c r="EH35" s="1"/>
  <c r="DD34"/>
  <c r="EE34" s="1"/>
  <c r="EF34" s="1"/>
  <c r="N35" i="11"/>
  <c r="DB35" i="8"/>
  <c r="EC35" s="1"/>
  <c r="ED35" s="1"/>
  <c r="CX35"/>
  <c r="AE35" i="7"/>
  <c r="AF35" s="1"/>
  <c r="BP35" i="8"/>
  <c r="AU34"/>
  <c r="CV35"/>
  <c r="DX35" s="1"/>
  <c r="EB35" s="1"/>
  <c r="DG35"/>
  <c r="EG35" s="1"/>
  <c r="CW35"/>
  <c r="AP34" i="5"/>
  <c r="CO35" i="8"/>
  <c r="CR35"/>
  <c r="DC35" s="1"/>
  <c r="AC35" i="10"/>
  <c r="X35" s="1"/>
  <c r="Y35" s="1"/>
  <c r="D36" i="9"/>
  <c r="BQ35" i="8"/>
  <c r="BT35"/>
  <c r="AO35" i="5"/>
  <c r="AM35"/>
  <c r="BY35" i="8"/>
  <c r="P35" i="1"/>
  <c r="D35" i="14" s="1"/>
  <c r="BZ35" i="8"/>
  <c r="D38" i="10"/>
  <c r="F38" i="7"/>
  <c r="H39" i="5"/>
  <c r="AQ34"/>
  <c r="AU34" i="1" s="1"/>
  <c r="V37" i="2"/>
  <c r="EE33" i="8"/>
  <c r="EF33" s="1"/>
  <c r="D34" i="14"/>
  <c r="DE37" i="5"/>
  <c r="H37" i="10"/>
  <c r="L38" i="5"/>
  <c r="J37" i="7"/>
  <c r="DD37" i="5"/>
  <c r="K38"/>
  <c r="I37" i="7"/>
  <c r="G37" i="10"/>
  <c r="A37" i="5"/>
  <c r="E37" s="1"/>
  <c r="EQ37" i="8" s="1"/>
  <c r="CZ37" s="1"/>
  <c r="AR38" i="5"/>
  <c r="E38" i="10"/>
  <c r="G38" i="7"/>
  <c r="DB38" i="5"/>
  <c r="I39"/>
  <c r="AT33" i="1"/>
  <c r="F42" i="5"/>
  <c r="B41" i="10"/>
  <c r="D41" i="7"/>
  <c r="AO33" i="8"/>
  <c r="H39" i="7"/>
  <c r="J40" i="5"/>
  <c r="F39" i="10"/>
  <c r="DC39" i="5"/>
  <c r="DG39"/>
  <c r="P41" i="2"/>
  <c r="H42" i="8"/>
  <c r="X39" i="1"/>
  <c r="AA8"/>
  <c r="S8" s="1"/>
  <c r="H9" s="1"/>
  <c r="O8" i="7"/>
  <c r="I8" i="11"/>
  <c r="K41" i="8"/>
  <c r="S40" i="2"/>
  <c r="W37" i="1"/>
  <c r="DA38" i="5"/>
  <c r="DF40" i="8"/>
  <c r="M40" i="2"/>
  <c r="E33" i="11"/>
  <c r="R39" i="2"/>
  <c r="J40" i="8"/>
  <c r="N39" i="2"/>
  <c r="D32" i="11"/>
  <c r="BM32" i="1"/>
  <c r="AQ32"/>
  <c r="U32" s="1"/>
  <c r="J33" s="1"/>
  <c r="AP33" i="8" s="1"/>
  <c r="AK32" i="5"/>
  <c r="J8" i="11"/>
  <c r="AP8" i="1"/>
  <c r="T8" s="1"/>
  <c r="G8" i="2"/>
  <c r="Z8" s="1"/>
  <c r="Z9" i="8" s="1"/>
  <c r="CY39" i="5"/>
  <c r="G39"/>
  <c r="C38" i="10"/>
  <c r="E38" i="7"/>
  <c r="CZ38" i="5"/>
  <c r="AU36"/>
  <c r="AV36"/>
  <c r="E36" i="1"/>
  <c r="BN36" i="8"/>
  <c r="AH36" i="5"/>
  <c r="C36" i="14"/>
  <c r="B36" i="9"/>
  <c r="AI36" i="5"/>
  <c r="A36" i="11"/>
  <c r="A36" i="10"/>
  <c r="AA36" s="1"/>
  <c r="BS36" i="5"/>
  <c r="B36" i="7"/>
  <c r="Q36" i="1"/>
  <c r="E36" i="14" s="1"/>
  <c r="W36" i="8"/>
  <c r="AB35" i="2"/>
  <c r="BO36" i="8"/>
  <c r="DM36" s="1"/>
  <c r="EO36"/>
  <c r="DT36" s="1"/>
  <c r="AB36"/>
  <c r="DL36"/>
  <c r="CQ36"/>
  <c r="DA36" s="1"/>
  <c r="DE40"/>
  <c r="O40" i="2"/>
  <c r="AA39" i="7"/>
  <c r="AE39" i="8" s="1"/>
  <c r="BC39" s="1"/>
  <c r="K39" i="10"/>
  <c r="BY40" i="11"/>
  <c r="DF37" i="5"/>
  <c r="J39" i="2" l="1"/>
  <c r="AC39" i="1"/>
  <c r="BC40" i="5"/>
  <c r="BK42"/>
  <c r="AD40" i="1"/>
  <c r="BE40" i="5"/>
  <c r="AE38" i="1"/>
  <c r="W38" s="1"/>
  <c r="AZ43" i="5"/>
  <c r="BP41"/>
  <c r="AB40" i="1"/>
  <c r="BN43" i="5"/>
  <c r="AF41" i="1"/>
  <c r="O40"/>
  <c r="DK40" i="8" s="1"/>
  <c r="DI39"/>
  <c r="DJ39"/>
  <c r="AR34" i="1"/>
  <c r="V34" s="1"/>
  <c r="K35" s="1"/>
  <c r="C34" i="9"/>
  <c r="BN34" i="1"/>
  <c r="AD36" i="9"/>
  <c r="AV36" i="1" s="1"/>
  <c r="N39"/>
  <c r="Y35" i="11"/>
  <c r="AH35" i="1" s="1"/>
  <c r="AC35" i="11"/>
  <c r="T35" i="8" s="1"/>
  <c r="AA35" i="11"/>
  <c r="Z35"/>
  <c r="AC35" i="2" s="1"/>
  <c r="AB35" i="11"/>
  <c r="P35" i="8" s="1"/>
  <c r="AD35" i="11"/>
  <c r="AI35" i="1" s="1"/>
  <c r="I9"/>
  <c r="AT35" i="8"/>
  <c r="AQ35"/>
  <c r="M36" i="1"/>
  <c r="F35" i="11"/>
  <c r="AW35" i="8"/>
  <c r="BU36"/>
  <c r="CA36"/>
  <c r="CH36"/>
  <c r="L41" i="11"/>
  <c r="B40" i="2"/>
  <c r="B40" i="1"/>
  <c r="BI40" s="1"/>
  <c r="A41" i="2"/>
  <c r="A41" i="7"/>
  <c r="K41" i="11"/>
  <c r="J42" i="10"/>
  <c r="AD41" i="8"/>
  <c r="B41" i="14"/>
  <c r="A41" i="9"/>
  <c r="M41" i="5"/>
  <c r="A41" i="8"/>
  <c r="AJ42" i="14"/>
  <c r="CM41" i="8"/>
  <c r="DR36"/>
  <c r="DS36"/>
  <c r="DN36"/>
  <c r="DO36"/>
  <c r="CU37"/>
  <c r="CS37"/>
  <c r="DP37" s="1"/>
  <c r="CT37"/>
  <c r="DQ37" s="1"/>
  <c r="Y39" i="1"/>
  <c r="AH35" i="7"/>
  <c r="I43" i="8"/>
  <c r="Q42" i="2"/>
  <c r="AP35" i="5"/>
  <c r="EI35" i="8"/>
  <c r="DL37"/>
  <c r="AG35" i="7"/>
  <c r="AI35" s="1"/>
  <c r="DY35" i="8"/>
  <c r="DZ35" s="1"/>
  <c r="DD35"/>
  <c r="EE35" s="1"/>
  <c r="EF35" s="1"/>
  <c r="AR39" i="5"/>
  <c r="AT34" i="1"/>
  <c r="AQ35" i="5"/>
  <c r="AU35" i="1" s="1"/>
  <c r="AU35" i="8"/>
  <c r="AV35"/>
  <c r="AW35" i="1" s="1"/>
  <c r="L35" s="1"/>
  <c r="AO35" i="8" s="1"/>
  <c r="F39" i="7"/>
  <c r="H40" i="5"/>
  <c r="D39" i="10"/>
  <c r="V38" i="2"/>
  <c r="A38" i="5"/>
  <c r="E38" s="1"/>
  <c r="EQ38" i="8" s="1"/>
  <c r="CZ38" s="1"/>
  <c r="AB36" i="2"/>
  <c r="BN37" i="8"/>
  <c r="CR37" s="1"/>
  <c r="BO37"/>
  <c r="DM37" s="1"/>
  <c r="CQ37"/>
  <c r="DA37" s="1"/>
  <c r="B37" i="9"/>
  <c r="C37" i="14"/>
  <c r="AU37" i="5"/>
  <c r="Q37" i="1"/>
  <c r="E37" i="14" s="1"/>
  <c r="H38" i="10"/>
  <c r="DE38" i="5"/>
  <c r="L39"/>
  <c r="J38" i="7"/>
  <c r="BS37" i="5"/>
  <c r="EO37" i="8"/>
  <c r="E37" i="1"/>
  <c r="AH37" i="5"/>
  <c r="AC37" i="10" s="1"/>
  <c r="AB37" i="8"/>
  <c r="A37" i="11"/>
  <c r="A37" i="10"/>
  <c r="AA37" s="1"/>
  <c r="K39" i="5"/>
  <c r="G38" i="10"/>
  <c r="I38" i="7"/>
  <c r="DD38" i="5"/>
  <c r="B37" i="7"/>
  <c r="Q37" s="1"/>
  <c r="AV37" i="5"/>
  <c r="W37" i="8"/>
  <c r="AI37" i="5"/>
  <c r="G39" i="7"/>
  <c r="DB39" i="5"/>
  <c r="E39" i="10"/>
  <c r="I40" i="5"/>
  <c r="AO34" i="8"/>
  <c r="BO34" i="1"/>
  <c r="AN36" i="5"/>
  <c r="P36" i="1"/>
  <c r="D36" i="14" s="1"/>
  <c r="DG40" i="5"/>
  <c r="CY36" i="8"/>
  <c r="EA36" s="1"/>
  <c r="CX36"/>
  <c r="CV36"/>
  <c r="DX36" s="1"/>
  <c r="CW36"/>
  <c r="DG36"/>
  <c r="EG36" s="1"/>
  <c r="DB36"/>
  <c r="EC36" s="1"/>
  <c r="ED36" s="1"/>
  <c r="AE36" i="7"/>
  <c r="AF36" s="1"/>
  <c r="Q36"/>
  <c r="AM36" i="5"/>
  <c r="AO36"/>
  <c r="AC36" i="10"/>
  <c r="X36" s="1"/>
  <c r="Y36" s="1"/>
  <c r="AL36" i="5"/>
  <c r="C8" i="8"/>
  <c r="DF41"/>
  <c r="M41" i="2"/>
  <c r="CY40" i="5"/>
  <c r="AQ33" i="1"/>
  <c r="U33" s="1"/>
  <c r="J34" s="1"/>
  <c r="AP34" i="8" s="1"/>
  <c r="BM33" i="1"/>
  <c r="AK33" i="5"/>
  <c r="D33" i="11"/>
  <c r="DC40" i="5"/>
  <c r="F40" i="10"/>
  <c r="J41" i="5"/>
  <c r="H40" i="7"/>
  <c r="AA40"/>
  <c r="AE40" i="8" s="1"/>
  <c r="BC40" s="1"/>
  <c r="K40" i="10"/>
  <c r="BY41" i="11"/>
  <c r="P8" i="7"/>
  <c r="F8" i="9"/>
  <c r="CO36" i="8"/>
  <c r="CR36"/>
  <c r="CN36"/>
  <c r="D37" i="9"/>
  <c r="O41" i="2"/>
  <c r="DE41" i="8"/>
  <c r="AC9" i="7"/>
  <c r="C9" i="11"/>
  <c r="V9" i="10"/>
  <c r="AJ9" i="5"/>
  <c r="AN9" i="8"/>
  <c r="BK9" i="1"/>
  <c r="D42" i="7"/>
  <c r="F43" i="5"/>
  <c r="B42" i="10"/>
  <c r="N40" i="2"/>
  <c r="C39" i="10"/>
  <c r="E39" i="7"/>
  <c r="G40" i="5"/>
  <c r="CZ39"/>
  <c r="R40" i="2"/>
  <c r="J41" i="8"/>
  <c r="K42"/>
  <c r="S41" i="2"/>
  <c r="X40" i="1"/>
  <c r="N36" i="7"/>
  <c r="BP36" i="8"/>
  <c r="BQ36"/>
  <c r="BT36"/>
  <c r="BZ36"/>
  <c r="BY36"/>
  <c r="CG36"/>
  <c r="CF36"/>
  <c r="H43"/>
  <c r="P42" i="2"/>
  <c r="DH36" i="8"/>
  <c r="EH36" s="1"/>
  <c r="EP36"/>
  <c r="N36" i="11"/>
  <c r="DA39" i="5"/>
  <c r="B39"/>
  <c r="DF38"/>
  <c r="BC41" l="1"/>
  <c r="AC40" i="1"/>
  <c r="BP42" i="5"/>
  <c r="AB41" i="1"/>
  <c r="BK43" i="5"/>
  <c r="AD41" i="1"/>
  <c r="BN44" i="5"/>
  <c r="AF42" i="1"/>
  <c r="BE41" i="5"/>
  <c r="AE39" i="1"/>
  <c r="W39" s="1"/>
  <c r="AZ44" i="5"/>
  <c r="AB38" i="8"/>
  <c r="CG38" s="1"/>
  <c r="O41" i="1"/>
  <c r="DK41" i="8" s="1"/>
  <c r="DJ40"/>
  <c r="DI40"/>
  <c r="AS9"/>
  <c r="AO9" i="1"/>
  <c r="AR35" i="8"/>
  <c r="AR35" i="1"/>
  <c r="V35" s="1"/>
  <c r="K36" s="1"/>
  <c r="BN35"/>
  <c r="C35" i="9"/>
  <c r="AD37"/>
  <c r="AV37" i="1" s="1"/>
  <c r="N40"/>
  <c r="Y36" i="11"/>
  <c r="AH36" i="1" s="1"/>
  <c r="AA36" i="11"/>
  <c r="AC36"/>
  <c r="T36" i="8" s="1"/>
  <c r="Z36" i="11"/>
  <c r="AC36" i="2" s="1"/>
  <c r="AB36" i="11"/>
  <c r="P36" i="8" s="1"/>
  <c r="AD36" i="11"/>
  <c r="AI36" i="1" s="1"/>
  <c r="BL9"/>
  <c r="AT36" i="8"/>
  <c r="AW36"/>
  <c r="AQ36"/>
  <c r="F36" i="11"/>
  <c r="M37" i="1"/>
  <c r="CA37" i="8"/>
  <c r="CH37"/>
  <c r="BY37"/>
  <c r="BU37"/>
  <c r="CM42"/>
  <c r="AJ43" i="14"/>
  <c r="A42" i="2"/>
  <c r="K42" i="11"/>
  <c r="AD42" i="8"/>
  <c r="A42" i="7"/>
  <c r="M42" i="5"/>
  <c r="A42" i="9"/>
  <c r="B42" i="14"/>
  <c r="J43" i="10"/>
  <c r="A42" i="8"/>
  <c r="L42" i="11"/>
  <c r="B41" i="1"/>
  <c r="BI41" s="1"/>
  <c r="B41" i="2"/>
  <c r="EP37" i="8"/>
  <c r="DT37"/>
  <c r="DR37"/>
  <c r="DS37"/>
  <c r="DG37"/>
  <c r="EG37" s="1"/>
  <c r="DN37"/>
  <c r="DO37"/>
  <c r="AH38" i="5"/>
  <c r="AC38" i="10" s="1"/>
  <c r="CS38" i="8"/>
  <c r="DP38" s="1"/>
  <c r="CT38"/>
  <c r="DQ38" s="1"/>
  <c r="CU38"/>
  <c r="Y40" i="1"/>
  <c r="Q43" i="2"/>
  <c r="I44" i="8"/>
  <c r="N37" i="7"/>
  <c r="AT35" i="1"/>
  <c r="C38" i="14"/>
  <c r="CQ38" i="8"/>
  <c r="DA38" s="1"/>
  <c r="CF37"/>
  <c r="B38" i="9"/>
  <c r="BS38" i="5"/>
  <c r="EO38" i="8"/>
  <c r="X37" i="10"/>
  <c r="Y37" s="1"/>
  <c r="B38" i="7"/>
  <c r="AE38" s="1"/>
  <c r="AF38" s="1"/>
  <c r="AI38" i="5"/>
  <c r="A38" i="11"/>
  <c r="A38" i="10"/>
  <c r="AA38" s="1"/>
  <c r="Q38" i="1"/>
  <c r="E38" i="14" s="1"/>
  <c r="E38" i="1"/>
  <c r="AB37" i="2"/>
  <c r="W38" i="8"/>
  <c r="BN38"/>
  <c r="CR38" s="1"/>
  <c r="AU38" i="5"/>
  <c r="BO38" i="8"/>
  <c r="DM38" s="1"/>
  <c r="AV38" i="5"/>
  <c r="V39" i="2"/>
  <c r="CN37" i="8"/>
  <c r="CO37"/>
  <c r="D38" i="9"/>
  <c r="DH37" i="8"/>
  <c r="EH37" s="1"/>
  <c r="F40" i="7"/>
  <c r="D40" i="10"/>
  <c r="H41" i="5"/>
  <c r="AR40"/>
  <c r="CY37" i="8"/>
  <c r="EA37" s="1"/>
  <c r="DB37"/>
  <c r="EC37" s="1"/>
  <c r="ED37" s="1"/>
  <c r="P37" i="1"/>
  <c r="DL38" i="8"/>
  <c r="CG37"/>
  <c r="BQ37"/>
  <c r="BP37"/>
  <c r="AN37" i="5"/>
  <c r="A39"/>
  <c r="E39" s="1"/>
  <c r="EQ39" i="8" s="1"/>
  <c r="CZ39" s="1"/>
  <c r="BT37"/>
  <c r="BZ37"/>
  <c r="AM37" i="5"/>
  <c r="N37" i="11"/>
  <c r="CX37" i="8"/>
  <c r="CW37"/>
  <c r="CV37"/>
  <c r="DX37" s="1"/>
  <c r="EB37" s="1"/>
  <c r="AO37" i="5"/>
  <c r="AL37"/>
  <c r="DE39"/>
  <c r="J39" i="7"/>
  <c r="H39" i="10"/>
  <c r="L40" i="5"/>
  <c r="DD39"/>
  <c r="K40"/>
  <c r="I39" i="7"/>
  <c r="G39" i="10"/>
  <c r="AE37" i="7"/>
  <c r="AF37" s="1"/>
  <c r="G40"/>
  <c r="DB40" i="5"/>
  <c r="E40" i="10"/>
  <c r="I41" i="5"/>
  <c r="E35" i="11"/>
  <c r="BO35" i="1"/>
  <c r="AP36" i="5"/>
  <c r="AQ36"/>
  <c r="AU36" i="1" s="1"/>
  <c r="AU36" i="8"/>
  <c r="N41" i="2"/>
  <c r="D34" i="11"/>
  <c r="BM34" i="1"/>
  <c r="AQ34"/>
  <c r="U34" s="1"/>
  <c r="J35" s="1"/>
  <c r="AP35" i="8" s="1"/>
  <c r="AK34" i="5"/>
  <c r="O42" i="2"/>
  <c r="DE42" i="8"/>
  <c r="M42" i="2"/>
  <c r="DF42" i="8"/>
  <c r="R41" i="2"/>
  <c r="J42" i="8"/>
  <c r="CZ40" i="5"/>
  <c r="G41"/>
  <c r="C40" i="10"/>
  <c r="E40" i="7"/>
  <c r="F44" i="5"/>
  <c r="B43" i="10"/>
  <c r="D43" i="7"/>
  <c r="DG41" i="5"/>
  <c r="AV36" i="8"/>
  <c r="AW36" i="1" s="1"/>
  <c r="L36" s="1"/>
  <c r="E36" i="11" s="1"/>
  <c r="EB36" i="8"/>
  <c r="B40" i="5"/>
  <c r="DC37" i="8"/>
  <c r="DD37"/>
  <c r="K43"/>
  <c r="S42" i="2"/>
  <c r="DC36" i="8"/>
  <c r="DD36"/>
  <c r="H41" i="7"/>
  <c r="F41" i="10"/>
  <c r="DC41" i="5"/>
  <c r="J42"/>
  <c r="CY41"/>
  <c r="DY36" i="8"/>
  <c r="DZ36" s="1"/>
  <c r="AG36" i="7"/>
  <c r="AI36" s="1"/>
  <c r="AH36"/>
  <c r="K41" i="10"/>
  <c r="BY42" i="11"/>
  <c r="AA41" i="7"/>
  <c r="AE41" i="8" s="1"/>
  <c r="BC41" s="1"/>
  <c r="X41" i="1"/>
  <c r="Y8" i="2"/>
  <c r="X8" s="1"/>
  <c r="EI36" i="8"/>
  <c r="DA40" i="5"/>
  <c r="H44" i="8"/>
  <c r="P43" i="2"/>
  <c r="J40"/>
  <c r="DF39" i="5"/>
  <c r="AC41" i="1" l="1"/>
  <c r="BC42" i="5"/>
  <c r="BP43"/>
  <c r="AB42" i="1"/>
  <c r="AZ45" i="5"/>
  <c r="BK44"/>
  <c r="AD42" i="1"/>
  <c r="BN45" i="5"/>
  <c r="AF43" i="1"/>
  <c r="BE42" i="5"/>
  <c r="AE40" i="1"/>
  <c r="W40" s="1"/>
  <c r="BZ38" i="8"/>
  <c r="CF38"/>
  <c r="BP38"/>
  <c r="BQ38"/>
  <c r="BT38"/>
  <c r="N38" i="7"/>
  <c r="BU38" i="8"/>
  <c r="CA38"/>
  <c r="CH38"/>
  <c r="BY38"/>
  <c r="O42" i="1"/>
  <c r="DK42" i="8" s="1"/>
  <c r="DI41"/>
  <c r="DJ41"/>
  <c r="AR36"/>
  <c r="BN36" i="1"/>
  <c r="AR36"/>
  <c r="V36" s="1"/>
  <c r="K37" s="1"/>
  <c r="C36" i="9"/>
  <c r="AD38"/>
  <c r="AV38" i="1" s="1"/>
  <c r="N41"/>
  <c r="AA37" i="11"/>
  <c r="Y37"/>
  <c r="AH37" i="1" s="1"/>
  <c r="AC37" i="11"/>
  <c r="T37" i="8" s="1"/>
  <c r="Z37" i="11"/>
  <c r="AC37" i="2" s="1"/>
  <c r="AD37" i="11"/>
  <c r="AI37" i="1" s="1"/>
  <c r="AB37" i="11"/>
  <c r="P37" i="8" s="1"/>
  <c r="AT37"/>
  <c r="AQ37"/>
  <c r="F37" i="11"/>
  <c r="M38" i="1"/>
  <c r="AW37" i="8"/>
  <c r="N38" i="11"/>
  <c r="A43" i="2"/>
  <c r="M43" i="5"/>
  <c r="J44" i="10"/>
  <c r="A43" i="7"/>
  <c r="A43" i="8"/>
  <c r="A43" i="9"/>
  <c r="K43" i="11"/>
  <c r="B43" i="14"/>
  <c r="AD43" i="8"/>
  <c r="AJ44" i="14"/>
  <c r="CM43" i="8"/>
  <c r="B42" i="2"/>
  <c r="L43" i="11"/>
  <c r="B42" i="1"/>
  <c r="BI42" s="1"/>
  <c r="EP38" i="8"/>
  <c r="DT38"/>
  <c r="DR38"/>
  <c r="DS38"/>
  <c r="CX38"/>
  <c r="DN38"/>
  <c r="DO38"/>
  <c r="EI37"/>
  <c r="CS39"/>
  <c r="DP39" s="1"/>
  <c r="CT39"/>
  <c r="DQ39" s="1"/>
  <c r="CU39"/>
  <c r="AL38" i="5"/>
  <c r="AO38"/>
  <c r="Y41" i="1"/>
  <c r="AH37" i="7"/>
  <c r="AM38" i="5"/>
  <c r="X38" i="10"/>
  <c r="Y38" s="1"/>
  <c r="Q44" i="2"/>
  <c r="I45" i="8"/>
  <c r="CO38"/>
  <c r="DH38"/>
  <c r="EH38" s="1"/>
  <c r="Q38" i="7"/>
  <c r="CV38" i="8"/>
  <c r="DX38" s="1"/>
  <c r="EB38" s="1"/>
  <c r="DB38"/>
  <c r="EC38" s="1"/>
  <c r="ED38" s="1"/>
  <c r="CY38"/>
  <c r="EA38" s="1"/>
  <c r="CW38"/>
  <c r="DG38"/>
  <c r="EG38" s="1"/>
  <c r="AN38" i="5"/>
  <c r="P38" i="1"/>
  <c r="D38" i="14" s="1"/>
  <c r="D39" i="9"/>
  <c r="CN38" i="8"/>
  <c r="A40" i="5"/>
  <c r="E40" s="1"/>
  <c r="EQ40" i="8" s="1"/>
  <c r="CZ40" s="1"/>
  <c r="AP37" i="5"/>
  <c r="D37" i="14"/>
  <c r="F41" i="7"/>
  <c r="D41" i="10"/>
  <c r="H42" i="5"/>
  <c r="DY37" i="8"/>
  <c r="DZ37" s="1"/>
  <c r="AU37"/>
  <c r="AV37"/>
  <c r="AW37" i="1" s="1"/>
  <c r="L37" s="1"/>
  <c r="BO37" s="1"/>
  <c r="AG37" i="7"/>
  <c r="AI37" s="1"/>
  <c r="AQ37" i="5"/>
  <c r="AU37" i="1" s="1"/>
  <c r="V40" i="2"/>
  <c r="AR41" i="5"/>
  <c r="J40" i="7"/>
  <c r="L41" i="5"/>
  <c r="H40" i="10"/>
  <c r="DE40" i="5"/>
  <c r="BO36" i="1"/>
  <c r="I40" i="7"/>
  <c r="DD40" i="5"/>
  <c r="K41"/>
  <c r="G40" i="10"/>
  <c r="E41"/>
  <c r="G41" i="7"/>
  <c r="I42" i="5"/>
  <c r="DB41"/>
  <c r="EE36" i="8"/>
  <c r="EF36" s="1"/>
  <c r="AO36"/>
  <c r="EE37"/>
  <c r="EF37" s="1"/>
  <c r="AT36" i="1"/>
  <c r="DA41" i="5"/>
  <c r="AK35"/>
  <c r="BM35" i="1"/>
  <c r="D35" i="11"/>
  <c r="AQ35" i="1"/>
  <c r="U35" s="1"/>
  <c r="J36" s="1"/>
  <c r="AP36" i="8" s="1"/>
  <c r="H42" i="7"/>
  <c r="J43" i="5"/>
  <c r="F42" i="10"/>
  <c r="DC42" i="5"/>
  <c r="J41" i="2"/>
  <c r="B39" i="7"/>
  <c r="W39" i="8"/>
  <c r="B39" i="9"/>
  <c r="AH39" i="5"/>
  <c r="A39" i="11"/>
  <c r="C39" i="14"/>
  <c r="AU39" i="5"/>
  <c r="Q39" i="1"/>
  <c r="E39" i="14" s="1"/>
  <c r="A39" i="10"/>
  <c r="AA39" s="1"/>
  <c r="E39" i="1"/>
  <c r="AI39" i="5"/>
  <c r="AV39"/>
  <c r="BS39"/>
  <c r="AB38" i="2"/>
  <c r="BN39" i="8"/>
  <c r="BO39"/>
  <c r="DM39" s="1"/>
  <c r="EO39"/>
  <c r="DT39" s="1"/>
  <c r="AB39"/>
  <c r="DL39"/>
  <c r="CQ39"/>
  <c r="DA39" s="1"/>
  <c r="H45"/>
  <c r="P44" i="2"/>
  <c r="DE43" i="8"/>
  <c r="O43" i="2"/>
  <c r="N42"/>
  <c r="S43"/>
  <c r="K44" i="8"/>
  <c r="DC38"/>
  <c r="DD38"/>
  <c r="X42" i="1"/>
  <c r="K42" i="10"/>
  <c r="BY43" i="11"/>
  <c r="AA42" i="7"/>
  <c r="AE42" i="8" s="1"/>
  <c r="BC42" s="1"/>
  <c r="R42" i="2"/>
  <c r="J43" i="8"/>
  <c r="CY42" i="5"/>
  <c r="AB9" i="7"/>
  <c r="L9" i="2"/>
  <c r="BD9" i="8"/>
  <c r="H9" i="11"/>
  <c r="B9" i="8"/>
  <c r="D9" i="2" s="1"/>
  <c r="E9"/>
  <c r="AH38" i="7"/>
  <c r="AG38"/>
  <c r="AI38" s="1"/>
  <c r="DF43" i="8"/>
  <c r="M43" i="2"/>
  <c r="E61" i="4"/>
  <c r="DG42" i="5"/>
  <c r="D44" i="7"/>
  <c r="B44" i="10"/>
  <c r="F45" i="5"/>
  <c r="CZ41"/>
  <c r="E41" i="7"/>
  <c r="G42" i="5"/>
  <c r="C41" i="10"/>
  <c r="B41" i="5"/>
  <c r="DF40"/>
  <c r="AC42" i="1" l="1"/>
  <c r="BC43" i="5"/>
  <c r="J42" i="2"/>
  <c r="BN46" i="5"/>
  <c r="AF44" i="1"/>
  <c r="BE43" i="5"/>
  <c r="AE41" i="1"/>
  <c r="BP44" i="5"/>
  <c r="AB43" i="1"/>
  <c r="AZ46" i="5"/>
  <c r="BK45"/>
  <c r="AD43" i="1"/>
  <c r="AV38" i="8"/>
  <c r="AW38" i="1" s="1"/>
  <c r="L38" s="1"/>
  <c r="BO38" s="1"/>
  <c r="AW38" i="8"/>
  <c r="O43" i="1"/>
  <c r="DK43" i="8" s="1"/>
  <c r="DI42"/>
  <c r="DJ42"/>
  <c r="AR37"/>
  <c r="C37" i="9"/>
  <c r="AR37" i="1"/>
  <c r="V37" s="1"/>
  <c r="K38" s="1"/>
  <c r="AR38" i="8" s="1"/>
  <c r="BN37" i="1"/>
  <c r="AD39" i="9"/>
  <c r="AV39" i="1" s="1"/>
  <c r="N42"/>
  <c r="Y38" i="11"/>
  <c r="AH38" i="1" s="1"/>
  <c r="AA38" i="11"/>
  <c r="AC38"/>
  <c r="T38" i="8" s="1"/>
  <c r="AD38" i="11"/>
  <c r="AI38" i="1" s="1"/>
  <c r="AB38" i="11"/>
  <c r="P38" i="8" s="1"/>
  <c r="Z38" i="11"/>
  <c r="AC38" i="2" s="1"/>
  <c r="AT38" i="8"/>
  <c r="AQ38"/>
  <c r="F38" i="11"/>
  <c r="M39" i="1"/>
  <c r="BU39" i="8"/>
  <c r="CA39"/>
  <c r="CH39"/>
  <c r="AU38"/>
  <c r="A44" i="2"/>
  <c r="K44" i="11"/>
  <c r="A44" i="7"/>
  <c r="AD44" i="8"/>
  <c r="J45" i="10"/>
  <c r="M44" i="5"/>
  <c r="A44" i="9"/>
  <c r="A44" i="8"/>
  <c r="B44" i="14"/>
  <c r="AJ45"/>
  <c r="CM44" i="8"/>
  <c r="B43" i="1"/>
  <c r="BI43" s="1"/>
  <c r="B43" i="2"/>
  <c r="L44" i="11"/>
  <c r="AQ38" i="5"/>
  <c r="AU38" i="1" s="1"/>
  <c r="DR39" i="8"/>
  <c r="DS39"/>
  <c r="B42" i="5"/>
  <c r="AP38"/>
  <c r="DY38" i="8"/>
  <c r="DZ38" s="1"/>
  <c r="DN39"/>
  <c r="DO39"/>
  <c r="CU40"/>
  <c r="CS40"/>
  <c r="DP40" s="1"/>
  <c r="CT40"/>
  <c r="DQ40" s="1"/>
  <c r="Y42" i="1"/>
  <c r="I46" i="8"/>
  <c r="Q45" i="2"/>
  <c r="EI38" i="8"/>
  <c r="D40" i="9"/>
  <c r="AT37" i="1"/>
  <c r="A41" i="5"/>
  <c r="E41" s="1"/>
  <c r="EQ41" i="8" s="1"/>
  <c r="CZ41" s="1"/>
  <c r="H43" i="5"/>
  <c r="F42" i="7"/>
  <c r="D42" i="10"/>
  <c r="AR42" i="5"/>
  <c r="V41" i="2"/>
  <c r="J41" i="7"/>
  <c r="L42" i="5"/>
  <c r="DE41"/>
  <c r="H41" i="10"/>
  <c r="I41" i="7"/>
  <c r="K42" i="5"/>
  <c r="G41" i="10"/>
  <c r="DD41" i="5"/>
  <c r="I43"/>
  <c r="DB42"/>
  <c r="E42" i="10"/>
  <c r="G42" i="7"/>
  <c r="EE38" i="8"/>
  <c r="EF38" s="1"/>
  <c r="AO37"/>
  <c r="E37" i="11"/>
  <c r="P39" i="1"/>
  <c r="D39" i="14" s="1"/>
  <c r="AN39" i="5"/>
  <c r="DH39" i="8"/>
  <c r="EH39" s="1"/>
  <c r="EP39"/>
  <c r="BQ39"/>
  <c r="BP39"/>
  <c r="N39" i="7"/>
  <c r="BT39" i="8"/>
  <c r="BZ39"/>
  <c r="BY39"/>
  <c r="CF39"/>
  <c r="CG39"/>
  <c r="DG43" i="5"/>
  <c r="X43" i="1"/>
  <c r="A40" i="10"/>
  <c r="AA40" s="1"/>
  <c r="B40" i="9"/>
  <c r="AH40" i="5"/>
  <c r="E40" i="1"/>
  <c r="Q40"/>
  <c r="E40" i="14" s="1"/>
  <c r="AU40" i="5"/>
  <c r="B40" i="7"/>
  <c r="BS40" i="5"/>
  <c r="AV40"/>
  <c r="W40" i="8"/>
  <c r="C40" i="14"/>
  <c r="A40" i="11"/>
  <c r="AI40" i="5"/>
  <c r="AB39" i="2"/>
  <c r="BN40" i="8"/>
  <c r="BO40"/>
  <c r="DM40" s="1"/>
  <c r="AB40"/>
  <c r="EO40"/>
  <c r="DT40" s="1"/>
  <c r="CQ40"/>
  <c r="DA40" s="1"/>
  <c r="DL40"/>
  <c r="AM39" i="5"/>
  <c r="AO39"/>
  <c r="AC39" i="10"/>
  <c r="X39" s="1"/>
  <c r="Y39" s="1"/>
  <c r="AL39" i="5"/>
  <c r="N43" i="2"/>
  <c r="D45" i="7"/>
  <c r="B45" i="10"/>
  <c r="F46" i="5"/>
  <c r="U9" i="2"/>
  <c r="W8" s="1"/>
  <c r="C9" s="1"/>
  <c r="DB39" i="8"/>
  <c r="EC39" s="1"/>
  <c r="ED39" s="1"/>
  <c r="CX39"/>
  <c r="CY39"/>
  <c r="EA39" s="1"/>
  <c r="CW39"/>
  <c r="DG39"/>
  <c r="EG39" s="1"/>
  <c r="CV39"/>
  <c r="DX39" s="1"/>
  <c r="N39" i="11"/>
  <c r="D36"/>
  <c r="AK36" i="5"/>
  <c r="BM36" i="1"/>
  <c r="AQ36"/>
  <c r="U36" s="1"/>
  <c r="J37" s="1"/>
  <c r="AP37" i="8" s="1"/>
  <c r="J44" i="5"/>
  <c r="F43" i="10"/>
  <c r="H43" i="7"/>
  <c r="DC43" i="5"/>
  <c r="CZ42"/>
  <c r="G43"/>
  <c r="C42" i="10"/>
  <c r="E42" i="7"/>
  <c r="DF44" i="8"/>
  <c r="M44" i="2"/>
  <c r="R43"/>
  <c r="J44" i="8"/>
  <c r="S44" i="2"/>
  <c r="K45" i="8"/>
  <c r="DE44"/>
  <c r="O44" i="2"/>
  <c r="CY43" i="5"/>
  <c r="BY44" i="11"/>
  <c r="AA43" i="7"/>
  <c r="AE43" i="8" s="1"/>
  <c r="BC43" s="1"/>
  <c r="K43" i="10"/>
  <c r="W41" i="1"/>
  <c r="DA42" i="5"/>
  <c r="AE39" i="7"/>
  <c r="AF39" s="1"/>
  <c r="Q39"/>
  <c r="P45" i="2"/>
  <c r="H46" i="8"/>
  <c r="CR39"/>
  <c r="CN39"/>
  <c r="CO39"/>
  <c r="DF41" i="5"/>
  <c r="AC43" i="1" l="1"/>
  <c r="BC44" i="5"/>
  <c r="AZ47"/>
  <c r="BN47"/>
  <c r="AF45" i="1"/>
  <c r="BK46" i="5"/>
  <c r="AD44" i="1"/>
  <c r="BE44" i="5"/>
  <c r="AE42" i="1"/>
  <c r="W42" s="1"/>
  <c r="BP45" i="5"/>
  <c r="AB44" i="1"/>
  <c r="O44"/>
  <c r="DK44" i="8" s="1"/>
  <c r="DI43"/>
  <c r="DJ43"/>
  <c r="AD40" i="9"/>
  <c r="AV40" i="1" s="1"/>
  <c r="AR38"/>
  <c r="V38" s="1"/>
  <c r="K39" s="1"/>
  <c r="AR39" i="8" s="1"/>
  <c r="BN38" i="1"/>
  <c r="C38" i="9"/>
  <c r="N43" i="1"/>
  <c r="AA39" i="11"/>
  <c r="AC39"/>
  <c r="T39" i="8" s="1"/>
  <c r="Y39" i="11"/>
  <c r="AH39" i="1" s="1"/>
  <c r="AB39" i="11"/>
  <c r="P39" i="8" s="1"/>
  <c r="Z39" i="11"/>
  <c r="AC39" i="2" s="1"/>
  <c r="AD39" i="11"/>
  <c r="AI39" i="1" s="1"/>
  <c r="AT39" i="8"/>
  <c r="AQ39"/>
  <c r="F39" i="11"/>
  <c r="M40" i="1"/>
  <c r="AW39" i="8"/>
  <c r="BU40"/>
  <c r="CA40"/>
  <c r="CH40"/>
  <c r="AT38" i="1"/>
  <c r="AJ46" i="14"/>
  <c r="CM45" i="8"/>
  <c r="A45" i="2"/>
  <c r="K45" i="11"/>
  <c r="AD45" i="8"/>
  <c r="B45" i="14"/>
  <c r="J46" i="10"/>
  <c r="A45" i="9"/>
  <c r="A45" i="7"/>
  <c r="A45" i="8"/>
  <c r="M45" i="5"/>
  <c r="B44" i="1"/>
  <c r="BI44" s="1"/>
  <c r="B44" i="2"/>
  <c r="L45" i="11"/>
  <c r="DR40" i="8"/>
  <c r="DS40"/>
  <c r="DN40"/>
  <c r="DO40"/>
  <c r="CS41"/>
  <c r="DP41" s="1"/>
  <c r="CT41"/>
  <c r="DQ41" s="1"/>
  <c r="CU41"/>
  <c r="Y43" i="1"/>
  <c r="I47" i="8"/>
  <c r="Q46" i="2"/>
  <c r="EI39" i="8"/>
  <c r="D43" i="10"/>
  <c r="H44" i="5"/>
  <c r="F43" i="7"/>
  <c r="AQ39" i="5"/>
  <c r="AU39" i="1" s="1"/>
  <c r="V42" i="2"/>
  <c r="AR43" i="5"/>
  <c r="A42"/>
  <c r="E42" s="1"/>
  <c r="EQ42" i="8" s="1"/>
  <c r="CZ42" s="1"/>
  <c r="L43" i="5"/>
  <c r="H42" i="10"/>
  <c r="J42" i="7"/>
  <c r="DE42" i="5"/>
  <c r="DD42"/>
  <c r="G42" i="10"/>
  <c r="I42" i="7"/>
  <c r="K43" i="5"/>
  <c r="I44"/>
  <c r="E43" i="10"/>
  <c r="G43" i="7"/>
  <c r="DB43" i="5"/>
  <c r="E38" i="11"/>
  <c r="AO38" i="8"/>
  <c r="AP39" i="5"/>
  <c r="P40" i="1"/>
  <c r="D40" i="14" s="1"/>
  <c r="AG39" i="7"/>
  <c r="AI39" s="1"/>
  <c r="AH39"/>
  <c r="G44" i="5"/>
  <c r="C43" i="10"/>
  <c r="E43" i="7"/>
  <c r="CZ43" i="5"/>
  <c r="D37" i="11"/>
  <c r="BM37" i="1"/>
  <c r="AQ37"/>
  <c r="U37" s="1"/>
  <c r="J38" s="1"/>
  <c r="AP38" i="8" s="1"/>
  <c r="AK37" i="5"/>
  <c r="B46" i="10"/>
  <c r="F47" i="5"/>
  <c r="D46" i="7"/>
  <c r="CR40" i="8"/>
  <c r="CN40"/>
  <c r="CO40"/>
  <c r="X44" i="1"/>
  <c r="Q40" i="7"/>
  <c r="AE40"/>
  <c r="AF40" s="1"/>
  <c r="A41" i="11"/>
  <c r="BS41" i="5"/>
  <c r="AU41"/>
  <c r="B41" i="9"/>
  <c r="W41" i="8"/>
  <c r="B41" i="7"/>
  <c r="AV41" i="5"/>
  <c r="C41" i="14"/>
  <c r="AH41" i="5"/>
  <c r="E41" i="1"/>
  <c r="A41" i="10"/>
  <c r="AA41" s="1"/>
  <c r="AI41" i="5"/>
  <c r="Q41" i="1"/>
  <c r="E41" i="14" s="1"/>
  <c r="AB40" i="2"/>
  <c r="BN41" i="8"/>
  <c r="BO41"/>
  <c r="DM41" s="1"/>
  <c r="AB41"/>
  <c r="EO41"/>
  <c r="DT41" s="1"/>
  <c r="DL41"/>
  <c r="CQ41"/>
  <c r="DA41" s="1"/>
  <c r="DA43" i="5"/>
  <c r="R44" i="2"/>
  <c r="J45" i="8"/>
  <c r="H44" i="7"/>
  <c r="F44" i="10"/>
  <c r="J45" i="5"/>
  <c r="DC44"/>
  <c r="DG44"/>
  <c r="D41" i="9"/>
  <c r="DD39" i="8"/>
  <c r="DC39"/>
  <c r="F9" i="2"/>
  <c r="H9"/>
  <c r="I9"/>
  <c r="F9" i="1"/>
  <c r="N44" i="2"/>
  <c r="BQ40" i="8"/>
  <c r="BP40"/>
  <c r="N40" i="7"/>
  <c r="BT40" i="8"/>
  <c r="BZ40"/>
  <c r="BY40"/>
  <c r="CF40"/>
  <c r="CG40"/>
  <c r="B43" i="5"/>
  <c r="AU39" i="8"/>
  <c r="AA44" i="7"/>
  <c r="AE44" i="8" s="1"/>
  <c r="BC44" s="1"/>
  <c r="BY45" i="11"/>
  <c r="K44" i="10"/>
  <c r="CY44" i="5"/>
  <c r="DH40" i="8"/>
  <c r="EH40" s="1"/>
  <c r="EP40"/>
  <c r="AM40" i="5"/>
  <c r="AC40" i="10"/>
  <c r="X40" s="1"/>
  <c r="Y40" s="1"/>
  <c r="AO40" i="5"/>
  <c r="AL40"/>
  <c r="DY39" i="8"/>
  <c r="DZ39" s="1"/>
  <c r="AV39"/>
  <c r="AW39" i="1" s="1"/>
  <c r="L39" s="1"/>
  <c r="E39" i="11" s="1"/>
  <c r="K46" i="8"/>
  <c r="S45" i="2"/>
  <c r="DG40" i="8"/>
  <c r="EG40" s="1"/>
  <c r="CX40"/>
  <c r="CV40"/>
  <c r="DX40" s="1"/>
  <c r="CY40"/>
  <c r="EA40" s="1"/>
  <c r="DB40"/>
  <c r="EC40" s="1"/>
  <c r="ED40" s="1"/>
  <c r="CW40"/>
  <c r="N40" i="11"/>
  <c r="DF45" i="8"/>
  <c r="M45" i="2"/>
  <c r="P46"/>
  <c r="H47" i="8"/>
  <c r="DE45"/>
  <c r="O45" i="2"/>
  <c r="EB39" i="8"/>
  <c r="J43" i="2"/>
  <c r="AN40" i="5"/>
  <c r="DF42"/>
  <c r="AC44" i="1" l="1"/>
  <c r="BC45" i="5"/>
  <c r="BE45"/>
  <c r="AE43" i="1"/>
  <c r="W43" s="1"/>
  <c r="AZ48" i="5"/>
  <c r="BP46"/>
  <c r="AB45" i="1"/>
  <c r="BN48" i="5"/>
  <c r="AF46" i="1"/>
  <c r="BK47" i="5"/>
  <c r="AD45" i="1"/>
  <c r="O45"/>
  <c r="DK45" i="8" s="1"/>
  <c r="DJ44"/>
  <c r="DI44"/>
  <c r="AR39" i="1"/>
  <c r="V39" s="1"/>
  <c r="K40" s="1"/>
  <c r="AR40" i="8" s="1"/>
  <c r="BN39" i="1"/>
  <c r="C39" i="9"/>
  <c r="AD41"/>
  <c r="AV41" i="1" s="1"/>
  <c r="N44"/>
  <c r="AA40" i="11"/>
  <c r="AC40"/>
  <c r="T40" i="8" s="1"/>
  <c r="Y40" i="11"/>
  <c r="AH40" i="1" s="1"/>
  <c r="Z40" i="11"/>
  <c r="AC40" i="2" s="1"/>
  <c r="AB40" i="11"/>
  <c r="P40" i="8" s="1"/>
  <c r="AD40" i="11"/>
  <c r="AI40" i="1" s="1"/>
  <c r="AT40" i="8"/>
  <c r="AW40"/>
  <c r="AQ40"/>
  <c r="M41" i="1"/>
  <c r="F40" i="11"/>
  <c r="BU41" i="8"/>
  <c r="CA41"/>
  <c r="CH41"/>
  <c r="AJ47" i="14"/>
  <c r="CM46" i="8"/>
  <c r="L46" i="11"/>
  <c r="B45" i="2"/>
  <c r="B45" i="1"/>
  <c r="BI45" s="1"/>
  <c r="A46" i="2"/>
  <c r="A46" i="7"/>
  <c r="A46" i="9"/>
  <c r="J47" i="10"/>
  <c r="B46" i="14"/>
  <c r="A46" i="8"/>
  <c r="AD46"/>
  <c r="M46" i="5"/>
  <c r="K46" i="11"/>
  <c r="DR41" i="8"/>
  <c r="DS41"/>
  <c r="DN41"/>
  <c r="DO41"/>
  <c r="CS42"/>
  <c r="DP42" s="1"/>
  <c r="CT42"/>
  <c r="DQ42" s="1"/>
  <c r="CU42"/>
  <c r="Y44" i="1"/>
  <c r="Q47" i="2"/>
  <c r="I48" i="8"/>
  <c r="DL42"/>
  <c r="CQ42"/>
  <c r="DA42" s="1"/>
  <c r="B42" i="9"/>
  <c r="D44" i="10"/>
  <c r="F44" i="7"/>
  <c r="H45" i="5"/>
  <c r="C42" i="14"/>
  <c r="A42" i="10"/>
  <c r="AA42" s="1"/>
  <c r="AB42" i="8"/>
  <c r="AI42" i="5"/>
  <c r="AR44"/>
  <c r="BS42"/>
  <c r="AU42"/>
  <c r="AH42"/>
  <c r="AC42" i="10" s="1"/>
  <c r="Q42" i="1"/>
  <c r="E42" i="14" s="1"/>
  <c r="AB41" i="2"/>
  <c r="W42" i="8"/>
  <c r="BN42"/>
  <c r="CO42" s="1"/>
  <c r="AV42" i="5"/>
  <c r="BO42" i="8"/>
  <c r="DM42" s="1"/>
  <c r="B42" i="7"/>
  <c r="AE42" s="1"/>
  <c r="AF42" s="1"/>
  <c r="EO42" i="8"/>
  <c r="E42" i="1"/>
  <c r="A42" i="11"/>
  <c r="DE43" i="5"/>
  <c r="J43" i="7"/>
  <c r="L44" i="5"/>
  <c r="H43" i="10"/>
  <c r="DD43" i="5"/>
  <c r="G43" i="10"/>
  <c r="K44" i="5"/>
  <c r="I43" i="7"/>
  <c r="V43" i="2"/>
  <c r="A43" i="5"/>
  <c r="E43" s="1"/>
  <c r="EQ43" i="8" s="1"/>
  <c r="CZ43" s="1"/>
  <c r="AT39" i="1"/>
  <c r="G44" i="7"/>
  <c r="I45" i="5"/>
  <c r="E44" i="10"/>
  <c r="DB44" i="5"/>
  <c r="EE39" i="8"/>
  <c r="EF39" s="1"/>
  <c r="P41" i="1"/>
  <c r="D41" i="14" s="1"/>
  <c r="AN41" i="5"/>
  <c r="AO39" i="8"/>
  <c r="BO39" i="1"/>
  <c r="AP40" i="5"/>
  <c r="DA44"/>
  <c r="N45" i="2"/>
  <c r="DG45" i="5"/>
  <c r="F45" i="10"/>
  <c r="DC45" i="5"/>
  <c r="H45" i="7"/>
  <c r="J46" i="5"/>
  <c r="J44" i="2"/>
  <c r="AU40" i="8"/>
  <c r="AM41" i="5"/>
  <c r="AC41" i="10"/>
  <c r="X41" s="1"/>
  <c r="Y41" s="1"/>
  <c r="AO41" i="5"/>
  <c r="AL41"/>
  <c r="N41" i="11"/>
  <c r="X45" i="1"/>
  <c r="F48" i="5"/>
  <c r="B47" i="10"/>
  <c r="D47" i="7"/>
  <c r="AV40" i="8"/>
  <c r="AW40" i="1" s="1"/>
  <c r="L40" s="1"/>
  <c r="E40" i="11" s="1"/>
  <c r="EB40" i="8"/>
  <c r="H48"/>
  <c r="P47" i="2"/>
  <c r="J9" i="11"/>
  <c r="AP9" i="1"/>
  <c r="T9" s="1"/>
  <c r="G9" i="2"/>
  <c r="Z9" s="1"/>
  <c r="Z10" i="8" s="1"/>
  <c r="J46"/>
  <c r="R45" i="2"/>
  <c r="BQ41" i="8"/>
  <c r="BP41"/>
  <c r="N41" i="7"/>
  <c r="BT41" i="8"/>
  <c r="BY41"/>
  <c r="BZ41"/>
  <c r="CG41"/>
  <c r="CF41"/>
  <c r="B44" i="5"/>
  <c r="DY40" i="8"/>
  <c r="DZ40" s="1"/>
  <c r="D42" i="9"/>
  <c r="Q41" i="7"/>
  <c r="AE41"/>
  <c r="AF41" s="1"/>
  <c r="CR41" i="8"/>
  <c r="CO41"/>
  <c r="CN41"/>
  <c r="O46" i="2"/>
  <c r="DE46" i="8"/>
  <c r="DF46"/>
  <c r="M46" i="2"/>
  <c r="BY46" i="11"/>
  <c r="K45" i="10"/>
  <c r="AA45" i="7"/>
  <c r="AE45" i="8" s="1"/>
  <c r="BC45" s="1"/>
  <c r="DH41"/>
  <c r="EH41" s="1"/>
  <c r="EP41"/>
  <c r="AQ40" i="5"/>
  <c r="AU40" i="1" s="1"/>
  <c r="AA9"/>
  <c r="S9" s="1"/>
  <c r="H10" s="1"/>
  <c r="O9" i="7"/>
  <c r="I9" i="11"/>
  <c r="S46" i="2"/>
  <c r="K47" i="8"/>
  <c r="CY45" i="5"/>
  <c r="CY41" i="8"/>
  <c r="EA41" s="1"/>
  <c r="CX41"/>
  <c r="DG41"/>
  <c r="EG41" s="1"/>
  <c r="CW41"/>
  <c r="DB41"/>
  <c r="EC41" s="1"/>
  <c r="ED41" s="1"/>
  <c r="CV41"/>
  <c r="DX41" s="1"/>
  <c r="AH40" i="7"/>
  <c r="AG40"/>
  <c r="AI40" s="1"/>
  <c r="DD40" i="8"/>
  <c r="DC40"/>
  <c r="BM38" i="1"/>
  <c r="AK38" i="5"/>
  <c r="D38" i="11"/>
  <c r="AQ38" i="1"/>
  <c r="U38" s="1"/>
  <c r="J39" s="1"/>
  <c r="AP39" i="8" s="1"/>
  <c r="G45" i="5"/>
  <c r="C44" i="10"/>
  <c r="E44" i="7"/>
  <c r="CZ44" i="5"/>
  <c r="EI40" i="8"/>
  <c r="DF43" i="5"/>
  <c r="J45" i="2" l="1"/>
  <c r="AC45" i="1"/>
  <c r="BC46" i="5"/>
  <c r="BK48"/>
  <c r="AD46" i="1"/>
  <c r="BE46" i="5"/>
  <c r="AE44" i="1"/>
  <c r="W44" s="1"/>
  <c r="AZ49" i="5"/>
  <c r="BP47"/>
  <c r="AB46" i="1"/>
  <c r="BN49" i="5"/>
  <c r="AF47" i="1"/>
  <c r="O46"/>
  <c r="DK46" i="8" s="1"/>
  <c r="DI45"/>
  <c r="DJ45"/>
  <c r="C40" i="9"/>
  <c r="AD42"/>
  <c r="AV42" i="1" s="1"/>
  <c r="AR40"/>
  <c r="V40" s="1"/>
  <c r="K41" s="1"/>
  <c r="AR41" i="8" s="1"/>
  <c r="BN40" i="1"/>
  <c r="N45"/>
  <c r="AA41" i="11"/>
  <c r="Y41"/>
  <c r="AH41" i="1" s="1"/>
  <c r="AC41" i="11"/>
  <c r="T41" i="8" s="1"/>
  <c r="Z41" i="11"/>
  <c r="AC41" i="2" s="1"/>
  <c r="AB41" i="11"/>
  <c r="P41" i="8" s="1"/>
  <c r="AD41" i="11"/>
  <c r="AI41" i="1" s="1"/>
  <c r="I10"/>
  <c r="AT41" i="8"/>
  <c r="AQ41"/>
  <c r="F41" i="11"/>
  <c r="M42" i="1"/>
  <c r="AW41" i="8"/>
  <c r="CA42"/>
  <c r="CH42"/>
  <c r="BT42"/>
  <c r="BU42"/>
  <c r="L47" i="11"/>
  <c r="B46" i="1"/>
  <c r="BI46" s="1"/>
  <c r="B46" i="2"/>
  <c r="A47"/>
  <c r="A47" i="7"/>
  <c r="K47" i="11"/>
  <c r="A47" i="9"/>
  <c r="M47" i="5"/>
  <c r="B47" i="14"/>
  <c r="AD47" i="8"/>
  <c r="J48" i="10"/>
  <c r="A47" i="8"/>
  <c r="AJ48" i="14"/>
  <c r="CM47" i="8"/>
  <c r="EP42"/>
  <c r="DT42"/>
  <c r="DR42"/>
  <c r="DS42"/>
  <c r="CV42"/>
  <c r="DX42" s="1"/>
  <c r="EB42" s="1"/>
  <c r="DN42"/>
  <c r="DO42"/>
  <c r="CT43"/>
  <c r="DQ43" s="1"/>
  <c r="CU43"/>
  <c r="CS43"/>
  <c r="DP43" s="1"/>
  <c r="X42" i="10"/>
  <c r="Y42" s="1"/>
  <c r="Y45" i="1"/>
  <c r="Q48" i="2"/>
  <c r="I49" i="8"/>
  <c r="DB42"/>
  <c r="EC42" s="1"/>
  <c r="ED42" s="1"/>
  <c r="CY42"/>
  <c r="EA42" s="1"/>
  <c r="DG42"/>
  <c r="EG42" s="1"/>
  <c r="CX42"/>
  <c r="CW42"/>
  <c r="A44" i="5"/>
  <c r="E44" s="1"/>
  <c r="CR42" i="8"/>
  <c r="DD42" s="1"/>
  <c r="N42" i="11"/>
  <c r="CN42" i="8"/>
  <c r="AL42" i="5"/>
  <c r="AN42"/>
  <c r="BO40" i="1"/>
  <c r="V44" i="2"/>
  <c r="AR45" i="5"/>
  <c r="BZ42" i="8"/>
  <c r="BY42"/>
  <c r="CG42"/>
  <c r="CF42"/>
  <c r="BQ42"/>
  <c r="N42" i="7"/>
  <c r="BP42" i="8"/>
  <c r="D45" i="10"/>
  <c r="F45" i="7"/>
  <c r="H46" i="5"/>
  <c r="AO42"/>
  <c r="D43" i="9"/>
  <c r="AM42" i="5"/>
  <c r="Q42" i="7"/>
  <c r="AO40" i="8"/>
  <c r="DH42"/>
  <c r="EH42" s="1"/>
  <c r="L45" i="5"/>
  <c r="J44" i="7"/>
  <c r="DE44" i="5"/>
  <c r="H44" i="10"/>
  <c r="I44" i="7"/>
  <c r="G44" i="10"/>
  <c r="DD44" i="5"/>
  <c r="K45"/>
  <c r="I46"/>
  <c r="DB45"/>
  <c r="E45" i="10"/>
  <c r="G45" i="7"/>
  <c r="EI41" i="8"/>
  <c r="AP41" i="5"/>
  <c r="EE40" i="8"/>
  <c r="EF40" s="1"/>
  <c r="P42" i="1"/>
  <c r="D42" i="14" s="1"/>
  <c r="AQ41" i="5"/>
  <c r="AU41" i="1" s="1"/>
  <c r="DA45" i="5"/>
  <c r="N46" i="2"/>
  <c r="DY41" i="8"/>
  <c r="DZ41" s="1"/>
  <c r="K46" i="10"/>
  <c r="BY47" i="11"/>
  <c r="AA46" i="7"/>
  <c r="AE46" i="8" s="1"/>
  <c r="BC46" s="1"/>
  <c r="M47" i="2"/>
  <c r="DF47" i="8"/>
  <c r="DC41"/>
  <c r="DD41"/>
  <c r="X46" i="1"/>
  <c r="AH41" i="7"/>
  <c r="AG41"/>
  <c r="AI41" s="1"/>
  <c r="AK39" i="5"/>
  <c r="D39" i="11"/>
  <c r="BM39" i="1"/>
  <c r="AQ39"/>
  <c r="U39" s="1"/>
  <c r="J40" s="1"/>
  <c r="AP40" i="8" s="1"/>
  <c r="EB41"/>
  <c r="J47"/>
  <c r="R46" i="2"/>
  <c r="O47"/>
  <c r="DE47" i="8"/>
  <c r="E45" i="7"/>
  <c r="CZ45" i="5"/>
  <c r="G46"/>
  <c r="C45" i="10"/>
  <c r="K48" i="8"/>
  <c r="S47" i="2"/>
  <c r="C10" i="11"/>
  <c r="AN10" i="8"/>
  <c r="AC10" i="7"/>
  <c r="V10" i="10"/>
  <c r="AJ10" i="5"/>
  <c r="BK10" i="1"/>
  <c r="P9" i="7"/>
  <c r="F9" i="9"/>
  <c r="B43" i="7"/>
  <c r="C43" i="14"/>
  <c r="A43" i="10"/>
  <c r="AA43" s="1"/>
  <c r="AH43" i="5"/>
  <c r="W43" i="8"/>
  <c r="AI43" i="5"/>
  <c r="BS43"/>
  <c r="A43" i="11"/>
  <c r="AV43" i="5"/>
  <c r="B43" i="9"/>
  <c r="Q43" i="1"/>
  <c r="E43" i="14" s="1"/>
  <c r="E43" i="1"/>
  <c r="AU43" i="5"/>
  <c r="AB42" i="2"/>
  <c r="BN43" i="8"/>
  <c r="BO43"/>
  <c r="DM43" s="1"/>
  <c r="AB43"/>
  <c r="EO43"/>
  <c r="DT43" s="1"/>
  <c r="CQ43"/>
  <c r="DA43" s="1"/>
  <c r="DL43"/>
  <c r="D48" i="7"/>
  <c r="F49" i="5"/>
  <c r="B48" i="10"/>
  <c r="J47" i="5"/>
  <c r="H46" i="7"/>
  <c r="F46" i="10"/>
  <c r="DC46" i="5"/>
  <c r="AH42" i="7"/>
  <c r="AG42"/>
  <c r="AI42" s="1"/>
  <c r="H49" i="8"/>
  <c r="P48" i="2"/>
  <c r="CY46" i="5"/>
  <c r="J46" i="2"/>
  <c r="AV41" i="8"/>
  <c r="AW41" i="1" s="1"/>
  <c r="L41" s="1"/>
  <c r="E41" i="11" s="1"/>
  <c r="B45" i="5"/>
  <c r="C9" i="8"/>
  <c r="DG46" i="5"/>
  <c r="B46"/>
  <c r="AU41" i="8"/>
  <c r="AT40" i="1"/>
  <c r="DF44" i="5"/>
  <c r="BC47" l="1"/>
  <c r="AC46" i="1"/>
  <c r="BP48" i="5"/>
  <c r="AB47" i="1"/>
  <c r="BK49" i="5"/>
  <c r="AD47" i="1"/>
  <c r="BN50" i="5"/>
  <c r="AF48" i="1"/>
  <c r="BE47" i="5"/>
  <c r="AE45" i="1"/>
  <c r="W45" s="1"/>
  <c r="AZ50" i="5"/>
  <c r="O47" i="1"/>
  <c r="DK47" i="8" s="1"/>
  <c r="DI46"/>
  <c r="DJ46"/>
  <c r="AB44"/>
  <c r="CA44" s="1"/>
  <c r="EQ44"/>
  <c r="CZ44" s="1"/>
  <c r="BN41" i="1"/>
  <c r="AS10" i="8"/>
  <c r="AO10" i="1"/>
  <c r="AR41"/>
  <c r="V41" s="1"/>
  <c r="K42" s="1"/>
  <c r="C41" i="9"/>
  <c r="AD43"/>
  <c r="AV43" i="1" s="1"/>
  <c r="Q44"/>
  <c r="E44" i="14" s="1"/>
  <c r="N46" i="1"/>
  <c r="AB43" i="2"/>
  <c r="BL10" i="1"/>
  <c r="AC42" i="11"/>
  <c r="T42" i="8" s="1"/>
  <c r="AA42" i="11"/>
  <c r="Y42"/>
  <c r="AH42" i="1" s="1"/>
  <c r="Z42" i="11"/>
  <c r="AC42" i="2" s="1"/>
  <c r="AB42" i="11"/>
  <c r="P42" i="8" s="1"/>
  <c r="AD42" i="11"/>
  <c r="AI42" i="1" s="1"/>
  <c r="B44" i="7"/>
  <c r="Q44" s="1"/>
  <c r="A44" i="11"/>
  <c r="N44" s="1"/>
  <c r="BO44" i="8"/>
  <c r="DM44" s="1"/>
  <c r="AT42"/>
  <c r="AQ42"/>
  <c r="M43" i="1"/>
  <c r="F42" i="11"/>
  <c r="AW42" i="8"/>
  <c r="BU43"/>
  <c r="CA43"/>
  <c r="CH43"/>
  <c r="B47" i="1"/>
  <c r="BI47" s="1"/>
  <c r="B47" i="2"/>
  <c r="L48" i="11"/>
  <c r="A48" i="2"/>
  <c r="K48" i="11"/>
  <c r="A48" i="7"/>
  <c r="AD48" i="8"/>
  <c r="J49" i="10"/>
  <c r="M48" i="5"/>
  <c r="A48" i="9"/>
  <c r="A48" i="8"/>
  <c r="B48" i="14"/>
  <c r="AJ49"/>
  <c r="CM48" i="8"/>
  <c r="DR43"/>
  <c r="DS43"/>
  <c r="DN43"/>
  <c r="DO43"/>
  <c r="C44" i="14"/>
  <c r="CS44" i="8"/>
  <c r="DP44" s="1"/>
  <c r="CT44"/>
  <c r="DQ44" s="1"/>
  <c r="CU44"/>
  <c r="Y46" i="1"/>
  <c r="AH44" i="5"/>
  <c r="W44" i="8"/>
  <c r="B44" i="9"/>
  <c r="EO44" i="8"/>
  <c r="A44" i="10"/>
  <c r="AA44" s="1"/>
  <c r="BS44" i="5"/>
  <c r="BN44" i="8"/>
  <c r="CR44" s="1"/>
  <c r="AI44" i="5"/>
  <c r="E44" i="1"/>
  <c r="AV44" i="5"/>
  <c r="AU44"/>
  <c r="Q49" i="2"/>
  <c r="I50" i="8"/>
  <c r="DY42"/>
  <c r="DZ42" s="1"/>
  <c r="EI42"/>
  <c r="CQ44"/>
  <c r="DA44" s="1"/>
  <c r="DL44"/>
  <c r="DC42"/>
  <c r="EE42" s="1"/>
  <c r="EF42" s="1"/>
  <c r="AP42" i="5"/>
  <c r="V45" i="2"/>
  <c r="AV42" i="8"/>
  <c r="AW42" i="1" s="1"/>
  <c r="L42" s="1"/>
  <c r="AO42" i="8" s="1"/>
  <c r="AU42"/>
  <c r="D44" i="9"/>
  <c r="D46" i="10"/>
  <c r="F46" i="7"/>
  <c r="H47" i="5"/>
  <c r="AQ42"/>
  <c r="AU42" i="1" s="1"/>
  <c r="H45" i="10"/>
  <c r="DE45" i="5"/>
  <c r="J45" i="7"/>
  <c r="L46" i="5"/>
  <c r="AR46"/>
  <c r="I45" i="7"/>
  <c r="K46" i="5"/>
  <c r="G45" i="10"/>
  <c r="DD45" i="5"/>
  <c r="A45"/>
  <c r="E45" s="1"/>
  <c r="EQ45" i="8" s="1"/>
  <c r="CZ45" s="1"/>
  <c r="DB46" i="5"/>
  <c r="I47"/>
  <c r="G46" i="7"/>
  <c r="E46" i="10"/>
  <c r="AT41" i="1"/>
  <c r="P43"/>
  <c r="D43" i="14" s="1"/>
  <c r="X47" i="1"/>
  <c r="N47" i="2"/>
  <c r="AN43" i="5"/>
  <c r="AK40"/>
  <c r="D40" i="11"/>
  <c r="BM40" i="1"/>
  <c r="AQ40"/>
  <c r="U40" s="1"/>
  <c r="J41" s="1"/>
  <c r="AP41" i="8" s="1"/>
  <c r="AA47" i="7"/>
  <c r="AE47" i="8" s="1"/>
  <c r="BC47" s="1"/>
  <c r="BY48" i="11"/>
  <c r="K47" i="10"/>
  <c r="D49" i="7"/>
  <c r="B49" i="10"/>
  <c r="F50" i="5"/>
  <c r="CR43" i="8"/>
  <c r="CO43"/>
  <c r="CN43"/>
  <c r="S48" i="2"/>
  <c r="K49" i="8"/>
  <c r="Y9" i="2"/>
  <c r="X9" s="1"/>
  <c r="N43" i="11"/>
  <c r="R47" i="2"/>
  <c r="J48" i="8"/>
  <c r="CY47" i="5"/>
  <c r="AE43" i="7"/>
  <c r="AF43" s="1"/>
  <c r="Q43"/>
  <c r="DF48" i="8"/>
  <c r="M48" i="2"/>
  <c r="AO41" i="8"/>
  <c r="H50"/>
  <c r="P49" i="2"/>
  <c r="BQ43" i="8"/>
  <c r="N43" i="7"/>
  <c r="BP43" i="8"/>
  <c r="BT43"/>
  <c r="BY43"/>
  <c r="BZ43"/>
  <c r="CF43"/>
  <c r="CG43"/>
  <c r="BO41" i="1"/>
  <c r="DG47" i="5"/>
  <c r="DH43" i="8"/>
  <c r="EH43" s="1"/>
  <c r="EP43"/>
  <c r="C46" i="10"/>
  <c r="G47" i="5"/>
  <c r="E46" i="7"/>
  <c r="CZ46" i="5"/>
  <c r="DA46"/>
  <c r="BZ44" i="8"/>
  <c r="BY44"/>
  <c r="DC47" i="5"/>
  <c r="J48"/>
  <c r="H47" i="7"/>
  <c r="F47" i="10"/>
  <c r="DG43" i="8"/>
  <c r="EG43" s="1"/>
  <c r="CV43"/>
  <c r="DX43" s="1"/>
  <c r="DB43"/>
  <c r="EC43" s="1"/>
  <c r="ED43" s="1"/>
  <c r="CY43"/>
  <c r="EA43" s="1"/>
  <c r="CX43"/>
  <c r="CW43"/>
  <c r="AC43" i="10"/>
  <c r="X43" s="1"/>
  <c r="Y43" s="1"/>
  <c r="AO43" i="5"/>
  <c r="AM43"/>
  <c r="AL43"/>
  <c r="O48" i="2"/>
  <c r="DE48" i="8"/>
  <c r="EE41"/>
  <c r="EF41" s="1"/>
  <c r="DF45" i="5"/>
  <c r="J47" i="2" l="1"/>
  <c r="CF44" i="8"/>
  <c r="BP44"/>
  <c r="N44" i="7"/>
  <c r="BQ44" i="8"/>
  <c r="AC47" i="1"/>
  <c r="BC48" i="5"/>
  <c r="CG44" i="8"/>
  <c r="BT44"/>
  <c r="BP49" i="5"/>
  <c r="AB48" i="1"/>
  <c r="AZ51" i="5"/>
  <c r="BK50"/>
  <c r="AD48" i="1"/>
  <c r="BN51" i="5"/>
  <c r="AF49" i="1"/>
  <c r="BE48" i="5"/>
  <c r="AE46" i="1"/>
  <c r="W46" s="1"/>
  <c r="BU44" i="8"/>
  <c r="O48" i="1"/>
  <c r="DK48" i="8" s="1"/>
  <c r="DI47"/>
  <c r="DJ47"/>
  <c r="CH44"/>
  <c r="AW44" s="1"/>
  <c r="AR42"/>
  <c r="C42" i="9"/>
  <c r="BN42" i="1"/>
  <c r="AR42"/>
  <c r="V42" s="1"/>
  <c r="K43" s="1"/>
  <c r="AR43" i="8" s="1"/>
  <c r="AD44" i="9"/>
  <c r="AV44" i="1" s="1"/>
  <c r="N47"/>
  <c r="AE44" i="7"/>
  <c r="AA43" i="11"/>
  <c r="AC43"/>
  <c r="T43" i="8" s="1"/>
  <c r="Y43" i="11"/>
  <c r="AH43" i="1" s="1"/>
  <c r="AB43" i="11"/>
  <c r="P43" i="8" s="1"/>
  <c r="AD43" i="11"/>
  <c r="AI43" i="1" s="1"/>
  <c r="Z43" i="11"/>
  <c r="AC43" i="2" s="1"/>
  <c r="AT43" i="8"/>
  <c r="AQ43"/>
  <c r="M44" i="1"/>
  <c r="F43" i="11"/>
  <c r="AW43" i="8"/>
  <c r="B48" i="2"/>
  <c r="B48" i="1"/>
  <c r="BI48" s="1"/>
  <c r="L49" i="11"/>
  <c r="AJ50" i="14"/>
  <c r="CM49" i="8"/>
  <c r="A49" i="2"/>
  <c r="A49" i="9"/>
  <c r="A49" i="7"/>
  <c r="A49" i="8"/>
  <c r="B49" i="14"/>
  <c r="AD49" i="8"/>
  <c r="M49" i="5"/>
  <c r="K49" i="11"/>
  <c r="J50" i="10"/>
  <c r="EP44" i="8"/>
  <c r="DT44"/>
  <c r="DR44"/>
  <c r="DS44"/>
  <c r="CY44"/>
  <c r="EA44" s="1"/>
  <c r="DN44"/>
  <c r="DO44"/>
  <c r="CS45"/>
  <c r="DP45" s="1"/>
  <c r="CU45"/>
  <c r="CT45"/>
  <c r="DQ45" s="1"/>
  <c r="AL44" i="5"/>
  <c r="CO44" i="8"/>
  <c r="Y47" i="1"/>
  <c r="AM44" i="5"/>
  <c r="AC44" i="10"/>
  <c r="X44" s="1"/>
  <c r="Y44" s="1"/>
  <c r="AN44" i="5"/>
  <c r="CN44" i="8"/>
  <c r="DH44"/>
  <c r="EH44" s="1"/>
  <c r="D45" i="9"/>
  <c r="AO44" i="5"/>
  <c r="I51" i="8"/>
  <c r="Q50" i="2"/>
  <c r="CW44" i="8"/>
  <c r="DB44"/>
  <c r="EC44" s="1"/>
  <c r="ED44" s="1"/>
  <c r="DG44"/>
  <c r="EG44" s="1"/>
  <c r="CX44"/>
  <c r="CV44"/>
  <c r="DX44" s="1"/>
  <c r="EB44" s="1"/>
  <c r="AT42" i="1"/>
  <c r="AR47" i="5"/>
  <c r="F47" i="7"/>
  <c r="D47" i="10"/>
  <c r="H48" i="5"/>
  <c r="A46"/>
  <c r="E46" s="1"/>
  <c r="EQ46" i="8" s="1"/>
  <c r="CZ46" s="1"/>
  <c r="V46" i="2"/>
  <c r="L47" i="5"/>
  <c r="H46" i="10"/>
  <c r="DE46" i="5"/>
  <c r="J46" i="7"/>
  <c r="K47" i="5"/>
  <c r="DD46"/>
  <c r="I46" i="7"/>
  <c r="G46" i="10"/>
  <c r="G47" i="7"/>
  <c r="E47" i="10"/>
  <c r="DB47" i="5"/>
  <c r="I48"/>
  <c r="EI43" i="8"/>
  <c r="BO42" i="1"/>
  <c r="AQ43" i="5"/>
  <c r="AU43" i="1" s="1"/>
  <c r="E42" i="11"/>
  <c r="P44" i="1"/>
  <c r="D44" i="14" s="1"/>
  <c r="DY43" i="8"/>
  <c r="DZ43" s="1"/>
  <c r="AV43"/>
  <c r="AW43" i="1" s="1"/>
  <c r="L43" s="1"/>
  <c r="BO43" s="1"/>
  <c r="AP43" i="5"/>
  <c r="M49" i="2"/>
  <c r="DF49" i="8"/>
  <c r="K48" i="10"/>
  <c r="AA48" i="7"/>
  <c r="AE48" i="8" s="1"/>
  <c r="BC48" s="1"/>
  <c r="BY49" i="11"/>
  <c r="CZ47" i="5"/>
  <c r="G48"/>
  <c r="C47" i="10"/>
  <c r="E47" i="7"/>
  <c r="Q45" i="1"/>
  <c r="E45" i="14" s="1"/>
  <c r="B45" i="7"/>
  <c r="A45" i="11"/>
  <c r="BS45" i="5"/>
  <c r="AH45"/>
  <c r="AI45"/>
  <c r="B45" i="9"/>
  <c r="W45" i="8"/>
  <c r="C45" i="14"/>
  <c r="A45" i="10"/>
  <c r="AA45" s="1"/>
  <c r="AV45" i="5"/>
  <c r="AU45"/>
  <c r="E45" i="1"/>
  <c r="AB44" i="2"/>
  <c r="BN45" i="8"/>
  <c r="BO45"/>
  <c r="DM45" s="1"/>
  <c r="AB45"/>
  <c r="EO45"/>
  <c r="DT45" s="1"/>
  <c r="CQ45"/>
  <c r="DA45" s="1"/>
  <c r="DL45"/>
  <c r="DA47" i="5"/>
  <c r="J49" i="8"/>
  <c r="R48" i="2"/>
  <c r="K50" i="8"/>
  <c r="S49" i="2"/>
  <c r="DD44" i="8"/>
  <c r="DC44"/>
  <c r="P50" i="2"/>
  <c r="H51" i="8"/>
  <c r="H10" i="11"/>
  <c r="B10" i="8"/>
  <c r="D10" i="2" s="1"/>
  <c r="L10"/>
  <c r="BD10" i="8"/>
  <c r="E10" i="2"/>
  <c r="AB10" i="7"/>
  <c r="B47" i="5"/>
  <c r="EB43" i="8"/>
  <c r="O49" i="2"/>
  <c r="DE49" i="8"/>
  <c r="DG48" i="5"/>
  <c r="D50" i="7"/>
  <c r="B50" i="10"/>
  <c r="F51" i="5"/>
  <c r="AU43" i="8"/>
  <c r="X48" i="1"/>
  <c r="DC48" i="5"/>
  <c r="F48" i="10"/>
  <c r="J49" i="5"/>
  <c r="H48" i="7"/>
  <c r="AG43"/>
  <c r="AI43" s="1"/>
  <c r="AH43"/>
  <c r="CY48" i="5"/>
  <c r="DC43" i="8"/>
  <c r="DD43"/>
  <c r="D41" i="11"/>
  <c r="AK41" i="5"/>
  <c r="BM41" i="1"/>
  <c r="AQ41"/>
  <c r="U41" s="1"/>
  <c r="J42" s="1"/>
  <c r="AP42" i="8" s="1"/>
  <c r="N48" i="2"/>
  <c r="DF46" i="5"/>
  <c r="AV44" i="8" l="1"/>
  <c r="AW44" i="1" s="1"/>
  <c r="L44" s="1"/>
  <c r="AO44" i="8" s="1"/>
  <c r="J48" i="2"/>
  <c r="AC48" i="1"/>
  <c r="BC49" i="5"/>
  <c r="BN52"/>
  <c r="AF50" i="1"/>
  <c r="BE49" i="5"/>
  <c r="AE47" i="1"/>
  <c r="W47" s="1"/>
  <c r="BP50" i="5"/>
  <c r="AB49" i="1"/>
  <c r="AZ52" i="5"/>
  <c r="BK51"/>
  <c r="AD49" i="1"/>
  <c r="O49"/>
  <c r="DK49" i="8" s="1"/>
  <c r="DJ48"/>
  <c r="DI48"/>
  <c r="C43" i="9"/>
  <c r="AR43" i="1"/>
  <c r="V43" s="1"/>
  <c r="K44" s="1"/>
  <c r="BN43"/>
  <c r="AD45" i="9"/>
  <c r="AV45" i="1" s="1"/>
  <c r="N48"/>
  <c r="AF44" i="7"/>
  <c r="AH44" s="1"/>
  <c r="AG44"/>
  <c r="AI44" s="1"/>
  <c r="Y44" i="11"/>
  <c r="AH44" i="1" s="1"/>
  <c r="AC44" i="11"/>
  <c r="T44" i="8" s="1"/>
  <c r="AA44" i="11"/>
  <c r="Z44"/>
  <c r="AC44" i="2" s="1"/>
  <c r="AB44" i="11"/>
  <c r="P44" i="8" s="1"/>
  <c r="AD44" i="11"/>
  <c r="AI44" i="1" s="1"/>
  <c r="AT44" i="8"/>
  <c r="AQ44"/>
  <c r="M45" i="1"/>
  <c r="F44" i="11"/>
  <c r="BU45" i="8"/>
  <c r="CA45"/>
  <c r="CH45"/>
  <c r="AQ44" i="5"/>
  <c r="AU44" i="1" s="1"/>
  <c r="CM50" i="8"/>
  <c r="AJ51" i="14"/>
  <c r="A50" i="2"/>
  <c r="K50" i="11"/>
  <c r="AD50" i="8"/>
  <c r="A50" i="7"/>
  <c r="M50" i="5"/>
  <c r="A50" i="9"/>
  <c r="B50" i="14"/>
  <c r="J51" i="10"/>
  <c r="A50" i="8"/>
  <c r="B49" i="1"/>
  <c r="BI49" s="1"/>
  <c r="B49" i="2"/>
  <c r="L50" i="11"/>
  <c r="DR45" i="8"/>
  <c r="DS45"/>
  <c r="DN45"/>
  <c r="DO45"/>
  <c r="CS46"/>
  <c r="DP46" s="1"/>
  <c r="CT46"/>
  <c r="DQ46" s="1"/>
  <c r="CU46"/>
  <c r="AP44" i="5"/>
  <c r="B48"/>
  <c r="Y48" i="1"/>
  <c r="AU44" i="8"/>
  <c r="EI44"/>
  <c r="Q51" i="2"/>
  <c r="I52" i="8"/>
  <c r="DY44"/>
  <c r="DZ44" s="1"/>
  <c r="CQ46"/>
  <c r="DA46" s="1"/>
  <c r="E43" i="11"/>
  <c r="A46" i="10"/>
  <c r="AA46" s="1"/>
  <c r="BS46" i="5"/>
  <c r="BN46" i="8"/>
  <c r="CN46" s="1"/>
  <c r="A46" i="11"/>
  <c r="AB46" i="8"/>
  <c r="C46" i="14"/>
  <c r="AV46" i="5"/>
  <c r="B46" i="7"/>
  <c r="AE46" s="1"/>
  <c r="AF46" s="1"/>
  <c r="E46" i="1"/>
  <c r="EO46" i="8"/>
  <c r="B46" i="9"/>
  <c r="W46" i="8"/>
  <c r="Q46" i="1"/>
  <c r="E46" i="14" s="1"/>
  <c r="AI46" i="5"/>
  <c r="AR48"/>
  <c r="AB45" i="2"/>
  <c r="AH46" i="5"/>
  <c r="AC46" i="10" s="1"/>
  <c r="X46" s="1"/>
  <c r="Y46" s="1"/>
  <c r="BO46" i="8"/>
  <c r="DM46" s="1"/>
  <c r="AU46" i="5"/>
  <c r="F48" i="7"/>
  <c r="D48" i="10"/>
  <c r="H49" i="5"/>
  <c r="V47" i="2"/>
  <c r="DL46" i="8"/>
  <c r="J47" i="7"/>
  <c r="L48" i="5"/>
  <c r="DE47"/>
  <c r="H47" i="10"/>
  <c r="DD47" i="5"/>
  <c r="I47" i="7"/>
  <c r="G47" i="10"/>
  <c r="K48" i="5"/>
  <c r="A47"/>
  <c r="E47" s="1"/>
  <c r="EQ47" i="8" s="1"/>
  <c r="CZ47" s="1"/>
  <c r="DB48" i="5"/>
  <c r="G48" i="7"/>
  <c r="E48" i="10"/>
  <c r="I49" i="5"/>
  <c r="AO43" i="8"/>
  <c r="AN45" i="5"/>
  <c r="AT43" i="1"/>
  <c r="B51" i="10"/>
  <c r="F52" i="5"/>
  <c r="D51" i="7"/>
  <c r="DA48" i="5"/>
  <c r="CN45" i="8"/>
  <c r="CR45"/>
  <c r="CO45"/>
  <c r="D46" i="9"/>
  <c r="K49" i="10"/>
  <c r="AA49" i="7"/>
  <c r="AE49" i="8" s="1"/>
  <c r="BC49" s="1"/>
  <c r="BY50" i="11"/>
  <c r="P45" i="1"/>
  <c r="CY49" i="5"/>
  <c r="DG49"/>
  <c r="O50" i="2"/>
  <c r="DE50" i="8"/>
  <c r="K51"/>
  <c r="S50" i="2"/>
  <c r="F49" i="10"/>
  <c r="DC49" i="5"/>
  <c r="J50"/>
  <c r="H49" i="7"/>
  <c r="N45"/>
  <c r="BQ45" i="8"/>
  <c r="BP45"/>
  <c r="BT45"/>
  <c r="BZ45"/>
  <c r="BY45"/>
  <c r="CF45"/>
  <c r="CG45"/>
  <c r="AE45" i="7"/>
  <c r="AF45" s="1"/>
  <c r="Q45"/>
  <c r="E48"/>
  <c r="CZ48" i="5"/>
  <c r="C48" i="10"/>
  <c r="G49" i="5"/>
  <c r="EE43" i="8"/>
  <c r="EF43" s="1"/>
  <c r="EE44"/>
  <c r="EF44" s="1"/>
  <c r="U10" i="2"/>
  <c r="W9" s="1"/>
  <c r="C10" s="1"/>
  <c r="R49"/>
  <c r="J50" i="8"/>
  <c r="DH45"/>
  <c r="EH45" s="1"/>
  <c r="EP45"/>
  <c r="N45" i="11"/>
  <c r="BM42" i="1"/>
  <c r="AK42" i="5"/>
  <c r="AQ42" i="1"/>
  <c r="U42" s="1"/>
  <c r="J43" s="1"/>
  <c r="AP43" i="8" s="1"/>
  <c r="D42" i="11"/>
  <c r="X49" i="1"/>
  <c r="H52" i="8"/>
  <c r="P51" i="2"/>
  <c r="CV45" i="8"/>
  <c r="DX45" s="1"/>
  <c r="DB45"/>
  <c r="EC45" s="1"/>
  <c r="ED45" s="1"/>
  <c r="CY45"/>
  <c r="EA45" s="1"/>
  <c r="CX45"/>
  <c r="CW45"/>
  <c r="DG45"/>
  <c r="EG45" s="1"/>
  <c r="N49" i="2"/>
  <c r="AM45" i="5"/>
  <c r="AC45" i="10"/>
  <c r="X45" s="1"/>
  <c r="Y45" s="1"/>
  <c r="AO45" i="5"/>
  <c r="AL45"/>
  <c r="M50" i="2"/>
  <c r="DF50" i="8"/>
  <c r="DF47" i="5"/>
  <c r="B49" l="1"/>
  <c r="AC49" i="1"/>
  <c r="BC50" i="5"/>
  <c r="AZ53"/>
  <c r="BN53"/>
  <c r="AF51" i="1"/>
  <c r="BK52" i="5"/>
  <c r="AD50" i="1"/>
  <c r="BE50" i="5"/>
  <c r="AE48" i="1"/>
  <c r="W48" s="1"/>
  <c r="BP51" i="5"/>
  <c r="AB50" i="1"/>
  <c r="O50"/>
  <c r="DK50" i="8" s="1"/>
  <c r="DI49"/>
  <c r="DJ49"/>
  <c r="AR44"/>
  <c r="AR44" i="1"/>
  <c r="V44" s="1"/>
  <c r="K45" s="1"/>
  <c r="C44" i="9"/>
  <c r="BN44" i="1"/>
  <c r="AD46" i="9"/>
  <c r="AV46" i="1" s="1"/>
  <c r="N49"/>
  <c r="Y45" i="11"/>
  <c r="AH45" i="1" s="1"/>
  <c r="AA45" i="11"/>
  <c r="AC45"/>
  <c r="T45" i="8" s="1"/>
  <c r="Z45" i="11"/>
  <c r="AC45" i="2" s="1"/>
  <c r="AB45" i="11"/>
  <c r="P45" i="8" s="1"/>
  <c r="AD45" i="11"/>
  <c r="AI45" i="1" s="1"/>
  <c r="AT45" i="8"/>
  <c r="AQ45"/>
  <c r="F45" i="11"/>
  <c r="M46" i="1"/>
  <c r="AW45" i="8"/>
  <c r="CA46"/>
  <c r="CH46"/>
  <c r="BY46"/>
  <c r="BU46"/>
  <c r="A51" i="2"/>
  <c r="A51" i="7"/>
  <c r="J52" i="10"/>
  <c r="AD51" i="8"/>
  <c r="A51"/>
  <c r="B51" i="14"/>
  <c r="A51" i="9"/>
  <c r="M51" i="5"/>
  <c r="K51" i="11"/>
  <c r="B50" i="2"/>
  <c r="L51" i="11"/>
  <c r="B50" i="1"/>
  <c r="BI50" s="1"/>
  <c r="AJ52" i="14"/>
  <c r="CM51" i="8"/>
  <c r="EP46"/>
  <c r="DT46"/>
  <c r="DR46"/>
  <c r="DS46"/>
  <c r="DG46"/>
  <c r="EG46" s="1"/>
  <c r="DN46"/>
  <c r="DO46"/>
  <c r="AT44" i="1"/>
  <c r="CS47" i="8"/>
  <c r="DP47" s="1"/>
  <c r="CT47"/>
  <c r="DQ47" s="1"/>
  <c r="CU47"/>
  <c r="BQ46"/>
  <c r="CR46"/>
  <c r="DC46" s="1"/>
  <c r="CO46"/>
  <c r="N46" i="11"/>
  <c r="J49" i="2"/>
  <c r="Y49" i="1"/>
  <c r="D47" i="9"/>
  <c r="AM46" i="5"/>
  <c r="I53" i="8"/>
  <c r="Q52" i="2"/>
  <c r="AN46" i="5"/>
  <c r="BZ46" i="8"/>
  <c r="AO46" i="5"/>
  <c r="CF46" i="8"/>
  <c r="BT46"/>
  <c r="CV46"/>
  <c r="DX46" s="1"/>
  <c r="EB46" s="1"/>
  <c r="CW46"/>
  <c r="CY46"/>
  <c r="EA46" s="1"/>
  <c r="CX46"/>
  <c r="DB46"/>
  <c r="EC46" s="1"/>
  <c r="ED46" s="1"/>
  <c r="CG46"/>
  <c r="BP46"/>
  <c r="N46" i="7"/>
  <c r="AL46" i="5"/>
  <c r="Q46" i="7"/>
  <c r="A48" i="5"/>
  <c r="E48" s="1"/>
  <c r="EQ48" i="8" s="1"/>
  <c r="CZ48" s="1"/>
  <c r="DH46"/>
  <c r="EH46" s="1"/>
  <c r="AR49" i="5"/>
  <c r="V48" i="2"/>
  <c r="H50" i="5"/>
  <c r="D49" i="10"/>
  <c r="F49" i="7"/>
  <c r="H48" i="10"/>
  <c r="DE48" i="5"/>
  <c r="L49"/>
  <c r="J48" i="7"/>
  <c r="DD48" i="5"/>
  <c r="G48" i="10"/>
  <c r="K49" i="5"/>
  <c r="I48" i="7"/>
  <c r="G49"/>
  <c r="I50" i="5"/>
  <c r="DB49"/>
  <c r="E49" i="10"/>
  <c r="EI45" i="8"/>
  <c r="E44" i="11"/>
  <c r="BO44" i="1"/>
  <c r="AP45" i="5"/>
  <c r="CY50"/>
  <c r="F10" i="2"/>
  <c r="H10"/>
  <c r="F10" i="1"/>
  <c r="I10" i="2"/>
  <c r="AA10" i="1" s="1"/>
  <c r="S10" s="1"/>
  <c r="H11" s="1"/>
  <c r="K52" i="8"/>
  <c r="S51" i="2"/>
  <c r="AK43" i="5"/>
  <c r="AQ43" i="1"/>
  <c r="U43" s="1"/>
  <c r="J44" s="1"/>
  <c r="AP44" i="8" s="1"/>
  <c r="D43" i="11"/>
  <c r="BM43" i="1"/>
  <c r="P46"/>
  <c r="D45" i="14"/>
  <c r="DD45" i="8"/>
  <c r="DC45"/>
  <c r="G50" i="5"/>
  <c r="CZ49"/>
  <c r="E49" i="7"/>
  <c r="C49" i="10"/>
  <c r="N50" i="2"/>
  <c r="H53" i="8"/>
  <c r="P52" i="2"/>
  <c r="J51" i="8"/>
  <c r="R50" i="2"/>
  <c r="AH46" i="7"/>
  <c r="AG46"/>
  <c r="AI46" s="1"/>
  <c r="AU45" i="8"/>
  <c r="AQ45" i="5"/>
  <c r="AU45" i="1" s="1"/>
  <c r="AV45" i="8"/>
  <c r="AW45" i="1" s="1"/>
  <c r="L45" s="1"/>
  <c r="AO45" i="8" s="1"/>
  <c r="F50" i="10"/>
  <c r="J51" i="5"/>
  <c r="H50" i="7"/>
  <c r="DC50" i="5"/>
  <c r="AI47"/>
  <c r="AV47"/>
  <c r="E47" i="1"/>
  <c r="B47" i="7"/>
  <c r="BS47" i="5"/>
  <c r="AU47"/>
  <c r="W47" i="8"/>
  <c r="A47" i="10"/>
  <c r="AA47" s="1"/>
  <c r="A47" i="11"/>
  <c r="B47" i="9"/>
  <c r="C47" i="14"/>
  <c r="Q47" i="1"/>
  <c r="E47" i="14" s="1"/>
  <c r="AH47" i="5"/>
  <c r="AB46" i="2"/>
  <c r="BN47" i="8"/>
  <c r="BO47"/>
  <c r="DM47" s="1"/>
  <c r="AB47"/>
  <c r="EO47"/>
  <c r="DT47" s="1"/>
  <c r="DL47"/>
  <c r="CQ47"/>
  <c r="DA47" s="1"/>
  <c r="AH45" i="7"/>
  <c r="AG45"/>
  <c r="AI45" s="1"/>
  <c r="DY45" i="8"/>
  <c r="DZ45" s="1"/>
  <c r="AA50" i="7"/>
  <c r="AE50" i="8" s="1"/>
  <c r="BC50" s="1"/>
  <c r="BY51" i="11"/>
  <c r="K50" i="10"/>
  <c r="DA49" i="5"/>
  <c r="B52" i="10"/>
  <c r="D52" i="7"/>
  <c r="F53" i="5"/>
  <c r="O51" i="2"/>
  <c r="DE51" i="8"/>
  <c r="M51" i="2"/>
  <c r="DF51" i="8"/>
  <c r="EB45"/>
  <c r="X50" i="1"/>
  <c r="DG50" i="5"/>
  <c r="DF48"/>
  <c r="B50" l="1"/>
  <c r="AC50" i="1"/>
  <c r="BC51" i="5"/>
  <c r="BE51"/>
  <c r="AE49" i="1"/>
  <c r="W49" s="1"/>
  <c r="AZ54" i="5"/>
  <c r="BP52"/>
  <c r="AB51" i="1"/>
  <c r="BN54" i="5"/>
  <c r="AF52" i="1"/>
  <c r="BK53" i="5"/>
  <c r="AD51" i="1"/>
  <c r="O51"/>
  <c r="DK51" i="8" s="1"/>
  <c r="DI50"/>
  <c r="DJ50"/>
  <c r="AR45"/>
  <c r="AR45" i="1"/>
  <c r="V45" s="1"/>
  <c r="K46" s="1"/>
  <c r="AR46" i="8" s="1"/>
  <c r="BN45" i="1"/>
  <c r="C45" i="9"/>
  <c r="AD47"/>
  <c r="AV47" i="1" s="1"/>
  <c r="N50"/>
  <c r="AA46" i="11"/>
  <c r="AC46"/>
  <c r="T46" i="8" s="1"/>
  <c r="Y46" i="11"/>
  <c r="AH46" i="1" s="1"/>
  <c r="AB46" i="11"/>
  <c r="P46" i="8" s="1"/>
  <c r="AD46" i="11"/>
  <c r="AI46" i="1" s="1"/>
  <c r="Z46" i="11"/>
  <c r="AC46" i="2" s="1"/>
  <c r="AT46" i="8"/>
  <c r="AQ46"/>
  <c r="F46" i="11"/>
  <c r="M47" i="1"/>
  <c r="AW46" i="8"/>
  <c r="BU47"/>
  <c r="CA47"/>
  <c r="CH47"/>
  <c r="L52" i="11"/>
  <c r="B51" i="1"/>
  <c r="BI51" s="1"/>
  <c r="B51" i="2"/>
  <c r="A52"/>
  <c r="A52" i="7"/>
  <c r="J53" i="10"/>
  <c r="A52" i="9"/>
  <c r="B52" i="14"/>
  <c r="AD52" i="8"/>
  <c r="K52" i="11"/>
  <c r="M52" i="5"/>
  <c r="A52" i="8"/>
  <c r="CM52"/>
  <c r="AJ53" i="14"/>
  <c r="DR47" i="8"/>
  <c r="DS47"/>
  <c r="EI46"/>
  <c r="DN47"/>
  <c r="DO47"/>
  <c r="CU48"/>
  <c r="CT48"/>
  <c r="DQ48" s="1"/>
  <c r="CS48"/>
  <c r="DP48" s="1"/>
  <c r="DD46"/>
  <c r="EE46" s="1"/>
  <c r="EF46" s="1"/>
  <c r="Y50" i="1"/>
  <c r="AQ46" i="5"/>
  <c r="AU46" i="1" s="1"/>
  <c r="I54" i="8"/>
  <c r="Q53" i="2"/>
  <c r="AP46" i="5"/>
  <c r="AU46" i="8"/>
  <c r="DY46"/>
  <c r="DZ46" s="1"/>
  <c r="CQ48"/>
  <c r="DA48" s="1"/>
  <c r="W48"/>
  <c r="AV46"/>
  <c r="AW46" i="1" s="1"/>
  <c r="L46" s="1"/>
  <c r="AO46" i="8" s="1"/>
  <c r="BS48" i="5"/>
  <c r="DL48" i="8"/>
  <c r="AV48" i="5"/>
  <c r="AU48"/>
  <c r="E48" i="1"/>
  <c r="BN48" i="8"/>
  <c r="CR48" s="1"/>
  <c r="BO48"/>
  <c r="DM48" s="1"/>
  <c r="C48" i="14"/>
  <c r="AB47" i="2"/>
  <c r="Q48" i="1"/>
  <c r="E48" i="14" s="1"/>
  <c r="A48" i="11"/>
  <c r="EO48" i="8"/>
  <c r="A48" i="10"/>
  <c r="AA48" s="1"/>
  <c r="AB48" i="8"/>
  <c r="AI48" i="5"/>
  <c r="B48" i="7"/>
  <c r="AE48" s="1"/>
  <c r="AF48" s="1"/>
  <c r="AH48" i="5"/>
  <c r="AC48" i="10" s="1"/>
  <c r="B48" i="9"/>
  <c r="A49" i="5"/>
  <c r="E49" s="1"/>
  <c r="EQ49" i="8" s="1"/>
  <c r="CZ49" s="1"/>
  <c r="V49" i="2"/>
  <c r="F50" i="7"/>
  <c r="D50" i="10"/>
  <c r="H51" i="5"/>
  <c r="AR50"/>
  <c r="DE49"/>
  <c r="J49" i="7"/>
  <c r="L50" i="5"/>
  <c r="H49" i="10"/>
  <c r="G49"/>
  <c r="DD49" i="5"/>
  <c r="K50"/>
  <c r="I49" i="7"/>
  <c r="G50"/>
  <c r="I51" i="5"/>
  <c r="DB50"/>
  <c r="E50" i="10"/>
  <c r="BO45" i="1"/>
  <c r="E45" i="11"/>
  <c r="BK11" i="1"/>
  <c r="AN11" i="8"/>
  <c r="AC11" i="7"/>
  <c r="V11" i="10"/>
  <c r="AJ11" i="5"/>
  <c r="C11" i="11"/>
  <c r="K51" i="10"/>
  <c r="BY52" i="11"/>
  <c r="AA51" i="7"/>
  <c r="AE51" i="8" s="1"/>
  <c r="BC51" s="1"/>
  <c r="J52"/>
  <c r="R51" i="2"/>
  <c r="CY51" i="5"/>
  <c r="DH47" i="8"/>
  <c r="EH47" s="1"/>
  <c r="EP47"/>
  <c r="AE47" i="7"/>
  <c r="AF47" s="1"/>
  <c r="Q47"/>
  <c r="D46" i="14"/>
  <c r="P47" i="1"/>
  <c r="CV47" i="8"/>
  <c r="DX47" s="1"/>
  <c r="DB47"/>
  <c r="EC47" s="1"/>
  <c r="ED47" s="1"/>
  <c r="CW47"/>
  <c r="DG47"/>
  <c r="EG47" s="1"/>
  <c r="CX47"/>
  <c r="CY47"/>
  <c r="EA47" s="1"/>
  <c r="DG51" i="5"/>
  <c r="M52" i="2"/>
  <c r="DF52" i="8"/>
  <c r="DA50" i="5"/>
  <c r="CO47" i="8"/>
  <c r="CR47"/>
  <c r="CN47"/>
  <c r="EE45"/>
  <c r="EF45" s="1"/>
  <c r="F54" i="5"/>
  <c r="D53" i="7"/>
  <c r="B53" i="10"/>
  <c r="N51" i="2"/>
  <c r="E50" i="7"/>
  <c r="CZ50" i="5"/>
  <c r="G51"/>
  <c r="C50" i="10"/>
  <c r="K53" i="8"/>
  <c r="S52" i="2"/>
  <c r="AT45" i="1"/>
  <c r="J50" i="2"/>
  <c r="DE52" i="8"/>
  <c r="O52" i="2"/>
  <c r="H54" i="8"/>
  <c r="P53" i="2"/>
  <c r="AO47" i="5"/>
  <c r="AC47" i="10"/>
  <c r="X47" s="1"/>
  <c r="Y47" s="1"/>
  <c r="AM47" i="5"/>
  <c r="AL47"/>
  <c r="I10" i="11"/>
  <c r="O10" i="7"/>
  <c r="X51" i="1"/>
  <c r="N47" i="11"/>
  <c r="J52" i="5"/>
  <c r="H51" i="7"/>
  <c r="F51" i="10"/>
  <c r="DC51" i="5"/>
  <c r="AK44"/>
  <c r="D44" i="11"/>
  <c r="AQ44" i="1"/>
  <c r="U44" s="1"/>
  <c r="J45" s="1"/>
  <c r="AP45" i="8" s="1"/>
  <c r="BM44" i="1"/>
  <c r="AN47" i="5"/>
  <c r="BQ47" i="8"/>
  <c r="N47" i="7"/>
  <c r="BP47" i="8"/>
  <c r="BT47"/>
  <c r="BY47"/>
  <c r="BZ47"/>
  <c r="CF47"/>
  <c r="CG47"/>
  <c r="J10" i="11"/>
  <c r="AP10" i="1"/>
  <c r="T10" s="1"/>
  <c r="G10" i="2"/>
  <c r="Z10" s="1"/>
  <c r="Z11" i="8" s="1"/>
  <c r="D48" i="9"/>
  <c r="DF49" i="5"/>
  <c r="J51" i="2" l="1"/>
  <c r="AC51" i="1"/>
  <c r="BC52" i="5"/>
  <c r="BK54"/>
  <c r="AD52" i="1"/>
  <c r="BE52" i="5"/>
  <c r="AE50" i="1"/>
  <c r="W50" s="1"/>
  <c r="AZ55" i="5"/>
  <c r="BP53"/>
  <c r="AB52" i="1"/>
  <c r="BN55" i="5"/>
  <c r="AF53" i="1"/>
  <c r="O52"/>
  <c r="DK52" i="8" s="1"/>
  <c r="DI51"/>
  <c r="DJ51"/>
  <c r="BN46" i="1"/>
  <c r="AR46"/>
  <c r="V46" s="1"/>
  <c r="K47" s="1"/>
  <c r="AR47" i="8" s="1"/>
  <c r="AD48" i="9"/>
  <c r="AV48" i="1" s="1"/>
  <c r="C46" i="9"/>
  <c r="N51" i="1"/>
  <c r="Y47" i="11"/>
  <c r="AH47" i="1" s="1"/>
  <c r="AC47" i="11"/>
  <c r="T47" i="8" s="1"/>
  <c r="AA47" i="11"/>
  <c r="Z47"/>
  <c r="AC47" i="2" s="1"/>
  <c r="AD47" i="11"/>
  <c r="AI47" i="1" s="1"/>
  <c r="AB47" i="11"/>
  <c r="P47" i="8" s="1"/>
  <c r="I11" i="1"/>
  <c r="AT47" i="8"/>
  <c r="AQ47"/>
  <c r="F47" i="11"/>
  <c r="M48" i="1"/>
  <c r="AW47" i="8"/>
  <c r="CA48"/>
  <c r="CH48"/>
  <c r="BY48"/>
  <c r="BU48"/>
  <c r="N48" i="11"/>
  <c r="D49" i="9"/>
  <c r="AJ54" i="14"/>
  <c r="CM53" i="8"/>
  <c r="A53" i="2"/>
  <c r="M53" i="5"/>
  <c r="B53" i="14"/>
  <c r="A53" i="9"/>
  <c r="A53" i="8"/>
  <c r="K53" i="11"/>
  <c r="J54" i="10"/>
  <c r="AD53" i="8"/>
  <c r="A53" i="7"/>
  <c r="B52" i="1"/>
  <c r="BI52" s="1"/>
  <c r="L53" i="11"/>
  <c r="B52" i="2"/>
  <c r="EP48" i="8"/>
  <c r="DT48"/>
  <c r="DR48"/>
  <c r="DS48"/>
  <c r="CY48"/>
  <c r="EA48" s="1"/>
  <c r="DN48"/>
  <c r="DO48"/>
  <c r="CS49"/>
  <c r="DP49" s="1"/>
  <c r="CT49"/>
  <c r="DQ49" s="1"/>
  <c r="CU49"/>
  <c r="Y51" i="1"/>
  <c r="N48" i="7"/>
  <c r="AM48" i="5"/>
  <c r="I55" i="8"/>
  <c r="Q54" i="2"/>
  <c r="AT46" i="1"/>
  <c r="AL48" i="5"/>
  <c r="CN48" i="8"/>
  <c r="BZ48"/>
  <c r="CF48"/>
  <c r="Q48" i="7"/>
  <c r="AN48" i="5"/>
  <c r="DH48" i="8"/>
  <c r="EH48" s="1"/>
  <c r="CG48"/>
  <c r="BP48"/>
  <c r="BQ48"/>
  <c r="BT48"/>
  <c r="CO48"/>
  <c r="CV48"/>
  <c r="DX48" s="1"/>
  <c r="EB48" s="1"/>
  <c r="DB48"/>
  <c r="EC48" s="1"/>
  <c r="ED48" s="1"/>
  <c r="DG48"/>
  <c r="EG48" s="1"/>
  <c r="CW48"/>
  <c r="CX48"/>
  <c r="DL49"/>
  <c r="AO48" i="5"/>
  <c r="X48" i="10"/>
  <c r="Y48" s="1"/>
  <c r="AR51" i="5"/>
  <c r="W49" i="8"/>
  <c r="AH49" i="5"/>
  <c r="E49" i="1"/>
  <c r="B49" i="9"/>
  <c r="AI49" i="5"/>
  <c r="AB48" i="2"/>
  <c r="BS49" i="5"/>
  <c r="B49" i="7"/>
  <c r="Q49" s="1"/>
  <c r="BN49" i="8"/>
  <c r="AV49" i="5"/>
  <c r="BO49" i="8"/>
  <c r="DM49" s="1"/>
  <c r="A49" i="11"/>
  <c r="EO49" i="8"/>
  <c r="C49" i="14"/>
  <c r="A49" i="10"/>
  <c r="AA49" s="1"/>
  <c r="CQ49" i="8"/>
  <c r="DA49" s="1"/>
  <c r="AB49"/>
  <c r="Q49" i="1"/>
  <c r="E49" i="14" s="1"/>
  <c r="AU49" i="5"/>
  <c r="H52"/>
  <c r="D51" i="10"/>
  <c r="F51" i="7"/>
  <c r="A50" i="5"/>
  <c r="E50" s="1"/>
  <c r="EQ50" i="8" s="1"/>
  <c r="CZ50" s="1"/>
  <c r="V50" i="2"/>
  <c r="H50" i="10"/>
  <c r="L51" i="5"/>
  <c r="DE50"/>
  <c r="J50" i="7"/>
  <c r="DD50" i="5"/>
  <c r="G50" i="10"/>
  <c r="I50" i="7"/>
  <c r="K51" i="5"/>
  <c r="G51" i="7"/>
  <c r="DB51" i="5"/>
  <c r="I52"/>
  <c r="E51" i="10"/>
  <c r="E46" i="11"/>
  <c r="BO46" i="1"/>
  <c r="AQ47" i="5"/>
  <c r="AU47" i="1" s="1"/>
  <c r="EI47" i="8"/>
  <c r="DY47"/>
  <c r="DZ47" s="1"/>
  <c r="AP47" i="5"/>
  <c r="C10" i="8"/>
  <c r="DE53"/>
  <c r="O53" i="2"/>
  <c r="CZ51" i="5"/>
  <c r="C51" i="10"/>
  <c r="E51" i="7"/>
  <c r="G52" i="5"/>
  <c r="DF53" i="8"/>
  <c r="M53" i="2"/>
  <c r="AA52" i="7"/>
  <c r="AE52" i="8" s="1"/>
  <c r="BC52" s="1"/>
  <c r="BY53" i="11"/>
  <c r="K52" i="10"/>
  <c r="DC48" i="8"/>
  <c r="DD48"/>
  <c r="AH48" i="7"/>
  <c r="AG48"/>
  <c r="AI48" s="1"/>
  <c r="J53" i="8"/>
  <c r="R52" i="2"/>
  <c r="AV47" i="8"/>
  <c r="AW47" i="1" s="1"/>
  <c r="L47" s="1"/>
  <c r="AO47" i="8" s="1"/>
  <c r="DC47"/>
  <c r="DD47"/>
  <c r="H55"/>
  <c r="P54" i="2"/>
  <c r="S53"/>
  <c r="K54" i="8"/>
  <c r="N52" i="2"/>
  <c r="AU47" i="8"/>
  <c r="AG47" i="7"/>
  <c r="AI47" s="1"/>
  <c r="AH47"/>
  <c r="CY52" i="5"/>
  <c r="AK45"/>
  <c r="AQ45" i="1"/>
  <c r="U45" s="1"/>
  <c r="J46" s="1"/>
  <c r="AP46" i="8" s="1"/>
  <c r="D45" i="11"/>
  <c r="BM45" i="1"/>
  <c r="B54" i="10"/>
  <c r="F55" i="5"/>
  <c r="D54" i="7"/>
  <c r="D47" i="14"/>
  <c r="P48" i="1"/>
  <c r="B51" i="5"/>
  <c r="P10" i="7"/>
  <c r="F10" i="9"/>
  <c r="J52" i="2"/>
  <c r="DA51" i="5"/>
  <c r="DG52"/>
  <c r="EB47" i="8"/>
  <c r="J53" i="5"/>
  <c r="H52" i="7"/>
  <c r="DC52" i="5"/>
  <c r="F52" i="10"/>
  <c r="X52" i="1"/>
  <c r="DF50" i="5"/>
  <c r="BC53" l="1"/>
  <c r="AC52" i="1"/>
  <c r="BP54" i="5"/>
  <c r="AB53" i="1"/>
  <c r="BK55" i="5"/>
  <c r="AD53" i="1"/>
  <c r="BN56" i="5"/>
  <c r="AF54" i="1"/>
  <c r="BE53" i="5"/>
  <c r="AE51" i="1"/>
  <c r="W51" s="1"/>
  <c r="AZ56" i="5"/>
  <c r="O53" i="1"/>
  <c r="DK53" i="8" s="1"/>
  <c r="DJ52"/>
  <c r="DI52"/>
  <c r="AS11"/>
  <c r="AO11" i="1"/>
  <c r="AR47"/>
  <c r="V47" s="1"/>
  <c r="K48" s="1"/>
  <c r="AR48" i="8" s="1"/>
  <c r="BN47" i="1"/>
  <c r="AD49" i="9"/>
  <c r="AV49" i="1" s="1"/>
  <c r="C47" i="9"/>
  <c r="N52" i="1"/>
  <c r="AA48" i="11"/>
  <c r="AC48"/>
  <c r="T48" i="8" s="1"/>
  <c r="Y48" i="11"/>
  <c r="AH48" i="1" s="1"/>
  <c r="AB48" i="11"/>
  <c r="P48" i="8" s="1"/>
  <c r="AD48" i="11"/>
  <c r="AI48" i="1" s="1"/>
  <c r="Z48" i="11"/>
  <c r="AC48" i="2" s="1"/>
  <c r="BL11" i="1"/>
  <c r="AT48" i="8"/>
  <c r="AQ48"/>
  <c r="M49" i="1"/>
  <c r="F48" i="11"/>
  <c r="AW48" i="8"/>
  <c r="CA49"/>
  <c r="CH49"/>
  <c r="BY49"/>
  <c r="BU49"/>
  <c r="CM54"/>
  <c r="AJ55" i="14"/>
  <c r="B53" i="1"/>
  <c r="BI53" s="1"/>
  <c r="L54" i="11"/>
  <c r="B53" i="2"/>
  <c r="D50" i="9"/>
  <c r="A54" i="2"/>
  <c r="M54" i="5"/>
  <c r="K54" i="11"/>
  <c r="B54" i="14"/>
  <c r="A54" i="9"/>
  <c r="J55" i="10"/>
  <c r="A54" i="8"/>
  <c r="A54" i="7"/>
  <c r="AD54" i="8"/>
  <c r="DR49"/>
  <c r="DS49"/>
  <c r="EP49"/>
  <c r="DT49"/>
  <c r="DB49"/>
  <c r="EC49" s="1"/>
  <c r="ED49" s="1"/>
  <c r="DN49"/>
  <c r="DO49"/>
  <c r="CS50"/>
  <c r="DP50" s="1"/>
  <c r="CT50"/>
  <c r="DQ50" s="1"/>
  <c r="CU50"/>
  <c r="B52" i="5"/>
  <c r="Y52" i="1"/>
  <c r="AQ48" i="5"/>
  <c r="AU48" i="1" s="1"/>
  <c r="Q55" i="2"/>
  <c r="I56" i="8"/>
  <c r="AP48" i="5"/>
  <c r="AU48" i="8"/>
  <c r="EI48"/>
  <c r="AV48"/>
  <c r="AW48" i="1" s="1"/>
  <c r="L48" s="1"/>
  <c r="AO48" i="8" s="1"/>
  <c r="DY48"/>
  <c r="DZ48" s="1"/>
  <c r="DL50"/>
  <c r="EO50"/>
  <c r="CY49"/>
  <c r="EA49" s="1"/>
  <c r="AE49" i="7"/>
  <c r="AF49" s="1"/>
  <c r="CW49" i="8"/>
  <c r="AO49" i="5"/>
  <c r="N49" i="11"/>
  <c r="CV49" i="8"/>
  <c r="DX49" s="1"/>
  <c r="EB49" s="1"/>
  <c r="CX49"/>
  <c r="DG49"/>
  <c r="EG49" s="1"/>
  <c r="AM49" i="5"/>
  <c r="AN49"/>
  <c r="AC49" i="10"/>
  <c r="X49" s="1"/>
  <c r="Y49" s="1"/>
  <c r="DH49" i="8"/>
  <c r="EH49" s="1"/>
  <c r="BZ49"/>
  <c r="CG49"/>
  <c r="BQ49"/>
  <c r="CR49"/>
  <c r="DC49" s="1"/>
  <c r="CO49"/>
  <c r="N49" i="7"/>
  <c r="CN49" i="8"/>
  <c r="BP49"/>
  <c r="CF49"/>
  <c r="BT49"/>
  <c r="A51" i="5"/>
  <c r="E51" s="1"/>
  <c r="EQ51" i="8" s="1"/>
  <c r="CZ51" s="1"/>
  <c r="AL49" i="5"/>
  <c r="H53"/>
  <c r="D52" i="10"/>
  <c r="F52" i="7"/>
  <c r="B50"/>
  <c r="AE50" s="1"/>
  <c r="AF50" s="1"/>
  <c r="A50" i="11"/>
  <c r="AI50" i="5"/>
  <c r="AU50"/>
  <c r="CQ50" i="8"/>
  <c r="DA50" s="1"/>
  <c r="E50" i="1"/>
  <c r="A50" i="10"/>
  <c r="AA50" s="1"/>
  <c r="AB49" i="2"/>
  <c r="Q50" i="1"/>
  <c r="E50" i="14" s="1"/>
  <c r="AH50" i="5"/>
  <c r="AC50" i="10" s="1"/>
  <c r="BN50" i="8"/>
  <c r="CR50" s="1"/>
  <c r="C50" i="14"/>
  <c r="B50" i="9"/>
  <c r="AB50" i="8"/>
  <c r="W50"/>
  <c r="BO50"/>
  <c r="DM50" s="1"/>
  <c r="BS50" i="5"/>
  <c r="AV50"/>
  <c r="AO50" s="1"/>
  <c r="AR52"/>
  <c r="V51" i="2"/>
  <c r="L52" i="5"/>
  <c r="H51" i="10"/>
  <c r="J51" i="7"/>
  <c r="DE51" i="5"/>
  <c r="DD51"/>
  <c r="I51" i="7"/>
  <c r="G51" i="10"/>
  <c r="K52" i="5"/>
  <c r="I53"/>
  <c r="E52" i="10"/>
  <c r="DB52" i="5"/>
  <c r="G52" i="7"/>
  <c r="AT47" i="1"/>
  <c r="EE47" i="8"/>
  <c r="EF47" s="1"/>
  <c r="BO47" i="1"/>
  <c r="E47" i="11"/>
  <c r="P49" i="1"/>
  <c r="D48" i="14"/>
  <c r="CY53" i="5"/>
  <c r="H56" i="8"/>
  <c r="P55" i="2"/>
  <c r="M54"/>
  <c r="DF54" i="8"/>
  <c r="J54" i="5"/>
  <c r="F53" i="10"/>
  <c r="DC53" i="5"/>
  <c r="H53" i="7"/>
  <c r="X53" i="1"/>
  <c r="DA52" i="5"/>
  <c r="D46" i="11"/>
  <c r="AQ46" i="1"/>
  <c r="U46" s="1"/>
  <c r="J47" s="1"/>
  <c r="AP47" i="8" s="1"/>
  <c r="BM46" i="1"/>
  <c r="AK46" i="5"/>
  <c r="BY54" i="11"/>
  <c r="K53" i="10"/>
  <c r="AA53" i="7"/>
  <c r="AE53" i="8" s="1"/>
  <c r="BC53" s="1"/>
  <c r="C52" i="10"/>
  <c r="G53" i="5"/>
  <c r="E52" i="7"/>
  <c r="CZ52" i="5"/>
  <c r="EE48" i="8"/>
  <c r="EF48" s="1"/>
  <c r="N53" i="2"/>
  <c r="S54"/>
  <c r="K55" i="8"/>
  <c r="Y10" i="2"/>
  <c r="X10" s="1"/>
  <c r="DG53" i="5"/>
  <c r="D55" i="7"/>
  <c r="F56" i="5"/>
  <c r="B55" i="10"/>
  <c r="DE54" i="8"/>
  <c r="O54" i="2"/>
  <c r="R53"/>
  <c r="J54" i="8"/>
  <c r="DF51" i="5"/>
  <c r="B53" l="1"/>
  <c r="AC53" i="1"/>
  <c r="BC54" i="5"/>
  <c r="BP55"/>
  <c r="AB54" i="1"/>
  <c r="AZ57" i="5"/>
  <c r="BK56"/>
  <c r="AD54" i="1"/>
  <c r="BN57" i="5"/>
  <c r="AF55" i="1"/>
  <c r="BE54" i="5"/>
  <c r="AE52" i="1"/>
  <c r="W52" s="1"/>
  <c r="O54"/>
  <c r="DK54" i="8" s="1"/>
  <c r="DI53"/>
  <c r="DJ53"/>
  <c r="BN48" i="1"/>
  <c r="AD50" i="9"/>
  <c r="AV50" i="1" s="1"/>
  <c r="AR48"/>
  <c r="V48" s="1"/>
  <c r="K49" s="1"/>
  <c r="AR49" i="8" s="1"/>
  <c r="C48" i="9"/>
  <c r="N53" i="1"/>
  <c r="Y49" i="11"/>
  <c r="AH49" i="1" s="1"/>
  <c r="AA49" i="11"/>
  <c r="AC49"/>
  <c r="T49" i="8" s="1"/>
  <c r="AD49" i="11"/>
  <c r="AI49" i="1" s="1"/>
  <c r="AB49" i="11"/>
  <c r="P49" i="8" s="1"/>
  <c r="Z49" i="11"/>
  <c r="AC49" i="2" s="1"/>
  <c r="AT49" i="8"/>
  <c r="AQ49"/>
  <c r="M50" i="1"/>
  <c r="F49" i="11"/>
  <c r="AW49" i="8"/>
  <c r="CA50"/>
  <c r="CH50"/>
  <c r="BT50"/>
  <c r="BU50"/>
  <c r="A55" i="2"/>
  <c r="A55" i="7"/>
  <c r="K55" i="11"/>
  <c r="A55" i="8"/>
  <c r="M55" i="5"/>
  <c r="B55" i="14"/>
  <c r="AD55" i="8"/>
  <c r="A55" i="9"/>
  <c r="J56" i="10"/>
  <c r="B54" i="2"/>
  <c r="L55" i="11"/>
  <c r="B54" i="1"/>
  <c r="BI54" s="1"/>
  <c r="AJ56" i="14"/>
  <c r="CM55" i="8"/>
  <c r="DR50"/>
  <c r="DS50"/>
  <c r="EP50"/>
  <c r="DT50"/>
  <c r="CV50"/>
  <c r="DX50" s="1"/>
  <c r="EB50" s="1"/>
  <c r="DN50"/>
  <c r="DO50"/>
  <c r="CT51"/>
  <c r="DQ51" s="1"/>
  <c r="CU51"/>
  <c r="CS51"/>
  <c r="DP51" s="1"/>
  <c r="Y53" i="1"/>
  <c r="J53" i="2"/>
  <c r="AG49" i="7"/>
  <c r="AI49" s="1"/>
  <c r="AH49"/>
  <c r="AT48" i="1"/>
  <c r="Q56" i="2"/>
  <c r="I57" i="8"/>
  <c r="DH50"/>
  <c r="EH50" s="1"/>
  <c r="DD49"/>
  <c r="EE49" s="1"/>
  <c r="EF49" s="1"/>
  <c r="DY49"/>
  <c r="DZ49" s="1"/>
  <c r="EI49"/>
  <c r="AQ49" i="5"/>
  <c r="AU49" i="1" s="1"/>
  <c r="AN50" i="5"/>
  <c r="AP49"/>
  <c r="X50" i="10"/>
  <c r="Y50" s="1"/>
  <c r="AU49" i="8"/>
  <c r="AV49"/>
  <c r="AW49" i="1" s="1"/>
  <c r="L49" s="1"/>
  <c r="BO49" s="1"/>
  <c r="Q50" i="7"/>
  <c r="N50" i="11"/>
  <c r="DG50" i="8"/>
  <c r="EG50" s="1"/>
  <c r="DB50"/>
  <c r="EC50" s="1"/>
  <c r="ED50" s="1"/>
  <c r="CY50"/>
  <c r="EA50" s="1"/>
  <c r="CX50"/>
  <c r="BZ50"/>
  <c r="BY50"/>
  <c r="CF50"/>
  <c r="N50" i="7"/>
  <c r="BP50" i="8"/>
  <c r="CG50"/>
  <c r="BQ50"/>
  <c r="F53" i="7"/>
  <c r="D53" i="10"/>
  <c r="H54" i="5"/>
  <c r="V52" i="2"/>
  <c r="AL50" i="5"/>
  <c r="AR53"/>
  <c r="CN50" i="8"/>
  <c r="D51" i="9"/>
  <c r="CO50" i="8"/>
  <c r="AM50" i="5"/>
  <c r="AQ50" s="1"/>
  <c r="AU50" i="1" s="1"/>
  <c r="CW50" i="8"/>
  <c r="DE52" i="5"/>
  <c r="H52" i="10"/>
  <c r="L53" i="5"/>
  <c r="J52" i="7"/>
  <c r="A52" i="5"/>
  <c r="E52" s="1"/>
  <c r="EQ52" i="8" s="1"/>
  <c r="CZ52" s="1"/>
  <c r="DD52" i="5"/>
  <c r="I52" i="7"/>
  <c r="K53" i="5"/>
  <c r="G52" i="10"/>
  <c r="E53"/>
  <c r="DB53" i="5"/>
  <c r="G53" i="7"/>
  <c r="I54" i="5"/>
  <c r="BO48" i="1"/>
  <c r="E48" i="11"/>
  <c r="X54" i="1"/>
  <c r="R54" i="2"/>
  <c r="J55" i="8"/>
  <c r="DA53" i="5"/>
  <c r="M55" i="2"/>
  <c r="DF55" i="8"/>
  <c r="DG54" i="5"/>
  <c r="AB11" i="7"/>
  <c r="L11" i="2"/>
  <c r="B11" i="8"/>
  <c r="D11" i="2" s="1"/>
  <c r="E11"/>
  <c r="BD11" i="8"/>
  <c r="H11" i="11"/>
  <c r="P56" i="2"/>
  <c r="H57" i="8"/>
  <c r="D49" i="14"/>
  <c r="P50" i="1"/>
  <c r="N54" i="2"/>
  <c r="DC50" i="8"/>
  <c r="DD50"/>
  <c r="K56"/>
  <c r="S55" i="2"/>
  <c r="Q51" i="1"/>
  <c r="E51" i="14" s="1"/>
  <c r="AU51" i="5"/>
  <c r="AI51"/>
  <c r="A51" i="10"/>
  <c r="AA51" s="1"/>
  <c r="BS51" i="5"/>
  <c r="A51" i="11"/>
  <c r="B51" i="9"/>
  <c r="AV51" i="5"/>
  <c r="W51" i="8"/>
  <c r="AH51" i="5"/>
  <c r="C51" i="14"/>
  <c r="B51" i="7"/>
  <c r="E51" i="1"/>
  <c r="AB50" i="2"/>
  <c r="BN51" i="8"/>
  <c r="BO51"/>
  <c r="DM51" s="1"/>
  <c r="EO51"/>
  <c r="DT51" s="1"/>
  <c r="AB51"/>
  <c r="CQ51"/>
  <c r="DA51" s="1"/>
  <c r="DL51"/>
  <c r="C53" i="10"/>
  <c r="E53" i="7"/>
  <c r="G54" i="5"/>
  <c r="CZ53"/>
  <c r="D47" i="11"/>
  <c r="BM47" i="1"/>
  <c r="AK47" i="5"/>
  <c r="AQ47" i="1"/>
  <c r="U47" s="1"/>
  <c r="J48" s="1"/>
  <c r="AP48" i="8" s="1"/>
  <c r="F54" i="10"/>
  <c r="H54" i="7"/>
  <c r="DC54" i="5"/>
  <c r="J55"/>
  <c r="AG50" i="7"/>
  <c r="AI50" s="1"/>
  <c r="AH50"/>
  <c r="K54" i="10"/>
  <c r="BY55" i="11"/>
  <c r="AA54" i="7"/>
  <c r="AE54" i="8" s="1"/>
  <c r="BC54" s="1"/>
  <c r="DE55"/>
  <c r="O55" i="2"/>
  <c r="F57" i="5"/>
  <c r="B56" i="10"/>
  <c r="D56" i="7"/>
  <c r="CY54" i="5"/>
  <c r="DF52"/>
  <c r="J54" i="2" l="1"/>
  <c r="AC54" i="1"/>
  <c r="BC55" i="5"/>
  <c r="BN58"/>
  <c r="AF56" i="1"/>
  <c r="BE55" i="5"/>
  <c r="AE53" i="1"/>
  <c r="W53" s="1"/>
  <c r="BP56" i="5"/>
  <c r="AB55" i="1"/>
  <c r="AZ58" i="5"/>
  <c r="BK57"/>
  <c r="AD55" i="1"/>
  <c r="O55"/>
  <c r="DK55" i="8" s="1"/>
  <c r="DI54"/>
  <c r="DJ54"/>
  <c r="AR49" i="1"/>
  <c r="V49" s="1"/>
  <c r="K50" s="1"/>
  <c r="AR50" i="8" s="1"/>
  <c r="C49" i="9"/>
  <c r="BN49" i="1"/>
  <c r="AD51" i="9"/>
  <c r="AV51" i="1" s="1"/>
  <c r="N54"/>
  <c r="AA50" i="11"/>
  <c r="AC50"/>
  <c r="T50" i="8" s="1"/>
  <c r="Y50" i="11"/>
  <c r="AH50" i="1" s="1"/>
  <c r="AB50" i="11"/>
  <c r="P50" i="8" s="1"/>
  <c r="AD50" i="11"/>
  <c r="AI50" i="1" s="1"/>
  <c r="Z50" i="11"/>
  <c r="AC50" i="2" s="1"/>
  <c r="AT50" i="8"/>
  <c r="AQ50"/>
  <c r="M51" i="1"/>
  <c r="F50" i="11"/>
  <c r="AW50" i="8"/>
  <c r="BU51"/>
  <c r="CA51"/>
  <c r="CH51"/>
  <c r="B55" i="1"/>
  <c r="BI55" s="1"/>
  <c r="B55" i="2"/>
  <c r="L56" i="11"/>
  <c r="AJ57" i="14"/>
  <c r="CM56" i="8"/>
  <c r="A56" i="2"/>
  <c r="A56" i="7"/>
  <c r="A56" i="8"/>
  <c r="J57" i="10"/>
  <c r="AD56" i="8"/>
  <c r="A56" i="9"/>
  <c r="K56" i="11"/>
  <c r="M56" i="5"/>
  <c r="B56" i="14"/>
  <c r="DR51" i="8"/>
  <c r="DS51"/>
  <c r="DN51"/>
  <c r="DO51"/>
  <c r="CS52"/>
  <c r="DP52" s="1"/>
  <c r="CT52"/>
  <c r="DQ52" s="1"/>
  <c r="CU52"/>
  <c r="Y54" i="1"/>
  <c r="I58" i="8"/>
  <c r="Q57" i="2"/>
  <c r="EI50" i="8"/>
  <c r="DL52"/>
  <c r="AP50" i="5"/>
  <c r="AT49" i="1"/>
  <c r="DY50" i="8"/>
  <c r="DZ50" s="1"/>
  <c r="A52" i="11"/>
  <c r="V53" i="2"/>
  <c r="AV50" i="8"/>
  <c r="AW50" i="1" s="1"/>
  <c r="L50" s="1"/>
  <c r="AO50" i="8" s="1"/>
  <c r="AB51" i="2"/>
  <c r="H55" i="5"/>
  <c r="F54" i="7"/>
  <c r="D54" i="10"/>
  <c r="AU50" i="8"/>
  <c r="EO52"/>
  <c r="AO49"/>
  <c r="D52" i="9"/>
  <c r="A52" i="10"/>
  <c r="AA52" s="1"/>
  <c r="B52" i="9"/>
  <c r="CQ52" i="8"/>
  <c r="DA52" s="1"/>
  <c r="AI52" i="5"/>
  <c r="Q52" i="1"/>
  <c r="E52" i="14" s="1"/>
  <c r="AR54" i="5"/>
  <c r="BN52" i="8"/>
  <c r="CN52" s="1"/>
  <c r="BO52"/>
  <c r="DM52" s="1"/>
  <c r="AH52" i="5"/>
  <c r="AC52" i="10" s="1"/>
  <c r="X52" s="1"/>
  <c r="Y52" s="1"/>
  <c r="A53" i="5"/>
  <c r="E53" s="1"/>
  <c r="EQ53" i="8" s="1"/>
  <c r="CZ53" s="1"/>
  <c r="W52"/>
  <c r="BS52" i="5"/>
  <c r="AV52"/>
  <c r="C52" i="14"/>
  <c r="L54" i="5"/>
  <c r="DE53"/>
  <c r="J53" i="7"/>
  <c r="H53" i="10"/>
  <c r="E52" i="1"/>
  <c r="I53" i="7"/>
  <c r="G53" i="10"/>
  <c r="K54" i="5"/>
  <c r="DD53"/>
  <c r="AB52" i="8"/>
  <c r="B52" i="7"/>
  <c r="Q52" s="1"/>
  <c r="AU52" i="5"/>
  <c r="G54" i="7"/>
  <c r="E54" i="10"/>
  <c r="I55" i="5"/>
  <c r="DB54"/>
  <c r="EE50" i="8"/>
  <c r="EF50" s="1"/>
  <c r="AN51" i="5"/>
  <c r="E49" i="11"/>
  <c r="N51"/>
  <c r="DA54" i="5"/>
  <c r="DE56" i="8"/>
  <c r="O56" i="2"/>
  <c r="E52" i="4"/>
  <c r="K55" i="10"/>
  <c r="BY56" i="11"/>
  <c r="AA55" i="7"/>
  <c r="AE55" i="8" s="1"/>
  <c r="BC55" s="1"/>
  <c r="CO51"/>
  <c r="CN51"/>
  <c r="CR51"/>
  <c r="K57"/>
  <c r="S56" i="2"/>
  <c r="D48" i="11"/>
  <c r="AK48" i="5"/>
  <c r="AQ48" i="1"/>
  <c r="U48" s="1"/>
  <c r="J49" s="1"/>
  <c r="AP49" i="8" s="1"/>
  <c r="BM48" i="1"/>
  <c r="N55" i="2"/>
  <c r="U11"/>
  <c r="W10" s="1"/>
  <c r="C11" s="1"/>
  <c r="R55"/>
  <c r="J56" i="8"/>
  <c r="B54" i="5"/>
  <c r="CX51" i="8"/>
  <c r="DB51"/>
  <c r="EC51" s="1"/>
  <c r="ED51" s="1"/>
  <c r="CY51"/>
  <c r="EA51" s="1"/>
  <c r="CV51"/>
  <c r="DX51" s="1"/>
  <c r="DG51"/>
  <c r="EG51" s="1"/>
  <c r="CW51"/>
  <c r="X55" i="1"/>
  <c r="M56" i="2"/>
  <c r="DF56" i="8"/>
  <c r="P51" i="1"/>
  <c r="D50" i="14"/>
  <c r="CY55" i="5"/>
  <c r="B57" i="10"/>
  <c r="F58" i="5"/>
  <c r="D57" i="7"/>
  <c r="J56" i="5"/>
  <c r="DC55"/>
  <c r="H55" i="7"/>
  <c r="F55" i="10"/>
  <c r="DH51" i="8"/>
  <c r="EH51" s="1"/>
  <c r="EP51"/>
  <c r="AM51" i="5"/>
  <c r="AC51" i="10"/>
  <c r="X51" s="1"/>
  <c r="Y51" s="1"/>
  <c r="AO51" i="5"/>
  <c r="AL51"/>
  <c r="H58" i="8"/>
  <c r="P57" i="2"/>
  <c r="DG55" i="5"/>
  <c r="E54" i="7"/>
  <c r="CZ54" i="5"/>
  <c r="C54" i="10"/>
  <c r="G55" i="5"/>
  <c r="Q51" i="7"/>
  <c r="AE51"/>
  <c r="AF51" s="1"/>
  <c r="BQ51" i="8"/>
  <c r="N51" i="7"/>
  <c r="BP51" i="8"/>
  <c r="BT51"/>
  <c r="BZ51"/>
  <c r="BY51"/>
  <c r="CF51"/>
  <c r="CG51"/>
  <c r="DF53" i="5"/>
  <c r="B55" l="1"/>
  <c r="J55" i="2"/>
  <c r="AC55" i="1"/>
  <c r="BC56" i="5"/>
  <c r="AZ59"/>
  <c r="BN59"/>
  <c r="AF57" i="1"/>
  <c r="BK58" i="5"/>
  <c r="AD56" i="1"/>
  <c r="BE56" i="5"/>
  <c r="J56" i="2" s="1"/>
  <c r="AE54" i="1"/>
  <c r="W54" s="1"/>
  <c r="BP57" i="5"/>
  <c r="AB56" i="1"/>
  <c r="O56"/>
  <c r="DK56" i="8" s="1"/>
  <c r="DI55"/>
  <c r="DJ55"/>
  <c r="AD52" i="9"/>
  <c r="AV52" i="1" s="1"/>
  <c r="BN50"/>
  <c r="AR50"/>
  <c r="V50" s="1"/>
  <c r="K51" s="1"/>
  <c r="AR51" i="8" s="1"/>
  <c r="C50" i="9"/>
  <c r="N55" i="1"/>
  <c r="N52" i="11"/>
  <c r="AA51"/>
  <c r="Y51"/>
  <c r="AH51" i="1" s="1"/>
  <c r="AC51" i="11"/>
  <c r="T51" i="8" s="1"/>
  <c r="AB51" i="11"/>
  <c r="P51" i="8" s="1"/>
  <c r="Z51" i="11"/>
  <c r="AC51" i="2" s="1"/>
  <c r="AD51" i="11"/>
  <c r="AI51" i="1" s="1"/>
  <c r="AT51" i="8"/>
  <c r="AQ51"/>
  <c r="F51" i="11"/>
  <c r="M52" i="1"/>
  <c r="AW51" i="8"/>
  <c r="BU52"/>
  <c r="CA52"/>
  <c r="CH52"/>
  <c r="L57" i="11"/>
  <c r="B56" i="2"/>
  <c r="B56" i="1"/>
  <c r="BI56" s="1"/>
  <c r="AJ58" i="14"/>
  <c r="CM57" i="8"/>
  <c r="A57" i="2"/>
  <c r="M57" i="5"/>
  <c r="A57" i="9"/>
  <c r="B57" i="14"/>
  <c r="A57" i="8"/>
  <c r="K57" i="11"/>
  <c r="J58" i="10"/>
  <c r="AD57" i="8"/>
  <c r="A57" i="7"/>
  <c r="EP52" i="8"/>
  <c r="DT52"/>
  <c r="DR52"/>
  <c r="DS52"/>
  <c r="DG52"/>
  <c r="EG52" s="1"/>
  <c r="DN52"/>
  <c r="DO52"/>
  <c r="CU53"/>
  <c r="CS53"/>
  <c r="DP53" s="1"/>
  <c r="CT53"/>
  <c r="DQ53" s="1"/>
  <c r="Y55" i="1"/>
  <c r="Q58" i="2"/>
  <c r="I59" i="8"/>
  <c r="DL53"/>
  <c r="AO52" i="5"/>
  <c r="CX52" i="8"/>
  <c r="CW52"/>
  <c r="AT50" i="1"/>
  <c r="CV52" i="8"/>
  <c r="DX52" s="1"/>
  <c r="EB52" s="1"/>
  <c r="CY52"/>
  <c r="EA52" s="1"/>
  <c r="DB52"/>
  <c r="EC52" s="1"/>
  <c r="ED52" s="1"/>
  <c r="BY52"/>
  <c r="AN52" i="5"/>
  <c r="BZ52" i="8"/>
  <c r="CG52"/>
  <c r="N52" i="7"/>
  <c r="BP52" i="8"/>
  <c r="CF52"/>
  <c r="BQ52"/>
  <c r="BT52"/>
  <c r="AM52" i="5"/>
  <c r="V54" i="2"/>
  <c r="F55" i="7"/>
  <c r="H56" i="5"/>
  <c r="D55" i="10"/>
  <c r="E53" i="1"/>
  <c r="AI53" i="5"/>
  <c r="AB53" i="8"/>
  <c r="DH52"/>
  <c r="EH52" s="1"/>
  <c r="CO52"/>
  <c r="CR52"/>
  <c r="DD52" s="1"/>
  <c r="D53" i="9"/>
  <c r="CQ53" i="8"/>
  <c r="DA53" s="1"/>
  <c r="BS53" i="5"/>
  <c r="C53" i="14"/>
  <c r="AL52" i="5"/>
  <c r="AE52" i="7"/>
  <c r="AF52" s="1"/>
  <c r="W53" i="8"/>
  <c r="B53" i="7"/>
  <c r="AE53" s="1"/>
  <c r="AF53" s="1"/>
  <c r="AB52" i="2"/>
  <c r="BN53" i="8"/>
  <c r="AH53" i="5"/>
  <c r="AU53"/>
  <c r="AN53" s="1"/>
  <c r="A53" i="10"/>
  <c r="AA53" s="1"/>
  <c r="AV53" i="5"/>
  <c r="BO53" i="8"/>
  <c r="DM53" s="1"/>
  <c r="A53" i="11"/>
  <c r="EO53" i="8"/>
  <c r="B53" i="9"/>
  <c r="Q53" i="1"/>
  <c r="E53" i="14" s="1"/>
  <c r="L55" i="5"/>
  <c r="DE54"/>
  <c r="H54" i="10"/>
  <c r="J54" i="7"/>
  <c r="AR55" i="5"/>
  <c r="A54"/>
  <c r="E54" s="1"/>
  <c r="EQ54" i="8" s="1"/>
  <c r="CZ54" s="1"/>
  <c r="G54" i="10"/>
  <c r="I54" i="7"/>
  <c r="K55" i="5"/>
  <c r="A55" s="1"/>
  <c r="E55" s="1"/>
  <c r="EQ55" i="8" s="1"/>
  <c r="CZ55" s="1"/>
  <c r="DD54" i="5"/>
  <c r="I56"/>
  <c r="E55" i="10"/>
  <c r="G55" i="7"/>
  <c r="DB55" i="5"/>
  <c r="BO50" i="1"/>
  <c r="E50" i="11"/>
  <c r="AP51" i="5"/>
  <c r="EI51" i="8"/>
  <c r="DY51"/>
  <c r="DZ51" s="1"/>
  <c r="CY56" i="5"/>
  <c r="M57" i="2"/>
  <c r="DF57" i="8"/>
  <c r="DD51"/>
  <c r="DC51"/>
  <c r="DA55" i="5"/>
  <c r="AH51" i="7"/>
  <c r="AG51"/>
  <c r="AI51" s="1"/>
  <c r="H56"/>
  <c r="J57" i="5"/>
  <c r="F56" i="10"/>
  <c r="DC56" i="5"/>
  <c r="J57" i="8"/>
  <c r="R56" i="2"/>
  <c r="P52" i="1"/>
  <c r="D51" i="14"/>
  <c r="S57" i="2"/>
  <c r="K58" i="8"/>
  <c r="EB51"/>
  <c r="X56" i="1"/>
  <c r="K56" i="10"/>
  <c r="BY57" i="11"/>
  <c r="AA56" i="7"/>
  <c r="AE56" i="8" s="1"/>
  <c r="BC56" s="1"/>
  <c r="C55" i="10"/>
  <c r="G56" i="5"/>
  <c r="CZ55"/>
  <c r="E55" i="7"/>
  <c r="P58" i="2"/>
  <c r="H59" i="8"/>
  <c r="B58" i="10"/>
  <c r="F59" i="5"/>
  <c r="D58" i="7"/>
  <c r="N56" i="2"/>
  <c r="I11"/>
  <c r="F11"/>
  <c r="H11"/>
  <c r="F11" i="1"/>
  <c r="AQ49"/>
  <c r="U49" s="1"/>
  <c r="J50" s="1"/>
  <c r="AP50" i="8" s="1"/>
  <c r="BM49" i="1"/>
  <c r="AK49" i="5"/>
  <c r="D49" i="11"/>
  <c r="AU51" i="8"/>
  <c r="DG56" i="5"/>
  <c r="B40" i="4"/>
  <c r="DE57" i="8"/>
  <c r="O57" i="2"/>
  <c r="AV51" i="8"/>
  <c r="AW51" i="1" s="1"/>
  <c r="L51" s="1"/>
  <c r="AQ51" i="5"/>
  <c r="AU51" i="1" s="1"/>
  <c r="DF54" i="5"/>
  <c r="AC56" i="1" l="1"/>
  <c r="BC57" i="5"/>
  <c r="BE57"/>
  <c r="AE55" i="1"/>
  <c r="AZ60" i="5"/>
  <c r="BP58"/>
  <c r="AB57" i="1"/>
  <c r="BN60" i="5"/>
  <c r="AF58" i="1"/>
  <c r="BK59" i="5"/>
  <c r="AD57" i="1"/>
  <c r="O57"/>
  <c r="DK57" i="8" s="1"/>
  <c r="DJ56"/>
  <c r="DI56"/>
  <c r="BN51" i="1"/>
  <c r="C51" i="9"/>
  <c r="AR51" i="1"/>
  <c r="V51" s="1"/>
  <c r="K52" s="1"/>
  <c r="AR52" i="8" s="1"/>
  <c r="AD53" i="9"/>
  <c r="AV53" i="1" s="1"/>
  <c r="N56"/>
  <c r="Y52" i="11"/>
  <c r="AH52" i="1" s="1"/>
  <c r="AA52" i="11"/>
  <c r="AC52"/>
  <c r="T52" i="8" s="1"/>
  <c r="Z52" i="11"/>
  <c r="AC52" i="2" s="1"/>
  <c r="AB52" i="11"/>
  <c r="P52" i="8" s="1"/>
  <c r="AD52" i="11"/>
  <c r="AI52" i="1" s="1"/>
  <c r="AT52" i="8"/>
  <c r="AQ52"/>
  <c r="M53" i="1"/>
  <c r="F52" i="11"/>
  <c r="AW52" i="8"/>
  <c r="CA53"/>
  <c r="CH53"/>
  <c r="BT53"/>
  <c r="BU53"/>
  <c r="L58" i="11"/>
  <c r="B57" i="1"/>
  <c r="BI57" s="1"/>
  <c r="B57" i="2"/>
  <c r="A58"/>
  <c r="A58" i="7"/>
  <c r="A58" i="9"/>
  <c r="J59" i="10"/>
  <c r="B58" i="14"/>
  <c r="A58" i="8"/>
  <c r="K58" i="11"/>
  <c r="M58" i="5"/>
  <c r="AD58" i="8"/>
  <c r="AJ59" i="14"/>
  <c r="CM58" i="8"/>
  <c r="EP53"/>
  <c r="DT53"/>
  <c r="DR53"/>
  <c r="DS53"/>
  <c r="EI52"/>
  <c r="CY53"/>
  <c r="EA53" s="1"/>
  <c r="DN53"/>
  <c r="DO53"/>
  <c r="CS54"/>
  <c r="DP54" s="1"/>
  <c r="CT54"/>
  <c r="DQ54" s="1"/>
  <c r="CU54"/>
  <c r="CS55"/>
  <c r="DP55" s="1"/>
  <c r="CT55"/>
  <c r="DQ55" s="1"/>
  <c r="CU55"/>
  <c r="BP53"/>
  <c r="Y56" i="1"/>
  <c r="B56" i="5"/>
  <c r="AG52" i="7"/>
  <c r="AI52" s="1"/>
  <c r="Q59" i="2"/>
  <c r="I60" i="8"/>
  <c r="BQ53"/>
  <c r="AQ52" i="5"/>
  <c r="AU52" i="1" s="1"/>
  <c r="DY52" i="8"/>
  <c r="DZ52" s="1"/>
  <c r="DH53"/>
  <c r="EH53" s="1"/>
  <c r="D54" i="9"/>
  <c r="AP52" i="5"/>
  <c r="CF53" i="8"/>
  <c r="N53" i="7"/>
  <c r="CG53" i="8"/>
  <c r="BZ53"/>
  <c r="CO53"/>
  <c r="BY53"/>
  <c r="AU52"/>
  <c r="AV52"/>
  <c r="AW52" i="1" s="1"/>
  <c r="L52" s="1"/>
  <c r="BO52" s="1"/>
  <c r="H57" i="5"/>
  <c r="F56" i="7"/>
  <c r="D56" i="10"/>
  <c r="AH52" i="7"/>
  <c r="AO53" i="5"/>
  <c r="Q53" i="7"/>
  <c r="N53" i="11"/>
  <c r="DC52" i="8"/>
  <c r="EE52" s="1"/>
  <c r="EF52" s="1"/>
  <c r="CX53"/>
  <c r="CV53"/>
  <c r="DX53" s="1"/>
  <c r="EB53" s="1"/>
  <c r="AM53" i="5"/>
  <c r="DB53" i="8"/>
  <c r="EC53" s="1"/>
  <c r="ED53" s="1"/>
  <c r="CR53"/>
  <c r="DD53" s="1"/>
  <c r="AL53" i="5"/>
  <c r="AP53" s="1"/>
  <c r="DG53" i="8"/>
  <c r="EG53" s="1"/>
  <c r="AC53" i="10"/>
  <c r="X53" s="1"/>
  <c r="Y53" s="1"/>
  <c r="CW53" i="8"/>
  <c r="CN53"/>
  <c r="DD55" i="5"/>
  <c r="I55" i="7"/>
  <c r="K56" i="5"/>
  <c r="G55" i="10"/>
  <c r="V55" i="2"/>
  <c r="J55" i="7"/>
  <c r="DE55" i="5"/>
  <c r="L56"/>
  <c r="H55" i="10"/>
  <c r="AR56" i="5"/>
  <c r="G56" i="7"/>
  <c r="I57" i="5"/>
  <c r="E56" i="10"/>
  <c r="DB56" i="5"/>
  <c r="EE51" i="8"/>
  <c r="EF51" s="1"/>
  <c r="K59"/>
  <c r="S58" i="2"/>
  <c r="E54" i="1"/>
  <c r="AI54" i="5"/>
  <c r="Q54" i="1"/>
  <c r="E54" i="14" s="1"/>
  <c r="B54" i="7"/>
  <c r="C54" i="14"/>
  <c r="A54" i="10"/>
  <c r="AA54" s="1"/>
  <c r="AH54" i="5"/>
  <c r="A54" i="11"/>
  <c r="AV54" i="5"/>
  <c r="W54" i="8"/>
  <c r="BS54" i="5"/>
  <c r="B54" i="9"/>
  <c r="AU54" i="5"/>
  <c r="AB53" i="2"/>
  <c r="BN54" i="8"/>
  <c r="BO54"/>
  <c r="DM54" s="1"/>
  <c r="AB54"/>
  <c r="EO54"/>
  <c r="DT54" s="1"/>
  <c r="CQ54"/>
  <c r="DA54" s="1"/>
  <c r="DL54"/>
  <c r="AA11" i="1"/>
  <c r="S11" s="1"/>
  <c r="H12" s="1"/>
  <c r="O11" i="7"/>
  <c r="I11" i="11"/>
  <c r="AP11" i="1"/>
  <c r="T11" s="1"/>
  <c r="J11" i="11"/>
  <c r="G11" i="2"/>
  <c r="Z11" s="1"/>
  <c r="Z12" i="8" s="1"/>
  <c r="AI55" i="5"/>
  <c r="A55" i="11"/>
  <c r="BS55" i="5"/>
  <c r="AV55"/>
  <c r="E55" i="1"/>
  <c r="Q55"/>
  <c r="E55" i="14" s="1"/>
  <c r="C55"/>
  <c r="B55" i="9"/>
  <c r="B55" i="7"/>
  <c r="A55" i="10"/>
  <c r="AA55" s="1"/>
  <c r="AH55" i="5"/>
  <c r="W55" i="8"/>
  <c r="AU55" i="5"/>
  <c r="AB54" i="2"/>
  <c r="BN55" i="8"/>
  <c r="BO55"/>
  <c r="DM55" s="1"/>
  <c r="AB55"/>
  <c r="EO55"/>
  <c r="DT55" s="1"/>
  <c r="AH53" i="7"/>
  <c r="AG53"/>
  <c r="AI53" s="1"/>
  <c r="K57" i="10"/>
  <c r="AA57" i="7"/>
  <c r="AE57" i="8" s="1"/>
  <c r="BC57" s="1"/>
  <c r="BY58" i="11"/>
  <c r="N57" i="2"/>
  <c r="H60" i="8"/>
  <c r="P59" i="2"/>
  <c r="J58" i="5"/>
  <c r="DC57"/>
  <c r="H57" i="7"/>
  <c r="F57" i="10"/>
  <c r="M58" i="2"/>
  <c r="DF58" i="8"/>
  <c r="DG57" i="5"/>
  <c r="D52" i="14"/>
  <c r="P53" i="1"/>
  <c r="BO51"/>
  <c r="R57" i="2"/>
  <c r="J58" i="8"/>
  <c r="X57" i="1"/>
  <c r="AQ50"/>
  <c r="U50" s="1"/>
  <c r="J51" s="1"/>
  <c r="AP51" i="8" s="1"/>
  <c r="BM50" i="1"/>
  <c r="AK50" i="5"/>
  <c r="D50" i="11"/>
  <c r="B59" i="10"/>
  <c r="F60" i="5"/>
  <c r="D59" i="7"/>
  <c r="E56"/>
  <c r="C56" i="10"/>
  <c r="CZ56" i="5"/>
  <c r="G57"/>
  <c r="CY57"/>
  <c r="E51" i="11"/>
  <c r="AO51" i="8"/>
  <c r="AT51" i="1"/>
  <c r="O58" i="2"/>
  <c r="DE58" i="8"/>
  <c r="W55" i="1"/>
  <c r="DA56" i="5"/>
  <c r="DF55"/>
  <c r="J57" i="2" l="1"/>
  <c r="AC57" i="1"/>
  <c r="BC58" i="5"/>
  <c r="BK60"/>
  <c r="AD58" i="1"/>
  <c r="BE58" i="5"/>
  <c r="AE56" i="1"/>
  <c r="AZ61" i="5"/>
  <c r="BP59"/>
  <c r="AB58" i="1"/>
  <c r="BN61" i="5"/>
  <c r="AF59" i="1"/>
  <c r="O58"/>
  <c r="DK58" i="8" s="1"/>
  <c r="DI57"/>
  <c r="DJ57"/>
  <c r="AR52" i="1"/>
  <c r="V52" s="1"/>
  <c r="K53" s="1"/>
  <c r="BN52"/>
  <c r="C52" i="9"/>
  <c r="AD54"/>
  <c r="AV54" i="1" s="1"/>
  <c r="AD55" i="9"/>
  <c r="AV55" i="1" s="1"/>
  <c r="N57"/>
  <c r="AA53" i="11"/>
  <c r="AC53"/>
  <c r="T53" i="8" s="1"/>
  <c r="Y53" i="11"/>
  <c r="AH53" i="1" s="1"/>
  <c r="Z53" i="11"/>
  <c r="AC53" i="2" s="1"/>
  <c r="AD53" i="11"/>
  <c r="AI53" i="1" s="1"/>
  <c r="AB53" i="11"/>
  <c r="P53" i="8" s="1"/>
  <c r="AA54" i="11"/>
  <c r="Y54"/>
  <c r="AH54" i="1" s="1"/>
  <c r="AC54" i="11"/>
  <c r="T54" i="8" s="1"/>
  <c r="AD54" i="11"/>
  <c r="AI54" i="1" s="1"/>
  <c r="AB54" i="11"/>
  <c r="P54" i="8" s="1"/>
  <c r="Z54" i="11"/>
  <c r="AC54" i="2" s="1"/>
  <c r="I12" i="1"/>
  <c r="AT53" i="8"/>
  <c r="AQ53"/>
  <c r="F53" i="11"/>
  <c r="M54" i="1"/>
  <c r="AW53" i="8"/>
  <c r="BU54"/>
  <c r="CA54"/>
  <c r="CH54"/>
  <c r="BU55"/>
  <c r="CA55"/>
  <c r="CH55"/>
  <c r="B58" i="1"/>
  <c r="BI58" s="1"/>
  <c r="L59" i="11"/>
  <c r="B58" i="2"/>
  <c r="AJ60" i="14"/>
  <c r="CM59" i="8"/>
  <c r="A59" i="2"/>
  <c r="K59" i="11"/>
  <c r="A59" i="9"/>
  <c r="B59" i="14"/>
  <c r="J60" i="10"/>
  <c r="A59" i="7"/>
  <c r="AD59" i="8"/>
  <c r="A59"/>
  <c r="M59" i="5"/>
  <c r="DR54" i="8"/>
  <c r="DS54"/>
  <c r="DR55"/>
  <c r="DS55"/>
  <c r="DN54"/>
  <c r="DO54"/>
  <c r="Y57" i="1"/>
  <c r="B57" i="5"/>
  <c r="Q60" i="2"/>
  <c r="I61" i="8"/>
  <c r="DL55"/>
  <c r="CQ55"/>
  <c r="DA55" s="1"/>
  <c r="DY53"/>
  <c r="DZ53" s="1"/>
  <c r="EI53"/>
  <c r="AV53"/>
  <c r="AW53" i="1" s="1"/>
  <c r="L53" s="1"/>
  <c r="BO53" s="1"/>
  <c r="AU53" i="8"/>
  <c r="AT53" i="1" s="1"/>
  <c r="A56" i="5"/>
  <c r="E56" s="1"/>
  <c r="EQ56" i="8" s="1"/>
  <c r="CZ56" s="1"/>
  <c r="AT52" i="1"/>
  <c r="DC53" i="8"/>
  <c r="EE53" s="1"/>
  <c r="EF53" s="1"/>
  <c r="F57" i="7"/>
  <c r="H58" i="5"/>
  <c r="D57" i="10"/>
  <c r="AQ53" i="5"/>
  <c r="AU53" i="1" s="1"/>
  <c r="AR57" i="5"/>
  <c r="V56" i="2"/>
  <c r="DD56" i="5"/>
  <c r="K57"/>
  <c r="I56" i="7"/>
  <c r="G56" i="10"/>
  <c r="L57" i="5"/>
  <c r="J56" i="7"/>
  <c r="H56" i="10"/>
  <c r="DE56" i="5"/>
  <c r="E57" i="10"/>
  <c r="G57" i="7"/>
  <c r="DB57" i="5"/>
  <c r="I58"/>
  <c r="AO52" i="8"/>
  <c r="AN55" i="5"/>
  <c r="E52" i="11"/>
  <c r="J59" i="5"/>
  <c r="H58" i="7"/>
  <c r="DC58" i="5"/>
  <c r="F58" i="10"/>
  <c r="CR55" i="8"/>
  <c r="CN55"/>
  <c r="CO55"/>
  <c r="Q55" i="7"/>
  <c r="AE55"/>
  <c r="AF55" s="1"/>
  <c r="V12" i="10"/>
  <c r="BK12" i="1"/>
  <c r="AN12" i="8"/>
  <c r="AJ12" i="5"/>
  <c r="C12" i="11"/>
  <c r="AC12" i="7"/>
  <c r="DB54" i="8"/>
  <c r="EC54" s="1"/>
  <c r="ED54" s="1"/>
  <c r="CV54"/>
  <c r="DX54" s="1"/>
  <c r="CY54"/>
  <c r="EA54" s="1"/>
  <c r="CW54"/>
  <c r="DG54"/>
  <c r="EG54" s="1"/>
  <c r="CX54"/>
  <c r="CY58" i="5"/>
  <c r="D53" i="14"/>
  <c r="P54" i="1"/>
  <c r="BP55" i="8"/>
  <c r="N55" i="7"/>
  <c r="BQ55" i="8"/>
  <c r="BT55"/>
  <c r="BZ55"/>
  <c r="BY55"/>
  <c r="CG55"/>
  <c r="CF55"/>
  <c r="N55" i="11"/>
  <c r="AO54" i="5"/>
  <c r="AC54" i="10"/>
  <c r="X54" s="1"/>
  <c r="Y54" s="1"/>
  <c r="AM54" i="5"/>
  <c r="AL54"/>
  <c r="S59" i="2"/>
  <c r="K60" i="8"/>
  <c r="X58" i="1"/>
  <c r="DE59" i="8"/>
  <c r="O59" i="2"/>
  <c r="W56" i="1"/>
  <c r="DA57" i="5"/>
  <c r="K58" i="10"/>
  <c r="BY59" i="11"/>
  <c r="AA58" i="7"/>
  <c r="AE58" i="8" s="1"/>
  <c r="BC58" s="1"/>
  <c r="DH55"/>
  <c r="EH55" s="1"/>
  <c r="EP55"/>
  <c r="AM55" i="5"/>
  <c r="AO55"/>
  <c r="AC55" i="10"/>
  <c r="X55" s="1"/>
  <c r="Y55" s="1"/>
  <c r="AL55" i="5"/>
  <c r="CO54" i="8"/>
  <c r="CN54"/>
  <c r="CR54"/>
  <c r="D55" i="9"/>
  <c r="D56" s="1"/>
  <c r="N54" i="11"/>
  <c r="AE54" i="7"/>
  <c r="AF54" s="1"/>
  <c r="Q54"/>
  <c r="N58" i="2"/>
  <c r="CZ57" i="5"/>
  <c r="G58"/>
  <c r="E57" i="7"/>
  <c r="C57" i="10"/>
  <c r="AK51" i="5"/>
  <c r="BM51" i="1"/>
  <c r="AQ51"/>
  <c r="U51" s="1"/>
  <c r="J52" s="1"/>
  <c r="AP52" i="8" s="1"/>
  <c r="D51" i="11"/>
  <c r="J59" i="8"/>
  <c r="R58" i="2"/>
  <c r="H61" i="8"/>
  <c r="P60" i="2"/>
  <c r="P11" i="7"/>
  <c r="F11" i="9"/>
  <c r="BP54" i="8"/>
  <c r="BQ54"/>
  <c r="N54" i="7"/>
  <c r="BT54" i="8"/>
  <c r="BY54"/>
  <c r="BZ54"/>
  <c r="CG54"/>
  <c r="CF54"/>
  <c r="AN54" i="5"/>
  <c r="D60" i="7"/>
  <c r="B60" i="10"/>
  <c r="F61" i="5"/>
  <c r="M59" i="2"/>
  <c r="DF59" i="8"/>
  <c r="DG58" i="5"/>
  <c r="C11" i="8"/>
  <c r="DH54"/>
  <c r="EH54" s="1"/>
  <c r="EP54"/>
  <c r="DF56" i="5"/>
  <c r="BC59" l="1"/>
  <c r="AC58" i="1"/>
  <c r="BP60" i="5"/>
  <c r="AB59" i="1"/>
  <c r="BK61" i="5"/>
  <c r="AD59" i="1"/>
  <c r="BN62" i="5"/>
  <c r="AF60" i="1"/>
  <c r="BE59" i="5"/>
  <c r="AE57" i="1"/>
  <c r="W57" s="1"/>
  <c r="AZ62" i="5"/>
  <c r="O59" i="1"/>
  <c r="DK59" i="8" s="1"/>
  <c r="DI58"/>
  <c r="DJ58"/>
  <c r="AS12"/>
  <c r="AO12" i="1"/>
  <c r="AR53" i="8"/>
  <c r="BN53" i="1"/>
  <c r="AR53"/>
  <c r="V53" s="1"/>
  <c r="K54" s="1"/>
  <c r="AR54" i="8" s="1"/>
  <c r="C53" i="9"/>
  <c r="N58" i="1"/>
  <c r="BL12"/>
  <c r="AT54" i="8"/>
  <c r="AQ54"/>
  <c r="F54" i="11"/>
  <c r="M55" i="1"/>
  <c r="AW54" i="8"/>
  <c r="AW55"/>
  <c r="A60" i="2"/>
  <c r="M60" i="5"/>
  <c r="J61" i="10"/>
  <c r="A60" i="9"/>
  <c r="B60" i="14"/>
  <c r="AD60" i="8"/>
  <c r="A60" i="7"/>
  <c r="K60" i="11"/>
  <c r="A60" i="8"/>
  <c r="L60" i="11"/>
  <c r="B59" i="1"/>
  <c r="BI59" s="1"/>
  <c r="B59" i="2"/>
  <c r="AJ61" i="14"/>
  <c r="CM60" i="8"/>
  <c r="DN55"/>
  <c r="DO55"/>
  <c r="B56" i="7"/>
  <c r="AE56" s="1"/>
  <c r="AF56" s="1"/>
  <c r="CU56" i="8"/>
  <c r="CS56"/>
  <c r="DP56" s="1"/>
  <c r="CT56"/>
  <c r="DQ56" s="1"/>
  <c r="Y58" i="1"/>
  <c r="I62" i="8"/>
  <c r="Q61" i="2"/>
  <c r="EO56" i="8"/>
  <c r="DL56"/>
  <c r="DG55"/>
  <c r="EG55" s="1"/>
  <c r="EI55" s="1"/>
  <c r="CV55"/>
  <c r="DX55" s="1"/>
  <c r="EB55" s="1"/>
  <c r="CY55"/>
  <c r="EA55" s="1"/>
  <c r="CX55"/>
  <c r="DB55"/>
  <c r="EC55" s="1"/>
  <c r="ED55" s="1"/>
  <c r="CW55"/>
  <c r="AV56" i="5"/>
  <c r="B56" i="9"/>
  <c r="CQ56" i="8"/>
  <c r="DA56" s="1"/>
  <c r="AU56" i="5"/>
  <c r="C56" i="14"/>
  <c r="A56" i="11"/>
  <c r="AH56" i="5"/>
  <c r="AC56" i="10" s="1"/>
  <c r="W56" i="8"/>
  <c r="A56" i="10"/>
  <c r="AA56" s="1"/>
  <c r="AB55" i="2"/>
  <c r="Q56" i="1"/>
  <c r="E56" i="14" s="1"/>
  <c r="BN56" i="8"/>
  <c r="D57" i="9" s="1"/>
  <c r="AI56" i="5"/>
  <c r="BO56" i="8"/>
  <c r="DM56" s="1"/>
  <c r="E56" i="1"/>
  <c r="AB56" i="8"/>
  <c r="CG56" s="1"/>
  <c r="BS56" i="5"/>
  <c r="F58" i="7"/>
  <c r="D58" i="10"/>
  <c r="H59" i="5"/>
  <c r="AR58"/>
  <c r="V57" i="2"/>
  <c r="A57" i="5"/>
  <c r="E57" s="1"/>
  <c r="EQ57" i="8" s="1"/>
  <c r="CZ57" s="1"/>
  <c r="DD57" i="5"/>
  <c r="G57" i="10"/>
  <c r="K58" i="5"/>
  <c r="I57" i="7"/>
  <c r="H57" i="10"/>
  <c r="L58" i="5"/>
  <c r="DE57"/>
  <c r="J57" i="7"/>
  <c r="G58"/>
  <c r="E58" i="10"/>
  <c r="I59" i="5"/>
  <c r="DB58"/>
  <c r="DY54" i="8"/>
  <c r="DZ54" s="1"/>
  <c r="AP55" i="5"/>
  <c r="AO53" i="8"/>
  <c r="E53" i="11"/>
  <c r="AV55" i="8"/>
  <c r="AW55" i="1" s="1"/>
  <c r="D52" i="11"/>
  <c r="AQ52" i="1"/>
  <c r="U52" s="1"/>
  <c r="J53" s="1"/>
  <c r="AP53" i="8" s="1"/>
  <c r="BM52" i="1"/>
  <c r="AK52" i="5"/>
  <c r="N59" i="2"/>
  <c r="AU55" i="8"/>
  <c r="AV54"/>
  <c r="AW54" i="1" s="1"/>
  <c r="L54" s="1"/>
  <c r="E54" i="11" s="1"/>
  <c r="D54" i="14"/>
  <c r="P55" i="1"/>
  <c r="C58" i="10"/>
  <c r="G59" i="5"/>
  <c r="CZ58"/>
  <c r="E58" i="7"/>
  <c r="AA59"/>
  <c r="AE59" i="8" s="1"/>
  <c r="BC59" s="1"/>
  <c r="K59" i="10"/>
  <c r="BY60" i="11"/>
  <c r="CY59" i="5"/>
  <c r="EB54" i="8"/>
  <c r="H59" i="7"/>
  <c r="DC59" i="5"/>
  <c r="F59" i="10"/>
  <c r="J60" i="5"/>
  <c r="AU54" i="8"/>
  <c r="AQ54" i="5"/>
  <c r="AU54" i="1" s="1"/>
  <c r="J60" i="8"/>
  <c r="R59" i="2"/>
  <c r="O60"/>
  <c r="DE60" i="8"/>
  <c r="AP54" i="5"/>
  <c r="DA58"/>
  <c r="Y11" i="2"/>
  <c r="X11" s="1"/>
  <c r="DG59" i="5"/>
  <c r="DC54" i="8"/>
  <c r="DD54"/>
  <c r="X59" i="1"/>
  <c r="J58" i="2"/>
  <c r="K61" i="8"/>
  <c r="S60" i="2"/>
  <c r="EI54" i="8"/>
  <c r="M60" i="2"/>
  <c r="DF60" i="8"/>
  <c r="B61" i="10"/>
  <c r="D61" i="7"/>
  <c r="F62" i="5"/>
  <c r="H62" i="8"/>
  <c r="P61" i="2"/>
  <c r="AH54" i="7"/>
  <c r="AG54"/>
  <c r="AI54" s="1"/>
  <c r="AH55"/>
  <c r="AG55"/>
  <c r="AI55" s="1"/>
  <c r="DD55" i="8"/>
  <c r="DC55"/>
  <c r="B58" i="5"/>
  <c r="AQ55"/>
  <c r="AU55" i="1" s="1"/>
  <c r="DF57" i="5"/>
  <c r="AC59" i="1" l="1"/>
  <c r="BC60" i="5"/>
  <c r="BP61"/>
  <c r="AB60" i="1"/>
  <c r="AZ63" i="5"/>
  <c r="BK62"/>
  <c r="AD60" i="1"/>
  <c r="BN63" i="5"/>
  <c r="AF61" i="1"/>
  <c r="BE60" i="5"/>
  <c r="AE58" i="1"/>
  <c r="W58" s="1"/>
  <c r="O60"/>
  <c r="DK60" i="8" s="1"/>
  <c r="DI59"/>
  <c r="DJ59"/>
  <c r="AR54" i="1"/>
  <c r="V54" s="1"/>
  <c r="K55" s="1"/>
  <c r="AR55" i="8" s="1"/>
  <c r="BN54" i="1"/>
  <c r="C54" i="9"/>
  <c r="AD56"/>
  <c r="AV56" i="1" s="1"/>
  <c r="N59"/>
  <c r="CO56" i="8"/>
  <c r="AC55" i="11"/>
  <c r="T55" i="8" s="1"/>
  <c r="Y55" i="11"/>
  <c r="AH55" i="1" s="1"/>
  <c r="AA55" i="11"/>
  <c r="AB55"/>
  <c r="P55" i="8" s="1"/>
  <c r="AD55" i="11"/>
  <c r="AI55" i="1" s="1"/>
  <c r="Z55" i="11"/>
  <c r="AC55" i="2" s="1"/>
  <c r="AT55" i="8"/>
  <c r="AQ55"/>
  <c r="M56" i="1"/>
  <c r="F55" i="11"/>
  <c r="CA56" i="8"/>
  <c r="CH56"/>
  <c r="BZ56"/>
  <c r="BU56"/>
  <c r="B60" i="1"/>
  <c r="BI60" s="1"/>
  <c r="B60" i="2"/>
  <c r="L61" i="11"/>
  <c r="A61" i="2"/>
  <c r="K61" i="11"/>
  <c r="J62" i="10"/>
  <c r="A61" i="9"/>
  <c r="A61" i="8"/>
  <c r="M61" i="5"/>
  <c r="B61" i="14"/>
  <c r="AD61" i="8"/>
  <c r="A61" i="7"/>
  <c r="AJ62" i="14"/>
  <c r="CM61" i="8"/>
  <c r="DR56"/>
  <c r="DS56"/>
  <c r="EP56"/>
  <c r="DT56"/>
  <c r="CW56"/>
  <c r="DN56"/>
  <c r="DO56"/>
  <c r="CN56"/>
  <c r="Q56" i="7"/>
  <c r="CS57" i="8"/>
  <c r="DP57" s="1"/>
  <c r="CT57"/>
  <c r="DQ57" s="1"/>
  <c r="CU57"/>
  <c r="Y59" i="1"/>
  <c r="N56" i="7"/>
  <c r="I63" i="8"/>
  <c r="Q62" i="2"/>
  <c r="DH56" i="8"/>
  <c r="EH56" s="1"/>
  <c r="DY55"/>
  <c r="DZ55" s="1"/>
  <c r="CQ57"/>
  <c r="DA57" s="1"/>
  <c r="AN56" i="5"/>
  <c r="A57" i="11"/>
  <c r="AB57" i="8"/>
  <c r="BP56"/>
  <c r="CR56"/>
  <c r="DD56" s="1"/>
  <c r="CF56"/>
  <c r="B57" i="9"/>
  <c r="AM56" i="5"/>
  <c r="EO57" i="8"/>
  <c r="AL56" i="5"/>
  <c r="E57" i="1"/>
  <c r="A57" i="10"/>
  <c r="AA57" s="1"/>
  <c r="BY56" i="8"/>
  <c r="AO56" i="5"/>
  <c r="BQ56" i="8"/>
  <c r="X56" i="10"/>
  <c r="Y56" s="1"/>
  <c r="N56" i="11"/>
  <c r="BT56" i="8"/>
  <c r="CY56"/>
  <c r="EA56" s="1"/>
  <c r="CX56"/>
  <c r="DB56"/>
  <c r="EC56" s="1"/>
  <c r="ED56" s="1"/>
  <c r="CV56"/>
  <c r="DX56" s="1"/>
  <c r="EB56" s="1"/>
  <c r="DG56"/>
  <c r="EG56" s="1"/>
  <c r="D59" i="10"/>
  <c r="H60" i="5"/>
  <c r="F59" i="7"/>
  <c r="V58" i="2"/>
  <c r="AR59" i="5"/>
  <c r="C57" i="14"/>
  <c r="AH57" i="5"/>
  <c r="AC57" i="10" s="1"/>
  <c r="B57" i="7"/>
  <c r="AE57" s="1"/>
  <c r="AF57" s="1"/>
  <c r="DL57" i="8"/>
  <c r="BS57" i="5"/>
  <c r="W57" i="8"/>
  <c r="Q57" i="1"/>
  <c r="E57" i="14" s="1"/>
  <c r="AB56" i="2"/>
  <c r="AI57" i="5"/>
  <c r="BN57" i="8"/>
  <c r="D58" i="9" s="1"/>
  <c r="AU57" i="5"/>
  <c r="BO57" i="8"/>
  <c r="DM57" s="1"/>
  <c r="AV57" i="5"/>
  <c r="A58"/>
  <c r="E58" s="1"/>
  <c r="EQ58" i="8" s="1"/>
  <c r="CZ58" s="1"/>
  <c r="DD58" i="5"/>
  <c r="G58" i="10"/>
  <c r="K59" i="5"/>
  <c r="I58" i="7"/>
  <c r="EE54" i="8"/>
  <c r="EF54" s="1"/>
  <c r="J58" i="7"/>
  <c r="L59" i="5"/>
  <c r="DE58"/>
  <c r="H58" i="10"/>
  <c r="E59"/>
  <c r="DB59" i="5"/>
  <c r="G59" i="7"/>
  <c r="I60" i="5"/>
  <c r="L55" i="1"/>
  <c r="BO55" s="1"/>
  <c r="AO54" i="8"/>
  <c r="EE55"/>
  <c r="EF55" s="1"/>
  <c r="BO54" i="1"/>
  <c r="DF61" i="8"/>
  <c r="M61" i="2"/>
  <c r="L12"/>
  <c r="H12" i="11"/>
  <c r="E12" i="2"/>
  <c r="BD12" i="8"/>
  <c r="B12"/>
  <c r="D12" i="2" s="1"/>
  <c r="AB12" i="7"/>
  <c r="H63" i="8"/>
  <c r="P62" i="2"/>
  <c r="BM53" i="1"/>
  <c r="AK53" i="5"/>
  <c r="D53" i="11"/>
  <c r="AQ53" i="1"/>
  <c r="U53" s="1"/>
  <c r="J54" s="1"/>
  <c r="AP54" i="8" s="1"/>
  <c r="J61"/>
  <c r="R60" i="2"/>
  <c r="K62" i="8"/>
  <c r="S61" i="2"/>
  <c r="G60" i="5"/>
  <c r="CZ59"/>
  <c r="C59" i="10"/>
  <c r="E59" i="7"/>
  <c r="DA59" i="5"/>
  <c r="DG60"/>
  <c r="AH56" i="7"/>
  <c r="AG56"/>
  <c r="AI56" s="1"/>
  <c r="CY60" i="5"/>
  <c r="AT55" i="1"/>
  <c r="X60"/>
  <c r="O61" i="2"/>
  <c r="DE61" i="8"/>
  <c r="J61" i="5"/>
  <c r="F60" i="10"/>
  <c r="H60" i="7"/>
  <c r="DC60" i="5"/>
  <c r="B59"/>
  <c r="D62" i="7"/>
  <c r="B62" i="10"/>
  <c r="F63" i="5"/>
  <c r="AA60" i="7"/>
  <c r="AE60" i="8" s="1"/>
  <c r="BC60" s="1"/>
  <c r="BY61" i="11"/>
  <c r="K60" i="10"/>
  <c r="N60" i="2"/>
  <c r="AT54" i="1"/>
  <c r="J59" i="2"/>
  <c r="D55" i="14"/>
  <c r="P56" i="1"/>
  <c r="DF58" i="5"/>
  <c r="J60" i="2" l="1"/>
  <c r="AC60" i="1"/>
  <c r="BC61" i="5"/>
  <c r="BN64"/>
  <c r="AF62" i="1"/>
  <c r="BE61" i="5"/>
  <c r="AE59" i="1"/>
  <c r="W59" s="1"/>
  <c r="BP62" i="5"/>
  <c r="AB61" i="1"/>
  <c r="AZ64" i="5"/>
  <c r="BK63"/>
  <c r="AD61" i="1"/>
  <c r="O61"/>
  <c r="DK61" i="8" s="1"/>
  <c r="DJ60"/>
  <c r="DI60"/>
  <c r="AR55" i="1"/>
  <c r="V55" s="1"/>
  <c r="K56" s="1"/>
  <c r="AR56" i="8" s="1"/>
  <c r="BN55" i="1"/>
  <c r="AD57" i="9"/>
  <c r="AV57" i="1" s="1"/>
  <c r="C55" i="9"/>
  <c r="N60" i="1"/>
  <c r="AC56" i="11"/>
  <c r="T56" i="8" s="1"/>
  <c r="AA56" i="11"/>
  <c r="Y56"/>
  <c r="AH56" i="1" s="1"/>
  <c r="AD56" i="11"/>
  <c r="AI56" i="1" s="1"/>
  <c r="Z56" i="11"/>
  <c r="AC56" i="2" s="1"/>
  <c r="AB56" i="11"/>
  <c r="P56" i="8" s="1"/>
  <c r="AT56"/>
  <c r="AQ56"/>
  <c r="F56" i="11"/>
  <c r="M57" i="1"/>
  <c r="AW56" i="8"/>
  <c r="CA57"/>
  <c r="CH57"/>
  <c r="BT57"/>
  <c r="BU57"/>
  <c r="A62" i="2"/>
  <c r="M62" i="5"/>
  <c r="A62" i="8"/>
  <c r="K62" i="11"/>
  <c r="J63" i="10"/>
  <c r="A62" i="7"/>
  <c r="B62" i="14"/>
  <c r="AD62" i="8"/>
  <c r="A62" i="9"/>
  <c r="B61" i="1"/>
  <c r="BI61" s="1"/>
  <c r="L62" i="11"/>
  <c r="B61" i="2"/>
  <c r="AJ63" i="14"/>
  <c r="CM62" i="8"/>
  <c r="N57" i="11"/>
  <c r="B60" i="5"/>
  <c r="DH57" i="8"/>
  <c r="EH57" s="1"/>
  <c r="DT57"/>
  <c r="DR57"/>
  <c r="DS57"/>
  <c r="DY56"/>
  <c r="DZ56" s="1"/>
  <c r="DG57"/>
  <c r="EG57" s="1"/>
  <c r="DN57"/>
  <c r="DO57"/>
  <c r="CS58"/>
  <c r="DP58" s="1"/>
  <c r="CT58"/>
  <c r="DQ58" s="1"/>
  <c r="CU58"/>
  <c r="DC56"/>
  <c r="EE56" s="1"/>
  <c r="EF56" s="1"/>
  <c r="Y60" i="1"/>
  <c r="I64" i="8"/>
  <c r="Q63" i="2"/>
  <c r="EP57" i="8"/>
  <c r="BY57"/>
  <c r="CG57"/>
  <c r="CF57"/>
  <c r="BP57"/>
  <c r="N57" i="7"/>
  <c r="EI56" i="8"/>
  <c r="BZ57"/>
  <c r="BQ57"/>
  <c r="X57" i="10"/>
  <c r="Y57" s="1"/>
  <c r="DB57" i="8"/>
  <c r="EC57" s="1"/>
  <c r="ED57" s="1"/>
  <c r="CX57"/>
  <c r="CY57"/>
  <c r="EA57" s="1"/>
  <c r="CW57"/>
  <c r="CV57"/>
  <c r="DX57" s="1"/>
  <c r="EB57" s="1"/>
  <c r="AV56"/>
  <c r="AW56" i="1" s="1"/>
  <c r="L56" s="1"/>
  <c r="BO56" s="1"/>
  <c r="AP56" i="5"/>
  <c r="AQ56"/>
  <c r="AU56" i="1" s="1"/>
  <c r="AU56" i="8"/>
  <c r="CN57"/>
  <c r="CR57"/>
  <c r="DD57" s="1"/>
  <c r="CO57"/>
  <c r="AL57" i="5"/>
  <c r="V59" i="2"/>
  <c r="AN57" i="5"/>
  <c r="AR60"/>
  <c r="F60" i="7"/>
  <c r="D60" i="10"/>
  <c r="H61" i="5"/>
  <c r="Q57" i="7"/>
  <c r="A59" i="5"/>
  <c r="E59" s="1"/>
  <c r="EQ59" i="8" s="1"/>
  <c r="CZ59" s="1"/>
  <c r="AO55"/>
  <c r="E55" i="11"/>
  <c r="AM57" i="5"/>
  <c r="AO57"/>
  <c r="I59" i="7"/>
  <c r="K60" i="5"/>
  <c r="DD59"/>
  <c r="G59" i="10"/>
  <c r="H59"/>
  <c r="J59" i="7"/>
  <c r="DE59" i="5"/>
  <c r="L60"/>
  <c r="E60" i="10"/>
  <c r="I61" i="5"/>
  <c r="G60" i="7"/>
  <c r="DB60" i="5"/>
  <c r="DA60"/>
  <c r="A58" i="10"/>
  <c r="AA58" s="1"/>
  <c r="B58" i="7"/>
  <c r="E58" i="1"/>
  <c r="W58" i="8"/>
  <c r="AI58" i="5"/>
  <c r="BS58"/>
  <c r="Q58" i="1"/>
  <c r="E58" i="14" s="1"/>
  <c r="AU58" i="5"/>
  <c r="B58" i="9"/>
  <c r="AV58" i="5"/>
  <c r="C58" i="14"/>
  <c r="AH58" i="5"/>
  <c r="A58" i="11"/>
  <c r="AB57" i="2"/>
  <c r="BN58" i="8"/>
  <c r="BO58"/>
  <c r="DM58" s="1"/>
  <c r="EO58"/>
  <c r="DT58" s="1"/>
  <c r="AB58"/>
  <c r="DL58"/>
  <c r="CQ58"/>
  <c r="DA58" s="1"/>
  <c r="DE62"/>
  <c r="O62" i="2"/>
  <c r="DC61" i="5"/>
  <c r="J62"/>
  <c r="H61" i="7"/>
  <c r="F61" i="10"/>
  <c r="AH57" i="7"/>
  <c r="AG57"/>
  <c r="AI57" s="1"/>
  <c r="AK54" i="5"/>
  <c r="BM54" i="1"/>
  <c r="D54" i="11"/>
  <c r="AQ54" i="1"/>
  <c r="U54" s="1"/>
  <c r="J55" s="1"/>
  <c r="AP55" i="8" s="1"/>
  <c r="U12" i="2"/>
  <c r="W11" s="1"/>
  <c r="C12" s="1"/>
  <c r="DF62" i="8"/>
  <c r="M62" i="2"/>
  <c r="B63" i="10"/>
  <c r="F64" i="5"/>
  <c r="D63" i="7"/>
  <c r="E60"/>
  <c r="CZ60" i="5"/>
  <c r="G61"/>
  <c r="C60" i="10"/>
  <c r="K63" i="8"/>
  <c r="S62" i="2"/>
  <c r="R61"/>
  <c r="J62" i="8"/>
  <c r="H64"/>
  <c r="P63" i="2"/>
  <c r="D56" i="14"/>
  <c r="P57" i="1"/>
  <c r="K61" i="10"/>
  <c r="BY62" i="11"/>
  <c r="AA61" i="7"/>
  <c r="AE61" i="8" s="1"/>
  <c r="BC61" s="1"/>
  <c r="N61" i="2"/>
  <c r="X61" i="1"/>
  <c r="CY61" i="5"/>
  <c r="DG61"/>
  <c r="DF59"/>
  <c r="AC61" i="1" l="1"/>
  <c r="BC62" i="5"/>
  <c r="B61"/>
  <c r="J61" i="2"/>
  <c r="AZ65" i="5"/>
  <c r="BN65"/>
  <c r="AF63" i="1"/>
  <c r="BK64" i="5"/>
  <c r="AD62" i="1"/>
  <c r="BE62" i="5"/>
  <c r="J62" i="2" s="1"/>
  <c r="AE60" i="1"/>
  <c r="W60" s="1"/>
  <c r="BP63" i="5"/>
  <c r="AB62" i="1"/>
  <c r="O62"/>
  <c r="DK62" i="8" s="1"/>
  <c r="DI61"/>
  <c r="DJ61"/>
  <c r="BN56" i="1"/>
  <c r="AD58" i="9"/>
  <c r="AV58" i="1" s="1"/>
  <c r="AR56"/>
  <c r="V56" s="1"/>
  <c r="K57" s="1"/>
  <c r="AR57" i="8" s="1"/>
  <c r="C56" i="9"/>
  <c r="N61" i="1"/>
  <c r="Y57" i="11"/>
  <c r="AH57" i="1" s="1"/>
  <c r="AC57" i="11"/>
  <c r="T57" i="8" s="1"/>
  <c r="AA57" i="11"/>
  <c r="AD57"/>
  <c r="AI57" i="1" s="1"/>
  <c r="AB57" i="11"/>
  <c r="P57" i="8" s="1"/>
  <c r="Z57" i="11"/>
  <c r="AC57" i="2" s="1"/>
  <c r="AT57" i="8"/>
  <c r="AQ57"/>
  <c r="F57" i="11"/>
  <c r="M58" i="1"/>
  <c r="AW57" i="8"/>
  <c r="BU58"/>
  <c r="CA58"/>
  <c r="CH58"/>
  <c r="B62" i="1"/>
  <c r="BI62" s="1"/>
  <c r="B62" i="2"/>
  <c r="L63" i="11"/>
  <c r="AJ64" i="14"/>
  <c r="CM63" i="8"/>
  <c r="A63" i="2"/>
  <c r="K63" i="11"/>
  <c r="A63" i="9"/>
  <c r="M63" i="5"/>
  <c r="AD63" i="8"/>
  <c r="B63" i="14"/>
  <c r="A63" i="7"/>
  <c r="J64" i="10"/>
  <c r="A63" i="8"/>
  <c r="DR58"/>
  <c r="DS58"/>
  <c r="EI57"/>
  <c r="DN58"/>
  <c r="DO58"/>
  <c r="CT59"/>
  <c r="DQ59" s="1"/>
  <c r="CU59"/>
  <c r="CS59"/>
  <c r="DP59" s="1"/>
  <c r="Y61" i="1"/>
  <c r="Q64" i="2"/>
  <c r="I65" i="8"/>
  <c r="AV57"/>
  <c r="AW57" i="1" s="1"/>
  <c r="L57" s="1"/>
  <c r="BO57" s="1"/>
  <c r="AU57" i="8"/>
  <c r="DY57"/>
  <c r="DZ57" s="1"/>
  <c r="DL59"/>
  <c r="AT56" i="1"/>
  <c r="DC57" i="8"/>
  <c r="EE57" s="1"/>
  <c r="EF57" s="1"/>
  <c r="CQ59"/>
  <c r="DA59" s="1"/>
  <c r="B59" i="7"/>
  <c r="Q59" s="1"/>
  <c r="W59" i="8"/>
  <c r="B59" i="9"/>
  <c r="AP57" i="5"/>
  <c r="AB58" i="2"/>
  <c r="A59" i="11"/>
  <c r="BO59" i="8"/>
  <c r="DM59" s="1"/>
  <c r="Q59" i="1"/>
  <c r="E59" i="14" s="1"/>
  <c r="AU59" i="5"/>
  <c r="AH59"/>
  <c r="AC59" i="10" s="1"/>
  <c r="BS59" i="5"/>
  <c r="AV59"/>
  <c r="C59" i="14"/>
  <c r="BN59" i="8"/>
  <c r="CN59" s="1"/>
  <c r="AB59"/>
  <c r="EO59"/>
  <c r="AI59" i="5"/>
  <c r="AN59" s="1"/>
  <c r="A59" i="10"/>
  <c r="AA59" s="1"/>
  <c r="E59" i="1"/>
  <c r="AQ57" i="5"/>
  <c r="AU57" i="1" s="1"/>
  <c r="D61" i="10"/>
  <c r="H62" i="5"/>
  <c r="F61" i="7"/>
  <c r="AO56" i="8"/>
  <c r="AR61" i="5"/>
  <c r="V60" i="2"/>
  <c r="DD60" i="5"/>
  <c r="I60" i="7"/>
  <c r="G60" i="10"/>
  <c r="K61" i="5"/>
  <c r="A60"/>
  <c r="E60" s="1"/>
  <c r="EQ60" i="8" s="1"/>
  <c r="CZ60" s="1"/>
  <c r="H60" i="10"/>
  <c r="DE60" i="5"/>
  <c r="J60" i="7"/>
  <c r="L61" i="5"/>
  <c r="E56" i="11"/>
  <c r="I62" i="5"/>
  <c r="G61" i="7"/>
  <c r="DB61" i="5"/>
  <c r="E61" i="10"/>
  <c r="AQ55" i="1"/>
  <c r="U55" s="1"/>
  <c r="J56" s="1"/>
  <c r="AP56" i="8" s="1"/>
  <c r="BM55" i="1"/>
  <c r="D55" i="11"/>
  <c r="AK55" i="5"/>
  <c r="P64" i="2"/>
  <c r="H65" i="8"/>
  <c r="CN58"/>
  <c r="CR58"/>
  <c r="CO58"/>
  <c r="D59" i="9"/>
  <c r="DA61" i="5"/>
  <c r="N62" i="2"/>
  <c r="J63" i="8"/>
  <c r="R62" i="2"/>
  <c r="DE63" i="8"/>
  <c r="O63" i="2"/>
  <c r="P58" i="1"/>
  <c r="D57" i="14"/>
  <c r="F62" i="10"/>
  <c r="H62" i="7"/>
  <c r="DC62" i="5"/>
  <c r="J63"/>
  <c r="DH58" i="8"/>
  <c r="EH58" s="1"/>
  <c r="EP58"/>
  <c r="Q58" i="7"/>
  <c r="AE58"/>
  <c r="AF58" s="1"/>
  <c r="F12" i="1"/>
  <c r="F12" i="2"/>
  <c r="H12"/>
  <c r="I12"/>
  <c r="AA62" i="7"/>
  <c r="AE62" i="8" s="1"/>
  <c r="BC62" s="1"/>
  <c r="BY63" i="11"/>
  <c r="K62" i="10"/>
  <c r="S63" i="2"/>
  <c r="K64" i="8"/>
  <c r="B64" i="10"/>
  <c r="D64" i="7"/>
  <c r="F65" i="5"/>
  <c r="M63" i="2"/>
  <c r="DF63" i="8"/>
  <c r="BP58"/>
  <c r="N58" i="7"/>
  <c r="BQ58" i="8"/>
  <c r="BT58"/>
  <c r="BY58"/>
  <c r="BZ58"/>
  <c r="CF58"/>
  <c r="CG58"/>
  <c r="X62" i="1"/>
  <c r="CY62" i="5"/>
  <c r="AO58"/>
  <c r="AC58" i="10"/>
  <c r="X58" s="1"/>
  <c r="Y58" s="1"/>
  <c r="AM58" i="5"/>
  <c r="AL58"/>
  <c r="DG62"/>
  <c r="C61" i="10"/>
  <c r="G62" i="5"/>
  <c r="E61" i="7"/>
  <c r="CZ61" i="5"/>
  <c r="DG58" i="8"/>
  <c r="EG58" s="1"/>
  <c r="CW58"/>
  <c r="CX58"/>
  <c r="CV58"/>
  <c r="DX58" s="1"/>
  <c r="CY58"/>
  <c r="EA58" s="1"/>
  <c r="DB58"/>
  <c r="EC58" s="1"/>
  <c r="ED58" s="1"/>
  <c r="N58" i="11"/>
  <c r="AN58" i="5"/>
  <c r="DF60"/>
  <c r="AC62" i="1" l="1"/>
  <c r="BC63" i="5"/>
  <c r="BE63"/>
  <c r="AE61" i="1"/>
  <c r="W61" s="1"/>
  <c r="AZ66" i="5"/>
  <c r="BP64"/>
  <c r="AB63" i="1"/>
  <c r="BN66" i="5"/>
  <c r="AF64" i="1"/>
  <c r="BK65" i="5"/>
  <c r="AD63" i="1"/>
  <c r="O63"/>
  <c r="DK63" i="8" s="1"/>
  <c r="DI62"/>
  <c r="DJ62"/>
  <c r="BN57" i="1"/>
  <c r="C57" i="9"/>
  <c r="AR57" i="1"/>
  <c r="V57" s="1"/>
  <c r="K58" s="1"/>
  <c r="AD59" i="9"/>
  <c r="AV59" i="1" s="1"/>
  <c r="N62"/>
  <c r="AC58" i="11"/>
  <c r="T58" i="8" s="1"/>
  <c r="Y58" i="11"/>
  <c r="AH58" i="1" s="1"/>
  <c r="AA58" i="11"/>
  <c r="Z58"/>
  <c r="AC58" i="2" s="1"/>
  <c r="AB58" i="11"/>
  <c r="P58" i="8" s="1"/>
  <c r="AD58" i="11"/>
  <c r="AI58" i="1" s="1"/>
  <c r="AT58" i="8"/>
  <c r="AW58"/>
  <c r="AQ58"/>
  <c r="M59" i="1"/>
  <c r="F58" i="11"/>
  <c r="CA59" i="8"/>
  <c r="CH59"/>
  <c r="BP59"/>
  <c r="BU59"/>
  <c r="B63" i="2"/>
  <c r="L64" i="11"/>
  <c r="B63" i="1"/>
  <c r="BI63" s="1"/>
  <c r="AJ65" i="14"/>
  <c r="CM64" i="8"/>
  <c r="A64" i="2"/>
  <c r="K64" i="11"/>
  <c r="AD64" i="8"/>
  <c r="A64" i="7"/>
  <c r="M64" i="5"/>
  <c r="A64" i="8"/>
  <c r="A64" i="9"/>
  <c r="J65" i="10"/>
  <c r="B64" i="14"/>
  <c r="EP59" i="8"/>
  <c r="DT59"/>
  <c r="DR59"/>
  <c r="DS59"/>
  <c r="DG59"/>
  <c r="EG59" s="1"/>
  <c r="DN59"/>
  <c r="DO59"/>
  <c r="CS60"/>
  <c r="DP60" s="1"/>
  <c r="CT60"/>
  <c r="DQ60" s="1"/>
  <c r="CU60"/>
  <c r="Y62" i="1"/>
  <c r="B62" i="5"/>
  <c r="Q65" i="2"/>
  <c r="I66" i="8"/>
  <c r="N59" i="11"/>
  <c r="CO59" i="8"/>
  <c r="AO59" i="5"/>
  <c r="AM59"/>
  <c r="AT57" i="1"/>
  <c r="DL60" i="8"/>
  <c r="DB59"/>
  <c r="EC59" s="1"/>
  <c r="ED59" s="1"/>
  <c r="AH60" i="5"/>
  <c r="AC60" i="10" s="1"/>
  <c r="AR62" i="5"/>
  <c r="BT59" i="8"/>
  <c r="C60" i="14"/>
  <c r="BZ59" i="8"/>
  <c r="B60" i="9"/>
  <c r="BY59" i="8"/>
  <c r="A60" i="11"/>
  <c r="AV60" i="5"/>
  <c r="CG59" i="8"/>
  <c r="CF59"/>
  <c r="BQ59"/>
  <c r="AB59" i="2"/>
  <c r="B60" i="7"/>
  <c r="Q60" s="1"/>
  <c r="N59"/>
  <c r="BN60" i="8"/>
  <c r="CR60" s="1"/>
  <c r="A60" i="10"/>
  <c r="AA60" s="1"/>
  <c r="EO60" i="8"/>
  <c r="AI60" i="5"/>
  <c r="D60" i="9"/>
  <c r="CR59" i="8"/>
  <c r="DD59" s="1"/>
  <c r="A61" i="5"/>
  <c r="E61" s="1"/>
  <c r="CV59" i="8"/>
  <c r="DX59" s="1"/>
  <c r="EB59" s="1"/>
  <c r="CW59"/>
  <c r="CX59"/>
  <c r="CY59"/>
  <c r="EA59" s="1"/>
  <c r="DH59"/>
  <c r="EH59" s="1"/>
  <c r="AL59" i="5"/>
  <c r="AP59" s="1"/>
  <c r="X59" i="10"/>
  <c r="Y59" s="1"/>
  <c r="AE59" i="7"/>
  <c r="AF59" s="1"/>
  <c r="AU60" i="5"/>
  <c r="Q60" i="1"/>
  <c r="E60" i="14" s="1"/>
  <c r="BO60" i="8"/>
  <c r="DM60" s="1"/>
  <c r="BS60" i="5"/>
  <c r="AB60" i="8"/>
  <c r="E60" i="1"/>
  <c r="W60" i="8"/>
  <c r="F62" i="7"/>
  <c r="D62" i="10"/>
  <c r="H63" i="5"/>
  <c r="CQ60" i="8"/>
  <c r="DA60" s="1"/>
  <c r="H61" i="10"/>
  <c r="J61" i="7"/>
  <c r="DE61" i="5"/>
  <c r="L62"/>
  <c r="DD61"/>
  <c r="K62"/>
  <c r="G61" i="10"/>
  <c r="I61" i="7"/>
  <c r="V61" i="2"/>
  <c r="E57" i="11"/>
  <c r="AO57" i="8"/>
  <c r="DB62" i="5"/>
  <c r="E62" i="10"/>
  <c r="G62" i="7"/>
  <c r="I63" i="5"/>
  <c r="EI58" i="8"/>
  <c r="AP12" i="1"/>
  <c r="T12" s="1"/>
  <c r="J12" i="11"/>
  <c r="G12" i="2"/>
  <c r="Z12" s="1"/>
  <c r="Z13" i="8" s="1"/>
  <c r="O64" i="2"/>
  <c r="DE64" i="8"/>
  <c r="DF64"/>
  <c r="M64" i="2"/>
  <c r="CY63" i="5"/>
  <c r="AA63" i="7"/>
  <c r="AE63" i="8" s="1"/>
  <c r="BC63" s="1"/>
  <c r="K63" i="10"/>
  <c r="BY64" i="11"/>
  <c r="P59" i="1"/>
  <c r="D58" i="14"/>
  <c r="BM56" i="1"/>
  <c r="D56" i="11"/>
  <c r="AK56" i="5"/>
  <c r="AQ56" i="1"/>
  <c r="U56" s="1"/>
  <c r="J57" s="1"/>
  <c r="AP57" i="8" s="1"/>
  <c r="AQ58" i="5"/>
  <c r="AU58" i="1" s="1"/>
  <c r="EB58" i="8"/>
  <c r="I12" i="11"/>
  <c r="O12" i="7"/>
  <c r="DA62" i="5"/>
  <c r="AP58"/>
  <c r="AU58" i="8"/>
  <c r="H63" i="7"/>
  <c r="F63" i="10"/>
  <c r="J64" i="5"/>
  <c r="DC63"/>
  <c r="X63" i="1"/>
  <c r="AG58" i="7"/>
  <c r="AI58" s="1"/>
  <c r="AH58"/>
  <c r="J64" i="8"/>
  <c r="R63" i="2"/>
  <c r="AV58" i="8"/>
  <c r="AW58" i="1" s="1"/>
  <c r="L58" s="1"/>
  <c r="BO58" s="1"/>
  <c r="AA12"/>
  <c r="S12" s="1"/>
  <c r="H13" s="1"/>
  <c r="DD58" i="8"/>
  <c r="DC58"/>
  <c r="DG63" i="5"/>
  <c r="G63"/>
  <c r="C62" i="10"/>
  <c r="E62" i="7"/>
  <c r="CZ62" i="5"/>
  <c r="K65" i="8"/>
  <c r="S64" i="2"/>
  <c r="P65"/>
  <c r="H66" i="8"/>
  <c r="DY58"/>
  <c r="DZ58" s="1"/>
  <c r="N63" i="2"/>
  <c r="B65" i="10"/>
  <c r="D65" i="7"/>
  <c r="F66" i="5"/>
  <c r="DF61"/>
  <c r="AC63" i="1" l="1"/>
  <c r="BC64" i="5"/>
  <c r="BK66"/>
  <c r="AD64" i="1"/>
  <c r="BE64" i="5"/>
  <c r="AE62" i="1"/>
  <c r="AZ67" i="5"/>
  <c r="BP65"/>
  <c r="AB64" i="1"/>
  <c r="BN67" i="5"/>
  <c r="AF65" i="1"/>
  <c r="O64"/>
  <c r="DK64" i="8" s="1"/>
  <c r="DI63"/>
  <c r="DJ63"/>
  <c r="EO61"/>
  <c r="DT61" s="1"/>
  <c r="EQ61"/>
  <c r="CZ61" s="1"/>
  <c r="AR58"/>
  <c r="AR58" i="1"/>
  <c r="V58" s="1"/>
  <c r="K59" s="1"/>
  <c r="AR59" i="8" s="1"/>
  <c r="BN58" i="1"/>
  <c r="AD60" i="9"/>
  <c r="AV60" i="1" s="1"/>
  <c r="C58" i="9"/>
  <c r="N63" i="1"/>
  <c r="AN60" i="5"/>
  <c r="Y59" i="11"/>
  <c r="AH59" i="1" s="1"/>
  <c r="AA59" i="11"/>
  <c r="AC59"/>
  <c r="T59" i="8" s="1"/>
  <c r="Z59" i="11"/>
  <c r="AC59" i="2" s="1"/>
  <c r="AB59" i="11"/>
  <c r="P59" i="8" s="1"/>
  <c r="AD59" i="11"/>
  <c r="AI59" i="1" s="1"/>
  <c r="I13"/>
  <c r="AT59" i="8"/>
  <c r="AQ59"/>
  <c r="M60" i="1"/>
  <c r="F59" i="11"/>
  <c r="AW59" i="8"/>
  <c r="CA60"/>
  <c r="CH60"/>
  <c r="BQ60"/>
  <c r="BU60"/>
  <c r="AV61" i="5"/>
  <c r="B64" i="1"/>
  <c r="BI64" s="1"/>
  <c r="L65" i="11"/>
  <c r="B64" i="2"/>
  <c r="AJ66" i="14"/>
  <c r="CM65" i="8"/>
  <c r="A65" i="2"/>
  <c r="M65" i="5"/>
  <c r="A65" i="9"/>
  <c r="A65" i="8"/>
  <c r="A65" i="7"/>
  <c r="B65" i="14"/>
  <c r="J66" i="10"/>
  <c r="AD65" i="8"/>
  <c r="K65" i="11"/>
  <c r="DR60" i="8"/>
  <c r="DS60"/>
  <c r="DH60"/>
  <c r="EH60" s="1"/>
  <c r="DT60"/>
  <c r="EI59"/>
  <c r="CV60"/>
  <c r="DX60" s="1"/>
  <c r="EB60" s="1"/>
  <c r="DN60"/>
  <c r="DO60"/>
  <c r="Q61" i="1"/>
  <c r="E61" i="14" s="1"/>
  <c r="CU61" i="8"/>
  <c r="CS61"/>
  <c r="DP61" s="1"/>
  <c r="CT61"/>
  <c r="DQ61" s="1"/>
  <c r="DC59"/>
  <c r="EE59" s="1"/>
  <c r="EF59" s="1"/>
  <c r="Y63" i="1"/>
  <c r="AH59" i="7"/>
  <c r="Q66" i="2"/>
  <c r="I67" i="8"/>
  <c r="AQ59" i="5"/>
  <c r="AU59" i="1" s="1"/>
  <c r="AE60" i="7"/>
  <c r="AF60" s="1"/>
  <c r="BP60" i="8"/>
  <c r="CG60"/>
  <c r="CQ61"/>
  <c r="DA61" s="1"/>
  <c r="X60" i="10"/>
  <c r="Y60" s="1"/>
  <c r="AO60" i="5"/>
  <c r="A61" i="11"/>
  <c r="W61" i="8"/>
  <c r="B61" i="9"/>
  <c r="A61" i="10"/>
  <c r="AA61" s="1"/>
  <c r="CO60" i="8"/>
  <c r="AM60" i="5"/>
  <c r="AH61"/>
  <c r="AC61" i="10" s="1"/>
  <c r="C61" i="14"/>
  <c r="CN60" i="8"/>
  <c r="AB60" i="2"/>
  <c r="B61" i="7"/>
  <c r="Q61" s="1"/>
  <c r="D61" i="9"/>
  <c r="N60" i="11"/>
  <c r="BN61" i="8"/>
  <c r="CR61" s="1"/>
  <c r="BS61" i="5"/>
  <c r="BO61" i="8"/>
  <c r="DM61" s="1"/>
  <c r="E61" i="1"/>
  <c r="DL61" i="8"/>
  <c r="AB61"/>
  <c r="AU61" i="5"/>
  <c r="AI61"/>
  <c r="DY59" i="8"/>
  <c r="DZ59" s="1"/>
  <c r="AU59"/>
  <c r="AV59"/>
  <c r="AW59" i="1" s="1"/>
  <c r="L59" s="1"/>
  <c r="AO59" i="8" s="1"/>
  <c r="AG59" i="7"/>
  <c r="AI59" s="1"/>
  <c r="EP60" i="8"/>
  <c r="CF60"/>
  <c r="V62" i="2"/>
  <c r="BT60" i="8"/>
  <c r="BZ60"/>
  <c r="AL60" i="5"/>
  <c r="BY60" i="8"/>
  <c r="N60" i="7"/>
  <c r="AR63" i="5"/>
  <c r="A62"/>
  <c r="E62" s="1"/>
  <c r="EQ62" i="8" s="1"/>
  <c r="CZ62" s="1"/>
  <c r="CX60"/>
  <c r="CW60"/>
  <c r="DG60"/>
  <c r="EG60" s="1"/>
  <c r="DB60"/>
  <c r="EC60" s="1"/>
  <c r="ED60" s="1"/>
  <c r="F63" i="7"/>
  <c r="H64" i="5"/>
  <c r="D63" i="10"/>
  <c r="CY60" i="8"/>
  <c r="EA60" s="1"/>
  <c r="DE62" i="5"/>
  <c r="H62" i="10"/>
  <c r="L63" i="5"/>
  <c r="J62" i="7"/>
  <c r="DD62" i="5"/>
  <c r="I62" i="7"/>
  <c r="K63" i="5"/>
  <c r="G62" i="10"/>
  <c r="E63"/>
  <c r="I64" i="5"/>
  <c r="DB63"/>
  <c r="G63" i="7"/>
  <c r="AO58" i="8"/>
  <c r="E58" i="11"/>
  <c r="P60" i="1"/>
  <c r="D59" i="14"/>
  <c r="P66" i="2"/>
  <c r="H67" i="8"/>
  <c r="AQ57" i="1"/>
  <c r="U57" s="1"/>
  <c r="J58" s="1"/>
  <c r="AP58" i="8" s="1"/>
  <c r="AK57" i="5"/>
  <c r="BM57" i="1"/>
  <c r="D57" i="11"/>
  <c r="DF65" i="8"/>
  <c r="M65" i="2"/>
  <c r="J63"/>
  <c r="EE58" i="8"/>
  <c r="EF58" s="1"/>
  <c r="DC64" i="5"/>
  <c r="H64" i="7"/>
  <c r="F64" i="10"/>
  <c r="J65" i="5"/>
  <c r="DG64"/>
  <c r="V13" i="10"/>
  <c r="AJ13" i="5"/>
  <c r="BK13" i="1"/>
  <c r="AN13" i="8"/>
  <c r="C13" i="11"/>
  <c r="AC13" i="7"/>
  <c r="D66"/>
  <c r="F67" i="5"/>
  <c r="B66" i="10"/>
  <c r="BY65" i="11"/>
  <c r="K64" i="10"/>
  <c r="AA64" i="7"/>
  <c r="AE64" i="8" s="1"/>
  <c r="BC64" s="1"/>
  <c r="R64" i="2"/>
  <c r="J65" i="8"/>
  <c r="DD60"/>
  <c r="DC60"/>
  <c r="B63" i="5"/>
  <c r="AT58" i="1"/>
  <c r="C12" i="8"/>
  <c r="N64" i="2"/>
  <c r="X64" i="1"/>
  <c r="CY64" i="5"/>
  <c r="W62" i="1"/>
  <c r="DA63" i="5"/>
  <c r="O65" i="2"/>
  <c r="DE65" i="8"/>
  <c r="K66"/>
  <c r="S65" i="2"/>
  <c r="G64" i="5"/>
  <c r="E63" i="7"/>
  <c r="CZ63" i="5"/>
  <c r="C63" i="10"/>
  <c r="P12" i="7"/>
  <c r="F12" i="9"/>
  <c r="DF62" i="5"/>
  <c r="EP61" i="8" l="1"/>
  <c r="AC64" i="1"/>
  <c r="BC65" i="5"/>
  <c r="DH61" i="8"/>
  <c r="EH61" s="1"/>
  <c r="BP66" i="5"/>
  <c r="AB65" i="1"/>
  <c r="BK67" i="5"/>
  <c r="AD65" i="1"/>
  <c r="BN68" i="5"/>
  <c r="AF66" i="1"/>
  <c r="BE65" i="5"/>
  <c r="AE63" i="1"/>
  <c r="W63" s="1"/>
  <c r="AZ68" i="5"/>
  <c r="O65" i="1"/>
  <c r="DK65" i="8" s="1"/>
  <c r="DJ64"/>
  <c r="DI64"/>
  <c r="AS13"/>
  <c r="AO13" i="1"/>
  <c r="AR59"/>
  <c r="V59" s="1"/>
  <c r="K60" s="1"/>
  <c r="C59" i="9"/>
  <c r="BN59" i="1"/>
  <c r="AD61" i="9"/>
  <c r="AV61" i="1" s="1"/>
  <c r="N64"/>
  <c r="AP60" i="5"/>
  <c r="AE61" i="7"/>
  <c r="Y60" i="11"/>
  <c r="AH60" i="1" s="1"/>
  <c r="AC60" i="11"/>
  <c r="T60" i="8" s="1"/>
  <c r="AA60" i="11"/>
  <c r="AB60"/>
  <c r="P60" i="8" s="1"/>
  <c r="Z60" i="11"/>
  <c r="AC60" i="2" s="1"/>
  <c r="AD60" i="11"/>
  <c r="AI60" i="1" s="1"/>
  <c r="BL13"/>
  <c r="AT60" i="8"/>
  <c r="AQ60"/>
  <c r="F60" i="11"/>
  <c r="M61" i="1"/>
  <c r="AW60" i="8"/>
  <c r="CA61"/>
  <c r="CH61"/>
  <c r="N61" i="7"/>
  <c r="BU61" i="8"/>
  <c r="EI60"/>
  <c r="B65" i="2"/>
  <c r="B65" i="1"/>
  <c r="BI65" s="1"/>
  <c r="L66" i="11"/>
  <c r="A66" i="2"/>
  <c r="K66" i="11"/>
  <c r="A66" i="7"/>
  <c r="AD66" i="8"/>
  <c r="B66" i="14"/>
  <c r="J67" i="10"/>
  <c r="A66" i="8"/>
  <c r="A66" i="9"/>
  <c r="M66" i="5"/>
  <c r="CM66" i="8"/>
  <c r="AJ67" i="14"/>
  <c r="DR61" i="8"/>
  <c r="DS61"/>
  <c r="CX61"/>
  <c r="DN61"/>
  <c r="DO61"/>
  <c r="BN62"/>
  <c r="CN62" s="1"/>
  <c r="CS62"/>
  <c r="DP62" s="1"/>
  <c r="CT62"/>
  <c r="DQ62" s="1"/>
  <c r="CU62"/>
  <c r="AQ60" i="5"/>
  <c r="AU60" i="1" s="1"/>
  <c r="Y64"/>
  <c r="AT59"/>
  <c r="AG60" i="7"/>
  <c r="AI60" s="1"/>
  <c r="X61" i="10"/>
  <c r="Y61" s="1"/>
  <c r="Q67" i="2"/>
  <c r="I68" i="8"/>
  <c r="BP61"/>
  <c r="BQ61"/>
  <c r="BZ61"/>
  <c r="CG61"/>
  <c r="AO61" i="5"/>
  <c r="CN61" i="8"/>
  <c r="D62" i="9"/>
  <c r="CO61" i="8"/>
  <c r="AN61" i="5"/>
  <c r="AH60" i="7"/>
  <c r="AM61" i="5"/>
  <c r="N61" i="11"/>
  <c r="AL61" i="5"/>
  <c r="AV60" i="8"/>
  <c r="AW60" i="1" s="1"/>
  <c r="L60" s="1"/>
  <c r="E60" i="11" s="1"/>
  <c r="CW61" i="8"/>
  <c r="CY61"/>
  <c r="EA61" s="1"/>
  <c r="DG61"/>
  <c r="EG61" s="1"/>
  <c r="DB61"/>
  <c r="EC61" s="1"/>
  <c r="ED61" s="1"/>
  <c r="CV61"/>
  <c r="DX61" s="1"/>
  <c r="EB61" s="1"/>
  <c r="CQ62"/>
  <c r="DA62" s="1"/>
  <c r="BT61"/>
  <c r="BY61"/>
  <c r="CF61"/>
  <c r="AB62"/>
  <c r="A62" i="10"/>
  <c r="AA62" s="1"/>
  <c r="E62" i="1"/>
  <c r="A62" i="11"/>
  <c r="Q62" i="1"/>
  <c r="E62" i="14" s="1"/>
  <c r="W62" i="8"/>
  <c r="BO62"/>
  <c r="DM62" s="1"/>
  <c r="B62" i="7"/>
  <c r="AE62" s="1"/>
  <c r="AF62" s="1"/>
  <c r="AU60" i="8"/>
  <c r="EO62"/>
  <c r="BS62" i="5"/>
  <c r="AI62"/>
  <c r="DL62" i="8"/>
  <c r="A63" i="5"/>
  <c r="E63" s="1"/>
  <c r="EQ63" i="8" s="1"/>
  <c r="CZ63" s="1"/>
  <c r="AH62" i="5"/>
  <c r="AC62" i="10" s="1"/>
  <c r="AV62" i="5"/>
  <c r="AU62"/>
  <c r="B62" i="9"/>
  <c r="AB61" i="2"/>
  <c r="C62" i="14"/>
  <c r="DY60" i="8"/>
  <c r="DZ60" s="1"/>
  <c r="AR64" i="5"/>
  <c r="V63" i="2"/>
  <c r="H65" i="5"/>
  <c r="D64" i="10"/>
  <c r="F64" i="7"/>
  <c r="J63"/>
  <c r="DE63" i="5"/>
  <c r="L64"/>
  <c r="H63" i="10"/>
  <c r="I63" i="7"/>
  <c r="G63" i="10"/>
  <c r="DD63" i="5"/>
  <c r="K64"/>
  <c r="G64" i="7"/>
  <c r="I65" i="5"/>
  <c r="DB64"/>
  <c r="E64" i="10"/>
  <c r="BO59" i="1"/>
  <c r="EE60" i="8"/>
  <c r="EF60" s="1"/>
  <c r="E59" i="11"/>
  <c r="B64" i="5"/>
  <c r="Y12" i="2"/>
  <c r="X12" s="1"/>
  <c r="DG65" i="5"/>
  <c r="O66" i="2"/>
  <c r="DE66" i="8"/>
  <c r="DD61"/>
  <c r="DC61"/>
  <c r="AK58" i="5"/>
  <c r="D58" i="11"/>
  <c r="AQ58" i="1"/>
  <c r="U58" s="1"/>
  <c r="J59" s="1"/>
  <c r="AP59" i="8" s="1"/>
  <c r="BM58" i="1"/>
  <c r="G65" i="5"/>
  <c r="CZ64"/>
  <c r="C64" i="10"/>
  <c r="E64" i="7"/>
  <c r="CY65" i="5"/>
  <c r="BY66" i="11"/>
  <c r="K65" i="10"/>
  <c r="AA65" i="7"/>
  <c r="AE65" i="8" s="1"/>
  <c r="BC65" s="1"/>
  <c r="D60" i="14"/>
  <c r="P61" i="1"/>
  <c r="B65" i="5"/>
  <c r="DA64"/>
  <c r="M66" i="2"/>
  <c r="DF66" i="8"/>
  <c r="K67"/>
  <c r="S66" i="2"/>
  <c r="N65"/>
  <c r="J66" i="8"/>
  <c r="R65" i="2"/>
  <c r="DC65" i="5"/>
  <c r="F65" i="10"/>
  <c r="J66" i="5"/>
  <c r="H65" i="7"/>
  <c r="F68" i="5"/>
  <c r="B67" i="10"/>
  <c r="D67" i="7"/>
  <c r="X65" i="1"/>
  <c r="P67" i="2"/>
  <c r="H68" i="8"/>
  <c r="J64" i="2"/>
  <c r="DF63" i="5"/>
  <c r="AC65" i="1" l="1"/>
  <c r="BC66" i="5"/>
  <c r="EI61" i="8"/>
  <c r="BP67" i="5"/>
  <c r="AB66" i="1"/>
  <c r="AZ69" i="5"/>
  <c r="BK68"/>
  <c r="AD66" i="1"/>
  <c r="BN69" i="5"/>
  <c r="AF67" i="1"/>
  <c r="BE66" i="5"/>
  <c r="AE64" i="1"/>
  <c r="W64" s="1"/>
  <c r="O66"/>
  <c r="DK66" i="8" s="1"/>
  <c r="DI65"/>
  <c r="DJ65"/>
  <c r="AR60"/>
  <c r="BN60" i="1"/>
  <c r="AR60"/>
  <c r="V60" s="1"/>
  <c r="K61" s="1"/>
  <c r="C60" i="9"/>
  <c r="AD62"/>
  <c r="AV62" i="1" s="1"/>
  <c r="N65"/>
  <c r="AF61" i="7"/>
  <c r="AH61" s="1"/>
  <c r="AG61"/>
  <c r="AI61" s="1"/>
  <c r="Y61" i="11"/>
  <c r="AH61" i="1" s="1"/>
  <c r="AA61" i="11"/>
  <c r="AC61"/>
  <c r="T61" i="8" s="1"/>
  <c r="AD61" i="11"/>
  <c r="AI61" i="1" s="1"/>
  <c r="Z61" i="11"/>
  <c r="AC61" i="2" s="1"/>
  <c r="AB61" i="11"/>
  <c r="P61" i="8" s="1"/>
  <c r="AQ61" i="5"/>
  <c r="AU61" i="1" s="1"/>
  <c r="AT61" i="8"/>
  <c r="AQ61"/>
  <c r="M62" i="1"/>
  <c r="F61" i="11"/>
  <c r="AW61" i="8"/>
  <c r="CR62"/>
  <c r="DD62" s="1"/>
  <c r="CA62"/>
  <c r="CH62"/>
  <c r="BY62"/>
  <c r="BU62"/>
  <c r="A67" i="2"/>
  <c r="M67" i="5"/>
  <c r="A67" i="9"/>
  <c r="B67" i="14"/>
  <c r="AD67" i="8"/>
  <c r="A67" i="7"/>
  <c r="J68" i="10"/>
  <c r="K67" i="11"/>
  <c r="A67" i="8"/>
  <c r="B66" i="1"/>
  <c r="BI66" s="1"/>
  <c r="L67" i="11"/>
  <c r="B66" i="2"/>
  <c r="CM67" i="8"/>
  <c r="AJ68" i="14"/>
  <c r="EP62" i="8"/>
  <c r="DT62"/>
  <c r="DR62"/>
  <c r="DS62"/>
  <c r="DY61"/>
  <c r="DZ61" s="1"/>
  <c r="DB62"/>
  <c r="EC62" s="1"/>
  <c r="ED62" s="1"/>
  <c r="DN62"/>
  <c r="DO62"/>
  <c r="CS63"/>
  <c r="DP63" s="1"/>
  <c r="CT63"/>
  <c r="DQ63" s="1"/>
  <c r="CU63"/>
  <c r="CO62"/>
  <c r="D63" i="9"/>
  <c r="Y65" i="1"/>
  <c r="I69" i="8"/>
  <c r="Q68" i="2"/>
  <c r="N62" i="11"/>
  <c r="AV61" i="8"/>
  <c r="AW61" i="1" s="1"/>
  <c r="L61" s="1"/>
  <c r="AO61" i="8" s="1"/>
  <c r="CX62"/>
  <c r="CW62"/>
  <c r="AP61" i="5"/>
  <c r="BZ62" i="8"/>
  <c r="BQ62"/>
  <c r="Q62" i="7"/>
  <c r="AT60" i="1"/>
  <c r="CV62" i="8"/>
  <c r="DX62" s="1"/>
  <c r="EB62" s="1"/>
  <c r="CY62"/>
  <c r="EA62" s="1"/>
  <c r="AU61"/>
  <c r="DL63"/>
  <c r="DG62"/>
  <c r="EG62" s="1"/>
  <c r="C63" i="14"/>
  <c r="Q63" i="1"/>
  <c r="E63" i="14" s="1"/>
  <c r="A63" i="10"/>
  <c r="AA63" s="1"/>
  <c r="AB62" i="2"/>
  <c r="X62" i="10"/>
  <c r="Y62" s="1"/>
  <c r="BN63" i="8"/>
  <c r="CR63" s="1"/>
  <c r="EO63"/>
  <c r="AI63" i="5"/>
  <c r="CG62" i="8"/>
  <c r="N62" i="7"/>
  <c r="CF62" i="8"/>
  <c r="BP62"/>
  <c r="BT62"/>
  <c r="AB63"/>
  <c r="E63" i="1"/>
  <c r="B63" i="9"/>
  <c r="W63" i="8"/>
  <c r="AH63" i="5"/>
  <c r="A63" i="11"/>
  <c r="AU63" i="5"/>
  <c r="AV63"/>
  <c r="AN62"/>
  <c r="BO63" i="8"/>
  <c r="DM63" s="1"/>
  <c r="BS63" i="5"/>
  <c r="B63" i="7"/>
  <c r="Q63" s="1"/>
  <c r="AM62" i="5"/>
  <c r="CQ63" i="8"/>
  <c r="DA63" s="1"/>
  <c r="AO62" i="5"/>
  <c r="AL62"/>
  <c r="DH62" i="8"/>
  <c r="EH62" s="1"/>
  <c r="A64" i="5"/>
  <c r="E64" s="1"/>
  <c r="EQ64" i="8" s="1"/>
  <c r="CZ64" s="1"/>
  <c r="BO60" i="1"/>
  <c r="AR65" i="5"/>
  <c r="H66"/>
  <c r="F65" i="7"/>
  <c r="D65" i="10"/>
  <c r="H64"/>
  <c r="L65" i="5"/>
  <c r="J64" i="7"/>
  <c r="DE64" i="5"/>
  <c r="V64" i="2"/>
  <c r="DD64" i="5"/>
  <c r="G64" i="10"/>
  <c r="K65" i="5"/>
  <c r="I64" i="7"/>
  <c r="DB65" i="5"/>
  <c r="I66"/>
  <c r="G65" i="7"/>
  <c r="E65" i="10"/>
  <c r="AO60" i="8"/>
  <c r="N63" i="11"/>
  <c r="R66" i="2"/>
  <c r="J67" i="8"/>
  <c r="P68" i="2"/>
  <c r="H69" i="8"/>
  <c r="DF67"/>
  <c r="M67" i="2"/>
  <c r="DA65" i="5"/>
  <c r="S67" i="2"/>
  <c r="K68" i="8"/>
  <c r="E65" i="7"/>
  <c r="CZ65" i="5"/>
  <c r="G66"/>
  <c r="C65" i="10"/>
  <c r="E13" i="2"/>
  <c r="AB13" i="7"/>
  <c r="H13" i="11"/>
  <c r="L13" i="2"/>
  <c r="B13" i="8"/>
  <c r="D13" i="2" s="1"/>
  <c r="BD13" i="8"/>
  <c r="X66" i="1"/>
  <c r="CY66" i="5"/>
  <c r="D61" i="14"/>
  <c r="P62" i="1"/>
  <c r="DG66" i="5"/>
  <c r="AK59"/>
  <c r="D59" i="11"/>
  <c r="BM59" i="1"/>
  <c r="AQ59"/>
  <c r="U59" s="1"/>
  <c r="J60" s="1"/>
  <c r="AP60" i="8" s="1"/>
  <c r="DE67"/>
  <c r="O67" i="2"/>
  <c r="B68" i="10"/>
  <c r="F69" i="5"/>
  <c r="D68" i="7"/>
  <c r="J65" i="2"/>
  <c r="AH62" i="7"/>
  <c r="AG62"/>
  <c r="AI62" s="1"/>
  <c r="J67" i="5"/>
  <c r="H66" i="7"/>
  <c r="F66" i="10"/>
  <c r="DC66" i="5"/>
  <c r="N66" i="2"/>
  <c r="BY67" i="11"/>
  <c r="K66" i="10"/>
  <c r="AA66" i="7"/>
  <c r="AE66" i="8" s="1"/>
  <c r="BC66" s="1"/>
  <c r="EE61"/>
  <c r="EF61" s="1"/>
  <c r="DF64" i="5"/>
  <c r="AC66" i="1" l="1"/>
  <c r="BC67" i="5"/>
  <c r="BN70"/>
  <c r="AF68" i="1"/>
  <c r="BE67" i="5"/>
  <c r="AE65" i="1"/>
  <c r="BP68" i="5"/>
  <c r="AB67" i="1"/>
  <c r="AZ70" i="5"/>
  <c r="BK69"/>
  <c r="AD67" i="1"/>
  <c r="O67"/>
  <c r="DK67" i="8" s="1"/>
  <c r="DI66"/>
  <c r="DJ66"/>
  <c r="AR61"/>
  <c r="AR61" i="1"/>
  <c r="V61" s="1"/>
  <c r="K62" s="1"/>
  <c r="C61" i="9"/>
  <c r="BN61" i="1"/>
  <c r="AD63" i="9"/>
  <c r="AV63" i="1" s="1"/>
  <c r="N66"/>
  <c r="DC62" i="8"/>
  <c r="EE62" s="1"/>
  <c r="EF62" s="1"/>
  <c r="AC62" i="11"/>
  <c r="T62" i="8" s="1"/>
  <c r="AA62" i="11"/>
  <c r="Y62"/>
  <c r="AH62" i="1" s="1"/>
  <c r="AD62" i="11"/>
  <c r="AI62" i="1" s="1"/>
  <c r="Z62" i="11"/>
  <c r="AC62" i="2" s="1"/>
  <c r="AB62" i="11"/>
  <c r="P62" i="8" s="1"/>
  <c r="AT62"/>
  <c r="AW62"/>
  <c r="AQ62"/>
  <c r="F62" i="11"/>
  <c r="M63" i="1"/>
  <c r="CA63" i="8"/>
  <c r="CH63"/>
  <c r="N63" i="7"/>
  <c r="BU63" i="8"/>
  <c r="B67" i="1"/>
  <c r="BI67" s="1"/>
  <c r="L68" i="11"/>
  <c r="B67" i="2"/>
  <c r="CM68" i="8"/>
  <c r="AJ69" i="14"/>
  <c r="A68" i="2"/>
  <c r="M68" i="5"/>
  <c r="A68" i="9"/>
  <c r="B68" i="14"/>
  <c r="AD68" i="8"/>
  <c r="J69" i="10"/>
  <c r="K68" i="11"/>
  <c r="A68" i="7"/>
  <c r="A68" i="8"/>
  <c r="DR63"/>
  <c r="DS63"/>
  <c r="EP63"/>
  <c r="DT63"/>
  <c r="CW63"/>
  <c r="DN63"/>
  <c r="DO63"/>
  <c r="CU64"/>
  <c r="CT64"/>
  <c r="DQ64" s="1"/>
  <c r="CS64"/>
  <c r="DP64" s="1"/>
  <c r="Y66" i="1"/>
  <c r="Q69" i="2"/>
  <c r="I70" i="8"/>
  <c r="AO63" i="5"/>
  <c r="DY62" i="8"/>
  <c r="DZ62" s="1"/>
  <c r="AT61" i="1"/>
  <c r="BP63" i="8"/>
  <c r="AN63" i="5"/>
  <c r="BY63" i="8"/>
  <c r="BZ63"/>
  <c r="E61" i="11"/>
  <c r="CF63" i="8"/>
  <c r="BQ63"/>
  <c r="DH63"/>
  <c r="EH63" s="1"/>
  <c r="BT63"/>
  <c r="AM63" i="5"/>
  <c r="EI62" i="8"/>
  <c r="AC63" i="10"/>
  <c r="X63" s="1"/>
  <c r="Y63" s="1"/>
  <c r="D64" i="9"/>
  <c r="CO63" i="8"/>
  <c r="CN63"/>
  <c r="AL63" i="5"/>
  <c r="AV62" i="8"/>
  <c r="AW62" i="1" s="1"/>
  <c r="L62" s="1"/>
  <c r="AO62" i="8" s="1"/>
  <c r="BO61" i="1"/>
  <c r="CX63" i="8"/>
  <c r="AU62"/>
  <c r="CY63"/>
  <c r="EA63" s="1"/>
  <c r="DG63"/>
  <c r="EG63" s="1"/>
  <c r="CV63"/>
  <c r="DX63" s="1"/>
  <c r="EB63" s="1"/>
  <c r="AE63" i="7"/>
  <c r="AF63" s="1"/>
  <c r="DB63" i="8"/>
  <c r="EC63" s="1"/>
  <c r="ED63" s="1"/>
  <c r="CG63"/>
  <c r="A65" i="5"/>
  <c r="E65" s="1"/>
  <c r="EQ65" i="8" s="1"/>
  <c r="CZ65" s="1"/>
  <c r="AP62" i="5"/>
  <c r="AQ62"/>
  <c r="AU62" i="1" s="1"/>
  <c r="H67" i="5"/>
  <c r="F66" i="7"/>
  <c r="D66" i="10"/>
  <c r="V65" i="2"/>
  <c r="AR66" i="5"/>
  <c r="L66"/>
  <c r="H65" i="10"/>
  <c r="J65" i="7"/>
  <c r="DE65" i="5"/>
  <c r="I65" i="7"/>
  <c r="DD65" i="5"/>
  <c r="K66"/>
  <c r="G65" i="10"/>
  <c r="DB66" i="5"/>
  <c r="G66" i="7"/>
  <c r="I67" i="5"/>
  <c r="E66" i="10"/>
  <c r="D60" i="11"/>
  <c r="BM60" i="1"/>
  <c r="AK60" i="5"/>
  <c r="AQ60" i="1"/>
  <c r="U60" s="1"/>
  <c r="J61" s="1"/>
  <c r="AP61" i="8" s="1"/>
  <c r="BY68" i="11"/>
  <c r="AA67" i="7"/>
  <c r="AE67" i="8" s="1"/>
  <c r="BC67" s="1"/>
  <c r="K67" i="10"/>
  <c r="DG67" i="5"/>
  <c r="W65" i="1"/>
  <c r="J67" i="2"/>
  <c r="DA66" i="5"/>
  <c r="P63" i="1"/>
  <c r="D62" i="14"/>
  <c r="X67" i="1"/>
  <c r="G67" i="5"/>
  <c r="C66" i="10"/>
  <c r="E66" i="7"/>
  <c r="CZ66" i="5"/>
  <c r="DF68" i="8"/>
  <c r="M68" i="2"/>
  <c r="N67"/>
  <c r="AU64" i="5"/>
  <c r="A64" i="10"/>
  <c r="AA64" s="1"/>
  <c r="Q64" i="1"/>
  <c r="E64" i="14" s="1"/>
  <c r="AV64" i="5"/>
  <c r="E64" i="1"/>
  <c r="BS64" i="5"/>
  <c r="AH64"/>
  <c r="C64" i="14"/>
  <c r="B64" i="7"/>
  <c r="A64" i="11"/>
  <c r="AI64" i="5"/>
  <c r="W64" i="8"/>
  <c r="B64" i="9"/>
  <c r="AB63" i="2"/>
  <c r="BN64" i="8"/>
  <c r="BO64"/>
  <c r="DM64" s="1"/>
  <c r="EO64"/>
  <c r="DT64" s="1"/>
  <c r="AB64"/>
  <c r="CQ64"/>
  <c r="DA64" s="1"/>
  <c r="DL64"/>
  <c r="DD63"/>
  <c r="DC63"/>
  <c r="R67" i="2"/>
  <c r="J68" i="8"/>
  <c r="DC67" i="5"/>
  <c r="H67" i="7"/>
  <c r="F67" i="10"/>
  <c r="J68" i="5"/>
  <c r="DE68" i="8"/>
  <c r="O68" i="2"/>
  <c r="CY67" i="5"/>
  <c r="S68" i="2"/>
  <c r="K69" i="8"/>
  <c r="U13" i="2"/>
  <c r="W12" s="1"/>
  <c r="C13" s="1"/>
  <c r="B69" i="10"/>
  <c r="D69" i="7"/>
  <c r="F70" i="5"/>
  <c r="P69" i="2"/>
  <c r="H70" i="8"/>
  <c r="B66" i="5"/>
  <c r="J66" i="2"/>
  <c r="DF65" i="5"/>
  <c r="AC67" i="1" l="1"/>
  <c r="BC68" i="5"/>
  <c r="J68" i="2" s="1"/>
  <c r="AZ71" i="5"/>
  <c r="BN71"/>
  <c r="AF69" i="1"/>
  <c r="BK70" i="5"/>
  <c r="AD68" i="1"/>
  <c r="BE68" i="5"/>
  <c r="AE66" i="1"/>
  <c r="W66" s="1"/>
  <c r="BP69" i="5"/>
  <c r="AB68" i="1"/>
  <c r="O68"/>
  <c r="DK68" i="8" s="1"/>
  <c r="DI67"/>
  <c r="DJ67"/>
  <c r="AR62"/>
  <c r="C62" i="9"/>
  <c r="AR62" i="1"/>
  <c r="V62" s="1"/>
  <c r="K63" s="1"/>
  <c r="BN62"/>
  <c r="AD64" i="9"/>
  <c r="AV64" i="1" s="1"/>
  <c r="N67"/>
  <c r="AA63" i="11"/>
  <c r="AC63"/>
  <c r="T63" i="8" s="1"/>
  <c r="Y63" i="11"/>
  <c r="AH63" i="1" s="1"/>
  <c r="AD63" i="11"/>
  <c r="AI63" i="1" s="1"/>
  <c r="AB63" i="11"/>
  <c r="P63" i="8" s="1"/>
  <c r="Z63" i="11"/>
  <c r="AC63" i="2" s="1"/>
  <c r="AT63" i="8"/>
  <c r="AQ63"/>
  <c r="F63" i="11"/>
  <c r="M64" i="1"/>
  <c r="AW63" i="8"/>
  <c r="BU64"/>
  <c r="CA64"/>
  <c r="CH64"/>
  <c r="B68" i="2"/>
  <c r="L69" i="11"/>
  <c r="B68" i="1"/>
  <c r="BI68" s="1"/>
  <c r="A69" i="2"/>
  <c r="M69" i="5"/>
  <c r="A69" i="9"/>
  <c r="A69" i="7"/>
  <c r="A69" i="8"/>
  <c r="J70" i="10"/>
  <c r="B69" i="14"/>
  <c r="AD69" i="8"/>
  <c r="K69" i="11"/>
  <c r="CM69" i="8"/>
  <c r="AJ70" i="14"/>
  <c r="DR64" i="8"/>
  <c r="DS64"/>
  <c r="DY63"/>
  <c r="DZ63" s="1"/>
  <c r="DN64"/>
  <c r="DO64"/>
  <c r="CS65"/>
  <c r="DP65" s="1"/>
  <c r="CT65"/>
  <c r="DQ65" s="1"/>
  <c r="CU65"/>
  <c r="B67" i="5"/>
  <c r="Y67" i="1"/>
  <c r="AH63" i="7"/>
  <c r="Q70" i="2"/>
  <c r="I71" i="8"/>
  <c r="AQ63" i="5"/>
  <c r="AU63" i="1" s="1"/>
  <c r="AG63" i="7"/>
  <c r="AI63" s="1"/>
  <c r="EI63" i="8"/>
  <c r="AU63"/>
  <c r="AP63" i="5"/>
  <c r="AV63" i="8"/>
  <c r="AW63" i="1" s="1"/>
  <c r="L63" s="1"/>
  <c r="BO63" s="1"/>
  <c r="AT62"/>
  <c r="CQ65" i="8"/>
  <c r="DA65" s="1"/>
  <c r="BS65" i="5"/>
  <c r="W65" i="8"/>
  <c r="AB65"/>
  <c r="BO62" i="1"/>
  <c r="E62" i="11"/>
  <c r="EO65" i="8"/>
  <c r="Q65" i="1"/>
  <c r="E65" i="14" s="1"/>
  <c r="A65" i="10"/>
  <c r="AA65" s="1"/>
  <c r="B65" i="7"/>
  <c r="AE65" s="1"/>
  <c r="AF65" s="1"/>
  <c r="AV65" i="5"/>
  <c r="AH65"/>
  <c r="C65" i="14"/>
  <c r="AB64" i="2"/>
  <c r="AI65" i="5"/>
  <c r="B65" i="9"/>
  <c r="A65" i="11"/>
  <c r="BN65" i="8"/>
  <c r="CO65" s="1"/>
  <c r="E65" i="1"/>
  <c r="BO65" i="8"/>
  <c r="DM65" s="1"/>
  <c r="AU65" i="5"/>
  <c r="DL65" i="8"/>
  <c r="AR67" i="5"/>
  <c r="D67" i="10"/>
  <c r="F67" i="7"/>
  <c r="H68" i="5"/>
  <c r="J66" i="7"/>
  <c r="L67" i="5"/>
  <c r="DE66"/>
  <c r="H66" i="10"/>
  <c r="G66"/>
  <c r="K67" i="5"/>
  <c r="I66" i="7"/>
  <c r="DD66" i="5"/>
  <c r="V66" i="2"/>
  <c r="A66" i="5"/>
  <c r="E66" s="1"/>
  <c r="EQ66" i="8" s="1"/>
  <c r="CZ66" s="1"/>
  <c r="I68" i="5"/>
  <c r="DB67"/>
  <c r="G67" i="7"/>
  <c r="E67" i="10"/>
  <c r="AN64" i="5"/>
  <c r="EE63" i="8"/>
  <c r="EF63" s="1"/>
  <c r="Q64" i="7"/>
  <c r="AE64"/>
  <c r="AF64" s="1"/>
  <c r="CZ67" i="5"/>
  <c r="G68"/>
  <c r="C67" i="10"/>
  <c r="E67" i="7"/>
  <c r="X68" i="1"/>
  <c r="DH64" i="8"/>
  <c r="EH64" s="1"/>
  <c r="EP64"/>
  <c r="N64" i="11"/>
  <c r="DG68" i="5"/>
  <c r="AM64"/>
  <c r="AC64" i="10"/>
  <c r="X64" s="1"/>
  <c r="Y64" s="1"/>
  <c r="AO64" i="5"/>
  <c r="AL64"/>
  <c r="CO64" i="8"/>
  <c r="CN64"/>
  <c r="CR64"/>
  <c r="H68" i="7"/>
  <c r="DC68" i="5"/>
  <c r="J69"/>
  <c r="F68" i="10"/>
  <c r="BP64" i="8"/>
  <c r="BQ64"/>
  <c r="N64" i="7"/>
  <c r="BT64" i="8"/>
  <c r="BZ64"/>
  <c r="BY64"/>
  <c r="CG64"/>
  <c r="CF64"/>
  <c r="D65" i="9"/>
  <c r="H71" i="8"/>
  <c r="P70" i="2"/>
  <c r="S69"/>
  <c r="K70" i="8"/>
  <c r="O69" i="2"/>
  <c r="DE69" i="8"/>
  <c r="D70" i="7"/>
  <c r="B70" i="10"/>
  <c r="F71" i="5"/>
  <c r="I13" i="2"/>
  <c r="H13"/>
  <c r="F13"/>
  <c r="F13" i="1"/>
  <c r="DG64" i="8"/>
  <c r="EG64" s="1"/>
  <c r="CW64"/>
  <c r="CY64"/>
  <c r="EA64" s="1"/>
  <c r="CV64"/>
  <c r="DX64" s="1"/>
  <c r="DB64"/>
  <c r="EC64" s="1"/>
  <c r="ED64" s="1"/>
  <c r="CX64"/>
  <c r="M69" i="2"/>
  <c r="DF69" i="8"/>
  <c r="N68" i="2"/>
  <c r="CY68" i="5"/>
  <c r="R68" i="2"/>
  <c r="J69" i="8"/>
  <c r="D63" i="14"/>
  <c r="P64" i="1"/>
  <c r="D61" i="11"/>
  <c r="AK61" i="5"/>
  <c r="BM61" i="1"/>
  <c r="AQ61"/>
  <c r="U61" s="1"/>
  <c r="J62" s="1"/>
  <c r="AP62" i="8" s="1"/>
  <c r="DA67" i="5"/>
  <c r="AA68" i="7"/>
  <c r="AE68" i="8" s="1"/>
  <c r="BC68" s="1"/>
  <c r="K68" i="10"/>
  <c r="BY69" i="11"/>
  <c r="DF66" i="5"/>
  <c r="AC68" i="1" l="1"/>
  <c r="BC69" i="5"/>
  <c r="BE69"/>
  <c r="AE67" i="1"/>
  <c r="AZ72" i="5"/>
  <c r="BP70"/>
  <c r="AB69" i="1"/>
  <c r="BN72" i="5"/>
  <c r="AF70" i="1"/>
  <c r="BK71" i="5"/>
  <c r="AD69" i="1"/>
  <c r="O69"/>
  <c r="DK69" i="8" s="1"/>
  <c r="DJ68"/>
  <c r="DI68"/>
  <c r="AR63"/>
  <c r="C63" i="9"/>
  <c r="BN63" i="1"/>
  <c r="AR63"/>
  <c r="V63" s="1"/>
  <c r="K64" s="1"/>
  <c r="AR64" i="8" s="1"/>
  <c r="AD65" i="9"/>
  <c r="AV65" i="1" s="1"/>
  <c r="N68"/>
  <c r="AC64" i="11"/>
  <c r="T64" i="8" s="1"/>
  <c r="AA64" i="11"/>
  <c r="Y64"/>
  <c r="AH64" i="1" s="1"/>
  <c r="AD64" i="11"/>
  <c r="AI64" i="1" s="1"/>
  <c r="Z64" i="11"/>
  <c r="AC64" i="2" s="1"/>
  <c r="AB64" i="11"/>
  <c r="P64" i="8" s="1"/>
  <c r="AT64"/>
  <c r="AW64"/>
  <c r="AQ64"/>
  <c r="F64" i="11"/>
  <c r="M65" i="1"/>
  <c r="CA65" i="8"/>
  <c r="CH65"/>
  <c r="BZ65"/>
  <c r="BU65"/>
  <c r="B69" i="2"/>
  <c r="L70" i="11"/>
  <c r="B69" i="1"/>
  <c r="BI69" s="1"/>
  <c r="AJ71" i="14"/>
  <c r="CM70" i="8"/>
  <c r="A70" i="2"/>
  <c r="K70" i="11"/>
  <c r="A70" i="9"/>
  <c r="B70" i="14"/>
  <c r="A70" i="8"/>
  <c r="M70" i="5"/>
  <c r="J71" i="10"/>
  <c r="A70" i="7"/>
  <c r="AD70" i="8"/>
  <c r="EP65"/>
  <c r="DT65"/>
  <c r="DR65"/>
  <c r="DS65"/>
  <c r="DG65"/>
  <c r="EG65" s="1"/>
  <c r="DN65"/>
  <c r="DO65"/>
  <c r="CS66"/>
  <c r="DP66" s="1"/>
  <c r="CT66"/>
  <c r="DQ66" s="1"/>
  <c r="CU66"/>
  <c r="Y68" i="1"/>
  <c r="Q71" i="2"/>
  <c r="I72" i="8"/>
  <c r="Q65" i="7"/>
  <c r="D66" i="9"/>
  <c r="CR65" i="8"/>
  <c r="DC65" s="1"/>
  <c r="AN65" i="5"/>
  <c r="N65" i="7"/>
  <c r="BY65" i="8"/>
  <c r="CG65"/>
  <c r="AT63" i="1"/>
  <c r="CF65" i="8"/>
  <c r="BP65"/>
  <c r="BQ65"/>
  <c r="BT65"/>
  <c r="DB65"/>
  <c r="EC65" s="1"/>
  <c r="ED65" s="1"/>
  <c r="CX65"/>
  <c r="CY65"/>
  <c r="EA65" s="1"/>
  <c r="CV65"/>
  <c r="DX65" s="1"/>
  <c r="EB65" s="1"/>
  <c r="CW65"/>
  <c r="AL65" i="5"/>
  <c r="CN65" i="8"/>
  <c r="E63" i="11"/>
  <c r="AO63" i="8"/>
  <c r="N65" i="11"/>
  <c r="DH65" i="8"/>
  <c r="EH65" s="1"/>
  <c r="AO65" i="5"/>
  <c r="AM65"/>
  <c r="AC65" i="10"/>
  <c r="X65" s="1"/>
  <c r="Y65" s="1"/>
  <c r="V67" i="2"/>
  <c r="F68" i="7"/>
  <c r="H69" i="5"/>
  <c r="D68" i="10"/>
  <c r="A67" i="5"/>
  <c r="E67" s="1"/>
  <c r="EQ67" i="8" s="1"/>
  <c r="CZ67" s="1"/>
  <c r="AR68" i="5"/>
  <c r="L68"/>
  <c r="J67" i="7"/>
  <c r="DE67" i="5"/>
  <c r="H67" i="10"/>
  <c r="DD67" i="5"/>
  <c r="I67" i="7"/>
  <c r="K68" i="5"/>
  <c r="G67" i="10"/>
  <c r="G68" i="7"/>
  <c r="I69" i="5"/>
  <c r="DB68"/>
  <c r="E68" i="10"/>
  <c r="EI64" i="8"/>
  <c r="AP64" i="5"/>
  <c r="DY64" i="8"/>
  <c r="DZ64" s="1"/>
  <c r="BM62" i="1"/>
  <c r="AQ62"/>
  <c r="U62" s="1"/>
  <c r="J63" s="1"/>
  <c r="AP63" i="8" s="1"/>
  <c r="D62" i="11"/>
  <c r="AK62" i="5"/>
  <c r="AA69" i="7"/>
  <c r="AE69" i="8" s="1"/>
  <c r="BC69" s="1"/>
  <c r="BY70" i="11"/>
  <c r="K69" i="10"/>
  <c r="J70" i="8"/>
  <c r="R69" i="2"/>
  <c r="CY69" i="5"/>
  <c r="F72"/>
  <c r="D71" i="7"/>
  <c r="B71" i="10"/>
  <c r="F69"/>
  <c r="J70" i="5"/>
  <c r="DC69"/>
  <c r="H69" i="7"/>
  <c r="CZ68" i="5"/>
  <c r="C68" i="10"/>
  <c r="E68" i="7"/>
  <c r="G69" i="5"/>
  <c r="N69" i="2"/>
  <c r="EB64" i="8"/>
  <c r="AG65" i="7"/>
  <c r="AI65" s="1"/>
  <c r="AH65"/>
  <c r="DG69" i="5"/>
  <c r="AV64" i="8"/>
  <c r="AW64" i="1" s="1"/>
  <c r="L64" s="1"/>
  <c r="BO64" s="1"/>
  <c r="S70" i="2"/>
  <c r="K71" i="8"/>
  <c r="C66" i="14"/>
  <c r="B66" i="7"/>
  <c r="A66" i="10"/>
  <c r="AA66" s="1"/>
  <c r="AV66" i="5"/>
  <c r="BS66"/>
  <c r="A66" i="11"/>
  <c r="AH66" i="5"/>
  <c r="AU66"/>
  <c r="W66" i="8"/>
  <c r="B66" i="9"/>
  <c r="Q66" i="1"/>
  <c r="E66" i="14" s="1"/>
  <c r="AI66" i="5"/>
  <c r="E66" i="1"/>
  <c r="AB65" i="2"/>
  <c r="BN66" i="8"/>
  <c r="BO66"/>
  <c r="DM66" s="1"/>
  <c r="AB66"/>
  <c r="EO66"/>
  <c r="DT66" s="1"/>
  <c r="CQ66"/>
  <c r="DA66" s="1"/>
  <c r="DL66"/>
  <c r="O70" i="2"/>
  <c r="DE70" i="8"/>
  <c r="DD64"/>
  <c r="DC64"/>
  <c r="AU64"/>
  <c r="B68" i="5"/>
  <c r="M70" i="2"/>
  <c r="DF70" i="8"/>
  <c r="W67" i="1"/>
  <c r="DA68" i="5"/>
  <c r="P71" i="2"/>
  <c r="H72" i="8"/>
  <c r="X69" i="1"/>
  <c r="AH64" i="7"/>
  <c r="AG64"/>
  <c r="AI64" s="1"/>
  <c r="AQ64" i="5"/>
  <c r="AU64" i="1" s="1"/>
  <c r="D64" i="14"/>
  <c r="P65" i="1"/>
  <c r="AA13"/>
  <c r="S13" s="1"/>
  <c r="H14" s="1"/>
  <c r="I13" i="11"/>
  <c r="O13" i="7"/>
  <c r="AP13" i="1"/>
  <c r="T13" s="1"/>
  <c r="J13" i="11"/>
  <c r="G13" i="2"/>
  <c r="Z13" s="1"/>
  <c r="Z14" i="8" s="1"/>
  <c r="DF67" i="5"/>
  <c r="J69" i="2" l="1"/>
  <c r="AC69" i="1"/>
  <c r="BC70" i="5"/>
  <c r="BK72"/>
  <c r="AD70" i="1"/>
  <c r="BE70" i="5"/>
  <c r="AE68" i="1"/>
  <c r="AZ73" i="5"/>
  <c r="BP71"/>
  <c r="AB70" i="1"/>
  <c r="BN73" i="5"/>
  <c r="AF71" i="1"/>
  <c r="O70"/>
  <c r="DK70" i="8" s="1"/>
  <c r="DI69"/>
  <c r="DJ69"/>
  <c r="AD66" i="9"/>
  <c r="AV66" i="1" s="1"/>
  <c r="BN64"/>
  <c r="AR64"/>
  <c r="V64" s="1"/>
  <c r="K65" s="1"/>
  <c r="AR65" i="8" s="1"/>
  <c r="C64" i="9"/>
  <c r="N69" i="1"/>
  <c r="AA65" i="11"/>
  <c r="Y65"/>
  <c r="AH65" i="1" s="1"/>
  <c r="AC65" i="11"/>
  <c r="T65" i="8" s="1"/>
  <c r="AB65" i="11"/>
  <c r="P65" i="8" s="1"/>
  <c r="Z65" i="11"/>
  <c r="AC65" i="2" s="1"/>
  <c r="AD65" i="11"/>
  <c r="AI65" i="1" s="1"/>
  <c r="I14"/>
  <c r="AT65" i="8"/>
  <c r="AQ65"/>
  <c r="F65" i="11"/>
  <c r="M66" i="1"/>
  <c r="AW65" i="8"/>
  <c r="BU66"/>
  <c r="CA66"/>
  <c r="CH66"/>
  <c r="A71" i="2"/>
  <c r="M71" i="5"/>
  <c r="AD71" i="8"/>
  <c r="B71" i="14"/>
  <c r="A71" i="7"/>
  <c r="K71" i="11"/>
  <c r="A71" i="8"/>
  <c r="A71" i="9"/>
  <c r="J72" i="10"/>
  <c r="AJ72" i="14"/>
  <c r="CM71" i="8"/>
  <c r="B70" i="1"/>
  <c r="BI70" s="1"/>
  <c r="L71" i="11"/>
  <c r="B70" i="2"/>
  <c r="DR66" i="8"/>
  <c r="DS66"/>
  <c r="DN66"/>
  <c r="DO66"/>
  <c r="EI65"/>
  <c r="EO67"/>
  <c r="CT67"/>
  <c r="DQ67" s="1"/>
  <c r="CU67"/>
  <c r="CS67"/>
  <c r="DP67" s="1"/>
  <c r="B69" i="5"/>
  <c r="Y69" i="1"/>
  <c r="DD65" i="8"/>
  <c r="EE65" s="1"/>
  <c r="EF65" s="1"/>
  <c r="Q72" i="2"/>
  <c r="I73" i="8"/>
  <c r="D67" i="9"/>
  <c r="AV65" i="8"/>
  <c r="AW65" i="1" s="1"/>
  <c r="L65" s="1"/>
  <c r="BO65" s="1"/>
  <c r="BS67" i="5"/>
  <c r="AP65"/>
  <c r="AU65" i="8"/>
  <c r="AQ65" i="5"/>
  <c r="AU65" i="1" s="1"/>
  <c r="C67" i="14"/>
  <c r="DY65" i="8"/>
  <c r="DZ65" s="1"/>
  <c r="CQ67"/>
  <c r="DA67" s="1"/>
  <c r="DL67"/>
  <c r="AB67"/>
  <c r="A67" i="10"/>
  <c r="AA67" s="1"/>
  <c r="W67" i="8"/>
  <c r="AI67" i="5"/>
  <c r="E67" i="1"/>
  <c r="AH67" i="5"/>
  <c r="AB66" i="2"/>
  <c r="A67" i="11"/>
  <c r="AU67" i="5"/>
  <c r="BN67" i="8"/>
  <c r="AV67" i="5"/>
  <c r="Q67" i="1"/>
  <c r="E67" i="14" s="1"/>
  <c r="BO67" i="8"/>
  <c r="DM67" s="1"/>
  <c r="B67" i="9"/>
  <c r="B67" i="7"/>
  <c r="Q67" s="1"/>
  <c r="V68" i="2"/>
  <c r="D69" i="10"/>
  <c r="H70" i="5"/>
  <c r="F69" i="7"/>
  <c r="DE68" i="5"/>
  <c r="H68" i="10"/>
  <c r="L69" i="5"/>
  <c r="J68" i="7"/>
  <c r="AR69" i="5"/>
  <c r="K69"/>
  <c r="I68" i="7"/>
  <c r="G68" i="10"/>
  <c r="DD68" i="5"/>
  <c r="A68"/>
  <c r="E68" s="1"/>
  <c r="EQ68" i="8" s="1"/>
  <c r="CZ68" s="1"/>
  <c r="G69" i="7"/>
  <c r="E69" i="10"/>
  <c r="DB69" i="5"/>
  <c r="I70"/>
  <c r="AO64" i="8"/>
  <c r="E64" i="11"/>
  <c r="EE64" i="8"/>
  <c r="EF64" s="1"/>
  <c r="AT64" i="1"/>
  <c r="G70" i="5"/>
  <c r="E69" i="7"/>
  <c r="CZ69" i="5"/>
  <c r="C69" i="10"/>
  <c r="DG70" i="5"/>
  <c r="R70" i="2"/>
  <c r="J71" i="8"/>
  <c r="D72" i="7"/>
  <c r="B72" i="10"/>
  <c r="F73" i="5"/>
  <c r="H73" i="8"/>
  <c r="P72" i="2"/>
  <c r="DE71" i="8"/>
  <c r="O71" i="2"/>
  <c r="N66" i="7"/>
  <c r="BP66" i="8"/>
  <c r="BQ66"/>
  <c r="BT66"/>
  <c r="BZ66"/>
  <c r="BY66"/>
  <c r="CG66"/>
  <c r="CF66"/>
  <c r="Q66" i="7"/>
  <c r="AE66"/>
  <c r="AF66" s="1"/>
  <c r="X70" i="1"/>
  <c r="DH66" i="8"/>
  <c r="EH66" s="1"/>
  <c r="EP66"/>
  <c r="AQ63" i="1"/>
  <c r="U63" s="1"/>
  <c r="J64" s="1"/>
  <c r="AP64" i="8" s="1"/>
  <c r="D63" i="11"/>
  <c r="BM63" i="1"/>
  <c r="AK63" i="5"/>
  <c r="M71" i="2"/>
  <c r="DF71" i="8"/>
  <c r="AC66" i="10"/>
  <c r="X66" s="1"/>
  <c r="Y66" s="1"/>
  <c r="AO66" i="5"/>
  <c r="AM66"/>
  <c r="AL66"/>
  <c r="N70" i="2"/>
  <c r="F70" i="10"/>
  <c r="H70" i="7"/>
  <c r="DC70" i="5"/>
  <c r="J71"/>
  <c r="K70" i="10"/>
  <c r="AA70" i="7"/>
  <c r="AE70" i="8" s="1"/>
  <c r="BC70" s="1"/>
  <c r="BY71" i="11"/>
  <c r="D65" i="14"/>
  <c r="P66" i="1"/>
  <c r="J70" i="2"/>
  <c r="W68" i="1"/>
  <c r="DA69" i="5"/>
  <c r="CW66" i="8"/>
  <c r="CY66"/>
  <c r="EA66" s="1"/>
  <c r="CX66"/>
  <c r="CV66"/>
  <c r="DX66" s="1"/>
  <c r="DB66"/>
  <c r="EC66" s="1"/>
  <c r="ED66" s="1"/>
  <c r="DG66"/>
  <c r="EG66" s="1"/>
  <c r="CY70" i="5"/>
  <c r="AN66"/>
  <c r="CN66" i="8"/>
  <c r="CR66"/>
  <c r="CO66"/>
  <c r="P13" i="7"/>
  <c r="F13" i="9"/>
  <c r="AN14" i="8"/>
  <c r="V14" i="10"/>
  <c r="AJ14" i="5"/>
  <c r="AC14" i="7"/>
  <c r="BK14" i="1"/>
  <c r="C14" i="11"/>
  <c r="C13" i="8"/>
  <c r="N66" i="11"/>
  <c r="S71" i="2"/>
  <c r="K72" i="8"/>
  <c r="DF68" i="5"/>
  <c r="BC71" l="1"/>
  <c r="AC70" i="1"/>
  <c r="BP72" i="5"/>
  <c r="AB71" i="1"/>
  <c r="BK73" i="5"/>
  <c r="AD71" i="1"/>
  <c r="BN74" i="5"/>
  <c r="AF72" i="1"/>
  <c r="BE71" i="5"/>
  <c r="AE69" i="1"/>
  <c r="W69" s="1"/>
  <c r="AZ74" i="5"/>
  <c r="O71" i="1"/>
  <c r="DK71" i="8" s="1"/>
  <c r="DI70"/>
  <c r="DJ70"/>
  <c r="AS14"/>
  <c r="AO14" i="1"/>
  <c r="AD67" i="9"/>
  <c r="AV67" i="1" s="1"/>
  <c r="AR65"/>
  <c r="V65" s="1"/>
  <c r="K66" s="1"/>
  <c r="AR66" i="8" s="1"/>
  <c r="C65" i="9"/>
  <c r="BN65" i="1"/>
  <c r="N70"/>
  <c r="AC66" i="11"/>
  <c r="T66" i="8" s="1"/>
  <c r="AA66" i="11"/>
  <c r="Y66"/>
  <c r="AH66" i="1" s="1"/>
  <c r="AD66" i="11"/>
  <c r="AI66" i="1" s="1"/>
  <c r="AB66" i="11"/>
  <c r="P66" i="8" s="1"/>
  <c r="Z66" i="11"/>
  <c r="AC66" i="2" s="1"/>
  <c r="BL14" i="1"/>
  <c r="AT66" i="8"/>
  <c r="AW66"/>
  <c r="AQ66"/>
  <c r="M67" i="1"/>
  <c r="F66" i="11"/>
  <c r="CA67" i="8"/>
  <c r="CH67"/>
  <c r="N67" i="7"/>
  <c r="BU67" i="8"/>
  <c r="A72" i="2"/>
  <c r="K72" i="11"/>
  <c r="B72" i="14"/>
  <c r="A72" i="7"/>
  <c r="M72" i="5"/>
  <c r="AD72" i="8"/>
  <c r="J73" i="10"/>
  <c r="A72" i="8"/>
  <c r="A72" i="9"/>
  <c r="AJ73" i="14"/>
  <c r="CM72" i="8"/>
  <c r="B71" i="1"/>
  <c r="BI71" s="1"/>
  <c r="B71" i="2"/>
  <c r="L72" i="11"/>
  <c r="DH67" i="8"/>
  <c r="EH67" s="1"/>
  <c r="DT67"/>
  <c r="DR67"/>
  <c r="DS67"/>
  <c r="CV67"/>
  <c r="DX67" s="1"/>
  <c r="EB67" s="1"/>
  <c r="DN67"/>
  <c r="DO67"/>
  <c r="EP67"/>
  <c r="CS68"/>
  <c r="DP68" s="1"/>
  <c r="CT68"/>
  <c r="DQ68" s="1"/>
  <c r="CU68"/>
  <c r="Y70" i="1"/>
  <c r="BT67" i="8"/>
  <c r="I74"/>
  <c r="Q73" i="2"/>
  <c r="D68" i="9"/>
  <c r="CR67" i="8"/>
  <c r="DC67" s="1"/>
  <c r="AT65" i="1"/>
  <c r="CN67" i="8"/>
  <c r="CO67"/>
  <c r="CG67"/>
  <c r="AO67" i="5"/>
  <c r="DG67" i="8"/>
  <c r="EG67" s="1"/>
  <c r="CX67"/>
  <c r="CW67"/>
  <c r="DB67"/>
  <c r="EC67" s="1"/>
  <c r="ED67" s="1"/>
  <c r="CY67"/>
  <c r="EA67" s="1"/>
  <c r="AN67" i="5"/>
  <c r="N67" i="11"/>
  <c r="AE67" i="7"/>
  <c r="AF67" s="1"/>
  <c r="AM67" i="5"/>
  <c r="V69" i="2"/>
  <c r="AC67" i="10"/>
  <c r="X67" s="1"/>
  <c r="Y67" s="1"/>
  <c r="AL67" i="5"/>
  <c r="BY67" i="8"/>
  <c r="BZ67"/>
  <c r="CF67"/>
  <c r="BQ67"/>
  <c r="BP67"/>
  <c r="AO65"/>
  <c r="H71" i="5"/>
  <c r="F70" i="7"/>
  <c r="D70" i="10"/>
  <c r="E65" i="11"/>
  <c r="A69" i="5"/>
  <c r="E69" s="1"/>
  <c r="EQ69" i="8" s="1"/>
  <c r="CZ69" s="1"/>
  <c r="J69" i="7"/>
  <c r="L70" i="5"/>
  <c r="H69" i="10"/>
  <c r="DE69" i="5"/>
  <c r="AR70"/>
  <c r="DD69"/>
  <c r="K70"/>
  <c r="G69" i="10"/>
  <c r="I69" i="7"/>
  <c r="E70" i="10"/>
  <c r="G70" i="7"/>
  <c r="I71" i="5"/>
  <c r="DB70"/>
  <c r="DY66" i="8"/>
  <c r="DZ66" s="1"/>
  <c r="AP66" i="5"/>
  <c r="AH66" i="7"/>
  <c r="AG66"/>
  <c r="AI66" s="1"/>
  <c r="H74" i="8"/>
  <c r="P73" i="2"/>
  <c r="J72" i="8"/>
  <c r="R71" i="2"/>
  <c r="P67" i="1"/>
  <c r="D66" i="14"/>
  <c r="CZ70" i="5"/>
  <c r="C70" i="10"/>
  <c r="G71" i="5"/>
  <c r="E70" i="7"/>
  <c r="EB66" i="8"/>
  <c r="DA70" i="5"/>
  <c r="AQ64" i="1"/>
  <c r="U64" s="1"/>
  <c r="J65" s="1"/>
  <c r="AP65" i="8" s="1"/>
  <c r="AK64" i="5"/>
  <c r="BM64" i="1"/>
  <c r="D64" i="11"/>
  <c r="O72" i="2"/>
  <c r="DE72" i="8"/>
  <c r="DG71" i="5"/>
  <c r="N71" i="2"/>
  <c r="AI68" i="5"/>
  <c r="W68" i="8"/>
  <c r="C68" i="14"/>
  <c r="BS68" i="5"/>
  <c r="B68" i="9"/>
  <c r="AU68" i="5"/>
  <c r="AH68"/>
  <c r="Q68" i="1"/>
  <c r="E68" i="14" s="1"/>
  <c r="A68" i="11"/>
  <c r="B68" i="7"/>
  <c r="AV68" i="5"/>
  <c r="A68" i="10"/>
  <c r="AA68" s="1"/>
  <c r="E68" i="1"/>
  <c r="AB67" i="2"/>
  <c r="BN68" i="8"/>
  <c r="BO68"/>
  <c r="DM68" s="1"/>
  <c r="AB68"/>
  <c r="EO68"/>
  <c r="DT68" s="1"/>
  <c r="CQ68"/>
  <c r="DA68" s="1"/>
  <c r="DL68"/>
  <c r="B70" i="5"/>
  <c r="K73" i="8"/>
  <c r="S72" i="2"/>
  <c r="AA71" i="7"/>
  <c r="AE71" i="8" s="1"/>
  <c r="BC71" s="1"/>
  <c r="BY72" i="11"/>
  <c r="K71" i="10"/>
  <c r="M72" i="2"/>
  <c r="DF72" i="8"/>
  <c r="DC66"/>
  <c r="DD66"/>
  <c r="H71" i="7"/>
  <c r="DC71" i="5"/>
  <c r="J72"/>
  <c r="F71" i="10"/>
  <c r="X71" i="1"/>
  <c r="EI66" i="8"/>
  <c r="AV66"/>
  <c r="AW66" i="1" s="1"/>
  <c r="L66" s="1"/>
  <c r="BO66" s="1"/>
  <c r="F74" i="5"/>
  <c r="B73" i="10"/>
  <c r="D73" i="7"/>
  <c r="Y13" i="2"/>
  <c r="X13" s="1"/>
  <c r="CY71" i="5"/>
  <c r="AQ66"/>
  <c r="AU66" i="1" s="1"/>
  <c r="AU66" i="8"/>
  <c r="DF69" i="5"/>
  <c r="AC71" i="1" l="1"/>
  <c r="BC72" i="5"/>
  <c r="B71"/>
  <c r="BP73"/>
  <c r="AB72" i="1"/>
  <c r="AZ75" i="5"/>
  <c r="BK74"/>
  <c r="AD72" i="1"/>
  <c r="BN75" i="5"/>
  <c r="AF73" i="1"/>
  <c r="BE72" i="5"/>
  <c r="AE70" i="1"/>
  <c r="O72"/>
  <c r="DK72" i="8" s="1"/>
  <c r="DI71"/>
  <c r="DJ71"/>
  <c r="C66" i="9"/>
  <c r="BN66" i="1"/>
  <c r="AR66"/>
  <c r="V66" s="1"/>
  <c r="K67" s="1"/>
  <c r="AR67" i="8" s="1"/>
  <c r="AD68" i="9"/>
  <c r="AV68" i="1" s="1"/>
  <c r="N71"/>
  <c r="AC67" i="11"/>
  <c r="T67" i="8" s="1"/>
  <c r="Y67" i="11"/>
  <c r="AH67" i="1" s="1"/>
  <c r="AA67" i="11"/>
  <c r="AD67"/>
  <c r="AI67" i="1" s="1"/>
  <c r="Z67" i="11"/>
  <c r="AC67" i="2" s="1"/>
  <c r="AB67" i="11"/>
  <c r="P67" i="8" s="1"/>
  <c r="AT67"/>
  <c r="AQ67"/>
  <c r="F67" i="11"/>
  <c r="M68" i="1"/>
  <c r="AW67" i="8"/>
  <c r="BU68"/>
  <c r="CA68"/>
  <c r="CH68"/>
  <c r="CM73"/>
  <c r="AJ74" i="14"/>
  <c r="L73" i="11"/>
  <c r="B72" i="1"/>
  <c r="BI72" s="1"/>
  <c r="B72" i="2"/>
  <c r="A73"/>
  <c r="M73" i="5"/>
  <c r="A73" i="9"/>
  <c r="B73" i="14"/>
  <c r="A73" i="8"/>
  <c r="J74" i="10"/>
  <c r="A73" i="7"/>
  <c r="K73" i="11"/>
  <c r="AD73" i="8"/>
  <c r="J71" i="2"/>
  <c r="DR68" i="8"/>
  <c r="DS68"/>
  <c r="EI67"/>
  <c r="DN68"/>
  <c r="DO68"/>
  <c r="C69" i="14"/>
  <c r="CU69" i="8"/>
  <c r="CS69"/>
  <c r="DP69" s="1"/>
  <c r="CT69"/>
  <c r="DQ69" s="1"/>
  <c r="Y71" i="1"/>
  <c r="AG67" i="7"/>
  <c r="AI67" s="1"/>
  <c r="AH67"/>
  <c r="AP67" i="5"/>
  <c r="AB68" i="2"/>
  <c r="AI69" i="5"/>
  <c r="Q74" i="2"/>
  <c r="I75" i="8"/>
  <c r="BO69"/>
  <c r="DM69" s="1"/>
  <c r="E69" i="1"/>
  <c r="EO69" i="8"/>
  <c r="Q69" i="1"/>
  <c r="E69" i="14" s="1"/>
  <c r="W69" i="8"/>
  <c r="A69" i="10"/>
  <c r="AA69" s="1"/>
  <c r="BS69" i="5"/>
  <c r="DD67" i="8"/>
  <c r="EE67" s="1"/>
  <c r="EF67" s="1"/>
  <c r="AQ67" i="5"/>
  <c r="AU67" i="1" s="1"/>
  <c r="DY67" i="8"/>
  <c r="DZ67" s="1"/>
  <c r="DL69"/>
  <c r="B69" i="7"/>
  <c r="Q69" s="1"/>
  <c r="A69" i="11"/>
  <c r="B69" i="9"/>
  <c r="CQ69" i="8"/>
  <c r="DA69" s="1"/>
  <c r="BN69"/>
  <c r="CR69" s="1"/>
  <c r="AH69" i="5"/>
  <c r="AB69" i="8"/>
  <c r="AU69" i="5"/>
  <c r="AV69"/>
  <c r="AU67" i="8"/>
  <c r="AV67"/>
  <c r="AW67" i="1" s="1"/>
  <c r="L67" s="1"/>
  <c r="BO67" s="1"/>
  <c r="AR71" i="5"/>
  <c r="V70" i="2"/>
  <c r="D71" i="10"/>
  <c r="H72" i="5"/>
  <c r="F71" i="7"/>
  <c r="J70"/>
  <c r="L71" i="5"/>
  <c r="H70" i="10"/>
  <c r="DE70" i="5"/>
  <c r="I70" i="7"/>
  <c r="G70" i="10"/>
  <c r="K71" i="5"/>
  <c r="DD70"/>
  <c r="A70"/>
  <c r="E70" s="1"/>
  <c r="EQ70" i="8" s="1"/>
  <c r="CZ70" s="1"/>
  <c r="E71" i="10"/>
  <c r="DB71" i="5"/>
  <c r="G71" i="7"/>
  <c r="I72" i="5"/>
  <c r="EE66" i="8"/>
  <c r="EF66" s="1"/>
  <c r="AA72" i="7"/>
  <c r="AE72" i="8" s="1"/>
  <c r="BC72" s="1"/>
  <c r="K72" i="10"/>
  <c r="BY73" i="11"/>
  <c r="H75" i="8"/>
  <c r="P74" i="2"/>
  <c r="CN68" i="8"/>
  <c r="CO68"/>
  <c r="CR68"/>
  <c r="D69" i="9"/>
  <c r="AM68" i="5"/>
  <c r="AC68" i="10"/>
  <c r="X68" s="1"/>
  <c r="Y68" s="1"/>
  <c r="AO68" i="5"/>
  <c r="AL68"/>
  <c r="N72" i="2"/>
  <c r="W70" i="1"/>
  <c r="DA71" i="5"/>
  <c r="J73" i="8"/>
  <c r="R72" i="2"/>
  <c r="X72" i="1"/>
  <c r="CY72" i="5"/>
  <c r="D74" i="7"/>
  <c r="B74" i="10"/>
  <c r="F75" i="5"/>
  <c r="M73" i="2"/>
  <c r="DF73" i="8"/>
  <c r="K74"/>
  <c r="S73" i="2"/>
  <c r="N68" i="11"/>
  <c r="E71" i="7"/>
  <c r="G72" i="5"/>
  <c r="C71" i="10"/>
  <c r="CZ71" i="5"/>
  <c r="AN68"/>
  <c r="CV68" i="8"/>
  <c r="DX68" s="1"/>
  <c r="CW68"/>
  <c r="CY68"/>
  <c r="EA68" s="1"/>
  <c r="DG68"/>
  <c r="EG68" s="1"/>
  <c r="DB68"/>
  <c r="EC68" s="1"/>
  <c r="ED68" s="1"/>
  <c r="CX68"/>
  <c r="DG72" i="5"/>
  <c r="BP68" i="8"/>
  <c r="N68" i="7"/>
  <c r="BQ68" i="8"/>
  <c r="BT68"/>
  <c r="BZ68"/>
  <c r="BY68"/>
  <c r="CF68"/>
  <c r="CG68"/>
  <c r="Q68" i="7"/>
  <c r="AE68"/>
  <c r="AF68" s="1"/>
  <c r="O73" i="2"/>
  <c r="DE73" i="8"/>
  <c r="D65" i="11"/>
  <c r="AQ65" i="1"/>
  <c r="U65" s="1"/>
  <c r="J66" s="1"/>
  <c r="AP66" i="8" s="1"/>
  <c r="AK65" i="5"/>
  <c r="BM65" i="1"/>
  <c r="E66" i="11"/>
  <c r="AT66" i="1"/>
  <c r="L14" i="2"/>
  <c r="B14" i="8"/>
  <c r="D14" i="2" s="1"/>
  <c r="H14" i="11"/>
  <c r="E14" i="2"/>
  <c r="AB14" i="7"/>
  <c r="BD14" i="8"/>
  <c r="DC72" i="5"/>
  <c r="H72" i="7"/>
  <c r="F72" i="10"/>
  <c r="J73" i="5"/>
  <c r="DH68" i="8"/>
  <c r="EH68" s="1"/>
  <c r="EP68"/>
  <c r="D67" i="14"/>
  <c r="P68" i="1"/>
  <c r="AO66" i="8"/>
  <c r="DF70" i="5"/>
  <c r="B72" l="1"/>
  <c r="J72" i="2"/>
  <c r="AC72" i="1"/>
  <c r="BC73" i="5"/>
  <c r="BN76"/>
  <c r="AF74" i="1"/>
  <c r="BE73" i="5"/>
  <c r="AE71" i="1"/>
  <c r="BP74" i="5"/>
  <c r="AB73" i="1"/>
  <c r="AZ76" i="5"/>
  <c r="BK75"/>
  <c r="AD73" i="1"/>
  <c r="O73"/>
  <c r="DK73" i="8" s="1"/>
  <c r="DJ72"/>
  <c r="DI72"/>
  <c r="BN67" i="1"/>
  <c r="C67" i="9"/>
  <c r="AR67" i="1"/>
  <c r="V67" s="1"/>
  <c r="K68" s="1"/>
  <c r="AD69" i="9"/>
  <c r="AV69" i="1" s="1"/>
  <c r="N72"/>
  <c r="AC68" i="11"/>
  <c r="T68" i="8" s="1"/>
  <c r="AA68" i="11"/>
  <c r="Y68"/>
  <c r="AH68" i="1" s="1"/>
  <c r="Z68" i="11"/>
  <c r="AC68" i="2" s="1"/>
  <c r="AB68" i="11"/>
  <c r="P68" i="8" s="1"/>
  <c r="AD68" i="11"/>
  <c r="AI68" i="1" s="1"/>
  <c r="AT68" i="8"/>
  <c r="AW68"/>
  <c r="AQ68"/>
  <c r="F68" i="11"/>
  <c r="M69" i="1"/>
  <c r="CA69" i="8"/>
  <c r="CH69"/>
  <c r="BP69"/>
  <c r="BU69"/>
  <c r="AJ75" i="14"/>
  <c r="CM74" i="8"/>
  <c r="A74" i="2"/>
  <c r="K74" i="11"/>
  <c r="AD74" i="8"/>
  <c r="A74" i="7"/>
  <c r="M74" i="5"/>
  <c r="B74" i="14"/>
  <c r="A74" i="8"/>
  <c r="A74" i="9"/>
  <c r="J75" i="10"/>
  <c r="B73" i="2"/>
  <c r="B73" i="1"/>
  <c r="BI73" s="1"/>
  <c r="L74" i="11"/>
  <c r="DR69" i="8"/>
  <c r="DS69"/>
  <c r="EP69"/>
  <c r="DT69"/>
  <c r="DG69"/>
  <c r="EG69" s="1"/>
  <c r="DN69"/>
  <c r="DO69"/>
  <c r="AU70" i="5"/>
  <c r="CS70" i="8"/>
  <c r="DP70" s="1"/>
  <c r="CT70"/>
  <c r="DQ70" s="1"/>
  <c r="CU70"/>
  <c r="N69" i="11"/>
  <c r="Y72" i="1"/>
  <c r="AN69" i="5"/>
  <c r="DH69" i="8"/>
  <c r="EH69" s="1"/>
  <c r="I76"/>
  <c r="Q75" i="2"/>
  <c r="B43" i="4"/>
  <c r="AE69" i="7"/>
  <c r="AF69" s="1"/>
  <c r="CO69" i="8"/>
  <c r="AM69" i="5"/>
  <c r="CN69" i="8"/>
  <c r="D70" i="9"/>
  <c r="AT67" i="1"/>
  <c r="AL69" i="5"/>
  <c r="CX69" i="8"/>
  <c r="BZ69"/>
  <c r="AC69" i="10"/>
  <c r="X69" s="1"/>
  <c r="Y69" s="1"/>
  <c r="AO69" i="5"/>
  <c r="CW69" i="8"/>
  <c r="BQ69"/>
  <c r="BT69"/>
  <c r="CF69"/>
  <c r="CG69"/>
  <c r="CV69"/>
  <c r="DX69" s="1"/>
  <c r="EB69" s="1"/>
  <c r="CY69"/>
  <c r="EA69" s="1"/>
  <c r="DB69"/>
  <c r="EC69" s="1"/>
  <c r="ED69" s="1"/>
  <c r="BY69"/>
  <c r="N69" i="7"/>
  <c r="AO67" i="8"/>
  <c r="E67" i="11"/>
  <c r="F72" i="7"/>
  <c r="D72" i="10"/>
  <c r="H73" i="5"/>
  <c r="A71"/>
  <c r="E71" s="1"/>
  <c r="EQ71" i="8" s="1"/>
  <c r="CZ71" s="1"/>
  <c r="E70" i="1"/>
  <c r="EO70" i="8"/>
  <c r="AR72" i="5"/>
  <c r="BS70"/>
  <c r="J71" i="7"/>
  <c r="L72" i="5"/>
  <c r="DE71"/>
  <c r="H71" i="10"/>
  <c r="B70" i="7"/>
  <c r="Q70" s="1"/>
  <c r="C70" i="14"/>
  <c r="AI70" i="5"/>
  <c r="AV70"/>
  <c r="AH70"/>
  <c r="A70" i="11"/>
  <c r="AB69" i="2"/>
  <c r="B70" i="9"/>
  <c r="BN70" i="8"/>
  <c r="W70"/>
  <c r="DD71" i="5"/>
  <c r="V71" i="2"/>
  <c r="G71" i="10"/>
  <c r="I71" i="7"/>
  <c r="K72" i="5"/>
  <c r="CQ70" i="8"/>
  <c r="DA70" s="1"/>
  <c r="BO70"/>
  <c r="DM70" s="1"/>
  <c r="Q70" i="1"/>
  <c r="E70" i="14" s="1"/>
  <c r="DL70" i="8"/>
  <c r="AB70"/>
  <c r="A70" i="10"/>
  <c r="AA70" s="1"/>
  <c r="I73" i="5"/>
  <c r="DB72"/>
  <c r="E72" i="10"/>
  <c r="G72" i="7"/>
  <c r="EB68" i="8"/>
  <c r="J74"/>
  <c r="R73" i="2"/>
  <c r="C72" i="10"/>
  <c r="E72" i="7"/>
  <c r="G73" i="5"/>
  <c r="CZ72"/>
  <c r="DC69" i="8"/>
  <c r="DD69"/>
  <c r="DY68"/>
  <c r="DZ68" s="1"/>
  <c r="D68" i="14"/>
  <c r="P69" i="1"/>
  <c r="X73"/>
  <c r="AA73" i="7"/>
  <c r="AE73" i="8" s="1"/>
  <c r="BC73" s="1"/>
  <c r="K73" i="10"/>
  <c r="BY74" i="11"/>
  <c r="AQ68" i="5"/>
  <c r="AU68" i="1" s="1"/>
  <c r="DC73" i="5"/>
  <c r="H73" i="7"/>
  <c r="F73" i="10"/>
  <c r="J74" i="5"/>
  <c r="BM66" i="1"/>
  <c r="D66" i="11"/>
  <c r="AK66" i="5"/>
  <c r="AQ66" i="1"/>
  <c r="U66" s="1"/>
  <c r="J67" s="1"/>
  <c r="AP67" i="8" s="1"/>
  <c r="S74" i="2"/>
  <c r="K75" i="8"/>
  <c r="AV68"/>
  <c r="AW68" i="1" s="1"/>
  <c r="L68" s="1"/>
  <c r="AO68" i="8" s="1"/>
  <c r="EI68"/>
  <c r="U14" i="2"/>
  <c r="W13" s="1"/>
  <c r="C14" s="1"/>
  <c r="CY73" i="5"/>
  <c r="N73" i="2"/>
  <c r="H76" i="8"/>
  <c r="B37" i="4"/>
  <c r="P75" i="2"/>
  <c r="E47" i="4"/>
  <c r="AU68" i="8"/>
  <c r="M74" i="2"/>
  <c r="DF74" i="8"/>
  <c r="DC68"/>
  <c r="DD68"/>
  <c r="B75" i="10"/>
  <c r="D75" i="7"/>
  <c r="F76" i="5"/>
  <c r="AP68"/>
  <c r="DG73"/>
  <c r="AH68" i="7"/>
  <c r="AG68"/>
  <c r="AI68" s="1"/>
  <c r="DE74" i="8"/>
  <c r="O74" i="2"/>
  <c r="W71" i="1"/>
  <c r="DA72" i="5"/>
  <c r="DF71"/>
  <c r="AC73" i="1" l="1"/>
  <c r="BC74" i="5"/>
  <c r="AZ77"/>
  <c r="BN77"/>
  <c r="AF75" i="1"/>
  <c r="BK76" i="5"/>
  <c r="AD74" i="1"/>
  <c r="BE74" i="5"/>
  <c r="AE72" i="1"/>
  <c r="W72" s="1"/>
  <c r="BP75" i="5"/>
  <c r="AB74" i="1"/>
  <c r="O74"/>
  <c r="DK74" i="8" s="1"/>
  <c r="DI73"/>
  <c r="DJ73"/>
  <c r="AR68"/>
  <c r="BN68" i="1"/>
  <c r="C68" i="9"/>
  <c r="AR68" i="1"/>
  <c r="V68" s="1"/>
  <c r="K69" s="1"/>
  <c r="AR69" i="8" s="1"/>
  <c r="AD70" i="9"/>
  <c r="AV70" i="1" s="1"/>
  <c r="N73"/>
  <c r="AN70" i="5"/>
  <c r="AC69" i="11"/>
  <c r="T69" i="8" s="1"/>
  <c r="AA69" i="11"/>
  <c r="Y69"/>
  <c r="AH69" i="1" s="1"/>
  <c r="Z69" i="11"/>
  <c r="AC69" i="2" s="1"/>
  <c r="AB69" i="11"/>
  <c r="P69" i="8" s="1"/>
  <c r="AD69" i="11"/>
  <c r="AI69" i="1" s="1"/>
  <c r="AT69" i="8"/>
  <c r="AQ69"/>
  <c r="F69" i="11"/>
  <c r="M70" i="1"/>
  <c r="AW69" i="8"/>
  <c r="CA70"/>
  <c r="CH70"/>
  <c r="CF70"/>
  <c r="BU70"/>
  <c r="A75" i="2"/>
  <c r="A75" i="7"/>
  <c r="AD75" i="8"/>
  <c r="K75" i="11"/>
  <c r="B75" i="14"/>
  <c r="M75" i="5"/>
  <c r="A75" i="8"/>
  <c r="A75" i="9"/>
  <c r="J76" i="10"/>
  <c r="AJ76" i="14"/>
  <c r="CM75" i="8"/>
  <c r="B74" i="2"/>
  <c r="B74" i="1"/>
  <c r="BI74" s="1"/>
  <c r="L75" i="11"/>
  <c r="D71" i="9"/>
  <c r="DR70" i="8"/>
  <c r="DS70"/>
  <c r="DH70"/>
  <c r="EH70" s="1"/>
  <c r="DT70"/>
  <c r="CX70"/>
  <c r="DN70"/>
  <c r="DO70"/>
  <c r="EI69"/>
  <c r="AL70" i="5"/>
  <c r="CS71" i="8"/>
  <c r="DP71" s="1"/>
  <c r="CT71"/>
  <c r="DQ71" s="1"/>
  <c r="CU71"/>
  <c r="AP69" i="5"/>
  <c r="Y73" i="1"/>
  <c r="AG69" i="7"/>
  <c r="AI69" s="1"/>
  <c r="AH69"/>
  <c r="AQ69" i="5"/>
  <c r="AU69" i="1" s="1"/>
  <c r="I77" i="8"/>
  <c r="Q76" i="2"/>
  <c r="E48" i="4"/>
  <c r="A72" i="5"/>
  <c r="E72" s="1"/>
  <c r="EQ72" i="8" s="1"/>
  <c r="CZ72" s="1"/>
  <c r="AE70" i="7"/>
  <c r="AF70" s="1"/>
  <c r="DY69" i="8"/>
  <c r="DZ69" s="1"/>
  <c r="AV69"/>
  <c r="AW69" i="1" s="1"/>
  <c r="L69" s="1"/>
  <c r="EP70" i="8"/>
  <c r="AU69"/>
  <c r="DL71"/>
  <c r="CG70"/>
  <c r="N70" i="11"/>
  <c r="CN70" i="8"/>
  <c r="D73" i="10"/>
  <c r="F73" i="7"/>
  <c r="H74" i="5"/>
  <c r="AC70" i="10"/>
  <c r="X70" s="1"/>
  <c r="Y70" s="1"/>
  <c r="AM70" i="5"/>
  <c r="DB70" i="8"/>
  <c r="EC70" s="1"/>
  <c r="ED70" s="1"/>
  <c r="B71" i="7"/>
  <c r="Q71" s="1"/>
  <c r="Q71" i="1"/>
  <c r="E71" i="14" s="1"/>
  <c r="BP70" i="8"/>
  <c r="EO71"/>
  <c r="V72" i="2"/>
  <c r="AB71" i="8"/>
  <c r="E71" i="1"/>
  <c r="AH71" i="5"/>
  <c r="AC71" i="10" s="1"/>
  <c r="AR73" i="5"/>
  <c r="AV71"/>
  <c r="W71" i="8"/>
  <c r="B71" i="9"/>
  <c r="C71" i="14"/>
  <c r="A71" i="10"/>
  <c r="AA71" s="1"/>
  <c r="AB70" i="2"/>
  <c r="AU71" i="5"/>
  <c r="A71" i="11"/>
  <c r="BN71" i="8"/>
  <c r="AI71" i="5"/>
  <c r="CQ71" i="8"/>
  <c r="DA71" s="1"/>
  <c r="BO71"/>
  <c r="DM71" s="1"/>
  <c r="BS71" i="5"/>
  <c r="CY70" i="8"/>
  <c r="EA70" s="1"/>
  <c r="DG70"/>
  <c r="EG70" s="1"/>
  <c r="CO70"/>
  <c r="CV70"/>
  <c r="DX70" s="1"/>
  <c r="EB70" s="1"/>
  <c r="CR70"/>
  <c r="DC70" s="1"/>
  <c r="CW70"/>
  <c r="L73" i="5"/>
  <c r="H72" i="10"/>
  <c r="DE72" i="5"/>
  <c r="J72" i="7"/>
  <c r="N70"/>
  <c r="I72"/>
  <c r="G72" i="10"/>
  <c r="K73" i="5"/>
  <c r="DD72"/>
  <c r="BQ70" i="8"/>
  <c r="BT70"/>
  <c r="BZ70"/>
  <c r="BY70"/>
  <c r="AO70" i="5"/>
  <c r="I74"/>
  <c r="DB73"/>
  <c r="E73" i="10"/>
  <c r="G73" i="7"/>
  <c r="EE69" i="8"/>
  <c r="EF69" s="1"/>
  <c r="BO68" i="1"/>
  <c r="E68" i="11"/>
  <c r="CZ73" i="5"/>
  <c r="G74"/>
  <c r="C73" i="10"/>
  <c r="E73" i="7"/>
  <c r="EE68" i="8"/>
  <c r="EF68" s="1"/>
  <c r="DG74" i="5"/>
  <c r="DC74"/>
  <c r="J75"/>
  <c r="H74" i="7"/>
  <c r="F74" i="10"/>
  <c r="J73" i="2"/>
  <c r="M75"/>
  <c r="B34" i="4"/>
  <c r="C100" s="1"/>
  <c r="DF75" i="8"/>
  <c r="CY74" i="5"/>
  <c r="H14" i="2"/>
  <c r="F14" i="1"/>
  <c r="F14" i="2"/>
  <c r="I14"/>
  <c r="B73" i="5"/>
  <c r="N74" i="2"/>
  <c r="BY75" i="11"/>
  <c r="K74" i="10"/>
  <c r="AA74" i="7"/>
  <c r="AE74" i="8" s="1"/>
  <c r="BC74" s="1"/>
  <c r="X74" i="1"/>
  <c r="E62" i="4"/>
  <c r="R74" i="2"/>
  <c r="J75" i="8"/>
  <c r="AT68" i="1"/>
  <c r="S75" i="2"/>
  <c r="B45" i="4"/>
  <c r="K76" i="8"/>
  <c r="B76" i="10"/>
  <c r="D76" i="7"/>
  <c r="F77" i="5"/>
  <c r="B36" i="4"/>
  <c r="O75" i="2"/>
  <c r="DE75" i="8"/>
  <c r="DA73" i="5"/>
  <c r="H77" i="8"/>
  <c r="P76" i="2"/>
  <c r="D67" i="11"/>
  <c r="AQ67" i="1"/>
  <c r="U67" s="1"/>
  <c r="J68" s="1"/>
  <c r="AP68" i="8" s="1"/>
  <c r="BM67" i="1"/>
  <c r="AK67" i="5"/>
  <c r="P70" i="1"/>
  <c r="D69" i="14"/>
  <c r="DF72" i="5"/>
  <c r="J74" i="2" l="1"/>
  <c r="AC74" i="1"/>
  <c r="BC75" i="5"/>
  <c r="BE75"/>
  <c r="AE73" i="1"/>
  <c r="AZ78" i="5"/>
  <c r="BP76"/>
  <c r="AB75" i="1"/>
  <c r="BN78" i="5"/>
  <c r="AF76" i="1"/>
  <c r="BK77" i="5"/>
  <c r="AD75" i="1"/>
  <c r="O75"/>
  <c r="DK75" i="8" s="1"/>
  <c r="DI74"/>
  <c r="DJ74"/>
  <c r="C69" i="9"/>
  <c r="AD71"/>
  <c r="AV71" i="1" s="1"/>
  <c r="AR69"/>
  <c r="V69" s="1"/>
  <c r="K70" s="1"/>
  <c r="AR70" i="8" s="1"/>
  <c r="BN69" i="1"/>
  <c r="N74"/>
  <c r="AP70" i="5"/>
  <c r="Y70" i="11"/>
  <c r="AH70" i="1" s="1"/>
  <c r="AC70" i="11"/>
  <c r="T70" i="8" s="1"/>
  <c r="AA70" i="11"/>
  <c r="AD70"/>
  <c r="AI70" i="1" s="1"/>
  <c r="Z70" i="11"/>
  <c r="AC70" i="2" s="1"/>
  <c r="AB70" i="11"/>
  <c r="P70" i="8" s="1"/>
  <c r="AT70"/>
  <c r="AW70"/>
  <c r="AQ70"/>
  <c r="M71" i="1"/>
  <c r="F70" i="11"/>
  <c r="CA71" i="8"/>
  <c r="CH71"/>
  <c r="N71" i="7"/>
  <c r="BU71" i="8"/>
  <c r="D72" i="9"/>
  <c r="AJ77" i="14"/>
  <c r="CM76" i="8"/>
  <c r="L76" i="11"/>
  <c r="B75" i="1"/>
  <c r="BI75" s="1"/>
  <c r="B75" i="2"/>
  <c r="A76"/>
  <c r="A76" i="7"/>
  <c r="B76" i="14"/>
  <c r="J77" i="10"/>
  <c r="A76" i="9"/>
  <c r="K76" i="11"/>
  <c r="M76" i="5"/>
  <c r="AD76" i="8"/>
  <c r="A76"/>
  <c r="DR71"/>
  <c r="DS71"/>
  <c r="EI70"/>
  <c r="DH71"/>
  <c r="EH71" s="1"/>
  <c r="DT71"/>
  <c r="DY70"/>
  <c r="DZ70" s="1"/>
  <c r="CY71"/>
  <c r="EA71" s="1"/>
  <c r="DN71"/>
  <c r="DO71"/>
  <c r="AV72" i="5"/>
  <c r="CU72" i="8"/>
  <c r="CT72"/>
  <c r="DQ72" s="1"/>
  <c r="CS72"/>
  <c r="DP72" s="1"/>
  <c r="E64" i="4"/>
  <c r="Y74" i="1"/>
  <c r="AB71" i="2"/>
  <c r="AH70" i="7"/>
  <c r="Q77" i="2"/>
  <c r="I78" i="8"/>
  <c r="AT69" i="1"/>
  <c r="BS72" i="5"/>
  <c r="BN72" i="8"/>
  <c r="CO72" s="1"/>
  <c r="E72" i="1"/>
  <c r="AI72" i="5"/>
  <c r="AB72" i="8"/>
  <c r="AH72" i="5"/>
  <c r="AC72" i="10" s="1"/>
  <c r="C72" i="14"/>
  <c r="EO72" i="8"/>
  <c r="B72" i="7"/>
  <c r="AE72" s="1"/>
  <c r="AF72" s="1"/>
  <c r="BO72" i="8"/>
  <c r="DM72" s="1"/>
  <c r="A72" i="11"/>
  <c r="Q72" i="1"/>
  <c r="E72" i="14" s="1"/>
  <c r="W72" i="8"/>
  <c r="A72" i="10"/>
  <c r="AA72" s="1"/>
  <c r="AU72" i="5"/>
  <c r="B72" i="9"/>
  <c r="AG70" i="7"/>
  <c r="AI70" s="1"/>
  <c r="CQ72" i="8"/>
  <c r="DA72" s="1"/>
  <c r="DL72"/>
  <c r="CN71"/>
  <c r="EP71"/>
  <c r="CX71"/>
  <c r="DB71"/>
  <c r="EC71" s="1"/>
  <c r="ED71" s="1"/>
  <c r="CW71"/>
  <c r="DG71"/>
  <c r="EG71" s="1"/>
  <c r="BQ71"/>
  <c r="AL71" i="5"/>
  <c r="AQ70"/>
  <c r="AU70" i="1" s="1"/>
  <c r="AM71" i="5"/>
  <c r="AN71"/>
  <c r="DD70" i="8"/>
  <c r="EE70" s="1"/>
  <c r="EF70" s="1"/>
  <c r="AE71" i="7"/>
  <c r="AF71" s="1"/>
  <c r="N71" i="11"/>
  <c r="CO71" i="8"/>
  <c r="H75" i="5"/>
  <c r="D74" i="10"/>
  <c r="F74" i="7"/>
  <c r="CR71" i="8"/>
  <c r="DD71" s="1"/>
  <c r="AO71" i="5"/>
  <c r="AU70" i="8"/>
  <c r="CV71"/>
  <c r="DX71" s="1"/>
  <c r="EB71" s="1"/>
  <c r="BT71"/>
  <c r="BZ71"/>
  <c r="BY71"/>
  <c r="CG71"/>
  <c r="CF71"/>
  <c r="BP71"/>
  <c r="X71" i="10"/>
  <c r="Y71" s="1"/>
  <c r="AV70" i="8"/>
  <c r="AW70" i="1" s="1"/>
  <c r="L70" s="1"/>
  <c r="J73" i="7"/>
  <c r="DE73" i="5"/>
  <c r="H73" i="10"/>
  <c r="L74" i="5"/>
  <c r="AR74"/>
  <c r="A73"/>
  <c r="E73" s="1"/>
  <c r="EQ73" i="8" s="1"/>
  <c r="CZ73" s="1"/>
  <c r="V73" i="2"/>
  <c r="DD73" i="5"/>
  <c r="G73" i="10"/>
  <c r="I73" i="7"/>
  <c r="K74" i="5"/>
  <c r="E74" i="10"/>
  <c r="I75" i="5"/>
  <c r="DB74"/>
  <c r="G74" i="7"/>
  <c r="BO69" i="1"/>
  <c r="AO69" i="8"/>
  <c r="E69" i="11"/>
  <c r="K77" i="8"/>
  <c r="S76" i="2"/>
  <c r="X75" i="1"/>
  <c r="AA14"/>
  <c r="S14" s="1"/>
  <c r="H15" s="1"/>
  <c r="O14" i="7"/>
  <c r="I14" i="11"/>
  <c r="H78" i="8"/>
  <c r="P77" i="2"/>
  <c r="D99" i="4"/>
  <c r="N75" i="2"/>
  <c r="B35" i="4"/>
  <c r="B74" i="5"/>
  <c r="R75" i="2"/>
  <c r="B44" i="4"/>
  <c r="J76" i="8"/>
  <c r="DG75" i="5"/>
  <c r="E46" i="4"/>
  <c r="G75" i="5"/>
  <c r="CZ74"/>
  <c r="C74" i="10"/>
  <c r="E74" i="7"/>
  <c r="AP14" i="1"/>
  <c r="T14" s="1"/>
  <c r="J14" i="11"/>
  <c r="G14" i="2"/>
  <c r="Z14" s="1"/>
  <c r="Z15" i="8" s="1"/>
  <c r="D70" i="14"/>
  <c r="P71" i="1"/>
  <c r="E59" i="4"/>
  <c r="E49"/>
  <c r="CY75" i="5"/>
  <c r="C34" i="4"/>
  <c r="F34"/>
  <c r="W73" i="1"/>
  <c r="DA74" i="5"/>
  <c r="O76" i="2"/>
  <c r="DE76" i="8"/>
  <c r="AQ68" i="1"/>
  <c r="U68" s="1"/>
  <c r="J69" s="1"/>
  <c r="AP69" i="8" s="1"/>
  <c r="AK68" i="5"/>
  <c r="BM68" i="1"/>
  <c r="D68" i="11"/>
  <c r="B77" i="10"/>
  <c r="D77" i="7"/>
  <c r="F78" i="5"/>
  <c r="BY76" i="11"/>
  <c r="AA75" i="7"/>
  <c r="AE75" i="8" s="1"/>
  <c r="BC75" s="1"/>
  <c r="K75" i="10"/>
  <c r="M76" i="2"/>
  <c r="DF76" i="8"/>
  <c r="F75" i="10"/>
  <c r="J76" i="5"/>
  <c r="DC75"/>
  <c r="H75" i="7"/>
  <c r="DF73" i="5"/>
  <c r="AC75" i="1" l="1"/>
  <c r="BC76" i="5"/>
  <c r="E51" i="4"/>
  <c r="BK78" i="5"/>
  <c r="AD76" i="1"/>
  <c r="BE76" i="5"/>
  <c r="AE74" i="1"/>
  <c r="AZ79" i="5"/>
  <c r="BP77"/>
  <c r="AB76" i="1"/>
  <c r="BN79" i="5"/>
  <c r="AF77" i="1"/>
  <c r="O76"/>
  <c r="DK76" i="8" s="1"/>
  <c r="DI75"/>
  <c r="DJ75"/>
  <c r="AR70" i="1"/>
  <c r="V70" s="1"/>
  <c r="K71" s="1"/>
  <c r="BN70"/>
  <c r="C70" i="9"/>
  <c r="AD72"/>
  <c r="AV72" i="1" s="1"/>
  <c r="N75"/>
  <c r="Y71" i="11"/>
  <c r="AH71" i="1" s="1"/>
  <c r="AA71" i="11"/>
  <c r="AC71"/>
  <c r="T71" i="8" s="1"/>
  <c r="AD71" i="11"/>
  <c r="AI71" i="1" s="1"/>
  <c r="Z71" i="11"/>
  <c r="AC71" i="2" s="1"/>
  <c r="AB71" i="11"/>
  <c r="P71" i="8" s="1"/>
  <c r="I15" i="1"/>
  <c r="AT71" i="8"/>
  <c r="AQ71"/>
  <c r="F71" i="11"/>
  <c r="M72" i="1"/>
  <c r="AW71" i="8"/>
  <c r="CA72"/>
  <c r="CH72"/>
  <c r="N72" i="7"/>
  <c r="BU72" i="8"/>
  <c r="B76" i="2"/>
  <c r="B76" i="1"/>
  <c r="BI76" s="1"/>
  <c r="L77" i="11"/>
  <c r="A77" i="2"/>
  <c r="M77" i="5"/>
  <c r="AD77" i="8"/>
  <c r="B77" i="14"/>
  <c r="J78" i="10"/>
  <c r="K77" i="11"/>
  <c r="A77" i="7"/>
  <c r="A77" i="8"/>
  <c r="A77" i="9"/>
  <c r="AJ78" i="14"/>
  <c r="CM77" i="8"/>
  <c r="EI71"/>
  <c r="DR72"/>
  <c r="DS72"/>
  <c r="DC71"/>
  <c r="EE71" s="1"/>
  <c r="EF71" s="1"/>
  <c r="EP72"/>
  <c r="DT72"/>
  <c r="N72" i="11"/>
  <c r="DN72" i="8"/>
  <c r="DO72"/>
  <c r="BP72"/>
  <c r="BQ72"/>
  <c r="E73" i="1"/>
  <c r="CS73" i="8"/>
  <c r="DP73" s="1"/>
  <c r="CT73"/>
  <c r="DQ73" s="1"/>
  <c r="CU73"/>
  <c r="Y75" i="1"/>
  <c r="AG71" i="7"/>
  <c r="AI71" s="1"/>
  <c r="AH71"/>
  <c r="AR75" i="5"/>
  <c r="AT70" i="1"/>
  <c r="BT72" i="8"/>
  <c r="BY72"/>
  <c r="BZ72"/>
  <c r="CF72"/>
  <c r="CG72"/>
  <c r="AN72" i="5"/>
  <c r="I79" i="8"/>
  <c r="Q78" i="2"/>
  <c r="X72" i="10"/>
  <c r="Y72" s="1"/>
  <c r="AM72" i="5"/>
  <c r="AO72"/>
  <c r="AL72"/>
  <c r="DH72" i="8"/>
  <c r="EH72" s="1"/>
  <c r="Q72" i="7"/>
  <c r="CR72" i="8"/>
  <c r="DD72" s="1"/>
  <c r="CN72"/>
  <c r="D73" i="9"/>
  <c r="DG72" i="8"/>
  <c r="EG72" s="1"/>
  <c r="DB72"/>
  <c r="EC72" s="1"/>
  <c r="ED72" s="1"/>
  <c r="CY72"/>
  <c r="EA72" s="1"/>
  <c r="CW72"/>
  <c r="CV72"/>
  <c r="DX72" s="1"/>
  <c r="EB72" s="1"/>
  <c r="CX72"/>
  <c r="DL73"/>
  <c r="A74" i="5"/>
  <c r="E74" s="1"/>
  <c r="AH73"/>
  <c r="AC73" i="10" s="1"/>
  <c r="A73" i="11"/>
  <c r="AB73" i="8"/>
  <c r="BS73" i="5"/>
  <c r="W73" i="8"/>
  <c r="B73" i="9"/>
  <c r="AV73" i="5"/>
  <c r="BN73" i="8"/>
  <c r="CN73" s="1"/>
  <c r="BO73"/>
  <c r="DM73" s="1"/>
  <c r="Q73" i="1"/>
  <c r="E73" i="14" s="1"/>
  <c r="A73" i="10"/>
  <c r="AA73" s="1"/>
  <c r="B73" i="7"/>
  <c r="Q73" s="1"/>
  <c r="C73" i="14"/>
  <c r="EO73" i="8"/>
  <c r="AI73" i="5"/>
  <c r="DY71" i="8"/>
  <c r="DZ71" s="1"/>
  <c r="AP71" i="5"/>
  <c r="CQ73" i="8"/>
  <c r="DA73" s="1"/>
  <c r="AQ71" i="5"/>
  <c r="AU71" i="1" s="1"/>
  <c r="AB72" i="2"/>
  <c r="AU73" i="5"/>
  <c r="AU71" i="8"/>
  <c r="H76" i="5"/>
  <c r="D75" i="10"/>
  <c r="F75" i="7"/>
  <c r="AV71" i="8"/>
  <c r="AW71" i="1" s="1"/>
  <c r="L71" s="1"/>
  <c r="AO71" i="8" s="1"/>
  <c r="E70" i="11"/>
  <c r="BO70" i="1"/>
  <c r="DD74" i="5"/>
  <c r="K75"/>
  <c r="G74" i="10"/>
  <c r="I74" i="7"/>
  <c r="DE74" i="5"/>
  <c r="L75"/>
  <c r="J74" i="7"/>
  <c r="H74" i="10"/>
  <c r="V74" i="2"/>
  <c r="G75" i="7"/>
  <c r="I76" i="5"/>
  <c r="E75" i="10"/>
  <c r="DB75" i="5"/>
  <c r="AO70" i="8"/>
  <c r="AQ69" i="1"/>
  <c r="U69" s="1"/>
  <c r="J70" s="1"/>
  <c r="AP70" i="8" s="1"/>
  <c r="D69" i="11"/>
  <c r="BM69" i="1"/>
  <c r="AK69" i="5"/>
  <c r="AG72" i="7"/>
  <c r="AI72" s="1"/>
  <c r="AH72"/>
  <c r="J76" i="2"/>
  <c r="W74" i="1"/>
  <c r="E53" i="4"/>
  <c r="DA75" i="5"/>
  <c r="F14" i="9"/>
  <c r="P14" i="7"/>
  <c r="P78" i="2"/>
  <c r="H79" i="8"/>
  <c r="J75" i="2"/>
  <c r="C14" i="8"/>
  <c r="N76" i="2"/>
  <c r="B75" i="5"/>
  <c r="DG76"/>
  <c r="M77" i="2"/>
  <c r="DF77" i="8"/>
  <c r="X76" i="1"/>
  <c r="BY77" i="11"/>
  <c r="AA76" i="7"/>
  <c r="AE76" i="8" s="1"/>
  <c r="BC76" s="1"/>
  <c r="K76" i="10"/>
  <c r="P72" i="1"/>
  <c r="D71" i="14"/>
  <c r="AJ15" i="5"/>
  <c r="AC15" i="7"/>
  <c r="AN15" i="8"/>
  <c r="V15" i="10"/>
  <c r="C15" i="11"/>
  <c r="BK15" i="1"/>
  <c r="C75" i="10"/>
  <c r="E75" i="7"/>
  <c r="CZ75" i="5"/>
  <c r="G76"/>
  <c r="B78" i="10"/>
  <c r="F79" i="5"/>
  <c r="D78" i="7"/>
  <c r="J77" i="5"/>
  <c r="F76" i="10"/>
  <c r="DC76" i="5"/>
  <c r="H76" i="7"/>
  <c r="R76" i="2"/>
  <c r="J77" i="8"/>
  <c r="S77" i="2"/>
  <c r="K78" i="8"/>
  <c r="O77" i="2"/>
  <c r="DE77" i="8"/>
  <c r="CY76" i="5"/>
  <c r="DF74"/>
  <c r="BC77" l="1"/>
  <c r="AC76" i="1"/>
  <c r="BP78" i="5"/>
  <c r="AB77" i="1"/>
  <c r="BK79" i="5"/>
  <c r="AD77" i="1"/>
  <c r="BN80" i="5"/>
  <c r="AF78" i="1"/>
  <c r="BE77" i="5"/>
  <c r="AE75" i="1"/>
  <c r="W75" s="1"/>
  <c r="AZ80" i="5"/>
  <c r="O77" i="1"/>
  <c r="DK77" i="8" s="1"/>
  <c r="DJ76"/>
  <c r="DI76"/>
  <c r="AI74" i="5"/>
  <c r="EQ74" i="8"/>
  <c r="CZ74" s="1"/>
  <c r="AS15"/>
  <c r="AO15" i="1"/>
  <c r="AR71" i="8"/>
  <c r="BN71" i="1"/>
  <c r="AR71"/>
  <c r="V71" s="1"/>
  <c r="K72" s="1"/>
  <c r="AR72" i="8" s="1"/>
  <c r="C71" i="9"/>
  <c r="AD73"/>
  <c r="AV73" i="1" s="1"/>
  <c r="N76"/>
  <c r="W74" i="8"/>
  <c r="AC72" i="11"/>
  <c r="T72" i="8" s="1"/>
  <c r="Y72" i="11"/>
  <c r="AH72" i="1" s="1"/>
  <c r="AA72" i="11"/>
  <c r="AB72"/>
  <c r="P72" i="8" s="1"/>
  <c r="AD72" i="11"/>
  <c r="AI72" i="1" s="1"/>
  <c r="Z72" i="11"/>
  <c r="AC72" i="2" s="1"/>
  <c r="BL15" i="1"/>
  <c r="AT72" i="8"/>
  <c r="AW72"/>
  <c r="AQ72"/>
  <c r="M73" i="1"/>
  <c r="F72" i="11"/>
  <c r="CA73" i="8"/>
  <c r="CH73"/>
  <c r="BZ73"/>
  <c r="BU73"/>
  <c r="EO74"/>
  <c r="DT74" s="1"/>
  <c r="L78" i="11"/>
  <c r="B77" i="1"/>
  <c r="BI77" s="1"/>
  <c r="B77" i="2"/>
  <c r="AJ79" i="14"/>
  <c r="CM78" i="8"/>
  <c r="A78" i="2"/>
  <c r="K78" i="11"/>
  <c r="M78" i="5"/>
  <c r="A78" i="9"/>
  <c r="J79" i="10"/>
  <c r="A78" i="7"/>
  <c r="A78" i="8"/>
  <c r="B78" i="14"/>
  <c r="AD78" i="8"/>
  <c r="DC72"/>
  <c r="EE72" s="1"/>
  <c r="EF72" s="1"/>
  <c r="DR73"/>
  <c r="DS73"/>
  <c r="DH73"/>
  <c r="EH73" s="1"/>
  <c r="DT73"/>
  <c r="DG73"/>
  <c r="EG73" s="1"/>
  <c r="DN73"/>
  <c r="DO73"/>
  <c r="B74" i="7"/>
  <c r="AE74" s="1"/>
  <c r="AF74" s="1"/>
  <c r="CS74" i="8"/>
  <c r="DP74" s="1"/>
  <c r="CT74"/>
  <c r="DQ74" s="1"/>
  <c r="CU74"/>
  <c r="Y76" i="1"/>
  <c r="BS74" i="5"/>
  <c r="B74" i="9"/>
  <c r="EP73" i="8"/>
  <c r="B76" i="5"/>
  <c r="AQ72"/>
  <c r="AU72" i="1" s="1"/>
  <c r="AV72" i="8"/>
  <c r="AW72" i="1" s="1"/>
  <c r="L72" s="1"/>
  <c r="AO72" i="8" s="1"/>
  <c r="AU72"/>
  <c r="AP72" i="5"/>
  <c r="Q79" i="2"/>
  <c r="I80" i="8"/>
  <c r="D74" i="9"/>
  <c r="Q74" i="1"/>
  <c r="E74" i="14" s="1"/>
  <c r="AB73" i="2"/>
  <c r="AV74" i="5"/>
  <c r="CO73" i="8"/>
  <c r="BN74"/>
  <c r="CN74" s="1"/>
  <c r="E74" i="1"/>
  <c r="CR73" i="8"/>
  <c r="DD73" s="1"/>
  <c r="AU74" i="5"/>
  <c r="BO74" i="8"/>
  <c r="DM74" s="1"/>
  <c r="C74" i="14"/>
  <c r="AH74" i="5"/>
  <c r="AC74" i="10" s="1"/>
  <c r="A74" i="11"/>
  <c r="AB74" i="8"/>
  <c r="A74" i="10"/>
  <c r="AA74" s="1"/>
  <c r="EI72" i="8"/>
  <c r="DY72"/>
  <c r="DZ72" s="1"/>
  <c r="AN73" i="5"/>
  <c r="N73" i="11"/>
  <c r="CQ74" i="8"/>
  <c r="DA74" s="1"/>
  <c r="DL74"/>
  <c r="AO73" i="5"/>
  <c r="CF73" i="8"/>
  <c r="CG73"/>
  <c r="N73" i="7"/>
  <c r="BQ73" i="8"/>
  <c r="BT73"/>
  <c r="X73" i="10"/>
  <c r="Y73" s="1"/>
  <c r="BP73" i="8"/>
  <c r="BY73"/>
  <c r="AM73" i="5"/>
  <c r="CX73" i="8"/>
  <c r="AE73" i="7"/>
  <c r="AF73" s="1"/>
  <c r="AL73" i="5"/>
  <c r="AT71" i="1"/>
  <c r="CY73" i="8"/>
  <c r="EA73" s="1"/>
  <c r="CV73"/>
  <c r="DX73" s="1"/>
  <c r="EB73" s="1"/>
  <c r="CW73"/>
  <c r="DB73"/>
  <c r="EC73" s="1"/>
  <c r="ED73" s="1"/>
  <c r="V75" i="2"/>
  <c r="AR76" i="5"/>
  <c r="H77"/>
  <c r="D76" i="10"/>
  <c r="F76" i="7"/>
  <c r="A75" i="5"/>
  <c r="E75" s="1"/>
  <c r="EQ75" i="8" s="1"/>
  <c r="CZ75" s="1"/>
  <c r="E71" i="11"/>
  <c r="DD75" i="5"/>
  <c r="G75" i="10"/>
  <c r="I75" i="7"/>
  <c r="K76" i="5"/>
  <c r="J75" i="7"/>
  <c r="H75" i="10"/>
  <c r="DE75" i="5"/>
  <c r="L76"/>
  <c r="DB76"/>
  <c r="E76" i="10"/>
  <c r="I77" i="5"/>
  <c r="G76" i="7"/>
  <c r="BO71" i="1"/>
  <c r="X77"/>
  <c r="F77" i="10"/>
  <c r="H77" i="7"/>
  <c r="DC77" i="5"/>
  <c r="J78"/>
  <c r="DG77"/>
  <c r="N77" i="2"/>
  <c r="O78"/>
  <c r="DE78" i="8"/>
  <c r="M78" i="2"/>
  <c r="DF78" i="8"/>
  <c r="D70" i="11"/>
  <c r="BM70" i="1"/>
  <c r="AQ70"/>
  <c r="U70" s="1"/>
  <c r="J71" s="1"/>
  <c r="AP71" i="8" s="1"/>
  <c r="AK70" i="5"/>
  <c r="P73" i="1"/>
  <c r="D72" i="14"/>
  <c r="BY78" i="11"/>
  <c r="K77" i="10"/>
  <c r="AA77" i="7"/>
  <c r="AE77" i="8" s="1"/>
  <c r="BC77" s="1"/>
  <c r="H80"/>
  <c r="P79" i="2"/>
  <c r="R77"/>
  <c r="J78" i="8"/>
  <c r="D79" i="7"/>
  <c r="F80" i="5"/>
  <c r="B79" i="10"/>
  <c r="DA76" i="5"/>
  <c r="CY77"/>
  <c r="S78" i="2"/>
  <c r="K79" i="8"/>
  <c r="E76" i="7"/>
  <c r="G77" i="5"/>
  <c r="CZ76"/>
  <c r="C76" i="10"/>
  <c r="Y14" i="2"/>
  <c r="X14" s="1"/>
  <c r="DF75" i="5"/>
  <c r="AN74" l="1"/>
  <c r="AC77" i="1"/>
  <c r="BC78" i="5"/>
  <c r="BP79"/>
  <c r="AB78" i="1"/>
  <c r="AZ81" i="5"/>
  <c r="BK80"/>
  <c r="AD78" i="1"/>
  <c r="BN81" i="5"/>
  <c r="AF79" i="1"/>
  <c r="BE78" i="5"/>
  <c r="AE76" i="1"/>
  <c r="O78"/>
  <c r="DK78" i="8" s="1"/>
  <c r="DI77"/>
  <c r="DJ77"/>
  <c r="BN72" i="1"/>
  <c r="C72" i="9"/>
  <c r="AR72" i="1"/>
  <c r="V72" s="1"/>
  <c r="K73" s="1"/>
  <c r="AD74" i="9"/>
  <c r="AV74" i="1" s="1"/>
  <c r="N77"/>
  <c r="AC73" i="11"/>
  <c r="T73" i="8" s="1"/>
  <c r="AA73" i="11"/>
  <c r="Y73"/>
  <c r="AH73" i="1" s="1"/>
  <c r="AD73" i="11"/>
  <c r="AI73" i="1" s="1"/>
  <c r="Z73" i="11"/>
  <c r="AC73" i="2" s="1"/>
  <c r="AB73" i="11"/>
  <c r="P73" i="8" s="1"/>
  <c r="AT73"/>
  <c r="AQ73"/>
  <c r="F73" i="11"/>
  <c r="M74" i="1"/>
  <c r="AW73" i="8"/>
  <c r="CA74"/>
  <c r="CH74"/>
  <c r="BP74"/>
  <c r="BU74"/>
  <c r="DH74"/>
  <c r="EH74" s="1"/>
  <c r="EP74"/>
  <c r="A79" i="2"/>
  <c r="K79" i="11"/>
  <c r="M79" i="5"/>
  <c r="A79" i="9"/>
  <c r="B79" i="14"/>
  <c r="AD79" i="8"/>
  <c r="A79"/>
  <c r="J80" i="10"/>
  <c r="A79" i="7"/>
  <c r="X74" i="10"/>
  <c r="Y74" s="1"/>
  <c r="CM79" i="8"/>
  <c r="AJ80" i="14"/>
  <c r="L79" i="11"/>
  <c r="B78" i="1"/>
  <c r="BI78" s="1"/>
  <c r="B78" i="2"/>
  <c r="DR74" i="8"/>
  <c r="DS74"/>
  <c r="EI73"/>
  <c r="DB74"/>
  <c r="EC74" s="1"/>
  <c r="ED74" s="1"/>
  <c r="DN74"/>
  <c r="DO74"/>
  <c r="DC73"/>
  <c r="EE73" s="1"/>
  <c r="EF73" s="1"/>
  <c r="Q74" i="7"/>
  <c r="CT75" i="8"/>
  <c r="DQ75" s="1"/>
  <c r="CS75"/>
  <c r="DP75" s="1"/>
  <c r="CU75"/>
  <c r="BQ74"/>
  <c r="D75" i="9"/>
  <c r="CR74" i="8"/>
  <c r="DC74" s="1"/>
  <c r="AM74" i="5"/>
  <c r="AO74"/>
  <c r="AL74"/>
  <c r="Y77" i="1"/>
  <c r="AH73" i="7"/>
  <c r="N74" i="11"/>
  <c r="AT72" i="1"/>
  <c r="N74" i="7"/>
  <c r="BT74" i="8"/>
  <c r="BZ74"/>
  <c r="BY74"/>
  <c r="CG74"/>
  <c r="CO74"/>
  <c r="CF74"/>
  <c r="DY73"/>
  <c r="DZ73" s="1"/>
  <c r="Q80" i="2"/>
  <c r="I81" i="8"/>
  <c r="AQ73" i="5"/>
  <c r="AU73" i="1" s="1"/>
  <c r="AP73" i="5"/>
  <c r="DG74" i="8"/>
  <c r="EG74" s="1"/>
  <c r="CY74"/>
  <c r="EA74" s="1"/>
  <c r="CW74"/>
  <c r="CX74"/>
  <c r="CV74"/>
  <c r="DX74" s="1"/>
  <c r="EB74" s="1"/>
  <c r="E65" i="4"/>
  <c r="DL75" i="8"/>
  <c r="AV73"/>
  <c r="AW73" i="1" s="1"/>
  <c r="L73" s="1"/>
  <c r="AO73" i="8" s="1"/>
  <c r="W75"/>
  <c r="AU73"/>
  <c r="AG73" i="7"/>
  <c r="AI73" s="1"/>
  <c r="D77" i="10"/>
  <c r="F77" i="7"/>
  <c r="H78" i="5"/>
  <c r="EO75" i="8"/>
  <c r="E75" i="1"/>
  <c r="CQ75" i="8"/>
  <c r="DA75" s="1"/>
  <c r="AB75"/>
  <c r="B75" i="7"/>
  <c r="AE75" s="1"/>
  <c r="AF75" s="1"/>
  <c r="AI75" i="5"/>
  <c r="BS75"/>
  <c r="E45" i="4" s="1"/>
  <c r="I48" s="1"/>
  <c r="C91" s="1"/>
  <c r="A75" i="11"/>
  <c r="Q75" i="1"/>
  <c r="E75" i="14" s="1"/>
  <c r="B75" i="9"/>
  <c r="C75" i="14"/>
  <c r="AH75" i="5"/>
  <c r="AB74" i="2"/>
  <c r="AV75" i="5"/>
  <c r="BN75" i="8"/>
  <c r="CN75" s="1"/>
  <c r="A75" i="10"/>
  <c r="AA75" s="1"/>
  <c r="BO75" i="8"/>
  <c r="DM75" s="1"/>
  <c r="AU75" i="5"/>
  <c r="L77"/>
  <c r="DE76"/>
  <c r="H76" i="10"/>
  <c r="J76" i="7"/>
  <c r="A76" i="5"/>
  <c r="E76" s="1"/>
  <c r="EQ76" i="8" s="1"/>
  <c r="CZ76" s="1"/>
  <c r="DD76" i="5"/>
  <c r="I76" i="7"/>
  <c r="K77" i="5"/>
  <c r="G76" i="10"/>
  <c r="AR77" i="5"/>
  <c r="V76" i="2"/>
  <c r="DB77" i="5"/>
  <c r="E77" i="10"/>
  <c r="I78" i="5"/>
  <c r="G77" i="7"/>
  <c r="E72" i="11"/>
  <c r="BO72" i="1"/>
  <c r="BY79" i="11"/>
  <c r="AA78" i="7"/>
  <c r="AE78" i="8" s="1"/>
  <c r="BC78" s="1"/>
  <c r="K78" i="10"/>
  <c r="W76" i="1"/>
  <c r="J78" i="2"/>
  <c r="DA77" i="5"/>
  <c r="O79" i="2"/>
  <c r="DE79" i="8"/>
  <c r="N78" i="2"/>
  <c r="X78" i="1"/>
  <c r="C77" i="10"/>
  <c r="CZ77" i="5"/>
  <c r="E77" i="7"/>
  <c r="G78" i="5"/>
  <c r="D80" i="7"/>
  <c r="F81" i="5"/>
  <c r="B80" i="10"/>
  <c r="R78" i="2"/>
  <c r="J79" i="8"/>
  <c r="D73" i="14"/>
  <c r="P74" i="1"/>
  <c r="CY78" i="5"/>
  <c r="H81" i="8"/>
  <c r="P80" i="2"/>
  <c r="M79"/>
  <c r="DF79" i="8"/>
  <c r="K80"/>
  <c r="S79" i="2"/>
  <c r="AH74" i="7"/>
  <c r="AG74"/>
  <c r="AI74" s="1"/>
  <c r="DG78" i="5"/>
  <c r="BM71" i="1"/>
  <c r="D71" i="11"/>
  <c r="AK71" i="5"/>
  <c r="AQ71" i="1"/>
  <c r="U71" s="1"/>
  <c r="J72" s="1"/>
  <c r="AP72" i="8" s="1"/>
  <c r="DC78" i="5"/>
  <c r="J79"/>
  <c r="F78" i="10"/>
  <c r="H78" i="7"/>
  <c r="J77" i="2"/>
  <c r="L15"/>
  <c r="H15" i="11"/>
  <c r="B15" i="8"/>
  <c r="D15" i="2" s="1"/>
  <c r="AB15" i="7"/>
  <c r="E15" i="2"/>
  <c r="BD15" i="8"/>
  <c r="B77" i="5"/>
  <c r="DF76"/>
  <c r="BC79" l="1"/>
  <c r="AC78" i="1"/>
  <c r="AP74" i="5"/>
  <c r="F53" i="4"/>
  <c r="BN82" i="5"/>
  <c r="AF80" i="1"/>
  <c r="BE79" i="5"/>
  <c r="AE77" i="1"/>
  <c r="W77" s="1"/>
  <c r="BP80" i="5"/>
  <c r="AB79" i="1"/>
  <c r="AZ82" i="5"/>
  <c r="BK81"/>
  <c r="AD79" i="1"/>
  <c r="O79"/>
  <c r="DK79" i="8" s="1"/>
  <c r="DI78"/>
  <c r="DJ78"/>
  <c r="AR73"/>
  <c r="C73" i="9"/>
  <c r="AR73" i="1"/>
  <c r="V73" s="1"/>
  <c r="K74" s="1"/>
  <c r="AR74" i="8" s="1"/>
  <c r="BN73" i="1"/>
  <c r="AD75" i="9"/>
  <c r="AV75" i="1" s="1"/>
  <c r="N78"/>
  <c r="AT74" i="8"/>
  <c r="AW74"/>
  <c r="AQ74"/>
  <c r="M75" i="1"/>
  <c r="F74" i="11"/>
  <c r="CA75" i="8"/>
  <c r="CH75"/>
  <c r="BZ75"/>
  <c r="BU75"/>
  <c r="Y74" i="11"/>
  <c r="AH74" i="1" s="1"/>
  <c r="AA74" i="11"/>
  <c r="AC74"/>
  <c r="T74" i="8" s="1"/>
  <c r="AD74" i="11"/>
  <c r="AI74" i="1" s="1"/>
  <c r="Z74" i="11"/>
  <c r="AC74" i="2" s="1"/>
  <c r="AB74" i="11"/>
  <c r="P74" i="8" s="1"/>
  <c r="EI74"/>
  <c r="CM80"/>
  <c r="AJ81" i="14"/>
  <c r="B79" i="1"/>
  <c r="BI79" s="1"/>
  <c r="B79" i="2"/>
  <c r="L80" i="11"/>
  <c r="A80" i="2"/>
  <c r="A80" i="9"/>
  <c r="A80" i="8"/>
  <c r="K80" i="11"/>
  <c r="AD80" i="8"/>
  <c r="M80" i="5"/>
  <c r="A80" i="7"/>
  <c r="B80" i="14"/>
  <c r="J81" i="10"/>
  <c r="B78" i="5"/>
  <c r="DR75" i="8"/>
  <c r="DS75"/>
  <c r="DH75"/>
  <c r="EH75" s="1"/>
  <c r="DT75"/>
  <c r="DB75"/>
  <c r="EC75" s="1"/>
  <c r="ED75" s="1"/>
  <c r="DN75"/>
  <c r="DO75"/>
  <c r="CS76"/>
  <c r="DP76" s="1"/>
  <c r="CT76"/>
  <c r="DQ76" s="1"/>
  <c r="CU76"/>
  <c r="DD74"/>
  <c r="EE74" s="1"/>
  <c r="EF74" s="1"/>
  <c r="AQ74" i="5"/>
  <c r="AU74" i="1" s="1"/>
  <c r="Y78"/>
  <c r="AV74" i="8"/>
  <c r="AW74" i="1" s="1"/>
  <c r="L74" s="1"/>
  <c r="E74" i="11" s="1"/>
  <c r="AU74" i="8"/>
  <c r="Q81" i="2"/>
  <c r="I82" i="8"/>
  <c r="N75" i="11"/>
  <c r="AT73" i="1"/>
  <c r="DY74" i="8"/>
  <c r="DZ74" s="1"/>
  <c r="DL76"/>
  <c r="CV75"/>
  <c r="DX75" s="1"/>
  <c r="EB75" s="1"/>
  <c r="DG75"/>
  <c r="EG75" s="1"/>
  <c r="CX75"/>
  <c r="F65" i="4"/>
  <c r="C94" s="1"/>
  <c r="N75" i="7"/>
  <c r="BQ75" i="8"/>
  <c r="Q75" i="7"/>
  <c r="M28" s="1"/>
  <c r="CW75" i="8"/>
  <c r="CY75"/>
  <c r="EA75" s="1"/>
  <c r="D76" i="9"/>
  <c r="F58" i="4"/>
  <c r="C87" s="1"/>
  <c r="F61"/>
  <c r="C78" s="1"/>
  <c r="B76" i="7"/>
  <c r="Q76" s="1"/>
  <c r="F51" i="4"/>
  <c r="E76" i="1"/>
  <c r="I49" i="4"/>
  <c r="C90" s="1"/>
  <c r="Q76" i="1"/>
  <c r="E76" i="14" s="1"/>
  <c r="F62" i="4"/>
  <c r="B50"/>
  <c r="AI76" i="5"/>
  <c r="E66" i="4"/>
  <c r="F66" s="1"/>
  <c r="CO75" i="8"/>
  <c r="BN76"/>
  <c r="CN76" s="1"/>
  <c r="F50" i="4"/>
  <c r="CR75" i="8"/>
  <c r="DC75" s="1"/>
  <c r="BO76"/>
  <c r="DM76" s="1"/>
  <c r="F63" i="4"/>
  <c r="EO76" i="8"/>
  <c r="A76" i="11"/>
  <c r="W76" i="8"/>
  <c r="F49" i="4"/>
  <c r="F52"/>
  <c r="C83" s="1"/>
  <c r="F56"/>
  <c r="AU76" i="5"/>
  <c r="C76" i="14"/>
  <c r="F46" i="4"/>
  <c r="F48"/>
  <c r="F60"/>
  <c r="B76" i="9"/>
  <c r="F59" i="4"/>
  <c r="J48"/>
  <c r="F57"/>
  <c r="D82"/>
  <c r="AB76" i="8"/>
  <c r="BS76" i="5"/>
  <c r="AB75" i="2"/>
  <c r="AV76" i="5"/>
  <c r="F64" i="4"/>
  <c r="F54"/>
  <c r="AH76" i="5"/>
  <c r="A76" i="10"/>
  <c r="AA76" s="1"/>
  <c r="F47" i="4"/>
  <c r="F55"/>
  <c r="F67"/>
  <c r="BY75" i="8"/>
  <c r="D78" i="10"/>
  <c r="H79" i="5"/>
  <c r="F78" i="7"/>
  <c r="AN75" i="5"/>
  <c r="EP75" i="8"/>
  <c r="AL75" i="5"/>
  <c r="E73" i="11"/>
  <c r="AM75" i="5"/>
  <c r="BO73" i="1"/>
  <c r="CF75" i="8"/>
  <c r="AC75" i="10"/>
  <c r="X75" s="1"/>
  <c r="Y75" s="1"/>
  <c r="CG75" i="8"/>
  <c r="BP75"/>
  <c r="AO75" i="5"/>
  <c r="BT75" i="8"/>
  <c r="V77" i="2"/>
  <c r="AR78" i="5"/>
  <c r="A77"/>
  <c r="E77" s="1"/>
  <c r="EQ77" i="8" s="1"/>
  <c r="CZ77" s="1"/>
  <c r="DE77" i="5"/>
  <c r="J77" i="7"/>
  <c r="L78" i="5"/>
  <c r="H77" i="10"/>
  <c r="G77"/>
  <c r="I77" i="7"/>
  <c r="K78" i="5"/>
  <c r="DD77"/>
  <c r="CQ76" i="8"/>
  <c r="DA76" s="1"/>
  <c r="E78" i="10"/>
  <c r="G78" i="7"/>
  <c r="DB78" i="5"/>
  <c r="I79"/>
  <c r="N79" i="2"/>
  <c r="DF80" i="8"/>
  <c r="M80" i="2"/>
  <c r="S80"/>
  <c r="K81" i="8"/>
  <c r="R79" i="2"/>
  <c r="J80" i="8"/>
  <c r="AH75" i="7"/>
  <c r="AG75"/>
  <c r="AI75" s="1"/>
  <c r="H79"/>
  <c r="F79" i="10"/>
  <c r="DC79" i="5"/>
  <c r="J80"/>
  <c r="D81" i="7"/>
  <c r="B81" i="10"/>
  <c r="F82" i="5"/>
  <c r="X79" i="1"/>
  <c r="BY80" i="11"/>
  <c r="K79" i="10"/>
  <c r="AA79" i="7"/>
  <c r="AE79" i="8" s="1"/>
  <c r="BC79" s="1"/>
  <c r="O80" i="2"/>
  <c r="DE80" i="8"/>
  <c r="DG79" i="5"/>
  <c r="D74" i="14"/>
  <c r="P75" i="1"/>
  <c r="U15" i="2"/>
  <c r="W14" s="1"/>
  <c r="C15" s="1"/>
  <c r="AQ72" i="1"/>
  <c r="U72" s="1"/>
  <c r="J73" s="1"/>
  <c r="AP73" i="8" s="1"/>
  <c r="D72" i="11"/>
  <c r="AK72" i="5"/>
  <c r="BM72" i="1"/>
  <c r="H82" i="8"/>
  <c r="P81" i="2"/>
  <c r="CY79" i="5"/>
  <c r="CZ78"/>
  <c r="E78" i="7"/>
  <c r="G79" i="5"/>
  <c r="C78" i="10"/>
  <c r="DA78" i="5"/>
  <c r="DF77"/>
  <c r="AT74" i="1" l="1"/>
  <c r="B79" i="5"/>
  <c r="AC79" i="1"/>
  <c r="BC80" i="5"/>
  <c r="C88" i="4"/>
  <c r="B23" s="1"/>
  <c r="C35" s="1"/>
  <c r="D88"/>
  <c r="C23" s="1"/>
  <c r="F35" s="1"/>
  <c r="C89"/>
  <c r="D89"/>
  <c r="C86"/>
  <c r="B24" s="1"/>
  <c r="D86"/>
  <c r="D84"/>
  <c r="D85"/>
  <c r="D75"/>
  <c r="AL76" i="5"/>
  <c r="J49" i="4"/>
  <c r="C80"/>
  <c r="AZ83" i="5"/>
  <c r="BN83"/>
  <c r="AF81" i="1"/>
  <c r="BK82" i="5"/>
  <c r="AD80" i="1"/>
  <c r="BE80" i="5"/>
  <c r="AE78" i="1"/>
  <c r="BP81" i="5"/>
  <c r="AB80" i="1"/>
  <c r="O80"/>
  <c r="DK80" i="8" s="1"/>
  <c r="DI79"/>
  <c r="DJ79"/>
  <c r="AR74" i="1"/>
  <c r="V74" s="1"/>
  <c r="K75" s="1"/>
  <c r="AR75" i="8" s="1"/>
  <c r="C74" i="9"/>
  <c r="BN74" i="1"/>
  <c r="AD76" i="9"/>
  <c r="AV76" i="1" s="1"/>
  <c r="N79"/>
  <c r="AT75" i="8"/>
  <c r="B63" i="4"/>
  <c r="B47"/>
  <c r="AQ75" i="8"/>
  <c r="B62" i="4"/>
  <c r="M76" i="1"/>
  <c r="F75" i="11"/>
  <c r="AW75" i="8"/>
  <c r="CA76"/>
  <c r="CH76"/>
  <c r="BY76"/>
  <c r="BU76"/>
  <c r="Y75" i="11"/>
  <c r="AH75" i="1" s="1"/>
  <c r="AC75" i="11"/>
  <c r="T75" i="8" s="1"/>
  <c r="AA75" i="11"/>
  <c r="Z75"/>
  <c r="AC75" i="2" s="1"/>
  <c r="AD75" i="11"/>
  <c r="AI75" i="1" s="1"/>
  <c r="AB75" i="11"/>
  <c r="EI75" i="8"/>
  <c r="CM81"/>
  <c r="AJ82" i="14"/>
  <c r="L81" i="11"/>
  <c r="B80" i="1"/>
  <c r="BI80" s="1"/>
  <c r="B80" i="2"/>
  <c r="A81"/>
  <c r="M81" i="5"/>
  <c r="A81" i="8"/>
  <c r="A81" i="7"/>
  <c r="A81" i="9"/>
  <c r="B81" i="14"/>
  <c r="J82" i="10"/>
  <c r="AD81" i="8"/>
  <c r="K81" i="11"/>
  <c r="DR76" i="8"/>
  <c r="DS76"/>
  <c r="EP76"/>
  <c r="DT76"/>
  <c r="CV76"/>
  <c r="DX76" s="1"/>
  <c r="EB76" s="1"/>
  <c r="DN76"/>
  <c r="DO76"/>
  <c r="CS77"/>
  <c r="DP77" s="1"/>
  <c r="CU77"/>
  <c r="CT77"/>
  <c r="DQ77" s="1"/>
  <c r="Y79" i="1"/>
  <c r="AC76" i="10"/>
  <c r="X76" s="1"/>
  <c r="Y76" s="1"/>
  <c r="J79" i="2"/>
  <c r="Q82"/>
  <c r="I83" i="8"/>
  <c r="D78" i="4"/>
  <c r="CO76" i="8"/>
  <c r="AO76" i="5"/>
  <c r="BZ76" i="8"/>
  <c r="CR76"/>
  <c r="DD76" s="1"/>
  <c r="D79" i="4"/>
  <c r="D77"/>
  <c r="DY75" i="8"/>
  <c r="DZ75" s="1"/>
  <c r="D76" i="4"/>
  <c r="C75"/>
  <c r="AV75" i="8"/>
  <c r="AW75" i="1" s="1"/>
  <c r="L75" s="1"/>
  <c r="E75" i="11" s="1"/>
  <c r="D74" i="4"/>
  <c r="D77" i="9"/>
  <c r="DD75" i="8"/>
  <c r="EE75" s="1"/>
  <c r="EF75" s="1"/>
  <c r="AN76" i="5"/>
  <c r="AM76"/>
  <c r="AE76" i="7"/>
  <c r="AF76" s="1"/>
  <c r="CG76" i="8"/>
  <c r="N76" i="11"/>
  <c r="BQ76" i="8"/>
  <c r="CF76"/>
  <c r="DH76"/>
  <c r="EH76" s="1"/>
  <c r="N76" i="7"/>
  <c r="CX76" i="8"/>
  <c r="BT76"/>
  <c r="DG76"/>
  <c r="EG76" s="1"/>
  <c r="BP76"/>
  <c r="F79" i="7"/>
  <c r="H80" i="5"/>
  <c r="D79" i="10"/>
  <c r="AP75" i="5"/>
  <c r="AQ75"/>
  <c r="AU75" i="1" s="1"/>
  <c r="AR79" i="5"/>
  <c r="AU75" i="8"/>
  <c r="CY76"/>
  <c r="EA76" s="1"/>
  <c r="V78" i="2"/>
  <c r="A78" i="5"/>
  <c r="E78" s="1"/>
  <c r="EQ78" i="8" s="1"/>
  <c r="CZ78" s="1"/>
  <c r="J78" i="7"/>
  <c r="L79" i="5"/>
  <c r="DE78"/>
  <c r="H78" i="10"/>
  <c r="CW76" i="8"/>
  <c r="DB76"/>
  <c r="EC76" s="1"/>
  <c r="ED76" s="1"/>
  <c r="DD78" i="5"/>
  <c r="K79"/>
  <c r="I78" i="7"/>
  <c r="G78" i="10"/>
  <c r="E79"/>
  <c r="DB79" i="5"/>
  <c r="G79" i="7"/>
  <c r="I80" i="5"/>
  <c r="AO74" i="8"/>
  <c r="BO74" i="1"/>
  <c r="CY80" i="5"/>
  <c r="BM73" i="1"/>
  <c r="AQ73"/>
  <c r="U73" s="1"/>
  <c r="J74" s="1"/>
  <c r="AP74" i="8" s="1"/>
  <c r="D73" i="11"/>
  <c r="AK73" i="5"/>
  <c r="H15" i="2"/>
  <c r="F15"/>
  <c r="I15"/>
  <c r="F15" i="1"/>
  <c r="DG80" i="5"/>
  <c r="S81" i="2"/>
  <c r="K82" i="8"/>
  <c r="E79" i="7"/>
  <c r="G80" i="5"/>
  <c r="C79" i="10"/>
  <c r="CZ79" i="5"/>
  <c r="P76" i="1"/>
  <c r="D75" i="14"/>
  <c r="M29" i="7" s="1"/>
  <c r="W78" i="1"/>
  <c r="DA79" i="5"/>
  <c r="O81" i="2"/>
  <c r="DE81" i="8"/>
  <c r="F83" i="5"/>
  <c r="D82" i="7"/>
  <c r="B82" i="10"/>
  <c r="R80" i="2"/>
  <c r="J81" i="8"/>
  <c r="H83"/>
  <c r="P82" i="2"/>
  <c r="H80" i="7"/>
  <c r="DC80" i="5"/>
  <c r="F80" i="10"/>
  <c r="J81" i="5"/>
  <c r="N80" i="2"/>
  <c r="K80" i="10"/>
  <c r="BY81" i="11"/>
  <c r="AA80" i="7"/>
  <c r="AE80" i="8" s="1"/>
  <c r="BC80" s="1"/>
  <c r="X80" i="1"/>
  <c r="B77" i="9"/>
  <c r="Q77" i="1"/>
  <c r="E77" i="14" s="1"/>
  <c r="B77" i="7"/>
  <c r="A77" i="10"/>
  <c r="AA77" s="1"/>
  <c r="C77" i="14"/>
  <c r="AV77" i="5"/>
  <c r="A77" i="11"/>
  <c r="BS77" i="5"/>
  <c r="W77" i="8"/>
  <c r="AU77" i="5"/>
  <c r="E77" i="1"/>
  <c r="AB76" i="2"/>
  <c r="AI77" i="5"/>
  <c r="AH77"/>
  <c r="BN77" i="8"/>
  <c r="BO77"/>
  <c r="DM77" s="1"/>
  <c r="AB77"/>
  <c r="EO77"/>
  <c r="DT77" s="1"/>
  <c r="DL77"/>
  <c r="CQ77"/>
  <c r="DA77" s="1"/>
  <c r="DF81"/>
  <c r="M81" i="2"/>
  <c r="DF78" i="5"/>
  <c r="B25" i="4" l="1"/>
  <c r="O72" i="8" s="1"/>
  <c r="AC80" i="1"/>
  <c r="BC81" i="5"/>
  <c r="C25" i="4"/>
  <c r="F37" s="1"/>
  <c r="C24"/>
  <c r="AP76" i="5"/>
  <c r="BE81"/>
  <c r="AE79" i="1"/>
  <c r="W79" s="1"/>
  <c r="AZ84" i="5"/>
  <c r="BP82"/>
  <c r="AB81" i="1"/>
  <c r="BN84" i="5"/>
  <c r="AF82" i="1"/>
  <c r="BK83" i="5"/>
  <c r="AD81" i="1"/>
  <c r="O81"/>
  <c r="DK81" i="8" s="1"/>
  <c r="DJ80"/>
  <c r="DI80"/>
  <c r="G34" i="4"/>
  <c r="P75" i="8"/>
  <c r="D34" i="4" s="1"/>
  <c r="BN75" i="1"/>
  <c r="AR75"/>
  <c r="V75" s="1"/>
  <c r="K76" s="1"/>
  <c r="AR76" i="8" s="1"/>
  <c r="B60" i="4"/>
  <c r="C75" i="9"/>
  <c r="AD77"/>
  <c r="AV77" i="1" s="1"/>
  <c r="N80"/>
  <c r="AT76" i="8"/>
  <c r="AQ76"/>
  <c r="M77" i="1"/>
  <c r="F76" i="11"/>
  <c r="AW76" i="8"/>
  <c r="BU77"/>
  <c r="CA77"/>
  <c r="CH77"/>
  <c r="Y76" i="11"/>
  <c r="AH76" i="1" s="1"/>
  <c r="AC76" i="11"/>
  <c r="T76" i="8" s="1"/>
  <c r="AA76" i="11"/>
  <c r="Z76"/>
  <c r="AC76" i="2" s="1"/>
  <c r="AD76" i="11"/>
  <c r="AI76" i="1" s="1"/>
  <c r="AB76" i="11"/>
  <c r="P76" i="8" s="1"/>
  <c r="AJ83" i="14"/>
  <c r="CM82" i="8"/>
  <c r="B81" i="1"/>
  <c r="BI81" s="1"/>
  <c r="L82" i="11"/>
  <c r="B81" i="2"/>
  <c r="A82"/>
  <c r="M82" i="5"/>
  <c r="AD82" i="8"/>
  <c r="K82" i="11"/>
  <c r="A82" i="8"/>
  <c r="B82" i="14"/>
  <c r="A82" i="9"/>
  <c r="A82" i="7"/>
  <c r="J83" i="10"/>
  <c r="DR77" i="8"/>
  <c r="DS77"/>
  <c r="C36" i="4"/>
  <c r="DN77" i="8"/>
  <c r="DO77"/>
  <c r="Q78" i="1"/>
  <c r="E78" i="14" s="1"/>
  <c r="CS78" i="8"/>
  <c r="DP78" s="1"/>
  <c r="CT78"/>
  <c r="DQ78" s="1"/>
  <c r="CU78"/>
  <c r="Y80" i="1"/>
  <c r="AG76" i="7"/>
  <c r="AI76" s="1"/>
  <c r="Q83" i="2"/>
  <c r="I84" i="8"/>
  <c r="AQ76" i="5"/>
  <c r="AU76" i="1" s="1"/>
  <c r="DC76" i="8"/>
  <c r="EE76" s="1"/>
  <c r="EF76" s="1"/>
  <c r="CQ78"/>
  <c r="DA78" s="1"/>
  <c r="V79" i="2"/>
  <c r="EI76" i="8"/>
  <c r="AV76"/>
  <c r="AW76" i="1" s="1"/>
  <c r="L76" s="1"/>
  <c r="E76" i="11" s="1"/>
  <c r="AU76" i="8"/>
  <c r="AH76" i="7"/>
  <c r="AV78" i="5"/>
  <c r="AB77" i="2"/>
  <c r="DY76" i="8"/>
  <c r="DZ76" s="1"/>
  <c r="AB78"/>
  <c r="BO78"/>
  <c r="DM78" s="1"/>
  <c r="B78" i="7"/>
  <c r="AE78" s="1"/>
  <c r="AF78" s="1"/>
  <c r="AI78" i="5"/>
  <c r="F80" i="7"/>
  <c r="H81" i="5"/>
  <c r="D80" i="10"/>
  <c r="B78" i="9"/>
  <c r="BS78" i="5"/>
  <c r="AR80"/>
  <c r="AT75" i="1"/>
  <c r="AO75" i="8"/>
  <c r="A79" i="5"/>
  <c r="E79" s="1"/>
  <c r="EQ79" i="8" s="1"/>
  <c r="CZ79" s="1"/>
  <c r="W78"/>
  <c r="EO78"/>
  <c r="A78" i="11"/>
  <c r="E78" i="1"/>
  <c r="AU78" i="5"/>
  <c r="DL78" i="8"/>
  <c r="AH78" i="5"/>
  <c r="AC78" i="10" s="1"/>
  <c r="C78" i="14"/>
  <c r="BN78" i="8"/>
  <c r="CR78" s="1"/>
  <c r="A78" i="10"/>
  <c r="AA78" s="1"/>
  <c r="L80" i="5"/>
  <c r="J79" i="7"/>
  <c r="DE79" i="5"/>
  <c r="H79" i="10"/>
  <c r="DD79" i="5"/>
  <c r="G79" i="10"/>
  <c r="I79" i="7"/>
  <c r="K80" i="5"/>
  <c r="I81"/>
  <c r="G80" i="7"/>
  <c r="E80" i="10"/>
  <c r="DB80" i="5"/>
  <c r="BO75" i="1"/>
  <c r="B61" i="4"/>
  <c r="AN77" i="5"/>
  <c r="N77" i="11"/>
  <c r="F81" i="10"/>
  <c r="H81" i="7"/>
  <c r="J82" i="5"/>
  <c r="DC81"/>
  <c r="S82" i="2"/>
  <c r="K83" i="8"/>
  <c r="AA15" i="1"/>
  <c r="S15" s="1"/>
  <c r="H16" s="1"/>
  <c r="O15" i="7"/>
  <c r="I15" i="11"/>
  <c r="O82" i="2"/>
  <c r="DE82" i="8"/>
  <c r="DF82"/>
  <c r="M82" i="2"/>
  <c r="CN77" i="8"/>
  <c r="CR77"/>
  <c r="CO77"/>
  <c r="D78" i="9"/>
  <c r="X81" i="1"/>
  <c r="N81" i="2"/>
  <c r="P83"/>
  <c r="H84" i="8"/>
  <c r="D74" i="11"/>
  <c r="AK74" i="5"/>
  <c r="AQ74" i="1"/>
  <c r="U74" s="1"/>
  <c r="J75" s="1"/>
  <c r="AP75" i="8" s="1"/>
  <c r="BM74" i="1"/>
  <c r="F84" i="5"/>
  <c r="D83" i="7"/>
  <c r="B83" i="10"/>
  <c r="G81" i="5"/>
  <c r="CZ80"/>
  <c r="E80" i="7"/>
  <c r="C80" i="10"/>
  <c r="CY81" i="5"/>
  <c r="AP15" i="1"/>
  <c r="T15" s="1"/>
  <c r="J15" i="11"/>
  <c r="G15" i="2"/>
  <c r="Z15" s="1"/>
  <c r="Z16" i="8" s="1"/>
  <c r="N77" i="7"/>
  <c r="BQ77" i="8"/>
  <c r="BP77"/>
  <c r="BT77"/>
  <c r="BZ77"/>
  <c r="BY77"/>
  <c r="CF77"/>
  <c r="CG77"/>
  <c r="DA80" i="5"/>
  <c r="CW77" i="8"/>
  <c r="CV77"/>
  <c r="DX77" s="1"/>
  <c r="DG77"/>
  <c r="EG77" s="1"/>
  <c r="DB77"/>
  <c r="EC77" s="1"/>
  <c r="ED77" s="1"/>
  <c r="CY77"/>
  <c r="EA77" s="1"/>
  <c r="CX77"/>
  <c r="AO77" i="5"/>
  <c r="AM77"/>
  <c r="AC77" i="10"/>
  <c r="X77" s="1"/>
  <c r="Y77" s="1"/>
  <c r="AL77" i="5"/>
  <c r="DH77" i="8"/>
  <c r="EH77" s="1"/>
  <c r="EP77"/>
  <c r="Q77" i="7"/>
  <c r="AE77"/>
  <c r="AF77" s="1"/>
  <c r="AA81"/>
  <c r="AE81" i="8" s="1"/>
  <c r="BC81" s="1"/>
  <c r="BY82" i="11"/>
  <c r="K81" i="10"/>
  <c r="J82" i="8"/>
  <c r="R81" i="2"/>
  <c r="DG81" i="5"/>
  <c r="P77" i="1"/>
  <c r="D76" i="14"/>
  <c r="B80" i="5"/>
  <c r="J80" i="2"/>
  <c r="DF79" i="5"/>
  <c r="AC81" i="1" l="1"/>
  <c r="BC82" i="5"/>
  <c r="J81" i="2"/>
  <c r="BK84" i="5"/>
  <c r="AD82" i="1"/>
  <c r="BE82" i="5"/>
  <c r="AE80" i="1"/>
  <c r="AZ85" i="5"/>
  <c r="BP83"/>
  <c r="AB82" i="1"/>
  <c r="BN85" i="5"/>
  <c r="AF83" i="1"/>
  <c r="O47" i="8"/>
  <c r="Q47" s="1"/>
  <c r="O6"/>
  <c r="Q6" s="1"/>
  <c r="O70"/>
  <c r="Q70" s="1"/>
  <c r="O13"/>
  <c r="Q13" s="1"/>
  <c r="O20"/>
  <c r="Q20" s="1"/>
  <c r="O11"/>
  <c r="Q11" s="1"/>
  <c r="O75"/>
  <c r="Q75" s="1"/>
  <c r="O10"/>
  <c r="Q10" s="1"/>
  <c r="O74"/>
  <c r="Q74" s="1"/>
  <c r="O12"/>
  <c r="Q12" s="1"/>
  <c r="O65"/>
  <c r="Q65" s="1"/>
  <c r="O64"/>
  <c r="Q64" s="1"/>
  <c r="O39"/>
  <c r="Q39" s="1"/>
  <c r="O62"/>
  <c r="Q62" s="1"/>
  <c r="O5"/>
  <c r="Q5" s="1"/>
  <c r="O69"/>
  <c r="Q69" s="1"/>
  <c r="O76"/>
  <c r="Q76" s="1"/>
  <c r="O4"/>
  <c r="Q4" s="1"/>
  <c r="O67"/>
  <c r="Q67" s="1"/>
  <c r="O66"/>
  <c r="Q66" s="1"/>
  <c r="O57"/>
  <c r="Q57" s="1"/>
  <c r="O56"/>
  <c r="Q56" s="1"/>
  <c r="O23"/>
  <c r="Q23" s="1"/>
  <c r="O54"/>
  <c r="Q54" s="1"/>
  <c r="O61"/>
  <c r="Q61" s="1"/>
  <c r="O68"/>
  <c r="Q68" s="1"/>
  <c r="O59"/>
  <c r="Q59" s="1"/>
  <c r="O58"/>
  <c r="Q58" s="1"/>
  <c r="O49"/>
  <c r="Q49" s="1"/>
  <c r="O48"/>
  <c r="Q48" s="1"/>
  <c r="O15"/>
  <c r="Q15" s="1"/>
  <c r="O46"/>
  <c r="Q46" s="1"/>
  <c r="O53"/>
  <c r="Q53" s="1"/>
  <c r="O60"/>
  <c r="Q60" s="1"/>
  <c r="O51"/>
  <c r="Q51" s="1"/>
  <c r="O50"/>
  <c r="Q50" s="1"/>
  <c r="O41"/>
  <c r="Q41" s="1"/>
  <c r="O40"/>
  <c r="Q40" s="1"/>
  <c r="O3"/>
  <c r="Q3" s="1"/>
  <c r="O38"/>
  <c r="Q38" s="1"/>
  <c r="O45"/>
  <c r="Q45" s="1"/>
  <c r="O52"/>
  <c r="Q52" s="1"/>
  <c r="O43"/>
  <c r="Q43" s="1"/>
  <c r="O42"/>
  <c r="Q42" s="1"/>
  <c r="O33"/>
  <c r="Q33" s="1"/>
  <c r="O32"/>
  <c r="Q32" s="1"/>
  <c r="O30"/>
  <c r="Q30" s="1"/>
  <c r="O55"/>
  <c r="Q55" s="1"/>
  <c r="O37"/>
  <c r="Q37" s="1"/>
  <c r="O44"/>
  <c r="Q44" s="1"/>
  <c r="O35"/>
  <c r="Q35" s="1"/>
  <c r="O34"/>
  <c r="Q34" s="1"/>
  <c r="O25"/>
  <c r="Q25" s="1"/>
  <c r="O24"/>
  <c r="Q24" s="1"/>
  <c r="O71"/>
  <c r="Q71" s="1"/>
  <c r="O22"/>
  <c r="Q22" s="1"/>
  <c r="O31"/>
  <c r="Q31" s="1"/>
  <c r="O29"/>
  <c r="Q29" s="1"/>
  <c r="O36"/>
  <c r="Q36" s="1"/>
  <c r="O27"/>
  <c r="Q27" s="1"/>
  <c r="O26"/>
  <c r="Q26" s="1"/>
  <c r="O17"/>
  <c r="Q17" s="1"/>
  <c r="O16"/>
  <c r="Q16" s="1"/>
  <c r="O63"/>
  <c r="Q63" s="1"/>
  <c r="O14"/>
  <c r="Q14" s="1"/>
  <c r="O7"/>
  <c r="Q7" s="1"/>
  <c r="O21"/>
  <c r="Q21" s="1"/>
  <c r="O28"/>
  <c r="Q28" s="1"/>
  <c r="O19"/>
  <c r="Q19" s="1"/>
  <c r="O18"/>
  <c r="Q18" s="1"/>
  <c r="O9"/>
  <c r="Q9" s="1"/>
  <c r="O73"/>
  <c r="Q73" s="1"/>
  <c r="O8"/>
  <c r="Q8" s="1"/>
  <c r="R3"/>
  <c r="S3" s="1"/>
  <c r="V3" s="1"/>
  <c r="R8"/>
  <c r="R9"/>
  <c r="R10"/>
  <c r="R11"/>
  <c r="S11" s="1"/>
  <c r="R12"/>
  <c r="R7"/>
  <c r="S7" s="1"/>
  <c r="V7" s="1"/>
  <c r="R6"/>
  <c r="R15"/>
  <c r="R5"/>
  <c r="R14"/>
  <c r="R4"/>
  <c r="S4" s="1"/>
  <c r="R13"/>
  <c r="S13" s="1"/>
  <c r="V13" s="1"/>
  <c r="O82" i="1"/>
  <c r="DK82" i="8" s="1"/>
  <c r="DI81"/>
  <c r="DJ81"/>
  <c r="H34" i="4"/>
  <c r="H35"/>
  <c r="H37"/>
  <c r="E34"/>
  <c r="E35"/>
  <c r="E36"/>
  <c r="AR76" i="1"/>
  <c r="V76" s="1"/>
  <c r="K77" s="1"/>
  <c r="AD78" i="9"/>
  <c r="AV78" i="1" s="1"/>
  <c r="BN76"/>
  <c r="C76" i="9"/>
  <c r="N81" i="1"/>
  <c r="I16"/>
  <c r="AT77" i="8"/>
  <c r="AQ77"/>
  <c r="F77" i="11"/>
  <c r="M78" i="1"/>
  <c r="AW77" i="8"/>
  <c r="BU78"/>
  <c r="CA78"/>
  <c r="CH78"/>
  <c r="Y77" i="11"/>
  <c r="AH77" i="1" s="1"/>
  <c r="AC77" i="11"/>
  <c r="T77" i="8" s="1"/>
  <c r="AA77" i="11"/>
  <c r="AB77"/>
  <c r="P77" i="8" s="1"/>
  <c r="AD77" i="11"/>
  <c r="AI77" i="1" s="1"/>
  <c r="Z77" i="11"/>
  <c r="AC77" i="2" s="1"/>
  <c r="B82" i="1"/>
  <c r="BI82" s="1"/>
  <c r="L83" i="11"/>
  <c r="B82" i="2"/>
  <c r="A83"/>
  <c r="K83" i="11"/>
  <c r="AD83" i="8"/>
  <c r="A83"/>
  <c r="B83" i="14"/>
  <c r="M83" i="5"/>
  <c r="A83" i="7"/>
  <c r="A83" i="9"/>
  <c r="J84" i="10"/>
  <c r="CM83" i="8"/>
  <c r="AJ84" i="14"/>
  <c r="DH78" i="8"/>
  <c r="EH78" s="1"/>
  <c r="DT78"/>
  <c r="DR78"/>
  <c r="DS78"/>
  <c r="CY78"/>
  <c r="EA78" s="1"/>
  <c r="DN78"/>
  <c r="DO78"/>
  <c r="A79" i="10"/>
  <c r="AA79" s="1"/>
  <c r="CS79" i="8"/>
  <c r="DP79" s="1"/>
  <c r="CT79"/>
  <c r="DQ79" s="1"/>
  <c r="CU79"/>
  <c r="Y81" i="1"/>
  <c r="Q84" i="2"/>
  <c r="I85" i="8"/>
  <c r="W79"/>
  <c r="B79" i="9"/>
  <c r="Q79" i="1"/>
  <c r="E79" i="14" s="1"/>
  <c r="Q78" i="7"/>
  <c r="E79" i="1"/>
  <c r="AB79" i="8"/>
  <c r="EO79"/>
  <c r="AV79" i="5"/>
  <c r="C79" i="14"/>
  <c r="AH79" i="5"/>
  <c r="B79" i="7"/>
  <c r="Q79" s="1"/>
  <c r="BS79" i="5"/>
  <c r="AU79"/>
  <c r="AB78" i="2"/>
  <c r="AI79" i="5"/>
  <c r="BN79" i="8"/>
  <c r="CO79" s="1"/>
  <c r="A79" i="11"/>
  <c r="BO79" i="8"/>
  <c r="DM79" s="1"/>
  <c r="CV78"/>
  <c r="DX78" s="1"/>
  <c r="EB78" s="1"/>
  <c r="DG78"/>
  <c r="EG78" s="1"/>
  <c r="CW78"/>
  <c r="CX78"/>
  <c r="DB78"/>
  <c r="EC78" s="1"/>
  <c r="ED78" s="1"/>
  <c r="CQ79"/>
  <c r="DA79" s="1"/>
  <c r="DL79"/>
  <c r="L24" i="4"/>
  <c r="F36"/>
  <c r="H36" s="1"/>
  <c r="Q72" i="8"/>
  <c r="L25" i="4"/>
  <c r="C37"/>
  <c r="AT76" i="1"/>
  <c r="AN78" i="5"/>
  <c r="AO78"/>
  <c r="BY78" i="8"/>
  <c r="BZ78"/>
  <c r="CG78"/>
  <c r="CF78"/>
  <c r="N78" i="7"/>
  <c r="BQ78" i="8"/>
  <c r="BP78"/>
  <c r="N78" i="11"/>
  <c r="BT78" i="8"/>
  <c r="F81" i="7"/>
  <c r="H82" i="5"/>
  <c r="D81" i="10"/>
  <c r="EP78" i="8"/>
  <c r="BO76" i="1"/>
  <c r="AO76" i="8"/>
  <c r="CN78"/>
  <c r="CO78"/>
  <c r="D79" i="9"/>
  <c r="AP77" i="5"/>
  <c r="X78" i="10"/>
  <c r="Y78" s="1"/>
  <c r="AL78" i="5"/>
  <c r="AM78"/>
  <c r="K81"/>
  <c r="DD80"/>
  <c r="I80" i="7"/>
  <c r="G80" i="10"/>
  <c r="H80"/>
  <c r="DE80" i="5"/>
  <c r="L81"/>
  <c r="J80" i="7"/>
  <c r="A80" i="5"/>
  <c r="E80" s="1"/>
  <c r="EQ80" i="8" s="1"/>
  <c r="CZ80" s="1"/>
  <c r="AR81" i="5"/>
  <c r="V80" i="2"/>
  <c r="G81" i="7"/>
  <c r="E81" i="10"/>
  <c r="I82" i="5"/>
  <c r="DB81"/>
  <c r="DY77" i="8"/>
  <c r="DZ77" s="1"/>
  <c r="AC16" i="7"/>
  <c r="C16" i="11"/>
  <c r="AN16" i="8"/>
  <c r="V16" i="10"/>
  <c r="BK16" i="1"/>
  <c r="AJ16" i="5"/>
  <c r="AG77" i="7"/>
  <c r="AI77" s="1"/>
  <c r="AH77"/>
  <c r="X82" i="1"/>
  <c r="B81" i="5"/>
  <c r="AQ77"/>
  <c r="AU77" i="1" s="1"/>
  <c r="EB77" i="8"/>
  <c r="F15" i="9"/>
  <c r="P15" i="7"/>
  <c r="CY82" i="5"/>
  <c r="DE83" i="8"/>
  <c r="O83" i="2"/>
  <c r="BY83" i="11"/>
  <c r="K82" i="10"/>
  <c r="AA82" i="7"/>
  <c r="AE82" i="8" s="1"/>
  <c r="BC82" s="1"/>
  <c r="C15"/>
  <c r="D84" i="7"/>
  <c r="B84" i="10"/>
  <c r="F85" i="5"/>
  <c r="B59" i="4"/>
  <c r="AK75" i="5"/>
  <c r="D75" i="11"/>
  <c r="BM75" i="1"/>
  <c r="AQ75"/>
  <c r="U75" s="1"/>
  <c r="J76" s="1"/>
  <c r="AP76" i="8" s="1"/>
  <c r="EI77"/>
  <c r="AU77"/>
  <c r="AH78" i="7"/>
  <c r="AG78"/>
  <c r="AI78" s="1"/>
  <c r="N82" i="2"/>
  <c r="S83"/>
  <c r="K84" i="8"/>
  <c r="DC78"/>
  <c r="DD78"/>
  <c r="AV77"/>
  <c r="AW77" i="1" s="1"/>
  <c r="L77" s="1"/>
  <c r="E77" i="11" s="1"/>
  <c r="R82" i="2"/>
  <c r="J83" i="8"/>
  <c r="E81" i="7"/>
  <c r="C81" i="10"/>
  <c r="G82" i="5"/>
  <c r="CZ81"/>
  <c r="W80" i="1"/>
  <c r="B82" i="5"/>
  <c r="DA81"/>
  <c r="M83" i="2"/>
  <c r="DF83" i="8"/>
  <c r="P78" i="1"/>
  <c r="D77" i="14"/>
  <c r="DG82" i="5"/>
  <c r="H85" i="8"/>
  <c r="P84" i="2"/>
  <c r="DC77" i="8"/>
  <c r="O77" s="1"/>
  <c r="DD77"/>
  <c r="H82" i="7"/>
  <c r="DC82" i="5"/>
  <c r="F82" i="10"/>
  <c r="J83" i="5"/>
  <c r="DF80"/>
  <c r="AC82" i="1" l="1"/>
  <c r="BC83" i="5"/>
  <c r="U11" i="8"/>
  <c r="BP84" i="5"/>
  <c r="AB83" i="1"/>
  <c r="BK85" i="5"/>
  <c r="AD83" i="1"/>
  <c r="BN86" i="5"/>
  <c r="AF84" i="1"/>
  <c r="BE83" i="5"/>
  <c r="AE81" i="1"/>
  <c r="W81" s="1"/>
  <c r="AZ86" i="5"/>
  <c r="U4" i="8"/>
  <c r="S6"/>
  <c r="V6" s="1"/>
  <c r="S15"/>
  <c r="V15" s="1"/>
  <c r="U5"/>
  <c r="S5"/>
  <c r="V5" s="1"/>
  <c r="U8"/>
  <c r="S8"/>
  <c r="V8" s="1"/>
  <c r="U14"/>
  <c r="S14"/>
  <c r="V14" s="1"/>
  <c r="U9"/>
  <c r="S9"/>
  <c r="V9" s="1"/>
  <c r="S10"/>
  <c r="V10" s="1"/>
  <c r="U12"/>
  <c r="S12"/>
  <c r="V12" s="1"/>
  <c r="O78"/>
  <c r="O83" i="1"/>
  <c r="DK83" i="8" s="1"/>
  <c r="DI82"/>
  <c r="DJ82"/>
  <c r="H38" i="4"/>
  <c r="J47" s="1"/>
  <c r="AS16" i="8"/>
  <c r="AO16" i="1"/>
  <c r="AR77" i="8"/>
  <c r="BN77" i="1"/>
  <c r="C77" i="9"/>
  <c r="AR77" i="1"/>
  <c r="V77" s="1"/>
  <c r="K78" s="1"/>
  <c r="AR78" i="8" s="1"/>
  <c r="AD79" i="9"/>
  <c r="AV79" i="1" s="1"/>
  <c r="N82"/>
  <c r="BL16"/>
  <c r="AT78" i="8"/>
  <c r="AQ78"/>
  <c r="F78" i="11"/>
  <c r="M79" i="1"/>
  <c r="AW78" i="8"/>
  <c r="CR79"/>
  <c r="DC79" s="1"/>
  <c r="CN79"/>
  <c r="D80" i="9"/>
  <c r="CA79" i="8"/>
  <c r="CH79"/>
  <c r="BZ79"/>
  <c r="BU79"/>
  <c r="AC78" i="11"/>
  <c r="T78" i="8" s="1"/>
  <c r="AA78" i="11"/>
  <c r="Y78"/>
  <c r="AH78" i="1" s="1"/>
  <c r="Z78" i="11"/>
  <c r="AC78" i="2" s="1"/>
  <c r="AB78" i="11"/>
  <c r="P78" i="8" s="1"/>
  <c r="AD78" i="11"/>
  <c r="AI78" i="1" s="1"/>
  <c r="BY79" i="8"/>
  <c r="AE79" i="7"/>
  <c r="AF79" s="1"/>
  <c r="A84" i="2"/>
  <c r="A84" i="7"/>
  <c r="M84" i="5"/>
  <c r="AD84" i="8"/>
  <c r="J85" i="10"/>
  <c r="A84" i="8"/>
  <c r="A84" i="9"/>
  <c r="K84" i="11"/>
  <c r="B84" i="14"/>
  <c r="L84" i="11"/>
  <c r="B83" i="1"/>
  <c r="BI83" s="1"/>
  <c r="B83" i="2"/>
  <c r="AJ85" i="14"/>
  <c r="CM84" i="8"/>
  <c r="DH79"/>
  <c r="EH79" s="1"/>
  <c r="DT79"/>
  <c r="CF79"/>
  <c r="CG79"/>
  <c r="BQ79"/>
  <c r="N79" i="7"/>
  <c r="DR79" i="8"/>
  <c r="DS79"/>
  <c r="BP79"/>
  <c r="BT79"/>
  <c r="EI78"/>
  <c r="CY79"/>
  <c r="EA79" s="1"/>
  <c r="DN79"/>
  <c r="DO79"/>
  <c r="CU80"/>
  <c r="CS80"/>
  <c r="DP80" s="1"/>
  <c r="CT80"/>
  <c r="DQ80" s="1"/>
  <c r="Y82" i="1"/>
  <c r="AM79" i="5"/>
  <c r="V4" i="8"/>
  <c r="U10"/>
  <c r="I86"/>
  <c r="Q85" i="2"/>
  <c r="DB79" i="8"/>
  <c r="EC79" s="1"/>
  <c r="ED79" s="1"/>
  <c r="CW79"/>
  <c r="DG79"/>
  <c r="EG79" s="1"/>
  <c r="CX79"/>
  <c r="U13"/>
  <c r="CV79"/>
  <c r="EP79"/>
  <c r="U7"/>
  <c r="N79" i="11"/>
  <c r="DY78" i="8"/>
  <c r="DZ78" s="1"/>
  <c r="AL79" i="5"/>
  <c r="AC79" i="10"/>
  <c r="X79" s="1"/>
  <c r="Y79" s="1"/>
  <c r="AO79" i="5"/>
  <c r="V11" i="8"/>
  <c r="U15"/>
  <c r="F38" i="4"/>
  <c r="I47" s="1"/>
  <c r="AN79" i="5"/>
  <c r="U6" i="8"/>
  <c r="EM15"/>
  <c r="G15" i="1" s="1"/>
  <c r="M15" i="8" s="1"/>
  <c r="U3"/>
  <c r="EM4"/>
  <c r="G4" i="1" s="1"/>
  <c r="M4" i="8" s="1"/>
  <c r="EM14"/>
  <c r="G14" i="1" s="1"/>
  <c r="M14" i="8" s="1"/>
  <c r="EM25"/>
  <c r="G25" i="1" s="1"/>
  <c r="M25" i="8" s="1"/>
  <c r="EM7"/>
  <c r="G7" i="1" s="1"/>
  <c r="M7" i="8" s="1"/>
  <c r="EM33"/>
  <c r="G33" i="1" s="1"/>
  <c r="M33" i="8" s="1"/>
  <c r="EM31"/>
  <c r="G31" i="1" s="1"/>
  <c r="M31" i="8" s="1"/>
  <c r="EM9"/>
  <c r="G9" i="1" s="1"/>
  <c r="M9" i="8" s="1"/>
  <c r="EM45"/>
  <c r="G45" i="1" s="1"/>
  <c r="M45" i="8" s="1"/>
  <c r="EM20"/>
  <c r="G20" i="1" s="1"/>
  <c r="M20" i="8" s="1"/>
  <c r="EM24"/>
  <c r="G24" i="1" s="1"/>
  <c r="M24" i="8" s="1"/>
  <c r="EM12"/>
  <c r="G12" i="1" s="1"/>
  <c r="M12" i="8" s="1"/>
  <c r="EM16"/>
  <c r="G16" i="1" s="1"/>
  <c r="M16" i="8" s="1"/>
  <c r="EM47"/>
  <c r="G47" i="1" s="1"/>
  <c r="M47" i="8" s="1"/>
  <c r="EM29"/>
  <c r="G29" i="1" s="1"/>
  <c r="M29" i="8" s="1"/>
  <c r="EM21"/>
  <c r="G21" i="1" s="1"/>
  <c r="M21" i="8" s="1"/>
  <c r="EM58"/>
  <c r="G58" i="1" s="1"/>
  <c r="M58" i="8" s="1"/>
  <c r="EM70"/>
  <c r="G70" i="1" s="1"/>
  <c r="M70" i="8" s="1"/>
  <c r="EM19"/>
  <c r="G19" i="1" s="1"/>
  <c r="M19" i="8" s="1"/>
  <c r="EM66"/>
  <c r="G66" i="1" s="1"/>
  <c r="M66" i="8" s="1"/>
  <c r="EM17"/>
  <c r="G17" i="1" s="1"/>
  <c r="M17" i="8" s="1"/>
  <c r="EM8"/>
  <c r="G8" i="1" s="1"/>
  <c r="M8" i="8" s="1"/>
  <c r="EM72"/>
  <c r="G72" i="1" s="1"/>
  <c r="M72" i="8" s="1"/>
  <c r="EM13"/>
  <c r="G13" i="1" s="1"/>
  <c r="M13" i="8" s="1"/>
  <c r="EM22"/>
  <c r="G22" i="1" s="1"/>
  <c r="M22" i="8" s="1"/>
  <c r="EM62"/>
  <c r="G62" i="1" s="1"/>
  <c r="M62" i="8" s="1"/>
  <c r="EM3"/>
  <c r="G3" i="1" s="1"/>
  <c r="M3" i="8" s="1"/>
  <c r="EM68"/>
  <c r="G68" i="1" s="1"/>
  <c r="M68" i="8" s="1"/>
  <c r="EM34"/>
  <c r="G34" i="1" s="1"/>
  <c r="M34" i="8" s="1"/>
  <c r="EM74"/>
  <c r="G74" i="1" s="1"/>
  <c r="M74" i="8" s="1"/>
  <c r="EM76"/>
  <c r="G76" i="1" s="1"/>
  <c r="M76" i="8" s="1"/>
  <c r="EM73"/>
  <c r="G73" i="1" s="1"/>
  <c r="M73" i="8" s="1"/>
  <c r="EM64"/>
  <c r="G64" i="1" s="1"/>
  <c r="M64" i="8" s="1"/>
  <c r="EM6"/>
  <c r="G6" i="1" s="1"/>
  <c r="M6" i="8" s="1"/>
  <c r="EM5"/>
  <c r="G5" i="1" s="1"/>
  <c r="M5" i="8" s="1"/>
  <c r="EM51"/>
  <c r="G51" i="1" s="1"/>
  <c r="M51" i="8" s="1"/>
  <c r="EM54"/>
  <c r="G54" i="1" s="1"/>
  <c r="M54" i="8" s="1"/>
  <c r="EM60"/>
  <c r="G60" i="1" s="1"/>
  <c r="M60" i="8" s="1"/>
  <c r="EM18"/>
  <c r="G18" i="1" s="1"/>
  <c r="M18" i="8" s="1"/>
  <c r="EM65"/>
  <c r="G65" i="1" s="1"/>
  <c r="M65" i="8" s="1"/>
  <c r="EM56"/>
  <c r="G56" i="1" s="1"/>
  <c r="M56" i="8" s="1"/>
  <c r="EM26"/>
  <c r="G26" i="1" s="1"/>
  <c r="M26" i="8" s="1"/>
  <c r="EM35"/>
  <c r="G35" i="1" s="1"/>
  <c r="M35" i="8" s="1"/>
  <c r="EM46"/>
  <c r="G46" i="1" s="1"/>
  <c r="M46" i="8" s="1"/>
  <c r="EM27"/>
  <c r="G27" i="1" s="1"/>
  <c r="M27" i="8" s="1"/>
  <c r="EM52"/>
  <c r="G52" i="1" s="1"/>
  <c r="M52" i="8" s="1"/>
  <c r="EM10"/>
  <c r="G10" i="1" s="1"/>
  <c r="M10" i="8" s="1"/>
  <c r="EM57"/>
  <c r="G57" i="1" s="1"/>
  <c r="M57" i="8" s="1"/>
  <c r="EM48"/>
  <c r="G48" i="1" s="1"/>
  <c r="M48" i="8" s="1"/>
  <c r="EM63"/>
  <c r="G63" i="1" s="1"/>
  <c r="M63" i="8" s="1"/>
  <c r="EM67"/>
  <c r="G67" i="1" s="1"/>
  <c r="M67" i="8" s="1"/>
  <c r="EM11"/>
  <c r="G11" i="1" s="1"/>
  <c r="M11" i="8" s="1"/>
  <c r="EM38"/>
  <c r="G38" i="1" s="1"/>
  <c r="M38" i="8" s="1"/>
  <c r="EM43"/>
  <c r="G43" i="1" s="1"/>
  <c r="M43" i="8" s="1"/>
  <c r="EM75"/>
  <c r="G75" i="1" s="1"/>
  <c r="B53" i="4" s="1"/>
  <c r="EM50" i="8"/>
  <c r="G50" i="1" s="1"/>
  <c r="M50" i="8" s="1"/>
  <c r="EM40"/>
  <c r="G40" i="1" s="1"/>
  <c r="M40" i="8" s="1"/>
  <c r="EM55"/>
  <c r="G55" i="1" s="1"/>
  <c r="M55" i="8" s="1"/>
  <c r="EM69"/>
  <c r="G69" i="1" s="1"/>
  <c r="M69" i="8" s="1"/>
  <c r="EM37"/>
  <c r="G37" i="1" s="1"/>
  <c r="M37" i="8" s="1"/>
  <c r="EM30"/>
  <c r="G30" i="1" s="1"/>
  <c r="M30" i="8" s="1"/>
  <c r="EM36"/>
  <c r="G36" i="1" s="1"/>
  <c r="M36" i="8" s="1"/>
  <c r="EM59"/>
  <c r="G59" i="1" s="1"/>
  <c r="M59" i="8" s="1"/>
  <c r="EM41"/>
  <c r="G41" i="1" s="1"/>
  <c r="M41" i="8" s="1"/>
  <c r="EM42"/>
  <c r="G42" i="1" s="1"/>
  <c r="M42" i="8" s="1"/>
  <c r="EM32"/>
  <c r="G32" i="1" s="1"/>
  <c r="M32" i="8" s="1"/>
  <c r="EM39"/>
  <c r="G39" i="1" s="1"/>
  <c r="M39" i="8" s="1"/>
  <c r="EM53"/>
  <c r="G53" i="1" s="1"/>
  <c r="M53" i="8" s="1"/>
  <c r="EM71"/>
  <c r="G71" i="1" s="1"/>
  <c r="M71" i="8" s="1"/>
  <c r="EM23"/>
  <c r="G23" i="1" s="1"/>
  <c r="M23" i="8" s="1"/>
  <c r="EM61"/>
  <c r="G61" i="1" s="1"/>
  <c r="M61" i="8" s="1"/>
  <c r="EM28"/>
  <c r="G28" i="1" s="1"/>
  <c r="M28" i="8" s="1"/>
  <c r="EM44"/>
  <c r="G44" i="1" s="1"/>
  <c r="M44" i="8" s="1"/>
  <c r="EM49"/>
  <c r="G49" i="1" s="1"/>
  <c r="M49" i="8" s="1"/>
  <c r="E37" i="4"/>
  <c r="E38" s="1"/>
  <c r="C38"/>
  <c r="I46" s="1"/>
  <c r="AP78" i="5"/>
  <c r="AV78" i="8"/>
  <c r="AW78" i="1" s="1"/>
  <c r="L78" s="1"/>
  <c r="AO78" i="8" s="1"/>
  <c r="AQ78" i="5"/>
  <c r="AU78" i="1" s="1"/>
  <c r="AU78" i="8"/>
  <c r="H83" i="5"/>
  <c r="F82" i="7"/>
  <c r="D82" i="10"/>
  <c r="AR82" i="5"/>
  <c r="V81" i="2"/>
  <c r="G81" i="10"/>
  <c r="I81" i="7"/>
  <c r="K82" i="5"/>
  <c r="DD81"/>
  <c r="A81"/>
  <c r="E81" s="1"/>
  <c r="EQ81" i="8" s="1"/>
  <c r="CZ81" s="1"/>
  <c r="J81" i="7"/>
  <c r="H81" i="10"/>
  <c r="L82" i="5"/>
  <c r="DE81"/>
  <c r="AT77" i="1"/>
  <c r="E82" i="10"/>
  <c r="DB82" i="5"/>
  <c r="G82" i="7"/>
  <c r="I83" i="5"/>
  <c r="AO77" i="8"/>
  <c r="E80" i="1"/>
  <c r="B80" i="7"/>
  <c r="BS80" i="5"/>
  <c r="Q80" i="1"/>
  <c r="E80" i="14" s="1"/>
  <c r="A80" i="10"/>
  <c r="AA80" s="1"/>
  <c r="W80" i="8"/>
  <c r="C80" i="14"/>
  <c r="AU80" i="5"/>
  <c r="AV80"/>
  <c r="A80" i="11"/>
  <c r="B80" i="9"/>
  <c r="AB79" i="2"/>
  <c r="AI80" i="5"/>
  <c r="AH80"/>
  <c r="BN80" i="8"/>
  <c r="BO80"/>
  <c r="DM80" s="1"/>
  <c r="EO80"/>
  <c r="DT80" s="1"/>
  <c r="AB80"/>
  <c r="DL80"/>
  <c r="CQ80"/>
  <c r="DA80" s="1"/>
  <c r="X83" i="1"/>
  <c r="D78" i="14"/>
  <c r="P79" i="1"/>
  <c r="B83" i="5"/>
  <c r="DA82"/>
  <c r="BY84" i="11"/>
  <c r="AA83" i="7"/>
  <c r="AE83" i="8" s="1"/>
  <c r="BC83" s="1"/>
  <c r="K83" i="10"/>
  <c r="F83"/>
  <c r="DC83" i="5"/>
  <c r="H83" i="7"/>
  <c r="J84" i="5"/>
  <c r="M84" i="2"/>
  <c r="DF84" i="8"/>
  <c r="N83" i="2"/>
  <c r="AQ76" i="1"/>
  <c r="U76" s="1"/>
  <c r="J77" s="1"/>
  <c r="AP77" i="8" s="1"/>
  <c r="BM76" i="1"/>
  <c r="AK76" i="5"/>
  <c r="D76" i="11"/>
  <c r="O84" i="2"/>
  <c r="DE84" i="8"/>
  <c r="CY83" i="5"/>
  <c r="J83" i="2"/>
  <c r="EE78" i="8"/>
  <c r="EF78" s="1"/>
  <c r="AH79" i="7"/>
  <c r="AG79"/>
  <c r="AI79" s="1"/>
  <c r="J84" i="8"/>
  <c r="R83" i="2"/>
  <c r="Y15"/>
  <c r="X15" s="1"/>
  <c r="J82"/>
  <c r="CZ82" i="5"/>
  <c r="C82" i="10"/>
  <c r="E82" i="7"/>
  <c r="G83" i="5"/>
  <c r="H86" i="8"/>
  <c r="P85" i="2"/>
  <c r="EE77" i="8"/>
  <c r="EF77" s="1"/>
  <c r="EM77" s="1"/>
  <c r="G77" i="1" s="1"/>
  <c r="M77" i="8" s="1"/>
  <c r="Q77"/>
  <c r="DG83" i="5"/>
  <c r="K85" i="8"/>
  <c r="S84" i="2"/>
  <c r="F86" i="5"/>
  <c r="D85" i="7"/>
  <c r="B85" i="10"/>
  <c r="BO77" i="1"/>
  <c r="DF81" i="5"/>
  <c r="AC83" i="1" l="1"/>
  <c r="BC84" i="5"/>
  <c r="BP85"/>
  <c r="AB84" i="1"/>
  <c r="AZ87" i="5"/>
  <c r="BK86"/>
  <c r="AD84" i="1"/>
  <c r="BN87" i="5"/>
  <c r="AF85" i="1"/>
  <c r="BE84" i="5"/>
  <c r="AE82" i="1"/>
  <c r="O79" i="8"/>
  <c r="O84" i="1"/>
  <c r="DK84" i="8" s="1"/>
  <c r="DI83"/>
  <c r="DJ83"/>
  <c r="B54" i="4"/>
  <c r="BN78" i="1"/>
  <c r="C78" i="9"/>
  <c r="AR78" i="1"/>
  <c r="V78" s="1"/>
  <c r="K79" s="1"/>
  <c r="AD80" i="9"/>
  <c r="AV80" i="1" s="1"/>
  <c r="DD79" i="8"/>
  <c r="EE79" s="1"/>
  <c r="EF79" s="1"/>
  <c r="N83" i="1"/>
  <c r="AT79" i="8"/>
  <c r="AQ79"/>
  <c r="F79" i="11"/>
  <c r="M80" i="1"/>
  <c r="AW79" i="8"/>
  <c r="BU80"/>
  <c r="CA80"/>
  <c r="CH80"/>
  <c r="AC79" i="11"/>
  <c r="T79" i="8" s="1"/>
  <c r="Y79" i="11"/>
  <c r="AH79" i="1" s="1"/>
  <c r="AA79" i="11"/>
  <c r="AB79"/>
  <c r="P79" i="8" s="1"/>
  <c r="Z79" i="11"/>
  <c r="AC79" i="2" s="1"/>
  <c r="AD79" i="11"/>
  <c r="AI79" i="1" s="1"/>
  <c r="AV79" i="8"/>
  <c r="AW79" i="1" s="1"/>
  <c r="L79" s="1"/>
  <c r="AO79" i="8" s="1"/>
  <c r="AJ86" i="14"/>
  <c r="CM85" i="8"/>
  <c r="A85" i="2"/>
  <c r="M85" i="5"/>
  <c r="A85" i="7"/>
  <c r="A85" i="8"/>
  <c r="B85" i="14"/>
  <c r="J86" i="10"/>
  <c r="AD85" i="8"/>
  <c r="A85" i="9"/>
  <c r="K85" i="11"/>
  <c r="L85"/>
  <c r="B84" i="2"/>
  <c r="B84" i="1"/>
  <c r="BI84" s="1"/>
  <c r="AU79" i="8"/>
  <c r="DR80"/>
  <c r="DS80"/>
  <c r="EI79"/>
  <c r="DX79"/>
  <c r="EB79" s="1"/>
  <c r="DN80"/>
  <c r="DO80"/>
  <c r="CS81"/>
  <c r="DP81" s="1"/>
  <c r="CT81"/>
  <c r="DQ81" s="1"/>
  <c r="CU81"/>
  <c r="Y83" i="1"/>
  <c r="AQ79" i="5"/>
  <c r="AU79" i="1" s="1"/>
  <c r="Q86" i="2"/>
  <c r="I87" i="8"/>
  <c r="DY79"/>
  <c r="Q78"/>
  <c r="AP79" i="5"/>
  <c r="EM78" i="8"/>
  <c r="G78" i="1" s="1"/>
  <c r="M78" i="8" s="1"/>
  <c r="CQ81"/>
  <c r="DA81" s="1"/>
  <c r="M75"/>
  <c r="J46" i="4"/>
  <c r="B55"/>
  <c r="B81" i="7"/>
  <c r="Q81" s="1"/>
  <c r="W81" i="8"/>
  <c r="AV81" i="5"/>
  <c r="AB80" i="2"/>
  <c r="AH81" i="5"/>
  <c r="AC81" i="10" s="1"/>
  <c r="AU81" i="5"/>
  <c r="EO81" i="8"/>
  <c r="AT78" i="1"/>
  <c r="AI81" i="5"/>
  <c r="A81" i="10"/>
  <c r="AA81" s="1"/>
  <c r="Q81" i="1"/>
  <c r="E81" i="14" s="1"/>
  <c r="BN81" i="8"/>
  <c r="CR81" s="1"/>
  <c r="C81" i="14"/>
  <c r="BO81" i="8"/>
  <c r="DM81" s="1"/>
  <c r="A81" i="11"/>
  <c r="AB81" i="8"/>
  <c r="B81" i="9"/>
  <c r="BS81" i="5"/>
  <c r="E81" i="1"/>
  <c r="F83" i="7"/>
  <c r="D83" i="10"/>
  <c r="H84" i="5"/>
  <c r="V82" i="2"/>
  <c r="DL81" i="8"/>
  <c r="A82" i="5"/>
  <c r="E82" s="1"/>
  <c r="EQ82" i="8" s="1"/>
  <c r="CZ82" s="1"/>
  <c r="AR83" i="5"/>
  <c r="DD82"/>
  <c r="K83"/>
  <c r="I82" i="7"/>
  <c r="G82" i="10"/>
  <c r="L83" i="5"/>
  <c r="J82" i="7"/>
  <c r="H82" i="10"/>
  <c r="DE82" i="5"/>
  <c r="I84"/>
  <c r="DB83"/>
  <c r="G83" i="7"/>
  <c r="E83" i="10"/>
  <c r="BO78" i="1"/>
  <c r="E78" i="11"/>
  <c r="CX80" i="8"/>
  <c r="DB80"/>
  <c r="EC80" s="1"/>
  <c r="ED80" s="1"/>
  <c r="CY80"/>
  <c r="EA80" s="1"/>
  <c r="CV80"/>
  <c r="DG80"/>
  <c r="EG80" s="1"/>
  <c r="CW80"/>
  <c r="L16" i="2"/>
  <c r="H16" i="11"/>
  <c r="E16" i="2"/>
  <c r="AB16" i="7"/>
  <c r="B16" i="8"/>
  <c r="D16" i="2" s="1"/>
  <c r="BD16" i="8"/>
  <c r="N84" i="2"/>
  <c r="DF85" i="8"/>
  <c r="M85" i="2"/>
  <c r="DG84" i="5"/>
  <c r="J84" i="2"/>
  <c r="W82" i="1"/>
  <c r="DA83" i="5"/>
  <c r="S85" i="2"/>
  <c r="K86" i="8"/>
  <c r="H87"/>
  <c r="P86" i="2"/>
  <c r="O85"/>
  <c r="DE85" i="8"/>
  <c r="DH80"/>
  <c r="EH80" s="1"/>
  <c r="EP80"/>
  <c r="N80" i="11"/>
  <c r="AE80" i="7"/>
  <c r="AF80" s="1"/>
  <c r="Q80"/>
  <c r="AC80" i="10"/>
  <c r="X80" s="1"/>
  <c r="Y80" s="1"/>
  <c r="AO80" i="5"/>
  <c r="AM80"/>
  <c r="AL80"/>
  <c r="CY84"/>
  <c r="BP80" i="8"/>
  <c r="N80" i="7"/>
  <c r="BQ80" i="8"/>
  <c r="BT80"/>
  <c r="BZ80"/>
  <c r="BY80"/>
  <c r="CF80"/>
  <c r="CG80"/>
  <c r="BY85" i="11"/>
  <c r="AA84" i="7"/>
  <c r="AE84" i="8" s="1"/>
  <c r="BC84" s="1"/>
  <c r="K84" i="10"/>
  <c r="J85" i="8"/>
  <c r="R84" i="2"/>
  <c r="AK77" i="5"/>
  <c r="BM77" i="1"/>
  <c r="D77" i="11"/>
  <c r="AQ77" i="1"/>
  <c r="U77" s="1"/>
  <c r="J78" s="1"/>
  <c r="AP78" i="8" s="1"/>
  <c r="P80" i="1"/>
  <c r="D79" i="14"/>
  <c r="G84" i="5"/>
  <c r="E83" i="7"/>
  <c r="C83" i="10"/>
  <c r="CZ83" i="5"/>
  <c r="J85"/>
  <c r="DC84"/>
  <c r="H84" i="7"/>
  <c r="F84" i="10"/>
  <c r="CR80" i="8"/>
  <c r="CO80"/>
  <c r="CN80"/>
  <c r="D81" i="9"/>
  <c r="F87" i="5"/>
  <c r="D86" i="7"/>
  <c r="B86" i="10"/>
  <c r="X84" i="1"/>
  <c r="AN80" i="5"/>
  <c r="DF82"/>
  <c r="BC85" l="1"/>
  <c r="AC84" i="1"/>
  <c r="BN88" i="5"/>
  <c r="AF86" i="1"/>
  <c r="BE85" i="5"/>
  <c r="AE83" i="1"/>
  <c r="BP86" i="5"/>
  <c r="AB85" i="1"/>
  <c r="AZ88" i="5"/>
  <c r="BK87"/>
  <c r="AD85" i="1"/>
  <c r="O85"/>
  <c r="DK85" i="8" s="1"/>
  <c r="DJ84"/>
  <c r="DI84"/>
  <c r="AR79"/>
  <c r="C79" i="9"/>
  <c r="BN79" i="1"/>
  <c r="AR79"/>
  <c r="V79" s="1"/>
  <c r="K80" s="1"/>
  <c r="AD81" i="9"/>
  <c r="AV81" i="1" s="1"/>
  <c r="N84"/>
  <c r="AT80" i="8"/>
  <c r="AQ80"/>
  <c r="F80" i="11"/>
  <c r="M81" i="1"/>
  <c r="AW80" i="8"/>
  <c r="CA81"/>
  <c r="CH81"/>
  <c r="BP81"/>
  <c r="BU81"/>
  <c r="AC80" i="11"/>
  <c r="T80" i="8" s="1"/>
  <c r="Y80" i="11"/>
  <c r="AH80" i="1" s="1"/>
  <c r="AA80" i="11"/>
  <c r="Z80"/>
  <c r="AC80" i="2" s="1"/>
  <c r="AB80" i="11"/>
  <c r="P80" i="8" s="1"/>
  <c r="AD80" i="11"/>
  <c r="AI80" i="1" s="1"/>
  <c r="AT79"/>
  <c r="L86" i="11"/>
  <c r="B85" i="2"/>
  <c r="B85" i="1"/>
  <c r="BI85" s="1"/>
  <c r="AJ87" i="14"/>
  <c r="CM86" i="8"/>
  <c r="A86" i="2"/>
  <c r="K86" i="11"/>
  <c r="A86" i="8"/>
  <c r="AD86"/>
  <c r="B86" i="14"/>
  <c r="M86" i="5"/>
  <c r="A86" i="7"/>
  <c r="A86" i="9"/>
  <c r="J87" i="10"/>
  <c r="DR81" i="8"/>
  <c r="DS81"/>
  <c r="EP81"/>
  <c r="DT81"/>
  <c r="DX80"/>
  <c r="EB80" s="1"/>
  <c r="DZ79"/>
  <c r="EM79" s="1"/>
  <c r="G79" i="1" s="1"/>
  <c r="M79" i="8" s="1"/>
  <c r="CW81"/>
  <c r="DN81"/>
  <c r="DO81"/>
  <c r="CS82"/>
  <c r="DP82" s="1"/>
  <c r="CT82"/>
  <c r="DQ82" s="1"/>
  <c r="CU82"/>
  <c r="Y84" i="1"/>
  <c r="AL81" i="5"/>
  <c r="I88" i="8"/>
  <c r="Q87" i="2"/>
  <c r="DH81" i="8"/>
  <c r="EH81" s="1"/>
  <c r="AO81" i="5"/>
  <c r="X81" i="10"/>
  <c r="Y81" s="1"/>
  <c r="AM81" i="5"/>
  <c r="AN81"/>
  <c r="CO81" i="8"/>
  <c r="DB81"/>
  <c r="EC81" s="1"/>
  <c r="ED81" s="1"/>
  <c r="CX81"/>
  <c r="CY81"/>
  <c r="EA81" s="1"/>
  <c r="DG81"/>
  <c r="EG81" s="1"/>
  <c r="CQ82"/>
  <c r="DA82" s="1"/>
  <c r="CV81"/>
  <c r="CN81"/>
  <c r="D82" i="9"/>
  <c r="AR84" i="5"/>
  <c r="AE81" i="7"/>
  <c r="AF81" s="1"/>
  <c r="BT81" i="8"/>
  <c r="BZ81"/>
  <c r="BY81"/>
  <c r="CG81"/>
  <c r="CF81"/>
  <c r="BQ81"/>
  <c r="N81" i="7"/>
  <c r="A83" i="5"/>
  <c r="E83" s="1"/>
  <c r="EQ83" i="8" s="1"/>
  <c r="CZ83" s="1"/>
  <c r="N81" i="11"/>
  <c r="V83" i="2"/>
  <c r="H85" i="5"/>
  <c r="F84" i="7"/>
  <c r="D84" i="10"/>
  <c r="AB82" i="8"/>
  <c r="AV82" i="5"/>
  <c r="A82" i="10"/>
  <c r="AA82" s="1"/>
  <c r="A82" i="11"/>
  <c r="AU82" i="5"/>
  <c r="AB81" i="2"/>
  <c r="B82" i="7"/>
  <c r="AE82" s="1"/>
  <c r="AF82" s="1"/>
  <c r="AI82" i="5"/>
  <c r="C82" i="14"/>
  <c r="DL82" i="8"/>
  <c r="AH82" i="5"/>
  <c r="AC82" i="10" s="1"/>
  <c r="W82" i="8"/>
  <c r="BN82"/>
  <c r="E82" i="1"/>
  <c r="BO82" i="8"/>
  <c r="DM82" s="1"/>
  <c r="BS82" i="5"/>
  <c r="EO82" i="8"/>
  <c r="B82" i="9"/>
  <c r="Q82" i="1"/>
  <c r="E82" i="14" s="1"/>
  <c r="DD83" i="5"/>
  <c r="K84"/>
  <c r="G83" i="10"/>
  <c r="I83" i="7"/>
  <c r="DE83" i="5"/>
  <c r="H83" i="10"/>
  <c r="J83" i="7"/>
  <c r="L84" i="5"/>
  <c r="I85"/>
  <c r="DB84"/>
  <c r="E84" i="10"/>
  <c r="G84" i="7"/>
  <c r="BO79" i="1"/>
  <c r="E79" i="11"/>
  <c r="EI80" i="8"/>
  <c r="Q79"/>
  <c r="DY80"/>
  <c r="P87" i="2"/>
  <c r="H88" i="8"/>
  <c r="E84" i="7"/>
  <c r="C84" i="10"/>
  <c r="G85" i="5"/>
  <c r="CZ84"/>
  <c r="AP80"/>
  <c r="DD80" i="8"/>
  <c r="DC80"/>
  <c r="O80" s="1"/>
  <c r="DD81"/>
  <c r="DC81"/>
  <c r="DE86"/>
  <c r="O86" i="2"/>
  <c r="B84" i="5"/>
  <c r="AA85" i="7"/>
  <c r="AE85" i="8" s="1"/>
  <c r="BC85" s="1"/>
  <c r="BY86" i="11"/>
  <c r="K85" i="10"/>
  <c r="N85" i="2"/>
  <c r="DF86" i="8"/>
  <c r="M86" i="2"/>
  <c r="R85"/>
  <c r="J86" i="8"/>
  <c r="D87" i="7"/>
  <c r="F88" i="5"/>
  <c r="B87" i="10"/>
  <c r="AH80" i="7"/>
  <c r="AG80"/>
  <c r="AI80" s="1"/>
  <c r="W83" i="1"/>
  <c r="DA84" i="5"/>
  <c r="P81" i="1"/>
  <c r="D80" i="14"/>
  <c r="U16" i="2"/>
  <c r="W15" s="1"/>
  <c r="C16" s="1"/>
  <c r="AU80" i="8"/>
  <c r="X85" i="1"/>
  <c r="J86" i="5"/>
  <c r="DC85"/>
  <c r="H85" i="7"/>
  <c r="F85" i="10"/>
  <c r="DG85" i="5"/>
  <c r="AK78"/>
  <c r="AQ78" i="1"/>
  <c r="U78" s="1"/>
  <c r="J79" s="1"/>
  <c r="AP79" i="8" s="1"/>
  <c r="BM78" i="1"/>
  <c r="D78" i="11"/>
  <c r="CY85" i="5"/>
  <c r="K87" i="8"/>
  <c r="S86" i="2"/>
  <c r="AQ80" i="5"/>
  <c r="AU80" i="1" s="1"/>
  <c r="AV80" i="8"/>
  <c r="AW80" i="1" s="1"/>
  <c r="L80" s="1"/>
  <c r="AO80" i="8" s="1"/>
  <c r="DF83" i="5"/>
  <c r="AC85" i="1" l="1"/>
  <c r="BC86" i="5"/>
  <c r="B85"/>
  <c r="AZ89"/>
  <c r="BN89"/>
  <c r="AF87" i="1"/>
  <c r="BK88" i="5"/>
  <c r="AD86" i="1"/>
  <c r="BE86" i="5"/>
  <c r="J86" i="2" s="1"/>
  <c r="AE84" i="1"/>
  <c r="W84" s="1"/>
  <c r="BP87" i="5"/>
  <c r="AB86" i="1"/>
  <c r="R16" i="8"/>
  <c r="S16" s="1"/>
  <c r="O81"/>
  <c r="O86" i="1"/>
  <c r="DK86" i="8" s="1"/>
  <c r="DI85"/>
  <c r="DJ85"/>
  <c r="AR80"/>
  <c r="BN80" i="1"/>
  <c r="C80" i="9"/>
  <c r="AR80" i="1"/>
  <c r="V80" s="1"/>
  <c r="K81" s="1"/>
  <c r="AD82" i="9"/>
  <c r="AV82" i="1" s="1"/>
  <c r="N85"/>
  <c r="AT81" i="8"/>
  <c r="AQ81"/>
  <c r="F81" i="11"/>
  <c r="M82" i="1"/>
  <c r="AW81" i="8"/>
  <c r="CA82"/>
  <c r="CH82"/>
  <c r="BY82"/>
  <c r="BU82"/>
  <c r="Y81" i="11"/>
  <c r="AH81" i="1" s="1"/>
  <c r="AC81" i="11"/>
  <c r="T81" i="8" s="1"/>
  <c r="AA81" i="11"/>
  <c r="AD81"/>
  <c r="AI81" i="1" s="1"/>
  <c r="AB81" i="11"/>
  <c r="P81" i="8" s="1"/>
  <c r="Z81" i="11"/>
  <c r="AC81" i="2" s="1"/>
  <c r="DZ80" i="8"/>
  <c r="CM87"/>
  <c r="AJ88" i="14"/>
  <c r="A87" i="2"/>
  <c r="A87" i="7"/>
  <c r="B87" i="14"/>
  <c r="K87" i="11"/>
  <c r="M87" i="5"/>
  <c r="A87" i="9"/>
  <c r="AD87" i="8"/>
  <c r="A87"/>
  <c r="J88" i="10"/>
  <c r="B86" i="2"/>
  <c r="L87" i="11"/>
  <c r="B86" i="1"/>
  <c r="BI86" s="1"/>
  <c r="EP82" i="8"/>
  <c r="DT82"/>
  <c r="DR82"/>
  <c r="DS82"/>
  <c r="DX81"/>
  <c r="EB81" s="1"/>
  <c r="CY82"/>
  <c r="EA82" s="1"/>
  <c r="DN82"/>
  <c r="DO82"/>
  <c r="DY81"/>
  <c r="AI83" i="5"/>
  <c r="CT83" i="8"/>
  <c r="DQ83" s="1"/>
  <c r="CU83"/>
  <c r="CS83"/>
  <c r="DP83" s="1"/>
  <c r="Y85" i="1"/>
  <c r="AH81" i="7"/>
  <c r="AP81" i="5"/>
  <c r="Q88" i="2"/>
  <c r="I89" i="8"/>
  <c r="EI81"/>
  <c r="AQ81" i="5"/>
  <c r="AU81" i="1" s="1"/>
  <c r="AG81" i="7"/>
  <c r="AI81" s="1"/>
  <c r="AB82" i="2"/>
  <c r="CV82" i="8"/>
  <c r="CW82"/>
  <c r="DG82"/>
  <c r="EG82" s="1"/>
  <c r="DB82"/>
  <c r="EC82" s="1"/>
  <c r="ED82" s="1"/>
  <c r="CX82"/>
  <c r="CQ83"/>
  <c r="DA83" s="1"/>
  <c r="Q82" i="7"/>
  <c r="D83" i="9"/>
  <c r="X82" i="10"/>
  <c r="Y82" s="1"/>
  <c r="AV81" i="8"/>
  <c r="AW81" i="1" s="1"/>
  <c r="L81" s="1"/>
  <c r="E81" i="11" s="1"/>
  <c r="AU81" i="8"/>
  <c r="AU83" i="5"/>
  <c r="C83" i="14"/>
  <c r="AH83" i="5"/>
  <c r="A83" i="11"/>
  <c r="BZ82" i="8"/>
  <c r="BN83"/>
  <c r="CN83" s="1"/>
  <c r="A83" i="10"/>
  <c r="AA83" s="1"/>
  <c r="BO83" i="8"/>
  <c r="DM83" s="1"/>
  <c r="AV83" i="5"/>
  <c r="B83" i="7"/>
  <c r="Q83" s="1"/>
  <c r="Q83" i="1"/>
  <c r="E83" i="14" s="1"/>
  <c r="EO83" i="8"/>
  <c r="E83" i="1"/>
  <c r="BS83" i="5"/>
  <c r="AB83" i="8"/>
  <c r="W83"/>
  <c r="B83" i="9"/>
  <c r="DL83" i="8"/>
  <c r="AL82" i="5"/>
  <c r="F85" i="7"/>
  <c r="D85" i="10"/>
  <c r="H86" i="5"/>
  <c r="DH82" i="8"/>
  <c r="EH82" s="1"/>
  <c r="V84" i="2"/>
  <c r="N82" i="11"/>
  <c r="AN82" i="5"/>
  <c r="CG82" i="8"/>
  <c r="CF82"/>
  <c r="BP82"/>
  <c r="BQ82"/>
  <c r="N82" i="7"/>
  <c r="BT82" i="8"/>
  <c r="AM82" i="5"/>
  <c r="AO82"/>
  <c r="CR82" i="8"/>
  <c r="DC82" s="1"/>
  <c r="CO82"/>
  <c r="CN82"/>
  <c r="AR85" i="5"/>
  <c r="I84" i="7"/>
  <c r="K85" i="5"/>
  <c r="G84" i="10"/>
  <c r="DD84" i="5"/>
  <c r="A84"/>
  <c r="E84" s="1"/>
  <c r="EQ84" i="8" s="1"/>
  <c r="CZ84" s="1"/>
  <c r="H84" i="10"/>
  <c r="J84" i="7"/>
  <c r="DE84" i="5"/>
  <c r="L85"/>
  <c r="E85" i="10"/>
  <c r="I86" i="5"/>
  <c r="DB85"/>
  <c r="G85" i="7"/>
  <c r="AT80" i="1"/>
  <c r="O87" i="2"/>
  <c r="DE87" i="8"/>
  <c r="BM79" i="1"/>
  <c r="D79" i="11"/>
  <c r="AQ79" i="1"/>
  <c r="U79" s="1"/>
  <c r="J80" s="1"/>
  <c r="AP80" i="8" s="1"/>
  <c r="AK79" i="5"/>
  <c r="AH82" i="7"/>
  <c r="AG82"/>
  <c r="AI82" s="1"/>
  <c r="J87" i="8"/>
  <c r="R86" i="2"/>
  <c r="N86"/>
  <c r="X86" i="1"/>
  <c r="DA85" i="5"/>
  <c r="EE80" i="8"/>
  <c r="EF80" s="1"/>
  <c r="Q80"/>
  <c r="BO80" i="1"/>
  <c r="DG86" i="5"/>
  <c r="CY86"/>
  <c r="H86" i="7"/>
  <c r="J87" i="5"/>
  <c r="DC86"/>
  <c r="F86" i="10"/>
  <c r="M87" i="2"/>
  <c r="DF87" i="8"/>
  <c r="EE81"/>
  <c r="EF81" s="1"/>
  <c r="P88" i="2"/>
  <c r="H89" i="8"/>
  <c r="E80" i="11"/>
  <c r="P82" i="1"/>
  <c r="D81" i="14"/>
  <c r="D88" i="7"/>
  <c r="F89" i="5"/>
  <c r="B88" i="10"/>
  <c r="G86" i="5"/>
  <c r="E85" i="7"/>
  <c r="C85" i="10"/>
  <c r="CZ85" i="5"/>
  <c r="S87" i="2"/>
  <c r="K88" i="8"/>
  <c r="K86" i="10"/>
  <c r="BY87" i="11"/>
  <c r="AA86" i="7"/>
  <c r="AE86" i="8" s="1"/>
  <c r="BC86" s="1"/>
  <c r="J85" i="2"/>
  <c r="DF84" i="5"/>
  <c r="AC86" i="1" l="1"/>
  <c r="BC87" i="5"/>
  <c r="BE87"/>
  <c r="AE85" i="1"/>
  <c r="W85" s="1"/>
  <c r="AZ90" i="5"/>
  <c r="BP88"/>
  <c r="AB87" i="1"/>
  <c r="BN90" i="5"/>
  <c r="AF88" i="1"/>
  <c r="BK89" i="5"/>
  <c r="AD87" i="1"/>
  <c r="F16"/>
  <c r="H16" i="2"/>
  <c r="I16"/>
  <c r="AA16" i="1" s="1"/>
  <c r="S16" s="1"/>
  <c r="H17" s="1"/>
  <c r="C17" i="11" s="1"/>
  <c r="F16" i="2"/>
  <c r="AP16" i="1" s="1"/>
  <c r="T16" s="1"/>
  <c r="O82" i="8"/>
  <c r="O87" i="1"/>
  <c r="DK87" i="8" s="1"/>
  <c r="DI86"/>
  <c r="DJ86"/>
  <c r="AR81"/>
  <c r="AR81" i="1"/>
  <c r="V81" s="1"/>
  <c r="K82" s="1"/>
  <c r="C81" i="9"/>
  <c r="BN81" i="1"/>
  <c r="AD83" i="9"/>
  <c r="AV83" i="1" s="1"/>
  <c r="N86"/>
  <c r="AT82" i="8"/>
  <c r="AW82"/>
  <c r="AQ82"/>
  <c r="F82" i="11"/>
  <c r="M83" i="1"/>
  <c r="CA83" i="8"/>
  <c r="CH83"/>
  <c r="BT83"/>
  <c r="BU83"/>
  <c r="Y82" i="11"/>
  <c r="AH82" i="1" s="1"/>
  <c r="AA82" i="11"/>
  <c r="AC82"/>
  <c r="T82" i="8" s="1"/>
  <c r="Z82" i="11"/>
  <c r="AC82" i="2" s="1"/>
  <c r="AB82" i="11"/>
  <c r="P82" i="8" s="1"/>
  <c r="AD82" i="11"/>
  <c r="AI82" i="1" s="1"/>
  <c r="EM80" i="8"/>
  <c r="G80" i="1" s="1"/>
  <c r="M80" i="8" s="1"/>
  <c r="A88" i="2"/>
  <c r="M88" i="5"/>
  <c r="A88" i="7"/>
  <c r="B88" i="14"/>
  <c r="A88" i="9"/>
  <c r="J89" i="10"/>
  <c r="A88" i="8"/>
  <c r="K88" i="11"/>
  <c r="AD88" i="8"/>
  <c r="B86" i="5"/>
  <c r="L88" i="11"/>
  <c r="B87" i="1"/>
  <c r="BI87" s="1"/>
  <c r="B87" i="2"/>
  <c r="AJ1268" i="14"/>
  <c r="AJ1269" s="1"/>
  <c r="AJ89"/>
  <c r="CM88" i="8"/>
  <c r="DH83"/>
  <c r="EH83" s="1"/>
  <c r="DT83"/>
  <c r="DR83"/>
  <c r="DS83"/>
  <c r="DX82"/>
  <c r="EB82" s="1"/>
  <c r="DZ81"/>
  <c r="EM81" s="1"/>
  <c r="G81" i="1" s="1"/>
  <c r="M81" i="8" s="1"/>
  <c r="CW83"/>
  <c r="DN83"/>
  <c r="DO83"/>
  <c r="AN83" i="5"/>
  <c r="CS84" i="8"/>
  <c r="DP84" s="1"/>
  <c r="CT84"/>
  <c r="DQ84" s="1"/>
  <c r="CU84"/>
  <c r="Y86" i="1"/>
  <c r="AE83" i="7"/>
  <c r="AT81" i="1"/>
  <c r="CR83" i="8"/>
  <c r="DD83" s="1"/>
  <c r="CO83"/>
  <c r="I90"/>
  <c r="Q89" i="2"/>
  <c r="BZ83" i="8"/>
  <c r="BQ83"/>
  <c r="CF83"/>
  <c r="D84" i="9"/>
  <c r="EP83" i="8"/>
  <c r="BY83"/>
  <c r="EI82"/>
  <c r="DY82"/>
  <c r="CX83"/>
  <c r="DG83"/>
  <c r="EG83" s="1"/>
  <c r="CY83"/>
  <c r="EA83" s="1"/>
  <c r="CV83"/>
  <c r="DB83"/>
  <c r="EC83" s="1"/>
  <c r="ED83" s="1"/>
  <c r="DL84"/>
  <c r="CG83"/>
  <c r="BP83"/>
  <c r="N83" i="7"/>
  <c r="N83" i="11"/>
  <c r="EO84" i="8"/>
  <c r="Q84" i="1"/>
  <c r="E84" i="14" s="1"/>
  <c r="E84" i="1"/>
  <c r="AL83" i="5"/>
  <c r="AP82"/>
  <c r="W84" i="8"/>
  <c r="AU84" i="5"/>
  <c r="AO83"/>
  <c r="AV84"/>
  <c r="AC83" i="10"/>
  <c r="X83" s="1"/>
  <c r="Y83" s="1"/>
  <c r="AM83" i="5"/>
  <c r="AH84"/>
  <c r="AC84" i="10" s="1"/>
  <c r="AB83" i="2"/>
  <c r="CQ84" i="8"/>
  <c r="DA84" s="1"/>
  <c r="BO84"/>
  <c r="DM84" s="1"/>
  <c r="AI84" i="5"/>
  <c r="B84" i="9"/>
  <c r="BN84" i="8"/>
  <c r="A84" i="11"/>
  <c r="AB84" i="8"/>
  <c r="C84" i="14"/>
  <c r="A84" i="10"/>
  <c r="AA84" s="1"/>
  <c r="B84" i="7"/>
  <c r="AE84" s="1"/>
  <c r="AF84" s="1"/>
  <c r="BS84" i="5"/>
  <c r="AU82" i="8"/>
  <c r="Q81"/>
  <c r="AQ82" i="5"/>
  <c r="AU82" i="1" s="1"/>
  <c r="D86" i="10"/>
  <c r="F86" i="7"/>
  <c r="H87" i="5"/>
  <c r="AV82" i="8"/>
  <c r="AW82" i="1" s="1"/>
  <c r="L82" s="1"/>
  <c r="BO82" s="1"/>
  <c r="DD82" i="8"/>
  <c r="EE82" s="1"/>
  <c r="EF82" s="1"/>
  <c r="H85" i="10"/>
  <c r="DE85" i="5"/>
  <c r="J85" i="7"/>
  <c r="L86" i="5"/>
  <c r="K86"/>
  <c r="G85" i="10"/>
  <c r="DD85" i="5"/>
  <c r="I85" i="7"/>
  <c r="V85" i="2"/>
  <c r="A85" i="5"/>
  <c r="E85" s="1"/>
  <c r="EQ85" i="8" s="1"/>
  <c r="CZ85" s="1"/>
  <c r="AR86" i="5"/>
  <c r="E86" i="10"/>
  <c r="DB86" i="5"/>
  <c r="I87"/>
  <c r="G86" i="7"/>
  <c r="BO81" i="1"/>
  <c r="AO81" i="8"/>
  <c r="V17" i="10"/>
  <c r="AC17" i="7"/>
  <c r="AN17" i="8"/>
  <c r="H90"/>
  <c r="P89" i="2"/>
  <c r="X87" i="1"/>
  <c r="E86" i="7"/>
  <c r="CZ86" i="5"/>
  <c r="G87"/>
  <c r="C86" i="10"/>
  <c r="K89" i="8"/>
  <c r="S88" i="2"/>
  <c r="CY87" i="5"/>
  <c r="DA86"/>
  <c r="D82" i="14"/>
  <c r="P83" i="1"/>
  <c r="M88" i="2"/>
  <c r="DF88" i="8"/>
  <c r="U16"/>
  <c r="V16"/>
  <c r="BY88" i="11"/>
  <c r="AA87" i="7"/>
  <c r="AE87" i="8" s="1"/>
  <c r="BC87" s="1"/>
  <c r="K87" i="10"/>
  <c r="F90" i="5"/>
  <c r="B89" i="10"/>
  <c r="D89" i="7"/>
  <c r="I16" i="11"/>
  <c r="O16" i="7"/>
  <c r="D80" i="11"/>
  <c r="AQ80" i="1"/>
  <c r="U80" s="1"/>
  <c r="J81" s="1"/>
  <c r="AP81" i="8" s="1"/>
  <c r="AK80" i="5"/>
  <c r="BM80" i="1"/>
  <c r="DC87" i="5"/>
  <c r="H87" i="7"/>
  <c r="F87" i="10"/>
  <c r="J88" i="5"/>
  <c r="DG87"/>
  <c r="O88" i="2"/>
  <c r="DE88" i="8"/>
  <c r="N87" i="2"/>
  <c r="R87"/>
  <c r="J88" i="8"/>
  <c r="G16" i="2"/>
  <c r="Z16" s="1"/>
  <c r="Z17" i="8" s="1"/>
  <c r="DF85" i="5"/>
  <c r="J87" i="2" l="1"/>
  <c r="AC87" i="1"/>
  <c r="BC88" i="5"/>
  <c r="J16" i="11"/>
  <c r="P16" i="7" s="1"/>
  <c r="BK17" i="1"/>
  <c r="AJ17" i="5"/>
  <c r="BK90"/>
  <c r="AD88" i="1"/>
  <c r="BE88" i="5"/>
  <c r="J88" i="2" s="1"/>
  <c r="AE86" i="1"/>
  <c r="W86" s="1"/>
  <c r="AZ91" i="5"/>
  <c r="BP89"/>
  <c r="AB88" i="1"/>
  <c r="BN91" i="5"/>
  <c r="AF89" i="1"/>
  <c r="O88"/>
  <c r="DK88" i="8" s="1"/>
  <c r="DI87"/>
  <c r="DJ87"/>
  <c r="AR82"/>
  <c r="C82" i="9"/>
  <c r="BN82" i="1"/>
  <c r="AR82"/>
  <c r="V82" s="1"/>
  <c r="K83" s="1"/>
  <c r="AR83" i="8" s="1"/>
  <c r="AD84" i="9"/>
  <c r="AV84" i="1" s="1"/>
  <c r="N87"/>
  <c r="AF83" i="7"/>
  <c r="AH83" s="1"/>
  <c r="I17" i="1"/>
  <c r="AT83" i="8"/>
  <c r="AQ83"/>
  <c r="F83" i="11"/>
  <c r="M84" i="1"/>
  <c r="AW83" i="8"/>
  <c r="CA84"/>
  <c r="CH84"/>
  <c r="N84" i="7"/>
  <c r="BU84" i="8"/>
  <c r="AA83" i="11"/>
  <c r="AC83"/>
  <c r="T83" i="8" s="1"/>
  <c r="Y83" i="11"/>
  <c r="AH83" i="1" s="1"/>
  <c r="Z83" i="11"/>
  <c r="AC83" i="2" s="1"/>
  <c r="AD83" i="11"/>
  <c r="AI83" i="1" s="1"/>
  <c r="AB83" i="11"/>
  <c r="P83" i="8" s="1"/>
  <c r="DZ82"/>
  <c r="EM82" s="1"/>
  <c r="G82" i="1" s="1"/>
  <c r="M82" i="8" s="1"/>
  <c r="Q82"/>
  <c r="N84" i="11"/>
  <c r="B88" i="1"/>
  <c r="BI88" s="1"/>
  <c r="L89" i="11"/>
  <c r="B88" i="2"/>
  <c r="A89"/>
  <c r="A89" i="7"/>
  <c r="AD89" i="8"/>
  <c r="K89" i="11"/>
  <c r="A89" i="8"/>
  <c r="B89" i="14"/>
  <c r="J90" i="10"/>
  <c r="A89" i="9"/>
  <c r="M89" i="5"/>
  <c r="AJ90" i="14"/>
  <c r="CM89" i="8"/>
  <c r="EI83"/>
  <c r="EP84"/>
  <c r="DT84"/>
  <c r="DR84"/>
  <c r="DS84"/>
  <c r="DX83"/>
  <c r="EB83" s="1"/>
  <c r="DY83"/>
  <c r="CY84"/>
  <c r="EA84" s="1"/>
  <c r="DN84"/>
  <c r="DO84"/>
  <c r="DC83"/>
  <c r="O83" s="1"/>
  <c r="AP83" i="5"/>
  <c r="CU85" i="8"/>
  <c r="CS85"/>
  <c r="DP85" s="1"/>
  <c r="CT85"/>
  <c r="DQ85" s="1"/>
  <c r="Y87" i="1"/>
  <c r="AG83" i="7"/>
  <c r="AI83" s="1"/>
  <c r="B87" i="5"/>
  <c r="I91" i="8"/>
  <c r="Q90" i="2"/>
  <c r="Q84" i="7"/>
  <c r="AV83" i="8"/>
  <c r="AW83" i="1" s="1"/>
  <c r="L83" s="1"/>
  <c r="E83" i="11" s="1"/>
  <c r="CF84" i="8"/>
  <c r="BQ84"/>
  <c r="AM84" i="5"/>
  <c r="BY84" i="8"/>
  <c r="BT84"/>
  <c r="BZ84"/>
  <c r="CG84"/>
  <c r="AO84" i="5"/>
  <c r="AQ83"/>
  <c r="AU83" i="1" s="1"/>
  <c r="AU83" i="8"/>
  <c r="DH84"/>
  <c r="EH84" s="1"/>
  <c r="D85" i="9"/>
  <c r="AL84" i="5"/>
  <c r="X84" i="10"/>
  <c r="Y84" s="1"/>
  <c r="CQ85" i="8"/>
  <c r="DA85" s="1"/>
  <c r="BP84"/>
  <c r="A86" i="5"/>
  <c r="E86" s="1"/>
  <c r="EQ86" i="8" s="1"/>
  <c r="CZ86" s="1"/>
  <c r="CV84"/>
  <c r="CW84"/>
  <c r="DB84"/>
  <c r="EC84" s="1"/>
  <c r="ED84" s="1"/>
  <c r="CX84"/>
  <c r="AT82" i="1"/>
  <c r="DG84" i="8"/>
  <c r="EG84" s="1"/>
  <c r="V86" i="2"/>
  <c r="CR84" i="8"/>
  <c r="DC84" s="1"/>
  <c r="CO84"/>
  <c r="CN84"/>
  <c r="AN84" i="5"/>
  <c r="BN85" i="8"/>
  <c r="CN85" s="1"/>
  <c r="BO85"/>
  <c r="DM85" s="1"/>
  <c r="W85"/>
  <c r="A85" i="11"/>
  <c r="AR87" i="5"/>
  <c r="H88"/>
  <c r="D87" i="10"/>
  <c r="F87" i="7"/>
  <c r="AB85" i="8"/>
  <c r="Q85" i="1"/>
  <c r="E85" i="14" s="1"/>
  <c r="A85" i="10"/>
  <c r="AA85" s="1"/>
  <c r="B85" i="9"/>
  <c r="E85" i="1"/>
  <c r="C85" i="14"/>
  <c r="AB84" i="2"/>
  <c r="BS85" i="5"/>
  <c r="AV85"/>
  <c r="AI85"/>
  <c r="B85" i="7"/>
  <c r="Q85" s="1"/>
  <c r="EO85" i="8"/>
  <c r="AH85" i="5"/>
  <c r="AU85"/>
  <c r="J86" i="7"/>
  <c r="H86" i="10"/>
  <c r="DE86" i="5"/>
  <c r="L87"/>
  <c r="DD86"/>
  <c r="I86" i="7"/>
  <c r="G86" i="10"/>
  <c r="K87" i="5"/>
  <c r="DL85" i="8"/>
  <c r="G87" i="7"/>
  <c r="DB87" i="5"/>
  <c r="E87" i="10"/>
  <c r="I88" i="5"/>
  <c r="E82" i="11"/>
  <c r="AO82" i="8"/>
  <c r="K88" i="10"/>
  <c r="AA88" i="7"/>
  <c r="AE88" i="8" s="1"/>
  <c r="BC88" s="1"/>
  <c r="BY89" i="11"/>
  <c r="C16" i="8"/>
  <c r="N88" i="2"/>
  <c r="F88" i="10"/>
  <c r="H88" i="7"/>
  <c r="DC88" i="5"/>
  <c r="J89"/>
  <c r="P84" i="1"/>
  <c r="D83" i="14"/>
  <c r="C87" i="10"/>
  <c r="CZ87" i="5"/>
  <c r="E87" i="7"/>
  <c r="G88" i="5"/>
  <c r="X88" i="1"/>
  <c r="DF89" i="8"/>
  <c r="M89" i="2"/>
  <c r="CY88" i="5"/>
  <c r="H91" i="8"/>
  <c r="P90" i="2"/>
  <c r="F16" i="9"/>
  <c r="DG88" i="5"/>
  <c r="R88" i="2"/>
  <c r="J89" i="8"/>
  <c r="O89" i="2"/>
  <c r="DE89" i="8"/>
  <c r="BM81" i="1"/>
  <c r="D81" i="11"/>
  <c r="AQ81" i="1"/>
  <c r="U81" s="1"/>
  <c r="J82" s="1"/>
  <c r="AP82" i="8" s="1"/>
  <c r="AK81" i="5"/>
  <c r="B90" i="10"/>
  <c r="F91" i="5"/>
  <c r="D90" i="7"/>
  <c r="DA87" i="5"/>
  <c r="AH84" i="7"/>
  <c r="AG84"/>
  <c r="AI84" s="1"/>
  <c r="S89" i="2"/>
  <c r="K90" i="8"/>
  <c r="DF86" i="5"/>
  <c r="BC89" l="1"/>
  <c r="AC88" i="1"/>
  <c r="BP90" i="5"/>
  <c r="AB89" i="1"/>
  <c r="BK91" i="5"/>
  <c r="AD89" i="1"/>
  <c r="BN92" i="5"/>
  <c r="AF90" i="1"/>
  <c r="BE89" i="5"/>
  <c r="AE87" i="1"/>
  <c r="W87" s="1"/>
  <c r="AZ92" i="5"/>
  <c r="O84" i="8"/>
  <c r="O89" i="1"/>
  <c r="DK89" i="8" s="1"/>
  <c r="DJ88"/>
  <c r="DI88"/>
  <c r="AS17"/>
  <c r="AO17" i="1"/>
  <c r="BN83"/>
  <c r="AD85" i="9"/>
  <c r="AV85" i="1" s="1"/>
  <c r="C83" i="9"/>
  <c r="AR83" i="1"/>
  <c r="V83" s="1"/>
  <c r="K84" s="1"/>
  <c r="AR84" i="8" s="1"/>
  <c r="N88" i="1"/>
  <c r="BL17"/>
  <c r="AT84" i="8"/>
  <c r="AW84"/>
  <c r="AQ84"/>
  <c r="F84" i="11"/>
  <c r="M85" i="1"/>
  <c r="CA85" i="8"/>
  <c r="CH85"/>
  <c r="BQ85"/>
  <c r="BU85"/>
  <c r="AA84" i="11"/>
  <c r="AC84"/>
  <c r="T84" i="8" s="1"/>
  <c r="Y84" i="11"/>
  <c r="AH84" i="1" s="1"/>
  <c r="AB84" i="11"/>
  <c r="P84" i="8" s="1"/>
  <c r="AD84" i="11"/>
  <c r="AI84" i="1" s="1"/>
  <c r="Z84" i="11"/>
  <c r="AC84" i="2" s="1"/>
  <c r="N85" i="11"/>
  <c r="L90"/>
  <c r="B89" i="2"/>
  <c r="B89" i="1"/>
  <c r="BI89" s="1"/>
  <c r="AJ91" i="14"/>
  <c r="CM90" i="8"/>
  <c r="A90" i="2"/>
  <c r="K90" i="11"/>
  <c r="J91" i="10"/>
  <c r="A90" i="9"/>
  <c r="A90" i="8"/>
  <c r="M90" i="5"/>
  <c r="B90" i="14"/>
  <c r="AD90" i="8"/>
  <c r="A90" i="7"/>
  <c r="EE83" i="8"/>
  <c r="EF83" s="1"/>
  <c r="DH85"/>
  <c r="EH85" s="1"/>
  <c r="DT85"/>
  <c r="DR85"/>
  <c r="DS85"/>
  <c r="DX84"/>
  <c r="EB84" s="1"/>
  <c r="DZ83"/>
  <c r="CX85"/>
  <c r="DN85"/>
  <c r="DO85"/>
  <c r="AT83" i="1"/>
  <c r="BN86" i="8"/>
  <c r="CO86" s="1"/>
  <c r="CS86"/>
  <c r="DP86" s="1"/>
  <c r="CT86"/>
  <c r="DQ86" s="1"/>
  <c r="CU86"/>
  <c r="Y88" i="1"/>
  <c r="AQ84" i="5"/>
  <c r="AU84" i="1" s="1"/>
  <c r="Q91" i="2"/>
  <c r="I92" i="8"/>
  <c r="AP84" i="5"/>
  <c r="AV84" i="8"/>
  <c r="AW84" i="1" s="1"/>
  <c r="L84" s="1"/>
  <c r="BO84" s="1"/>
  <c r="AU86" i="5"/>
  <c r="EI84" i="8"/>
  <c r="AU84"/>
  <c r="D86" i="9"/>
  <c r="CY85" i="8"/>
  <c r="EA85" s="1"/>
  <c r="CV85"/>
  <c r="DG85"/>
  <c r="EG85" s="1"/>
  <c r="CW85"/>
  <c r="DB85"/>
  <c r="EC85" s="1"/>
  <c r="ED85" s="1"/>
  <c r="DL86"/>
  <c r="CQ86"/>
  <c r="DA86" s="1"/>
  <c r="BO86"/>
  <c r="DM86" s="1"/>
  <c r="C86" i="14"/>
  <c r="EO86" i="8"/>
  <c r="AB86"/>
  <c r="B86" i="7"/>
  <c r="Q86" s="1"/>
  <c r="AV86" i="5"/>
  <c r="E86" i="1"/>
  <c r="A86" i="11"/>
  <c r="Q86" i="1"/>
  <c r="E86" i="14" s="1"/>
  <c r="AB85" i="2"/>
  <c r="B86" i="9"/>
  <c r="A86" i="10"/>
  <c r="AA86" s="1"/>
  <c r="AH86" i="5"/>
  <c r="W86" i="8"/>
  <c r="AI86" i="5"/>
  <c r="BS86"/>
  <c r="DY84" i="8"/>
  <c r="DD84"/>
  <c r="EE84" s="1"/>
  <c r="EF84" s="1"/>
  <c r="Q83"/>
  <c r="AE85" i="7"/>
  <c r="AF85" s="1"/>
  <c r="AN85" i="5"/>
  <c r="CR85" i="8"/>
  <c r="DD85" s="1"/>
  <c r="CO85"/>
  <c r="AL85" i="5"/>
  <c r="H89"/>
  <c r="D88" i="10"/>
  <c r="F88" i="7"/>
  <c r="AR88" i="5"/>
  <c r="N85" i="7"/>
  <c r="EP85" i="8"/>
  <c r="V87" i="2"/>
  <c r="BY85" i="8"/>
  <c r="AC85" i="10"/>
  <c r="X85" s="1"/>
  <c r="Y85" s="1"/>
  <c r="AM85" i="5"/>
  <c r="BZ85" i="8"/>
  <c r="CF85"/>
  <c r="CG85"/>
  <c r="BP85"/>
  <c r="AO85" i="5"/>
  <c r="BT85" i="8"/>
  <c r="L88" i="5"/>
  <c r="H87" i="10"/>
  <c r="DE87" i="5"/>
  <c r="J87" i="7"/>
  <c r="A87" i="5"/>
  <c r="E87" s="1"/>
  <c r="EQ87" i="8" s="1"/>
  <c r="CZ87" s="1"/>
  <c r="DD87" i="5"/>
  <c r="G87" i="10"/>
  <c r="K88" i="5"/>
  <c r="I87" i="7"/>
  <c r="I89" i="5"/>
  <c r="E88" i="10"/>
  <c r="DB88" i="5"/>
  <c r="G88" i="7"/>
  <c r="AO83" i="8"/>
  <c r="BO83" i="1"/>
  <c r="H92" i="8"/>
  <c r="P91" i="2"/>
  <c r="CY89" i="5"/>
  <c r="N89" i="2"/>
  <c r="Y16"/>
  <c r="X16" s="1"/>
  <c r="S90"/>
  <c r="K91" i="8"/>
  <c r="X89" i="1"/>
  <c r="R89" i="2"/>
  <c r="J90" i="8"/>
  <c r="F89" i="10"/>
  <c r="DC89" i="5"/>
  <c r="J90"/>
  <c r="H89" i="7"/>
  <c r="AA89"/>
  <c r="AE89" i="8" s="1"/>
  <c r="BC89" s="1"/>
  <c r="K89" i="10"/>
  <c r="BY90" i="11"/>
  <c r="D84" i="14"/>
  <c r="P85" i="1"/>
  <c r="DA88" i="5"/>
  <c r="D82" i="11"/>
  <c r="AK82" i="5"/>
  <c r="AQ82" i="1"/>
  <c r="U82" s="1"/>
  <c r="J83" s="1"/>
  <c r="AP83" i="8" s="1"/>
  <c r="BM82" i="1"/>
  <c r="DE90" i="8"/>
  <c r="O90" i="2"/>
  <c r="DG89" i="5"/>
  <c r="M90" i="2"/>
  <c r="DF90" i="8"/>
  <c r="G89" i="5"/>
  <c r="E88" i="7"/>
  <c r="CZ88" i="5"/>
  <c r="C88" i="10"/>
  <c r="D91" i="7"/>
  <c r="B91" i="10"/>
  <c r="F92" i="5"/>
  <c r="B88"/>
  <c r="DF87"/>
  <c r="J89" i="2" l="1"/>
  <c r="AC89" i="1"/>
  <c r="BC90" i="5"/>
  <c r="BP91"/>
  <c r="AB90" i="1"/>
  <c r="AZ93" i="5"/>
  <c r="BK92"/>
  <c r="AD90" i="1"/>
  <c r="BN93" i="5"/>
  <c r="AF91" i="1"/>
  <c r="BE90" i="5"/>
  <c r="AE88" i="1"/>
  <c r="W88" s="1"/>
  <c r="O90"/>
  <c r="DK90" i="8" s="1"/>
  <c r="DI89"/>
  <c r="DJ89"/>
  <c r="CN86"/>
  <c r="C84" i="9"/>
  <c r="BN84" i="1"/>
  <c r="AR84"/>
  <c r="V84" s="1"/>
  <c r="K85" s="1"/>
  <c r="AR85" i="8" s="1"/>
  <c r="AD86" i="9"/>
  <c r="AV86" i="1" s="1"/>
  <c r="AN86" i="5"/>
  <c r="N89" i="1"/>
  <c r="AL86" i="5"/>
  <c r="AT85" i="8"/>
  <c r="AQ85"/>
  <c r="F85" i="11"/>
  <c r="M86" i="1"/>
  <c r="AW85" i="8"/>
  <c r="CA86"/>
  <c r="CH86"/>
  <c r="BT86"/>
  <c r="BQ86"/>
  <c r="BU86"/>
  <c r="AA85" i="11"/>
  <c r="AC85"/>
  <c r="T85" i="8" s="1"/>
  <c r="Y85" i="11"/>
  <c r="AH85" i="1" s="1"/>
  <c r="Z85" i="11"/>
  <c r="AC85" i="2" s="1"/>
  <c r="AB85" i="11"/>
  <c r="P85" i="8" s="1"/>
  <c r="AD85" i="11"/>
  <c r="AI85" i="1" s="1"/>
  <c r="EM83" i="8"/>
  <c r="G83" i="1" s="1"/>
  <c r="M83" i="8" s="1"/>
  <c r="CM91"/>
  <c r="AJ92" i="14"/>
  <c r="L91" i="11"/>
  <c r="B90" i="1"/>
  <c r="BI90" s="1"/>
  <c r="B90" i="2"/>
  <c r="A91"/>
  <c r="M91" i="5"/>
  <c r="A91" i="7"/>
  <c r="AD91" i="8"/>
  <c r="J92" i="10"/>
  <c r="B91" i="14"/>
  <c r="A91" i="8"/>
  <c r="K91" i="11"/>
  <c r="A91" i="9"/>
  <c r="EP86" i="8"/>
  <c r="DT86"/>
  <c r="EI85"/>
  <c r="DR86"/>
  <c r="DS86"/>
  <c r="DZ84"/>
  <c r="EM84" s="1"/>
  <c r="G84" i="1" s="1"/>
  <c r="M84" i="8" s="1"/>
  <c r="DX85"/>
  <c r="EB85" s="1"/>
  <c r="CW86"/>
  <c r="DN86"/>
  <c r="DO86"/>
  <c r="DY85"/>
  <c r="CS87"/>
  <c r="DP87" s="1"/>
  <c r="CT87"/>
  <c r="DQ87" s="1"/>
  <c r="CU87"/>
  <c r="CR86"/>
  <c r="DC86" s="1"/>
  <c r="D87" i="9"/>
  <c r="B89" i="5"/>
  <c r="Y89" i="1"/>
  <c r="AH85" i="7"/>
  <c r="I93" i="8"/>
  <c r="Q92" i="2"/>
  <c r="AT84" i="1"/>
  <c r="DH86" i="8"/>
  <c r="EH86" s="1"/>
  <c r="BY86"/>
  <c r="CF86"/>
  <c r="CG86"/>
  <c r="N86" i="7"/>
  <c r="BP86" i="8"/>
  <c r="BZ86"/>
  <c r="AE86" i="7"/>
  <c r="AF86" s="1"/>
  <c r="DC85" i="8"/>
  <c r="EE85" s="1"/>
  <c r="EF85" s="1"/>
  <c r="N86" i="11"/>
  <c r="DB86" i="8"/>
  <c r="EC86" s="1"/>
  <c r="ED86" s="1"/>
  <c r="CY86"/>
  <c r="EA86" s="1"/>
  <c r="CV86"/>
  <c r="DL87"/>
  <c r="CX86"/>
  <c r="DG86"/>
  <c r="EG86" s="1"/>
  <c r="AO86" i="5"/>
  <c r="AM86"/>
  <c r="AC86" i="10"/>
  <c r="X86" s="1"/>
  <c r="Y86" s="1"/>
  <c r="AG85" i="7"/>
  <c r="AI85" s="1"/>
  <c r="AV87" i="5"/>
  <c r="AP85"/>
  <c r="B87" i="9"/>
  <c r="AB87" i="8"/>
  <c r="Q84"/>
  <c r="E87" i="1"/>
  <c r="EO87" i="8"/>
  <c r="B87" i="7"/>
  <c r="AE87" s="1"/>
  <c r="AF87" s="1"/>
  <c r="AQ85" i="5"/>
  <c r="AU85" i="1" s="1"/>
  <c r="AR89" i="5"/>
  <c r="D89" i="10"/>
  <c r="H90" i="5"/>
  <c r="F89" i="7"/>
  <c r="AU85" i="8"/>
  <c r="AV85"/>
  <c r="AW85" i="1" s="1"/>
  <c r="L85" s="1"/>
  <c r="BO85" s="1"/>
  <c r="AB86" i="2"/>
  <c r="AU87" i="5"/>
  <c r="AI87"/>
  <c r="CQ87" i="8"/>
  <c r="DA87" s="1"/>
  <c r="BS87" i="5"/>
  <c r="A87" i="10"/>
  <c r="AA87" s="1"/>
  <c r="C87" i="14"/>
  <c r="A87" i="11"/>
  <c r="AH87" i="5"/>
  <c r="AC87" i="10" s="1"/>
  <c r="BN87" i="8"/>
  <c r="CN87" s="1"/>
  <c r="W87"/>
  <c r="BO87"/>
  <c r="DM87" s="1"/>
  <c r="Q87" i="1"/>
  <c r="E87" i="14" s="1"/>
  <c r="DE88" i="5"/>
  <c r="L89"/>
  <c r="J88" i="7"/>
  <c r="H88" i="10"/>
  <c r="K89" i="5"/>
  <c r="DD88"/>
  <c r="G88" i="10"/>
  <c r="I88" i="7"/>
  <c r="V88" i="2"/>
  <c r="A88" i="5"/>
  <c r="E88" s="1"/>
  <c r="EQ88" i="8" s="1"/>
  <c r="CZ88" s="1"/>
  <c r="G89" i="7"/>
  <c r="E89" i="10"/>
  <c r="DB89" i="5"/>
  <c r="I90"/>
  <c r="AO84" i="8"/>
  <c r="E84" i="11"/>
  <c r="CZ89" i="5"/>
  <c r="C89" i="10"/>
  <c r="E89" i="7"/>
  <c r="G90" i="5"/>
  <c r="B17" i="8"/>
  <c r="D17" i="2" s="1"/>
  <c r="AB17" i="7"/>
  <c r="L17" i="2"/>
  <c r="BD17" i="8"/>
  <c r="H17" i="11"/>
  <c r="E17" i="2"/>
  <c r="X90" i="1"/>
  <c r="BM83"/>
  <c r="AK83" i="5"/>
  <c r="D83" i="11"/>
  <c r="AQ83" i="1"/>
  <c r="U83" s="1"/>
  <c r="J84" s="1"/>
  <c r="AP84" i="8" s="1"/>
  <c r="CY90" i="5"/>
  <c r="P92" i="2"/>
  <c r="H93" i="8"/>
  <c r="AA90" i="7"/>
  <c r="AE90" i="8" s="1"/>
  <c r="BC90" s="1"/>
  <c r="K90" i="10"/>
  <c r="BY91" i="11"/>
  <c r="P86" i="1"/>
  <c r="D85" i="14"/>
  <c r="R90" i="2"/>
  <c r="J91" i="8"/>
  <c r="M91" i="2"/>
  <c r="DF91" i="8"/>
  <c r="K92"/>
  <c r="S91" i="2"/>
  <c r="J90"/>
  <c r="DA89" i="5"/>
  <c r="D92" i="7"/>
  <c r="F93" i="5"/>
  <c r="B92" i="10"/>
  <c r="O91" i="2"/>
  <c r="DE91" i="8"/>
  <c r="DG90" i="5"/>
  <c r="F90" i="10"/>
  <c r="DC90" i="5"/>
  <c r="H90" i="7"/>
  <c r="J91" i="5"/>
  <c r="N90" i="2"/>
  <c r="DF88" i="5"/>
  <c r="AC90" i="1" l="1"/>
  <c r="BC91" i="5"/>
  <c r="BN94"/>
  <c r="AF92" i="1"/>
  <c r="BE91" i="5"/>
  <c r="AE89" i="1"/>
  <c r="BP92" i="5"/>
  <c r="AB91" i="1"/>
  <c r="AZ94" i="5"/>
  <c r="BK93"/>
  <c r="AD91" i="1"/>
  <c r="O85" i="8"/>
  <c r="Q85" s="1"/>
  <c r="O86"/>
  <c r="O91" i="1"/>
  <c r="DK91" i="8" s="1"/>
  <c r="DI90"/>
  <c r="DJ90"/>
  <c r="C85" i="9"/>
  <c r="BN85" i="1"/>
  <c r="AR85"/>
  <c r="V85" s="1"/>
  <c r="K86" s="1"/>
  <c r="AR86" i="8" s="1"/>
  <c r="AD87" i="9"/>
  <c r="AV87" i="1" s="1"/>
  <c r="AP86" i="5"/>
  <c r="N90" i="1"/>
  <c r="AT86" i="8"/>
  <c r="AQ86"/>
  <c r="F86" i="11"/>
  <c r="M87" i="1"/>
  <c r="AW86" i="8"/>
  <c r="CA87"/>
  <c r="CH87"/>
  <c r="BY87"/>
  <c r="BU87"/>
  <c r="AA86" i="11"/>
  <c r="AC86"/>
  <c r="T86" i="8" s="1"/>
  <c r="Y86" i="11"/>
  <c r="AH86" i="1" s="1"/>
  <c r="Z86" i="11"/>
  <c r="AC86" i="2" s="1"/>
  <c r="AB86" i="11"/>
  <c r="P86" i="8" s="1"/>
  <c r="AD86" i="11"/>
  <c r="AI86" i="1" s="1"/>
  <c r="L92" i="11"/>
  <c r="B91" i="2"/>
  <c r="B91" i="1"/>
  <c r="BI91" s="1"/>
  <c r="AJ93" i="14"/>
  <c r="CM92" i="8"/>
  <c r="A92" i="2"/>
  <c r="A92" i="7"/>
  <c r="J93" i="10"/>
  <c r="M92" i="5"/>
  <c r="A92" i="9"/>
  <c r="K92" i="11"/>
  <c r="AD92" i="8"/>
  <c r="A92"/>
  <c r="B92" i="14"/>
  <c r="DH87" i="8"/>
  <c r="EH87" s="1"/>
  <c r="DT87"/>
  <c r="DD86"/>
  <c r="EE86" s="1"/>
  <c r="EF86" s="1"/>
  <c r="DR87"/>
  <c r="DS87"/>
  <c r="DX86"/>
  <c r="EB86" s="1"/>
  <c r="DZ85"/>
  <c r="EM85" s="1"/>
  <c r="G85" i="1" s="1"/>
  <c r="M85" i="8" s="1"/>
  <c r="DY86"/>
  <c r="CW87"/>
  <c r="DN87"/>
  <c r="DO87"/>
  <c r="CU88"/>
  <c r="CT88"/>
  <c r="DQ88" s="1"/>
  <c r="CS88"/>
  <c r="DP88" s="1"/>
  <c r="Y90" i="1"/>
  <c r="B90" i="5"/>
  <c r="AG86" i="7"/>
  <c r="AI86" s="1"/>
  <c r="AH86"/>
  <c r="I94" i="8"/>
  <c r="Q93" i="2"/>
  <c r="AU86" i="8"/>
  <c r="AV86"/>
  <c r="AW86" i="1" s="1"/>
  <c r="L86" s="1"/>
  <c r="BO86" s="1"/>
  <c r="CF87" i="8"/>
  <c r="EI86"/>
  <c r="EP87"/>
  <c r="N87" i="11"/>
  <c r="BP87" i="8"/>
  <c r="AQ86" i="5"/>
  <c r="AU86" i="1" s="1"/>
  <c r="CG87" i="8"/>
  <c r="BQ87"/>
  <c r="N87" i="7"/>
  <c r="BT87" i="8"/>
  <c r="BZ87"/>
  <c r="X87" i="10"/>
  <c r="Y87" s="1"/>
  <c r="I62" i="4" s="1"/>
  <c r="Q87" i="7"/>
  <c r="AT85" i="1"/>
  <c r="AR90" i="5"/>
  <c r="AN87"/>
  <c r="F90" i="7"/>
  <c r="H91" i="5"/>
  <c r="D90" i="10"/>
  <c r="CY87" i="8"/>
  <c r="EA87" s="1"/>
  <c r="CV87"/>
  <c r="CX87"/>
  <c r="AM87" i="5"/>
  <c r="V89" i="2"/>
  <c r="A89" i="5"/>
  <c r="E89" s="1"/>
  <c r="EQ89" i="8" s="1"/>
  <c r="CZ89" s="1"/>
  <c r="AL87" i="5"/>
  <c r="D88" i="9"/>
  <c r="CO87" i="8"/>
  <c r="CR87"/>
  <c r="DC87" s="1"/>
  <c r="AO87" i="5"/>
  <c r="DB87" i="8"/>
  <c r="EC87" s="1"/>
  <c r="ED87" s="1"/>
  <c r="DG87"/>
  <c r="EG87" s="1"/>
  <c r="DE89" i="5"/>
  <c r="H89" i="10"/>
  <c r="J89" i="7"/>
  <c r="L90" i="5"/>
  <c r="DD89"/>
  <c r="I89" i="7"/>
  <c r="G89" i="10"/>
  <c r="K90" i="5"/>
  <c r="I91"/>
  <c r="DB90"/>
  <c r="E90" i="10"/>
  <c r="G90" i="7"/>
  <c r="E85" i="11"/>
  <c r="AO85" i="8"/>
  <c r="U17" i="2"/>
  <c r="W16" s="1"/>
  <c r="C17" s="1"/>
  <c r="W89" i="1"/>
  <c r="J91" i="2"/>
  <c r="DA90" i="5"/>
  <c r="BS88"/>
  <c r="B88" i="7"/>
  <c r="A88" i="10"/>
  <c r="AA88" s="1"/>
  <c r="E88" i="1"/>
  <c r="AV88" i="5"/>
  <c r="C88" i="14"/>
  <c r="Q88" i="1"/>
  <c r="E88" i="14" s="1"/>
  <c r="AU88" i="5"/>
  <c r="W88" i="8"/>
  <c r="A88" i="11"/>
  <c r="B88" i="9"/>
  <c r="AB87" i="2"/>
  <c r="AI88" i="5"/>
  <c r="AH88"/>
  <c r="BN88" i="8"/>
  <c r="BO88"/>
  <c r="DM88" s="1"/>
  <c r="EO88"/>
  <c r="DT88" s="1"/>
  <c r="AB88"/>
  <c r="CQ88"/>
  <c r="DA88" s="1"/>
  <c r="DL88"/>
  <c r="X91" i="1"/>
  <c r="J92" i="5"/>
  <c r="DC91"/>
  <c r="F91" i="10"/>
  <c r="H91" i="7"/>
  <c r="DG91" i="5"/>
  <c r="B91"/>
  <c r="F94"/>
  <c r="B93" i="10"/>
  <c r="D93" i="7"/>
  <c r="R91" i="2"/>
  <c r="J92" i="8"/>
  <c r="BY92" i="11"/>
  <c r="K91" i="10"/>
  <c r="AA91" i="7"/>
  <c r="AE91" i="8" s="1"/>
  <c r="BC91" s="1"/>
  <c r="AH87" i="7"/>
  <c r="AG87"/>
  <c r="AI87" s="1"/>
  <c r="K93" i="8"/>
  <c r="S92" i="2"/>
  <c r="H94" i="8"/>
  <c r="P93" i="2"/>
  <c r="P87" i="1"/>
  <c r="D86" i="14"/>
  <c r="N91" i="2"/>
  <c r="CY91" i="5"/>
  <c r="O92" i="2"/>
  <c r="DE92" i="8"/>
  <c r="M92" i="2"/>
  <c r="DF92" i="8"/>
  <c r="CZ90" i="5"/>
  <c r="E90" i="7"/>
  <c r="G91" i="5"/>
  <c r="C90" i="10"/>
  <c r="D84" i="11"/>
  <c r="AQ84" i="1"/>
  <c r="U84" s="1"/>
  <c r="J85" s="1"/>
  <c r="AP85" i="8" s="1"/>
  <c r="AK84" i="5"/>
  <c r="BM84" i="1"/>
  <c r="DF89" i="5"/>
  <c r="AC91" i="1" l="1"/>
  <c r="BC92" i="5"/>
  <c r="AZ95"/>
  <c r="BN95"/>
  <c r="AF93" i="1"/>
  <c r="BK94" i="5"/>
  <c r="AD92" i="1"/>
  <c r="BE92" i="5"/>
  <c r="AE90" i="1"/>
  <c r="W90" s="1"/>
  <c r="BP93" i="5"/>
  <c r="AB92" i="1"/>
  <c r="R17" i="8"/>
  <c r="S17" s="1"/>
  <c r="O87"/>
  <c r="O92" i="1"/>
  <c r="DK92" i="8" s="1"/>
  <c r="DI91"/>
  <c r="DJ91"/>
  <c r="BN86" i="1"/>
  <c r="AR86"/>
  <c r="V86" s="1"/>
  <c r="K87" s="1"/>
  <c r="C86" i="9"/>
  <c r="AD88"/>
  <c r="AV88" i="1" s="1"/>
  <c r="N91"/>
  <c r="AT87" i="8"/>
  <c r="AQ87"/>
  <c r="F87" i="11"/>
  <c r="M88" i="1"/>
  <c r="AW87" i="8"/>
  <c r="BU88"/>
  <c r="CA88"/>
  <c r="CH88"/>
  <c r="EI87"/>
  <c r="AC87" i="11"/>
  <c r="T87" i="8" s="1"/>
  <c r="Y87" i="11"/>
  <c r="AH87" i="1" s="1"/>
  <c r="AA87" i="11"/>
  <c r="AD87"/>
  <c r="AI87" i="1" s="1"/>
  <c r="Z87" i="11"/>
  <c r="AC87" i="2" s="1"/>
  <c r="AB87" i="11"/>
  <c r="P87" i="8" s="1"/>
  <c r="A93" i="2"/>
  <c r="K93" i="11"/>
  <c r="AD93" i="8"/>
  <c r="A93"/>
  <c r="B93" i="14"/>
  <c r="J94" i="10"/>
  <c r="M93" i="5"/>
  <c r="A93" i="7"/>
  <c r="A93" i="9"/>
  <c r="AJ94" i="14"/>
  <c r="CM93" i="8"/>
  <c r="L93" i="11"/>
  <c r="B92" i="1"/>
  <c r="BI92" s="1"/>
  <c r="B92" i="2"/>
  <c r="DR88" i="8"/>
  <c r="DS88"/>
  <c r="DX87"/>
  <c r="EB87" s="1"/>
  <c r="DZ86"/>
  <c r="EM86" s="1"/>
  <c r="G86" i="1" s="1"/>
  <c r="M86" i="8" s="1"/>
  <c r="DY87"/>
  <c r="DN88"/>
  <c r="DO88"/>
  <c r="E89" i="1"/>
  <c r="CS89" i="8"/>
  <c r="DP89" s="1"/>
  <c r="CT89"/>
  <c r="DQ89" s="1"/>
  <c r="CU89"/>
  <c r="Y91" i="1"/>
  <c r="I95" i="8"/>
  <c r="Q94" i="2"/>
  <c r="AT86" i="1"/>
  <c r="I60" i="4"/>
  <c r="AU87" i="8"/>
  <c r="I61" i="4" s="1"/>
  <c r="AV87" i="8"/>
  <c r="AW87" i="1" s="1"/>
  <c r="L87" s="1"/>
  <c r="E87" i="11" s="1"/>
  <c r="Q86" i="8"/>
  <c r="AR91" i="5"/>
  <c r="DD87" i="8"/>
  <c r="EE87" s="1"/>
  <c r="EF87" s="1"/>
  <c r="AP87" i="5"/>
  <c r="I59" i="4" s="1"/>
  <c r="W89" i="8"/>
  <c r="B89" i="7"/>
  <c r="Q89" s="1"/>
  <c r="BN89" i="8"/>
  <c r="CO89" s="1"/>
  <c r="H92" i="5"/>
  <c r="F91" i="7"/>
  <c r="D91" i="10"/>
  <c r="D89" i="9"/>
  <c r="AQ87" i="5"/>
  <c r="AU87" i="1" s="1"/>
  <c r="AH89" i="5"/>
  <c r="BO89" i="8"/>
  <c r="DM89" s="1"/>
  <c r="C89" i="14"/>
  <c r="CQ89" i="8"/>
  <c r="DA89" s="1"/>
  <c r="AB89"/>
  <c r="A89" i="10"/>
  <c r="AA89" s="1"/>
  <c r="A89" i="11"/>
  <c r="EO89" i="8"/>
  <c r="BS89" i="5"/>
  <c r="Q89" i="1"/>
  <c r="E89" i="14" s="1"/>
  <c r="AU89" i="5"/>
  <c r="DL89" i="8"/>
  <c r="AB88" i="2"/>
  <c r="B89" i="9"/>
  <c r="AV89" i="5"/>
  <c r="AI89"/>
  <c r="H90" i="10"/>
  <c r="DE90" i="5"/>
  <c r="L91"/>
  <c r="J90" i="7"/>
  <c r="K91" i="5"/>
  <c r="G90" i="10"/>
  <c r="DD90" i="5"/>
  <c r="I90" i="7"/>
  <c r="V90" i="2"/>
  <c r="A90" i="5"/>
  <c r="E90" s="1"/>
  <c r="EQ90" i="8" s="1"/>
  <c r="CZ90" s="1"/>
  <c r="DB91" i="5"/>
  <c r="E91" i="10"/>
  <c r="G91" i="7"/>
  <c r="I92" i="5"/>
  <c r="AN88"/>
  <c r="E86" i="11"/>
  <c r="AO86" i="8"/>
  <c r="AK85" i="5"/>
  <c r="BM85" i="1"/>
  <c r="D85" i="11"/>
  <c r="AQ85" i="1"/>
  <c r="U85" s="1"/>
  <c r="J86" s="1"/>
  <c r="AP86" i="8" s="1"/>
  <c r="B92" i="5"/>
  <c r="DA91"/>
  <c r="X92" i="1"/>
  <c r="E91" i="7"/>
  <c r="C91" i="10"/>
  <c r="CZ91" i="5"/>
  <c r="G92"/>
  <c r="N92" i="2"/>
  <c r="CN88" i="8"/>
  <c r="CR88"/>
  <c r="CO88"/>
  <c r="BY93" i="11"/>
  <c r="K92" i="10"/>
  <c r="AA92" i="7"/>
  <c r="AE92" i="8" s="1"/>
  <c r="BC92" s="1"/>
  <c r="CV88"/>
  <c r="DB88"/>
  <c r="EC88" s="1"/>
  <c r="ED88" s="1"/>
  <c r="DG88"/>
  <c r="EG88" s="1"/>
  <c r="CY88"/>
  <c r="EA88" s="1"/>
  <c r="CX88"/>
  <c r="CW88"/>
  <c r="S93" i="2"/>
  <c r="K94" i="8"/>
  <c r="DE93"/>
  <c r="O93" i="2"/>
  <c r="H95" i="8"/>
  <c r="P94" i="2"/>
  <c r="F92" i="10"/>
  <c r="J93" i="5"/>
  <c r="H92" i="7"/>
  <c r="DC92" i="5"/>
  <c r="N88" i="11"/>
  <c r="Q88" i="7"/>
  <c r="AE88"/>
  <c r="AF88" s="1"/>
  <c r="DG92" i="5"/>
  <c r="CY92"/>
  <c r="AC88" i="10"/>
  <c r="X88" s="1"/>
  <c r="Y88" s="1"/>
  <c r="AO88" i="5"/>
  <c r="AM88"/>
  <c r="AL88"/>
  <c r="M93" i="2"/>
  <c r="DF93" i="8"/>
  <c r="R92" i="2"/>
  <c r="J93" i="8"/>
  <c r="B94" i="10"/>
  <c r="D94" i="7"/>
  <c r="F95" i="5"/>
  <c r="DH88" i="8"/>
  <c r="EH88" s="1"/>
  <c r="EP88"/>
  <c r="D87" i="14"/>
  <c r="P88" i="1"/>
  <c r="BQ88" i="8"/>
  <c r="BP88"/>
  <c r="N88" i="7"/>
  <c r="BT88" i="8"/>
  <c r="BY88"/>
  <c r="BZ88"/>
  <c r="CF88"/>
  <c r="CG88"/>
  <c r="H17" i="2"/>
  <c r="F17" i="1"/>
  <c r="F17" i="2"/>
  <c r="I17"/>
  <c r="AA17" i="1" s="1"/>
  <c r="S17" s="1"/>
  <c r="H18" s="1"/>
  <c r="DF90" i="5"/>
  <c r="AC92" i="1" l="1"/>
  <c r="BC93" i="5"/>
  <c r="BE93"/>
  <c r="AE91" i="1"/>
  <c r="AZ96" i="5"/>
  <c r="BP94"/>
  <c r="AB93" i="1"/>
  <c r="BN96" i="5"/>
  <c r="AF94" i="1"/>
  <c r="BK95" i="5"/>
  <c r="AD93" i="1"/>
  <c r="O93"/>
  <c r="DK93" i="8" s="1"/>
  <c r="DJ92"/>
  <c r="DI92"/>
  <c r="AR87"/>
  <c r="BN87" i="1"/>
  <c r="C87" i="9"/>
  <c r="AR87" i="1"/>
  <c r="V87" s="1"/>
  <c r="K88" s="1"/>
  <c r="AD89" i="9"/>
  <c r="AV89" i="1" s="1"/>
  <c r="N92"/>
  <c r="AT88" i="8"/>
  <c r="AQ88"/>
  <c r="M89" i="1"/>
  <c r="F88" i="11"/>
  <c r="AW88" i="8"/>
  <c r="CA89"/>
  <c r="CH89"/>
  <c r="BY89"/>
  <c r="BU89"/>
  <c r="AA88" i="11"/>
  <c r="AC88"/>
  <c r="T88" i="8" s="1"/>
  <c r="Y88" i="11"/>
  <c r="AH88" i="1" s="1"/>
  <c r="AD88" i="11"/>
  <c r="AI88" i="1" s="1"/>
  <c r="Z88" i="11"/>
  <c r="AC88" i="2" s="1"/>
  <c r="AB88" i="11"/>
  <c r="P88" i="8" s="1"/>
  <c r="CM94"/>
  <c r="AJ95" i="14"/>
  <c r="B93" i="2"/>
  <c r="B93" i="1"/>
  <c r="BI93" s="1"/>
  <c r="L94" i="11"/>
  <c r="A94" i="2"/>
  <c r="K94" i="11"/>
  <c r="A94" i="8"/>
  <c r="AD94"/>
  <c r="M94" i="5"/>
  <c r="A94" i="9"/>
  <c r="J95" i="10"/>
  <c r="A94" i="7"/>
  <c r="B94" i="14"/>
  <c r="DR89" i="8"/>
  <c r="DS89"/>
  <c r="EP89"/>
  <c r="DT89"/>
  <c r="DX88"/>
  <c r="EB88" s="1"/>
  <c r="DZ87"/>
  <c r="EM87" s="1"/>
  <c r="G87" i="1" s="1"/>
  <c r="M87" i="8" s="1"/>
  <c r="CV89"/>
  <c r="DN89"/>
  <c r="DO89"/>
  <c r="CS90"/>
  <c r="DP90" s="1"/>
  <c r="CT90"/>
  <c r="DQ90" s="1"/>
  <c r="CU90"/>
  <c r="Y92" i="1"/>
  <c r="I96" i="8"/>
  <c r="Q95" i="2"/>
  <c r="DB89" i="8"/>
  <c r="EC89" s="1"/>
  <c r="ED89" s="1"/>
  <c r="DL90"/>
  <c r="CR89"/>
  <c r="DD89" s="1"/>
  <c r="N89" i="11"/>
  <c r="CN89" i="8"/>
  <c r="AO87"/>
  <c r="BO87" i="1"/>
  <c r="BZ89" i="8"/>
  <c r="CF89"/>
  <c r="BP89"/>
  <c r="N89" i="7"/>
  <c r="BQ89" i="8"/>
  <c r="CG89"/>
  <c r="BT89"/>
  <c r="AT87" i="1"/>
  <c r="I64" i="4"/>
  <c r="J60" s="1"/>
  <c r="AE89" i="7"/>
  <c r="AF89" s="1"/>
  <c r="DH89" i="8"/>
  <c r="EH89" s="1"/>
  <c r="AM89" i="5"/>
  <c r="D90" i="9"/>
  <c r="CX89" i="8"/>
  <c r="CY89"/>
  <c r="EA89" s="1"/>
  <c r="F92" i="7"/>
  <c r="D92" i="10"/>
  <c r="H93" i="5"/>
  <c r="AO89"/>
  <c r="DG89" i="8"/>
  <c r="EG89" s="1"/>
  <c r="CW89"/>
  <c r="AC89" i="10"/>
  <c r="X89" s="1"/>
  <c r="Y89" s="1"/>
  <c r="A91" i="5"/>
  <c r="E91" s="1"/>
  <c r="EQ91" i="8" s="1"/>
  <c r="CZ91" s="1"/>
  <c r="AN89" i="5"/>
  <c r="W90" i="8"/>
  <c r="BN90"/>
  <c r="CO90" s="1"/>
  <c r="AB90"/>
  <c r="A90" i="10"/>
  <c r="AA90" s="1"/>
  <c r="A90" i="11"/>
  <c r="EO90" i="8"/>
  <c r="Q90" i="1"/>
  <c r="E90" i="14" s="1"/>
  <c r="AV90" i="5"/>
  <c r="AL89"/>
  <c r="B90" i="9"/>
  <c r="E90" i="1"/>
  <c r="BO90" i="8"/>
  <c r="DM90" s="1"/>
  <c r="C90" i="14"/>
  <c r="CQ90" i="8"/>
  <c r="DA90" s="1"/>
  <c r="AB89" i="2"/>
  <c r="BS90" i="5"/>
  <c r="AH90"/>
  <c r="B90" i="7"/>
  <c r="AE90" s="1"/>
  <c r="AF90" s="1"/>
  <c r="AI90" i="5"/>
  <c r="AU90"/>
  <c r="H91" i="10"/>
  <c r="J91" i="7"/>
  <c r="DE91" i="5"/>
  <c r="L92"/>
  <c r="DD91"/>
  <c r="G91" i="10"/>
  <c r="K92" i="5"/>
  <c r="I91" i="7"/>
  <c r="V91" i="2"/>
  <c r="AR92" i="5"/>
  <c r="I93"/>
  <c r="E92" i="10"/>
  <c r="DB92" i="5"/>
  <c r="G92" i="7"/>
  <c r="AP88" i="5"/>
  <c r="AQ88"/>
  <c r="AU88" i="1" s="1"/>
  <c r="AC18" i="7"/>
  <c r="BK18" i="1"/>
  <c r="AJ18" i="5"/>
  <c r="V18" i="10"/>
  <c r="C18" i="11"/>
  <c r="AN18" i="8"/>
  <c r="U17"/>
  <c r="V17"/>
  <c r="K93" i="10"/>
  <c r="BY94" i="11"/>
  <c r="AA93" i="7"/>
  <c r="AE93" i="8" s="1"/>
  <c r="BC93" s="1"/>
  <c r="X93" i="1"/>
  <c r="DY88" i="8"/>
  <c r="R93" i="2"/>
  <c r="J94" i="8"/>
  <c r="N93" i="2"/>
  <c r="Q87" i="8"/>
  <c r="AP17" i="1"/>
  <c r="T17" s="1"/>
  <c r="J17" i="11"/>
  <c r="G17" i="2"/>
  <c r="Z17" s="1"/>
  <c r="Z18" i="8" s="1"/>
  <c r="W91" i="1"/>
  <c r="DA92" i="5"/>
  <c r="P89" i="1"/>
  <c r="D88" i="14"/>
  <c r="K95" i="8"/>
  <c r="S94" i="2"/>
  <c r="AU88" i="8"/>
  <c r="D95" i="7"/>
  <c r="F96" i="5"/>
  <c r="B95" i="10"/>
  <c r="M94" i="2"/>
  <c r="DF94" i="8"/>
  <c r="CY93" i="5"/>
  <c r="AG88" i="7"/>
  <c r="AI88" s="1"/>
  <c r="AH88"/>
  <c r="AV88" i="8"/>
  <c r="AW88" i="1" s="1"/>
  <c r="L88" s="1"/>
  <c r="BO88" s="1"/>
  <c r="F93" i="10"/>
  <c r="H93" i="7"/>
  <c r="DC93" i="5"/>
  <c r="J94"/>
  <c r="BM86" i="1"/>
  <c r="D86" i="11"/>
  <c r="AQ86" i="1"/>
  <c r="U86" s="1"/>
  <c r="J87" s="1"/>
  <c r="AP87" i="8" s="1"/>
  <c r="AK86" i="5"/>
  <c r="H96" i="8"/>
  <c r="P95" i="2"/>
  <c r="DD88" i="8"/>
  <c r="DC88"/>
  <c r="O88" s="1"/>
  <c r="O17" i="7"/>
  <c r="I17" i="11"/>
  <c r="DG93" i="5"/>
  <c r="DE94" i="8"/>
  <c r="O94" i="2"/>
  <c r="C92" i="10"/>
  <c r="G93" i="5"/>
  <c r="CZ92"/>
  <c r="E92" i="7"/>
  <c r="J92" i="2"/>
  <c r="EI88" i="8"/>
  <c r="DF91" i="5"/>
  <c r="AC93" i="1" l="1"/>
  <c r="BC94" i="5"/>
  <c r="J93" i="2"/>
  <c r="BK96" i="5"/>
  <c r="AD94" i="1"/>
  <c r="BE94" i="5"/>
  <c r="AE92" i="1"/>
  <c r="AZ97" i="5"/>
  <c r="BP95"/>
  <c r="AB94" i="1"/>
  <c r="BN97" i="5"/>
  <c r="AF95" i="1"/>
  <c r="O94"/>
  <c r="DK94" i="8" s="1"/>
  <c r="DI93"/>
  <c r="DJ93"/>
  <c r="AR88"/>
  <c r="AR88" i="1"/>
  <c r="V88" s="1"/>
  <c r="K89" s="1"/>
  <c r="C88" i="9"/>
  <c r="BN88" i="1"/>
  <c r="AD90" i="9"/>
  <c r="AV90" i="1" s="1"/>
  <c r="N93"/>
  <c r="I18"/>
  <c r="AT89" i="8"/>
  <c r="AQ89"/>
  <c r="M90" i="1"/>
  <c r="F89" i="11"/>
  <c r="AW89" i="8"/>
  <c r="BU90"/>
  <c r="CA90"/>
  <c r="CH90"/>
  <c r="Y89" i="11"/>
  <c r="AH89" i="1" s="1"/>
  <c r="AA89" i="11"/>
  <c r="AC89"/>
  <c r="T89" i="8" s="1"/>
  <c r="Z89" i="11"/>
  <c r="AC89" i="2" s="1"/>
  <c r="AD89" i="11"/>
  <c r="AI89" i="1" s="1"/>
  <c r="AB89" i="11"/>
  <c r="P89" i="8" s="1"/>
  <c r="AJ96" i="14"/>
  <c r="CM95" i="8"/>
  <c r="A95" i="2"/>
  <c r="M95" i="5"/>
  <c r="A95" i="8"/>
  <c r="A95" i="7"/>
  <c r="J96" i="10"/>
  <c r="AD95" i="8"/>
  <c r="K95" i="11"/>
  <c r="A95" i="9"/>
  <c r="B95" i="14"/>
  <c r="B94" i="1"/>
  <c r="BI94" s="1"/>
  <c r="L95" i="11"/>
  <c r="B94" i="2"/>
  <c r="DR90" i="8"/>
  <c r="DS90"/>
  <c r="EP90"/>
  <c r="DT90"/>
  <c r="B93" i="5"/>
  <c r="DZ88" i="8"/>
  <c r="DX89"/>
  <c r="EB89" s="1"/>
  <c r="DB90"/>
  <c r="EC90" s="1"/>
  <c r="ED90" s="1"/>
  <c r="DN90"/>
  <c r="DO90"/>
  <c r="CT91"/>
  <c r="DQ91" s="1"/>
  <c r="CU91"/>
  <c r="CS91"/>
  <c r="DP91" s="1"/>
  <c r="Y93" i="1"/>
  <c r="AG89" i="7"/>
  <c r="AI89" s="1"/>
  <c r="AH89"/>
  <c r="Q96" i="2"/>
  <c r="I97" i="8"/>
  <c r="N90" i="11"/>
  <c r="J59" i="4"/>
  <c r="CQ91" i="8"/>
  <c r="DA91" s="1"/>
  <c r="DC89"/>
  <c r="EE89" s="1"/>
  <c r="EF89" s="1"/>
  <c r="AV89"/>
  <c r="AW89" i="1" s="1"/>
  <c r="L89" s="1"/>
  <c r="E89" i="11" s="1"/>
  <c r="CR90" i="8"/>
  <c r="DD90" s="1"/>
  <c r="AU89"/>
  <c r="EO91"/>
  <c r="AV91" i="5"/>
  <c r="BT90" i="8"/>
  <c r="BS91" i="5"/>
  <c r="AQ89"/>
  <c r="AU89" i="1" s="1"/>
  <c r="EI89" i="8"/>
  <c r="J61" i="4"/>
  <c r="J63"/>
  <c r="Q90" i="7"/>
  <c r="J62" i="4"/>
  <c r="AN90" i="5"/>
  <c r="CN90" i="8"/>
  <c r="D91" i="9"/>
  <c r="DY89" i="8"/>
  <c r="H94" i="5"/>
  <c r="F93" i="7"/>
  <c r="D93" i="10"/>
  <c r="CY90" i="8"/>
  <c r="EA90" s="1"/>
  <c r="CV90"/>
  <c r="AO90" i="5"/>
  <c r="AP89"/>
  <c r="CX90" i="8"/>
  <c r="AR93" i="5"/>
  <c r="DH90" i="8"/>
  <c r="EH90" s="1"/>
  <c r="DG90"/>
  <c r="EG90" s="1"/>
  <c r="DL91"/>
  <c r="AB91"/>
  <c r="Q91" i="1"/>
  <c r="E91" i="14" s="1"/>
  <c r="A91" i="11"/>
  <c r="E91" i="1"/>
  <c r="W91" i="8"/>
  <c r="AB90" i="2"/>
  <c r="B91" i="7"/>
  <c r="Q91" s="1"/>
  <c r="AH91" i="5"/>
  <c r="AC91" i="10" s="1"/>
  <c r="AU91" i="5"/>
  <c r="BN91" i="8"/>
  <c r="CN91" s="1"/>
  <c r="C91" i="14"/>
  <c r="AI91" i="5"/>
  <c r="B91" i="9"/>
  <c r="BO91" i="8"/>
  <c r="DM91" s="1"/>
  <c r="A91" i="10"/>
  <c r="AA91" s="1"/>
  <c r="AC90"/>
  <c r="X90" s="1"/>
  <c r="Y90" s="1"/>
  <c r="V92" i="2"/>
  <c r="AM90" i="5"/>
  <c r="AL90"/>
  <c r="BZ90" i="8"/>
  <c r="BY90"/>
  <c r="CF90"/>
  <c r="A92" i="5"/>
  <c r="E92" s="1"/>
  <c r="EQ92" i="8" s="1"/>
  <c r="CZ92" s="1"/>
  <c r="CG90"/>
  <c r="BP90"/>
  <c r="N90" i="7"/>
  <c r="BQ90" i="8"/>
  <c r="CW90"/>
  <c r="J92" i="7"/>
  <c r="H92" i="10"/>
  <c r="L93" i="5"/>
  <c r="DE92"/>
  <c r="DD92"/>
  <c r="K93"/>
  <c r="I92" i="7"/>
  <c r="G92" i="10"/>
  <c r="G93" i="7"/>
  <c r="I94" i="5"/>
  <c r="DB93"/>
  <c r="E93" i="10"/>
  <c r="CY94" i="5"/>
  <c r="P90" i="1"/>
  <c r="D89" i="14"/>
  <c r="M95" i="2"/>
  <c r="DF95" i="8"/>
  <c r="DG94" i="5"/>
  <c r="S95" i="2"/>
  <c r="K96" i="8"/>
  <c r="K94" i="10"/>
  <c r="AA94" i="7"/>
  <c r="AE94" i="8" s="1"/>
  <c r="BC94" s="1"/>
  <c r="BY95" i="11"/>
  <c r="AT88" i="1"/>
  <c r="O95" i="2"/>
  <c r="DE95" i="8"/>
  <c r="P96" i="2"/>
  <c r="H97" i="8"/>
  <c r="J95" i="5"/>
  <c r="F94" i="10"/>
  <c r="H94" i="7"/>
  <c r="DC94" i="5"/>
  <c r="P17" i="7"/>
  <c r="F17" i="9"/>
  <c r="AO88" i="8"/>
  <c r="N94" i="2"/>
  <c r="C17" i="8"/>
  <c r="R94" i="2"/>
  <c r="J95" i="8"/>
  <c r="B96" i="10"/>
  <c r="F97" i="5"/>
  <c r="D96" i="7"/>
  <c r="C93" i="10"/>
  <c r="E93" i="7"/>
  <c r="G94" i="5"/>
  <c r="CZ93"/>
  <c r="W92" i="1"/>
  <c r="DA93" i="5"/>
  <c r="X94" i="1"/>
  <c r="E88" i="11"/>
  <c r="EE88" i="8"/>
  <c r="EF88" s="1"/>
  <c r="Q88"/>
  <c r="BM87" i="1"/>
  <c r="AQ87"/>
  <c r="U87" s="1"/>
  <c r="J88" s="1"/>
  <c r="AP88" i="8" s="1"/>
  <c r="AK87" i="5"/>
  <c r="D87" i="11"/>
  <c r="AG90" i="7"/>
  <c r="AI90" s="1"/>
  <c r="AH90"/>
  <c r="DF92" i="5"/>
  <c r="BC95" l="1"/>
  <c r="AC94" i="1"/>
  <c r="BP96" i="5"/>
  <c r="AB95" i="1"/>
  <c r="BK97" i="5"/>
  <c r="AD95" i="1"/>
  <c r="BN98" i="5"/>
  <c r="AF96" i="1"/>
  <c r="BE95" i="5"/>
  <c r="AE93" i="1"/>
  <c r="W93" s="1"/>
  <c r="AZ98" i="5"/>
  <c r="O89" i="8"/>
  <c r="Q89" s="1"/>
  <c r="O95" i="1"/>
  <c r="DK95" i="8" s="1"/>
  <c r="DI94"/>
  <c r="DJ94"/>
  <c r="AS18"/>
  <c r="AO18" i="1"/>
  <c r="AR89" i="8"/>
  <c r="BN89" i="1"/>
  <c r="C89" i="9"/>
  <c r="AR89" i="1"/>
  <c r="V89" s="1"/>
  <c r="K90" s="1"/>
  <c r="AD91" i="9"/>
  <c r="AV91" i="1" s="1"/>
  <c r="N94"/>
  <c r="BL18"/>
  <c r="AT90" i="8"/>
  <c r="AQ90"/>
  <c r="F90" i="11"/>
  <c r="M91" i="1"/>
  <c r="AW90" i="8"/>
  <c r="CA91"/>
  <c r="CH91"/>
  <c r="BZ91"/>
  <c r="BU91"/>
  <c r="AA90" i="11"/>
  <c r="AC90"/>
  <c r="T90" i="8" s="1"/>
  <c r="Y90" i="11"/>
  <c r="AH90" i="1" s="1"/>
  <c r="Z90" i="11"/>
  <c r="AC90" i="2" s="1"/>
  <c r="AD90" i="11"/>
  <c r="AI90" i="1" s="1"/>
  <c r="AB90" i="11"/>
  <c r="P90" i="8" s="1"/>
  <c r="EM88"/>
  <c r="G88" i="1" s="1"/>
  <c r="M88" i="8" s="1"/>
  <c r="DZ89"/>
  <c r="EM89" s="1"/>
  <c r="G89" i="1" s="1"/>
  <c r="M89" i="8" s="1"/>
  <c r="AJ97" i="14"/>
  <c r="CM96" i="8"/>
  <c r="L96" i="11"/>
  <c r="B95" i="2"/>
  <c r="B95" i="1"/>
  <c r="BI95" s="1"/>
  <c r="A96" i="2"/>
  <c r="A96" i="9"/>
  <c r="B96" i="14"/>
  <c r="K96" i="11"/>
  <c r="J97" i="10"/>
  <c r="M96" i="5"/>
  <c r="A96" i="7"/>
  <c r="AD96" i="8"/>
  <c r="A96"/>
  <c r="DH91"/>
  <c r="EH91" s="1"/>
  <c r="DT91"/>
  <c r="DR91"/>
  <c r="DS91"/>
  <c r="DX90"/>
  <c r="EB90" s="1"/>
  <c r="CV91"/>
  <c r="DN91"/>
  <c r="DO91"/>
  <c r="CS92"/>
  <c r="DP92" s="1"/>
  <c r="CT92"/>
  <c r="DQ92" s="1"/>
  <c r="CU92"/>
  <c r="Y94" i="1"/>
  <c r="Q97" i="2"/>
  <c r="I98" i="8"/>
  <c r="X91" i="10"/>
  <c r="Y91" s="1"/>
  <c r="AP90" i="5"/>
  <c r="DG91" i="8"/>
  <c r="EG91" s="1"/>
  <c r="CW91"/>
  <c r="DB91"/>
  <c r="EC91" s="1"/>
  <c r="ED91" s="1"/>
  <c r="CY91"/>
  <c r="EA91" s="1"/>
  <c r="CX91"/>
  <c r="CQ92"/>
  <c r="DA92" s="1"/>
  <c r="DY90"/>
  <c r="DC90"/>
  <c r="O90" s="1"/>
  <c r="AQ90" i="5"/>
  <c r="AU90" i="1" s="1"/>
  <c r="AN91" i="5"/>
  <c r="EP91" i="8"/>
  <c r="CO91"/>
  <c r="CR91"/>
  <c r="DC91" s="1"/>
  <c r="D92" i="9"/>
  <c r="BP91" i="8"/>
  <c r="AL91" i="5"/>
  <c r="AO91"/>
  <c r="N91" i="11"/>
  <c r="AM91" i="5"/>
  <c r="AT89" i="1"/>
  <c r="BY91" i="8"/>
  <c r="EI90"/>
  <c r="F94" i="7"/>
  <c r="H95" i="5"/>
  <c r="D94" i="10"/>
  <c r="A93" i="5"/>
  <c r="E93" s="1"/>
  <c r="EQ93" i="8" s="1"/>
  <c r="CZ93" s="1"/>
  <c r="AU92" i="5"/>
  <c r="A92" i="10"/>
  <c r="AA92" s="1"/>
  <c r="AE91" i="7"/>
  <c r="AF91" s="1"/>
  <c r="AV92" i="5"/>
  <c r="DL92" i="8"/>
  <c r="CG91"/>
  <c r="CF91"/>
  <c r="N91" i="7"/>
  <c r="V93" i="2"/>
  <c r="BQ91" i="8"/>
  <c r="A92" i="11"/>
  <c r="AR94" i="5"/>
  <c r="BT91" i="8"/>
  <c r="AU90"/>
  <c r="AH92" i="5"/>
  <c r="AC92" i="10" s="1"/>
  <c r="BN92" i="8"/>
  <c r="BO92"/>
  <c r="DM92" s="1"/>
  <c r="AV90"/>
  <c r="AW90" i="1" s="1"/>
  <c r="L90" s="1"/>
  <c r="E90" i="11" s="1"/>
  <c r="C92" i="14"/>
  <c r="AB92" i="8"/>
  <c r="W92"/>
  <c r="BS92" i="5"/>
  <c r="EO92" i="8"/>
  <c r="B92" i="9"/>
  <c r="E92" i="1"/>
  <c r="AB91" i="2"/>
  <c r="Q92" i="1"/>
  <c r="E92" i="14" s="1"/>
  <c r="AI92" i="5"/>
  <c r="B92" i="7"/>
  <c r="Q92" s="1"/>
  <c r="DE93" i="5"/>
  <c r="J93" i="7"/>
  <c r="L94" i="5"/>
  <c r="H93" i="10"/>
  <c r="DD93" i="5"/>
  <c r="G93" i="10"/>
  <c r="K94" i="5"/>
  <c r="I93" i="7"/>
  <c r="E94" i="10"/>
  <c r="I95" i="5"/>
  <c r="G94" i="7"/>
  <c r="DB94" i="5"/>
  <c r="BO89" i="1"/>
  <c r="AO89" i="8"/>
  <c r="D88" i="11"/>
  <c r="AK88" i="5"/>
  <c r="AQ88" i="1"/>
  <c r="U88" s="1"/>
  <c r="J89" s="1"/>
  <c r="AP89" i="8" s="1"/>
  <c r="BM88" i="1"/>
  <c r="N95" i="2"/>
  <c r="DC95" i="5"/>
  <c r="H95" i="7"/>
  <c r="J96" i="5"/>
  <c r="F95" i="10"/>
  <c r="DG95" i="5"/>
  <c r="Y17" i="2"/>
  <c r="X17" s="1"/>
  <c r="M96"/>
  <c r="DF96" i="8"/>
  <c r="CZ94" i="5"/>
  <c r="G95"/>
  <c r="E94" i="7"/>
  <c r="C94" i="10"/>
  <c r="B94" i="5"/>
  <c r="H98" i="8"/>
  <c r="P97" i="2"/>
  <c r="B97" i="10"/>
  <c r="F98" i="5"/>
  <c r="D97" i="7"/>
  <c r="R95" i="2"/>
  <c r="J96" i="8"/>
  <c r="O96" i="2"/>
  <c r="DE96" i="8"/>
  <c r="P91" i="1"/>
  <c r="D90" i="14"/>
  <c r="CY95" i="5"/>
  <c r="DA94"/>
  <c r="BY96" i="11"/>
  <c r="AA95" i="7"/>
  <c r="AE95" i="8" s="1"/>
  <c r="BC95" s="1"/>
  <c r="K95" i="10"/>
  <c r="X95" i="1"/>
  <c r="K97" i="8"/>
  <c r="S96" i="2"/>
  <c r="J94"/>
  <c r="DF93" i="5"/>
  <c r="B95" l="1"/>
  <c r="AC95" i="1"/>
  <c r="BC96" i="5"/>
  <c r="BP97"/>
  <c r="AB96" i="1"/>
  <c r="AZ99" i="5"/>
  <c r="BK98"/>
  <c r="AD96" i="1"/>
  <c r="BN99" i="5"/>
  <c r="AF97" i="1"/>
  <c r="BE96" i="5"/>
  <c r="AE94" i="1"/>
  <c r="O91" i="8"/>
  <c r="O96" i="1"/>
  <c r="DK96" i="8" s="1"/>
  <c r="DI95"/>
  <c r="DJ95"/>
  <c r="AR90"/>
  <c r="BN90" i="1"/>
  <c r="C90" i="9"/>
  <c r="AD92"/>
  <c r="AV92" i="1" s="1"/>
  <c r="AR90"/>
  <c r="V90" s="1"/>
  <c r="K91" s="1"/>
  <c r="AR91" i="8" s="1"/>
  <c r="N95" i="1"/>
  <c r="AT91" i="8"/>
  <c r="AQ91"/>
  <c r="F91" i="11"/>
  <c r="M92" i="1"/>
  <c r="AW91" i="8"/>
  <c r="CA92"/>
  <c r="CH92"/>
  <c r="BP92"/>
  <c r="BU92"/>
  <c r="Y91" i="11"/>
  <c r="AH91" i="1" s="1"/>
  <c r="AA91" i="11"/>
  <c r="AC91"/>
  <c r="T91" i="8" s="1"/>
  <c r="AB91" i="11"/>
  <c r="P91" i="8" s="1"/>
  <c r="AD91" i="11"/>
  <c r="AI91" i="1" s="1"/>
  <c r="Z91" i="11"/>
  <c r="AC91" i="2" s="1"/>
  <c r="AJ98" i="14"/>
  <c r="CM97" i="8"/>
  <c r="L97" i="11"/>
  <c r="B96" i="2"/>
  <c r="B96" i="1"/>
  <c r="BI96" s="1"/>
  <c r="A97" i="2"/>
  <c r="A97" i="9"/>
  <c r="K97" i="11"/>
  <c r="A97" i="7"/>
  <c r="B97" i="14"/>
  <c r="M97" i="5"/>
  <c r="J98" i="10"/>
  <c r="AD97" i="8"/>
  <c r="A97"/>
  <c r="DH92"/>
  <c r="EH92" s="1"/>
  <c r="DT92"/>
  <c r="DR92"/>
  <c r="DS92"/>
  <c r="EI91"/>
  <c r="DX91"/>
  <c r="EB91" s="1"/>
  <c r="DZ90"/>
  <c r="DB92"/>
  <c r="EC92" s="1"/>
  <c r="ED92" s="1"/>
  <c r="DN92"/>
  <c r="DO92"/>
  <c r="AB92" i="2"/>
  <c r="CS93" i="8"/>
  <c r="DP93" s="1"/>
  <c r="CT93"/>
  <c r="DQ93" s="1"/>
  <c r="CU93"/>
  <c r="Y95" i="1"/>
  <c r="J95" i="2"/>
  <c r="AG91" i="7"/>
  <c r="AI91" s="1"/>
  <c r="I99" i="8"/>
  <c r="Q98" i="2"/>
  <c r="CX92" i="8"/>
  <c r="AI93" i="5"/>
  <c r="CY92" i="8"/>
  <c r="EA92" s="1"/>
  <c r="DG92"/>
  <c r="EG92" s="1"/>
  <c r="CV92"/>
  <c r="AT90" i="1"/>
  <c r="B93" i="7"/>
  <c r="AE93" s="1"/>
  <c r="AF93" s="1"/>
  <c r="DY91" i="8"/>
  <c r="CQ93"/>
  <c r="DA93" s="1"/>
  <c r="CW92"/>
  <c r="AP91" i="5"/>
  <c r="EE90" i="8"/>
  <c r="EF90" s="1"/>
  <c r="AH93" i="5"/>
  <c r="AV93"/>
  <c r="AU93"/>
  <c r="X92" i="10"/>
  <c r="Y92" s="1"/>
  <c r="AQ91" i="5"/>
  <c r="AU91" i="1" s="1"/>
  <c r="DD91" i="8"/>
  <c r="EE91" s="1"/>
  <c r="EF91" s="1"/>
  <c r="AO92" i="5"/>
  <c r="AL92"/>
  <c r="EP92" i="8"/>
  <c r="D93" i="9"/>
  <c r="AM92" i="5"/>
  <c r="BN93" i="8"/>
  <c r="CR93" s="1"/>
  <c r="Q93" i="1"/>
  <c r="E93" i="14" s="1"/>
  <c r="A93" i="11"/>
  <c r="AU91" i="8"/>
  <c r="AV91"/>
  <c r="AW91" i="1" s="1"/>
  <c r="L91" s="1"/>
  <c r="AO91" i="8" s="1"/>
  <c r="AB93"/>
  <c r="E93" i="1"/>
  <c r="W93" i="8"/>
  <c r="N92" i="11"/>
  <c r="EO93" i="8"/>
  <c r="C93" i="14"/>
  <c r="A93" i="10"/>
  <c r="AA93" s="1"/>
  <c r="DL93" i="8"/>
  <c r="CO92"/>
  <c r="AH91" i="7"/>
  <c r="BO93" i="8"/>
  <c r="DM93" s="1"/>
  <c r="BS93" i="5"/>
  <c r="B93" i="9"/>
  <c r="AN92" i="5"/>
  <c r="Q90" i="8"/>
  <c r="F95" i="7"/>
  <c r="D95" i="10"/>
  <c r="H96" i="5"/>
  <c r="AR95"/>
  <c r="N92" i="7"/>
  <c r="CN92" i="8"/>
  <c r="A94" i="5"/>
  <c r="E94" s="1"/>
  <c r="EQ94" i="8" s="1"/>
  <c r="CZ94" s="1"/>
  <c r="CR92"/>
  <c r="DC92" s="1"/>
  <c r="BT92"/>
  <c r="V94" i="2"/>
  <c r="BZ92" i="8"/>
  <c r="BY92"/>
  <c r="CG92"/>
  <c r="AE92" i="7"/>
  <c r="AF92" s="1"/>
  <c r="CF92" i="8"/>
  <c r="BQ92"/>
  <c r="L95" i="5"/>
  <c r="H94" i="10"/>
  <c r="J94" i="7"/>
  <c r="DE94" i="5"/>
  <c r="K95"/>
  <c r="G94" i="10"/>
  <c r="DD94" i="5"/>
  <c r="I94" i="7"/>
  <c r="DB95" i="5"/>
  <c r="E95" i="10"/>
  <c r="I96" i="5"/>
  <c r="G95" i="7"/>
  <c r="BO90" i="1"/>
  <c r="AO90" i="8"/>
  <c r="DG96" i="5"/>
  <c r="K96" i="10"/>
  <c r="BY97" i="11"/>
  <c r="AA96" i="7"/>
  <c r="AE96" i="8" s="1"/>
  <c r="BC96" s="1"/>
  <c r="W94" i="1"/>
  <c r="DA95" i="5"/>
  <c r="CY96"/>
  <c r="D98" i="7"/>
  <c r="B98" i="10"/>
  <c r="F99" i="5"/>
  <c r="P98" i="2"/>
  <c r="H99" i="8"/>
  <c r="N96" i="2"/>
  <c r="K98" i="8"/>
  <c r="S97" i="2"/>
  <c r="O97"/>
  <c r="DE97" i="8"/>
  <c r="H18" i="11"/>
  <c r="L18" i="2"/>
  <c r="E18"/>
  <c r="B18" i="8"/>
  <c r="D18" i="2" s="1"/>
  <c r="BD18" i="8"/>
  <c r="AB18" i="7"/>
  <c r="DF97" i="8"/>
  <c r="M97" i="2"/>
  <c r="AQ89" i="1"/>
  <c r="U89" s="1"/>
  <c r="J90" s="1"/>
  <c r="AP90" i="8" s="1"/>
  <c r="D89" i="11"/>
  <c r="BM89" i="1"/>
  <c r="AK89" i="5"/>
  <c r="X96" i="1"/>
  <c r="D91" i="14"/>
  <c r="P92" i="1"/>
  <c r="CZ95" i="5"/>
  <c r="G96"/>
  <c r="C95" i="10"/>
  <c r="E95" i="7"/>
  <c r="H96"/>
  <c r="DC96" i="5"/>
  <c r="F96" i="10"/>
  <c r="J97" i="5"/>
  <c r="J97" i="8"/>
  <c r="R96" i="2"/>
  <c r="DF94" i="5"/>
  <c r="BC97" l="1"/>
  <c r="AC96" i="1"/>
  <c r="J96" i="2"/>
  <c r="BN100" i="5"/>
  <c r="AF98" i="1"/>
  <c r="BE97" i="5"/>
  <c r="AE95" i="1"/>
  <c r="W95" s="1"/>
  <c r="BP98" i="5"/>
  <c r="AB97" i="1"/>
  <c r="AZ100" i="5"/>
  <c r="BK99"/>
  <c r="AD97" i="1"/>
  <c r="O92" i="8"/>
  <c r="BN91" i="1"/>
  <c r="O97"/>
  <c r="DK97" i="8" s="1"/>
  <c r="DJ96"/>
  <c r="DI96"/>
  <c r="AR91" i="1"/>
  <c r="V91" s="1"/>
  <c r="K92" s="1"/>
  <c r="AR92" i="8" s="1"/>
  <c r="C91" i="9"/>
  <c r="AD93"/>
  <c r="AV93" i="1" s="1"/>
  <c r="N96"/>
  <c r="Q93" i="7"/>
  <c r="AT92" i="8"/>
  <c r="AW92"/>
  <c r="AQ92"/>
  <c r="M93" i="1"/>
  <c r="F92" i="11"/>
  <c r="CA93" i="8"/>
  <c r="CH93"/>
  <c r="BT93"/>
  <c r="BU93"/>
  <c r="Y92" i="11"/>
  <c r="AH92" i="1" s="1"/>
  <c r="AA92" i="11"/>
  <c r="AC92"/>
  <c r="T92" i="8" s="1"/>
  <c r="Z92" i="11"/>
  <c r="AC92" i="2" s="1"/>
  <c r="AD92" i="11"/>
  <c r="AI92" i="1" s="1"/>
  <c r="AB92" i="11"/>
  <c r="P92" i="8" s="1"/>
  <c r="EM90"/>
  <c r="G90" i="1" s="1"/>
  <c r="M90" i="8" s="1"/>
  <c r="AN93" i="5"/>
  <c r="B97" i="1"/>
  <c r="BI97" s="1"/>
  <c r="L98" i="11"/>
  <c r="B97" i="2"/>
  <c r="A98"/>
  <c r="A98" i="7"/>
  <c r="A98" i="9"/>
  <c r="J99" i="10"/>
  <c r="A98" i="8"/>
  <c r="B98" i="14"/>
  <c r="AD98" i="8"/>
  <c r="M98" i="5"/>
  <c r="K98" i="11"/>
  <c r="CM98" i="8"/>
  <c r="AJ99" i="14"/>
  <c r="DH93" i="8"/>
  <c r="EH93" s="1"/>
  <c r="DT93"/>
  <c r="EI92"/>
  <c r="DR93"/>
  <c r="DS93"/>
  <c r="DZ91"/>
  <c r="EM91" s="1"/>
  <c r="G91" i="1" s="1"/>
  <c r="M91" i="8" s="1"/>
  <c r="DX92"/>
  <c r="EB92" s="1"/>
  <c r="DG93"/>
  <c r="EG93" s="1"/>
  <c r="DN93"/>
  <c r="DO93"/>
  <c r="CS94"/>
  <c r="DP94" s="1"/>
  <c r="CT94"/>
  <c r="DQ94" s="1"/>
  <c r="CU94"/>
  <c r="Y96" i="1"/>
  <c r="AG92" i="7"/>
  <c r="AI92" s="1"/>
  <c r="AH92"/>
  <c r="Q99" i="2"/>
  <c r="I100" i="8"/>
  <c r="DY92"/>
  <c r="DB93"/>
  <c r="EC93" s="1"/>
  <c r="ED93" s="1"/>
  <c r="CW93"/>
  <c r="CY93"/>
  <c r="EA93" s="1"/>
  <c r="CX93"/>
  <c r="CV93"/>
  <c r="DL94"/>
  <c r="AP92" i="5"/>
  <c r="EP93" i="8"/>
  <c r="AL93" i="5"/>
  <c r="AQ92"/>
  <c r="AU92" i="1" s="1"/>
  <c r="AM93" i="5"/>
  <c r="AC93" i="10"/>
  <c r="X93" s="1"/>
  <c r="Y93" s="1"/>
  <c r="AO93" i="5"/>
  <c r="BY93" i="8"/>
  <c r="CN93"/>
  <c r="D94" i="9"/>
  <c r="CO93" i="8"/>
  <c r="AT91" i="1"/>
  <c r="A94" i="10"/>
  <c r="AA94" s="1"/>
  <c r="AH94" i="5"/>
  <c r="AC94" i="10" s="1"/>
  <c r="N93" i="11"/>
  <c r="CG93" i="8"/>
  <c r="CF93"/>
  <c r="BP93"/>
  <c r="Q91"/>
  <c r="BQ93"/>
  <c r="N93" i="7"/>
  <c r="BZ93" i="8"/>
  <c r="BN94"/>
  <c r="A94" i="11"/>
  <c r="BO94" i="8"/>
  <c r="DM94" s="1"/>
  <c r="C94" i="14"/>
  <c r="AB94" i="8"/>
  <c r="BS94" i="5"/>
  <c r="AV94"/>
  <c r="EO94" i="8"/>
  <c r="B94" i="9"/>
  <c r="AU94" i="5"/>
  <c r="W94" i="8"/>
  <c r="Q94" i="1"/>
  <c r="E94" i="14" s="1"/>
  <c r="E91" i="11"/>
  <c r="AB93" i="2"/>
  <c r="B94" i="7"/>
  <c r="AE94" s="1"/>
  <c r="AF94" s="1"/>
  <c r="AI94" i="5"/>
  <c r="E94" i="1"/>
  <c r="F96" i="7"/>
  <c r="D96" i="10"/>
  <c r="H97" i="5"/>
  <c r="AV92" i="8"/>
  <c r="AW92" i="1" s="1"/>
  <c r="L92" s="1"/>
  <c r="E92" i="11" s="1"/>
  <c r="DD92" i="8"/>
  <c r="EE92" s="1"/>
  <c r="EF92" s="1"/>
  <c r="CQ94"/>
  <c r="DA94" s="1"/>
  <c r="AU92"/>
  <c r="V95" i="2"/>
  <c r="DE95" i="5"/>
  <c r="J95" i="7"/>
  <c r="L96" i="5"/>
  <c r="H95" i="10"/>
  <c r="AR96" i="5"/>
  <c r="G95" i="10"/>
  <c r="DD95" i="5"/>
  <c r="I95" i="7"/>
  <c r="K96" i="5"/>
  <c r="A95"/>
  <c r="E95" s="1"/>
  <c r="EQ95" i="8" s="1"/>
  <c r="CZ95" s="1"/>
  <c r="I97" i="5"/>
  <c r="DB96"/>
  <c r="G96" i="7"/>
  <c r="E96" i="10"/>
  <c r="BO91" i="1"/>
  <c r="AK90" i="5"/>
  <c r="AQ90" i="1"/>
  <c r="U90" s="1"/>
  <c r="J91" s="1"/>
  <c r="AP91" i="8" s="1"/>
  <c r="D90" i="11"/>
  <c r="BM90" i="1"/>
  <c r="M98" i="2"/>
  <c r="DF98" i="8"/>
  <c r="N97" i="2"/>
  <c r="DC93" i="8"/>
  <c r="DD93"/>
  <c r="AA97" i="7"/>
  <c r="AE97" i="8" s="1"/>
  <c r="BC97" s="1"/>
  <c r="BY98" i="11"/>
  <c r="K97" i="10"/>
  <c r="O98" i="2"/>
  <c r="DE98" i="8"/>
  <c r="S98" i="2"/>
  <c r="K99" i="8"/>
  <c r="X97" i="1"/>
  <c r="B99" i="10"/>
  <c r="D99" i="7"/>
  <c r="F100" i="5"/>
  <c r="P93" i="1"/>
  <c r="D92" i="14"/>
  <c r="J98" i="8"/>
  <c r="R97" i="2"/>
  <c r="DA96" i="5"/>
  <c r="AG93" i="7"/>
  <c r="AI93" s="1"/>
  <c r="AH93"/>
  <c r="DG97" i="5"/>
  <c r="CZ96"/>
  <c r="E96" i="7"/>
  <c r="C96" i="10"/>
  <c r="G97" i="5"/>
  <c r="DC97"/>
  <c r="F97" i="10"/>
  <c r="H97" i="7"/>
  <c r="J98" i="5"/>
  <c r="P99" i="2"/>
  <c r="H100" i="8"/>
  <c r="CY97" i="5"/>
  <c r="U18" i="2"/>
  <c r="W17" s="1"/>
  <c r="C18" s="1"/>
  <c r="B96" i="5"/>
  <c r="DF95"/>
  <c r="AC97" i="1" l="1"/>
  <c r="BC98" i="5"/>
  <c r="J97" i="2"/>
  <c r="AZ101" i="5"/>
  <c r="BN101"/>
  <c r="AF99" i="1"/>
  <c r="BK100" i="5"/>
  <c r="AD98" i="1"/>
  <c r="BE98" i="5"/>
  <c r="AE96" i="1"/>
  <c r="W96" s="1"/>
  <c r="BP99" i="5"/>
  <c r="AB98" i="1"/>
  <c r="R18" i="8"/>
  <c r="S18" s="1"/>
  <c r="O93"/>
  <c r="O98" i="1"/>
  <c r="DK98" i="8" s="1"/>
  <c r="DI97"/>
  <c r="DJ97"/>
  <c r="AD94" i="9"/>
  <c r="AV94" i="1" s="1"/>
  <c r="BN92"/>
  <c r="AR92"/>
  <c r="V92" s="1"/>
  <c r="K93" s="1"/>
  <c r="AR93" i="8" s="1"/>
  <c r="C92" i="9"/>
  <c r="N97" i="1"/>
  <c r="AT93" i="8"/>
  <c r="AQ93"/>
  <c r="M94" i="1"/>
  <c r="F93" i="11"/>
  <c r="AW93" i="8"/>
  <c r="CA94"/>
  <c r="CH94"/>
  <c r="BT94"/>
  <c r="BU94"/>
  <c r="Y93" i="11"/>
  <c r="AH93" i="1" s="1"/>
  <c r="AC93" i="11"/>
  <c r="T93" i="8" s="1"/>
  <c r="AA93" i="11"/>
  <c r="AD93"/>
  <c r="AI93" i="1" s="1"/>
  <c r="AB93" i="11"/>
  <c r="P93" i="8" s="1"/>
  <c r="Z93" i="11"/>
  <c r="AC93" i="2" s="1"/>
  <c r="AP93" i="5"/>
  <c r="B98" i="1"/>
  <c r="BI98" s="1"/>
  <c r="L99" i="11"/>
  <c r="B98" i="2"/>
  <c r="B97" i="5"/>
  <c r="CM99" i="8"/>
  <c r="AJ100" i="14"/>
  <c r="A99" i="2"/>
  <c r="M99" i="5"/>
  <c r="AD99" i="8"/>
  <c r="K99" i="11"/>
  <c r="A99" i="7"/>
  <c r="B99" i="14"/>
  <c r="J100" i="10"/>
  <c r="A99" i="8"/>
  <c r="A99" i="9"/>
  <c r="EI93" i="8"/>
  <c r="DR94"/>
  <c r="DS94"/>
  <c r="EP94"/>
  <c r="DT94"/>
  <c r="DZ92"/>
  <c r="EM92" s="1"/>
  <c r="G92" i="1" s="1"/>
  <c r="M92" i="8" s="1"/>
  <c r="DX93"/>
  <c r="EB93" s="1"/>
  <c r="CV94"/>
  <c r="DN94"/>
  <c r="DO94"/>
  <c r="CS95"/>
  <c r="DP95" s="1"/>
  <c r="CT95"/>
  <c r="DQ95" s="1"/>
  <c r="CU95"/>
  <c r="Y97" i="1"/>
  <c r="I101" i="8"/>
  <c r="Q100" i="2"/>
  <c r="DY93" i="8"/>
  <c r="CQ95"/>
  <c r="DA95" s="1"/>
  <c r="AQ93" i="5"/>
  <c r="AU93" i="1" s="1"/>
  <c r="AT92"/>
  <c r="BZ94" i="8"/>
  <c r="Q92"/>
  <c r="AN94" i="5"/>
  <c r="N94" i="11"/>
  <c r="D95" i="9"/>
  <c r="AL94" i="5"/>
  <c r="X94" i="10"/>
  <c r="Y94" s="1"/>
  <c r="BY94" i="8"/>
  <c r="A95" i="11"/>
  <c r="W95" i="8"/>
  <c r="AO94" i="5"/>
  <c r="AI95"/>
  <c r="AH95"/>
  <c r="AC95" i="10" s="1"/>
  <c r="AU93" i="8"/>
  <c r="AM94" i="5"/>
  <c r="DG94" i="8"/>
  <c r="EG94" s="1"/>
  <c r="N94" i="7"/>
  <c r="Q94"/>
  <c r="AV93" i="8"/>
  <c r="AW93" i="1" s="1"/>
  <c r="L93" s="1"/>
  <c r="AO93" i="8" s="1"/>
  <c r="DH94"/>
  <c r="EH94" s="1"/>
  <c r="CG94"/>
  <c r="CF94"/>
  <c r="BP94"/>
  <c r="BQ94"/>
  <c r="CN94"/>
  <c r="CO94"/>
  <c r="CR94"/>
  <c r="DC94" s="1"/>
  <c r="F97" i="7"/>
  <c r="H98" i="5"/>
  <c r="D97" i="10"/>
  <c r="CX94" i="8"/>
  <c r="DB94"/>
  <c r="EC94" s="1"/>
  <c r="ED94" s="1"/>
  <c r="CY94"/>
  <c r="EA94" s="1"/>
  <c r="CW94"/>
  <c r="B95" i="9"/>
  <c r="BN95" i="8"/>
  <c r="E95" i="1"/>
  <c r="BO95" i="8"/>
  <c r="DM95" s="1"/>
  <c r="Q95" i="1"/>
  <c r="E95" i="14" s="1"/>
  <c r="EO95" i="8"/>
  <c r="BS95" i="5"/>
  <c r="AV95"/>
  <c r="C95" i="14"/>
  <c r="AB95" i="8"/>
  <c r="AU95" i="5"/>
  <c r="B95" i="7"/>
  <c r="AE95" s="1"/>
  <c r="AF95" s="1"/>
  <c r="AB94" i="2"/>
  <c r="A95" i="10"/>
  <c r="AA95" s="1"/>
  <c r="DD96" i="5"/>
  <c r="I96" i="7"/>
  <c r="K97" i="5"/>
  <c r="G96" i="10"/>
  <c r="H96"/>
  <c r="J96" i="7"/>
  <c r="DE96" i="5"/>
  <c r="L97"/>
  <c r="V96" i="2"/>
  <c r="DL95" i="8"/>
  <c r="AR97" i="5"/>
  <c r="A96"/>
  <c r="E96" s="1"/>
  <c r="EQ96" i="8" s="1"/>
  <c r="CZ96" s="1"/>
  <c r="G97" i="7"/>
  <c r="E97" i="10"/>
  <c r="I98" i="5"/>
  <c r="DB97"/>
  <c r="BO92" i="1"/>
  <c r="AO92" i="8"/>
  <c r="DG98" i="5"/>
  <c r="R98" i="2"/>
  <c r="J99" i="8"/>
  <c r="F101" i="5"/>
  <c r="B100" i="10"/>
  <c r="D100" i="7"/>
  <c r="C97" i="10"/>
  <c r="G98" i="5"/>
  <c r="E97" i="7"/>
  <c r="CZ97" i="5"/>
  <c r="AG94" i="7"/>
  <c r="AI94" s="1"/>
  <c r="AH94"/>
  <c r="BM91" i="1"/>
  <c r="AK91" i="5"/>
  <c r="D91" i="11"/>
  <c r="AQ91" i="1"/>
  <c r="U91" s="1"/>
  <c r="J92" s="1"/>
  <c r="AP92" i="8" s="1"/>
  <c r="CY98" i="5"/>
  <c r="DA97"/>
  <c r="P94" i="1"/>
  <c r="D93" i="14"/>
  <c r="M99" i="2"/>
  <c r="DF99" i="8"/>
  <c r="F18" i="1"/>
  <c r="F18" i="2"/>
  <c r="I18"/>
  <c r="H18"/>
  <c r="X98" i="1"/>
  <c r="AA98" i="7"/>
  <c r="AE98" i="8" s="1"/>
  <c r="BC98" s="1"/>
  <c r="BY99" i="11"/>
  <c r="K98" i="10"/>
  <c r="N98" i="2"/>
  <c r="EE93" i="8"/>
  <c r="EF93" s="1"/>
  <c r="O99" i="2"/>
  <c r="DE99" i="8"/>
  <c r="S99" i="2"/>
  <c r="K100" i="8"/>
  <c r="P100" i="2"/>
  <c r="H101" i="8"/>
  <c r="DC98" i="5"/>
  <c r="F98" i="10"/>
  <c r="H98" i="7"/>
  <c r="J99" i="5"/>
  <c r="DF96"/>
  <c r="AC98" i="1" l="1"/>
  <c r="BC99" i="5"/>
  <c r="BE99"/>
  <c r="AE97" i="1"/>
  <c r="W97" s="1"/>
  <c r="AZ102" i="5"/>
  <c r="BP100"/>
  <c r="AB99" i="1"/>
  <c r="BN102" i="5"/>
  <c r="AF100" i="1"/>
  <c r="BK101" i="5"/>
  <c r="AD99" i="1"/>
  <c r="BN93"/>
  <c r="AR93"/>
  <c r="V93" s="1"/>
  <c r="K94" s="1"/>
  <c r="AR94" i="8" s="1"/>
  <c r="O94"/>
  <c r="O99" i="1"/>
  <c r="DK99" i="8" s="1"/>
  <c r="DI98"/>
  <c r="DJ98"/>
  <c r="C93" i="9"/>
  <c r="AD95"/>
  <c r="AV95" i="1" s="1"/>
  <c r="N98"/>
  <c r="AT94" i="8"/>
  <c r="AW94"/>
  <c r="AQ94"/>
  <c r="M95" i="1"/>
  <c r="F94" i="11"/>
  <c r="CA95" i="8"/>
  <c r="CH95"/>
  <c r="BZ95"/>
  <c r="BU95"/>
  <c r="AC94" i="11"/>
  <c r="T94" i="8" s="1"/>
  <c r="AA94" i="11"/>
  <c r="Y94"/>
  <c r="AH94" i="1" s="1"/>
  <c r="Z94" i="11"/>
  <c r="AC94" i="2" s="1"/>
  <c r="AB94" i="11"/>
  <c r="P94" i="8" s="1"/>
  <c r="AD94" i="11"/>
  <c r="AI94" i="1" s="1"/>
  <c r="AT93"/>
  <c r="N95" i="11"/>
  <c r="B99" i="1"/>
  <c r="BI99" s="1"/>
  <c r="B99" i="2"/>
  <c r="L100" i="11"/>
  <c r="A100" i="2"/>
  <c r="A100" i="9"/>
  <c r="A100" i="8"/>
  <c r="A100" i="7"/>
  <c r="M100" i="5"/>
  <c r="J101" i="10"/>
  <c r="B100" i="14"/>
  <c r="AD100" i="8"/>
  <c r="K100" i="11"/>
  <c r="AJ101" i="14"/>
  <c r="CM100" i="8"/>
  <c r="EP95"/>
  <c r="DT95"/>
  <c r="DR95"/>
  <c r="DS95"/>
  <c r="DX94"/>
  <c r="EB94" s="1"/>
  <c r="DZ93"/>
  <c r="EM93" s="1"/>
  <c r="G93" i="1" s="1"/>
  <c r="M93" i="8" s="1"/>
  <c r="CW95"/>
  <c r="DN95"/>
  <c r="DO95"/>
  <c r="CU96"/>
  <c r="CT96"/>
  <c r="DQ96" s="1"/>
  <c r="CS96"/>
  <c r="DP96" s="1"/>
  <c r="Y98" i="1"/>
  <c r="Q101" i="2"/>
  <c r="I102" i="8"/>
  <c r="AN95" i="5"/>
  <c r="CX95" i="8"/>
  <c r="DB95"/>
  <c r="EC95" s="1"/>
  <c r="ED95" s="1"/>
  <c r="CY95"/>
  <c r="EA95" s="1"/>
  <c r="DG95"/>
  <c r="EG95" s="1"/>
  <c r="CV95"/>
  <c r="BY95"/>
  <c r="CF95"/>
  <c r="D96" i="9"/>
  <c r="AO95" i="5"/>
  <c r="AM95"/>
  <c r="Q95" i="7"/>
  <c r="AV94" i="8"/>
  <c r="AW94" i="1" s="1"/>
  <c r="L94" s="1"/>
  <c r="AP94" i="5"/>
  <c r="DD94" i="8"/>
  <c r="EE94" s="1"/>
  <c r="EF94" s="1"/>
  <c r="AQ94" i="5"/>
  <c r="AU94" i="1" s="1"/>
  <c r="EI94" i="8"/>
  <c r="AU94"/>
  <c r="Q93"/>
  <c r="X95" i="10"/>
  <c r="Y95" s="1"/>
  <c r="BO93" i="1"/>
  <c r="BP95" i="8"/>
  <c r="CR95"/>
  <c r="DC95" s="1"/>
  <c r="CG95"/>
  <c r="N95" i="7"/>
  <c r="E93" i="11"/>
  <c r="BQ95" i="8"/>
  <c r="BT95"/>
  <c r="CO95"/>
  <c r="F98" i="7"/>
  <c r="H99" i="5"/>
  <c r="D98" i="10"/>
  <c r="DY94" i="8"/>
  <c r="AL95" i="5"/>
  <c r="A97"/>
  <c r="E97" s="1"/>
  <c r="EQ97" i="8" s="1"/>
  <c r="CZ97" s="1"/>
  <c r="CN95"/>
  <c r="AR98" i="5"/>
  <c r="V97" i="2"/>
  <c r="DH95" i="8"/>
  <c r="EH95" s="1"/>
  <c r="DD97" i="5"/>
  <c r="G97" i="10"/>
  <c r="I97" i="7"/>
  <c r="K98" i="5"/>
  <c r="H97" i="10"/>
  <c r="L98" i="5"/>
  <c r="DE97"/>
  <c r="J97" i="7"/>
  <c r="DB98" i="5"/>
  <c r="G98" i="7"/>
  <c r="E98" i="10"/>
  <c r="I99" i="5"/>
  <c r="H102" i="8"/>
  <c r="P101" i="2"/>
  <c r="AP18" i="1"/>
  <c r="T18" s="1"/>
  <c r="J18" i="11"/>
  <c r="G18" i="2"/>
  <c r="Z18" s="1"/>
  <c r="Z19" i="8" s="1"/>
  <c r="R99" i="2"/>
  <c r="J100" i="8"/>
  <c r="V18"/>
  <c r="U18"/>
  <c r="AA18" i="1"/>
  <c r="S18" s="1"/>
  <c r="H19" s="1"/>
  <c r="I18" i="11"/>
  <c r="O18" i="7"/>
  <c r="H99"/>
  <c r="F99" i="10"/>
  <c r="DC99" i="5"/>
  <c r="J100"/>
  <c r="AH95" i="7"/>
  <c r="AG95"/>
  <c r="AI95" s="1"/>
  <c r="DF100" i="8"/>
  <c r="M100" i="2"/>
  <c r="CY99" i="5"/>
  <c r="D94" i="14"/>
  <c r="P95" i="1"/>
  <c r="N99" i="2"/>
  <c r="B99" i="5"/>
  <c r="DA98"/>
  <c r="AQ92" i="1"/>
  <c r="U92" s="1"/>
  <c r="J93" s="1"/>
  <c r="AP93" i="8" s="1"/>
  <c r="BM92" i="1"/>
  <c r="D92" i="11"/>
  <c r="AK92" i="5"/>
  <c r="F102"/>
  <c r="D101" i="7"/>
  <c r="B101" i="10"/>
  <c r="K99"/>
  <c r="BY100" i="11"/>
  <c r="AA99" i="7"/>
  <c r="AE99" i="8" s="1"/>
  <c r="BC99" s="1"/>
  <c r="O100" i="2"/>
  <c r="DE100" i="8"/>
  <c r="CZ98" i="5"/>
  <c r="E98" i="7"/>
  <c r="C98" i="10"/>
  <c r="G99" i="5"/>
  <c r="DG99"/>
  <c r="J98" i="2"/>
  <c r="S100"/>
  <c r="K101" i="8"/>
  <c r="X99" i="1"/>
  <c r="W96" i="8"/>
  <c r="A96" i="11"/>
  <c r="C96" i="14"/>
  <c r="Q96" i="1"/>
  <c r="E96" i="14" s="1"/>
  <c r="B96" i="7"/>
  <c r="E96" i="1"/>
  <c r="AU96" i="5"/>
  <c r="AV96"/>
  <c r="A96" i="10"/>
  <c r="AA96" s="1"/>
  <c r="BS96" i="5"/>
  <c r="B96" i="9"/>
  <c r="AB95" i="2"/>
  <c r="AI96" i="5"/>
  <c r="AH96"/>
  <c r="BN96" i="8"/>
  <c r="BO96"/>
  <c r="DM96" s="1"/>
  <c r="EO96"/>
  <c r="DT96" s="1"/>
  <c r="AB96"/>
  <c r="DL96"/>
  <c r="CQ96"/>
  <c r="DA96" s="1"/>
  <c r="B98" i="5"/>
  <c r="DF97"/>
  <c r="AC99" i="1" l="1"/>
  <c r="BC100" i="5"/>
  <c r="BK102"/>
  <c r="AD100" i="1"/>
  <c r="BE100" i="5"/>
  <c r="AE98" i="1"/>
  <c r="AZ103" i="5"/>
  <c r="BP101"/>
  <c r="AB100" i="1"/>
  <c r="BN103" i="5"/>
  <c r="AF101" i="1"/>
  <c r="O95" i="8"/>
  <c r="O100" i="1"/>
  <c r="DK100" i="8" s="1"/>
  <c r="DI99"/>
  <c r="DJ99"/>
  <c r="C94" i="9"/>
  <c r="AR94" i="1"/>
  <c r="V94" s="1"/>
  <c r="K95" s="1"/>
  <c r="BN94"/>
  <c r="AD96" i="9"/>
  <c r="AV96" i="1" s="1"/>
  <c r="N99"/>
  <c r="I19"/>
  <c r="AT95" i="8"/>
  <c r="AQ95"/>
  <c r="M96" i="1"/>
  <c r="F95" i="11"/>
  <c r="AW95" i="8"/>
  <c r="BU96"/>
  <c r="CA96"/>
  <c r="CH96"/>
  <c r="AA95" i="11"/>
  <c r="AC95"/>
  <c r="T95" i="8" s="1"/>
  <c r="Y95" i="11"/>
  <c r="AH95" i="1" s="1"/>
  <c r="AD95" i="11"/>
  <c r="AI95" i="1" s="1"/>
  <c r="AB95" i="11"/>
  <c r="P95" i="8" s="1"/>
  <c r="Z95" i="11"/>
  <c r="AC95" i="2" s="1"/>
  <c r="DZ94" i="8"/>
  <c r="EM94" s="1"/>
  <c r="G94" i="1" s="1"/>
  <c r="M94" i="8" s="1"/>
  <c r="L101" i="11"/>
  <c r="B100" i="2"/>
  <c r="B100" i="1"/>
  <c r="BI100" s="1"/>
  <c r="A101" i="2"/>
  <c r="M101" i="5"/>
  <c r="A101" i="9"/>
  <c r="K101" i="11"/>
  <c r="A101" i="7"/>
  <c r="J102" i="10"/>
  <c r="B101" i="14"/>
  <c r="AD101" i="8"/>
  <c r="A101"/>
  <c r="CM101"/>
  <c r="AJ102" i="14"/>
  <c r="DR96" i="8"/>
  <c r="DS96"/>
  <c r="DX95"/>
  <c r="EB95" s="1"/>
  <c r="DN96"/>
  <c r="DO96"/>
  <c r="DY95"/>
  <c r="CS97"/>
  <c r="DP97" s="1"/>
  <c r="CT97"/>
  <c r="DQ97" s="1"/>
  <c r="CU97"/>
  <c r="Y99" i="1"/>
  <c r="I103" i="8"/>
  <c r="Q102" i="2"/>
  <c r="AP95" i="5"/>
  <c r="EI95" i="8"/>
  <c r="CQ97"/>
  <c r="DA97" s="1"/>
  <c r="Q94"/>
  <c r="AQ95" i="5"/>
  <c r="AU95" i="1" s="1"/>
  <c r="E94" i="11"/>
  <c r="AO94" i="8"/>
  <c r="BO94" i="1"/>
  <c r="AT94"/>
  <c r="DD95" i="8"/>
  <c r="EE95" s="1"/>
  <c r="EF95" s="1"/>
  <c r="AV95"/>
  <c r="AW95" i="1" s="1"/>
  <c r="L95" s="1"/>
  <c r="E95" i="11" s="1"/>
  <c r="EO97" i="8"/>
  <c r="Q97" i="1"/>
  <c r="E97" i="14" s="1"/>
  <c r="A97" i="11"/>
  <c r="AB96" i="2"/>
  <c r="E97" i="1"/>
  <c r="AU97" i="5"/>
  <c r="C97" i="14"/>
  <c r="B97" i="7"/>
  <c r="AE97" s="1"/>
  <c r="AF97" s="1"/>
  <c r="AU95" i="8"/>
  <c r="AI97" i="5"/>
  <c r="A97" i="10"/>
  <c r="AA97" s="1"/>
  <c r="AB97" i="8"/>
  <c r="BN97"/>
  <c r="CO97" s="1"/>
  <c r="B97" i="9"/>
  <c r="W97" i="8"/>
  <c r="AH97" i="5"/>
  <c r="BO97" i="8"/>
  <c r="DM97" s="1"/>
  <c r="BS97" i="5"/>
  <c r="F99" i="7"/>
  <c r="H100" i="5"/>
  <c r="D99" i="10"/>
  <c r="DL97" i="8"/>
  <c r="AR99" i="5"/>
  <c r="AV97"/>
  <c r="A98"/>
  <c r="E98" s="1"/>
  <c r="EQ98" i="8" s="1"/>
  <c r="CZ98" s="1"/>
  <c r="DD98" i="5"/>
  <c r="V98" i="2"/>
  <c r="K99" i="5"/>
  <c r="I98" i="7"/>
  <c r="G98" i="10"/>
  <c r="DE98" i="5"/>
  <c r="L99"/>
  <c r="H98" i="10"/>
  <c r="J98" i="7"/>
  <c r="DB99" i="5"/>
  <c r="G99" i="7"/>
  <c r="I100" i="5"/>
  <c r="E99" i="10"/>
  <c r="AN96" i="5"/>
  <c r="M101" i="2"/>
  <c r="DF101" i="8"/>
  <c r="DG100" i="5"/>
  <c r="C18" i="8"/>
  <c r="O101" i="2"/>
  <c r="DE101" i="8"/>
  <c r="Q96" i="7"/>
  <c r="AE96"/>
  <c r="AF96" s="1"/>
  <c r="AQ93" i="1"/>
  <c r="U93" s="1"/>
  <c r="J94" s="1"/>
  <c r="AP94" i="8" s="1"/>
  <c r="BM93" i="1"/>
  <c r="D93" i="11"/>
  <c r="AK93" i="5"/>
  <c r="P102" i="2"/>
  <c r="H103" i="8"/>
  <c r="DH96"/>
  <c r="EH96" s="1"/>
  <c r="EP96"/>
  <c r="P18" i="7"/>
  <c r="F18" i="9"/>
  <c r="N96" i="7"/>
  <c r="BP96" i="8"/>
  <c r="BQ96"/>
  <c r="BT96"/>
  <c r="BZ96"/>
  <c r="BY96"/>
  <c r="CF96"/>
  <c r="CG96"/>
  <c r="CV96"/>
  <c r="DG96"/>
  <c r="EG96" s="1"/>
  <c r="CW96"/>
  <c r="DB96"/>
  <c r="EC96" s="1"/>
  <c r="ED96" s="1"/>
  <c r="CY96"/>
  <c r="EA96" s="1"/>
  <c r="CX96"/>
  <c r="AO96" i="5"/>
  <c r="AC96" i="10"/>
  <c r="X96" s="1"/>
  <c r="Y96" s="1"/>
  <c r="AM96" i="5"/>
  <c r="AL96"/>
  <c r="CY100"/>
  <c r="DC100"/>
  <c r="F100" i="10"/>
  <c r="H100" i="7"/>
  <c r="J101" i="5"/>
  <c r="R100" i="2"/>
  <c r="J101" i="8"/>
  <c r="AJ19" i="5"/>
  <c r="V19" i="10"/>
  <c r="BK19" i="1"/>
  <c r="AC19" i="7"/>
  <c r="C19" i="11"/>
  <c r="AN19" i="8"/>
  <c r="CR96"/>
  <c r="CN96"/>
  <c r="CO96"/>
  <c r="D97" i="9"/>
  <c r="K102" i="8"/>
  <c r="S101" i="2"/>
  <c r="N96" i="11"/>
  <c r="W98" i="1"/>
  <c r="DA99" i="5"/>
  <c r="X100" i="1"/>
  <c r="G100" i="5"/>
  <c r="C99" i="10"/>
  <c r="E99" i="7"/>
  <c r="CZ99" i="5"/>
  <c r="K100" i="10"/>
  <c r="BY101" i="11"/>
  <c r="AA100" i="7"/>
  <c r="AE100" i="8" s="1"/>
  <c r="BC100" s="1"/>
  <c r="J99" i="2"/>
  <c r="B102" i="10"/>
  <c r="D102" i="7"/>
  <c r="F103" i="5"/>
  <c r="N100" i="2"/>
  <c r="P96" i="1"/>
  <c r="D95" i="14"/>
  <c r="DF98" i="5"/>
  <c r="AC100" i="1" l="1"/>
  <c r="BC101" i="5"/>
  <c r="BP102"/>
  <c r="AB101" i="1"/>
  <c r="BK103" i="5"/>
  <c r="AD101" i="1"/>
  <c r="BN104" i="5"/>
  <c r="AF102" i="1"/>
  <c r="BE101" i="5"/>
  <c r="B101" s="1"/>
  <c r="AE99" i="1"/>
  <c r="W99" s="1"/>
  <c r="AZ104" i="5"/>
  <c r="O101" i="1"/>
  <c r="DK101" i="8" s="1"/>
  <c r="DJ100"/>
  <c r="DI100"/>
  <c r="AS19"/>
  <c r="AO19" i="1"/>
  <c r="AR95" i="8"/>
  <c r="C95" i="9"/>
  <c r="BN95" i="1"/>
  <c r="AR95"/>
  <c r="V95" s="1"/>
  <c r="K96" s="1"/>
  <c r="AR96" i="8" s="1"/>
  <c r="AD97" i="9"/>
  <c r="AV97" i="1" s="1"/>
  <c r="N100"/>
  <c r="BL19"/>
  <c r="AT96" i="8"/>
  <c r="AQ96"/>
  <c r="M97" i="1"/>
  <c r="F96" i="11"/>
  <c r="AW96" i="8"/>
  <c r="CA97"/>
  <c r="CH97"/>
  <c r="BY97"/>
  <c r="BU97"/>
  <c r="AC96" i="11"/>
  <c r="T96" i="8" s="1"/>
  <c r="AA96" i="11"/>
  <c r="Y96"/>
  <c r="AH96" i="1" s="1"/>
  <c r="Z96" i="11"/>
  <c r="AC96" i="2" s="1"/>
  <c r="AB96" i="11"/>
  <c r="P96" i="8" s="1"/>
  <c r="AD96" i="11"/>
  <c r="AI96" i="1" s="1"/>
  <c r="A102" i="2"/>
  <c r="A102" i="9"/>
  <c r="J103" i="10"/>
  <c r="A102" i="7"/>
  <c r="M102" i="5"/>
  <c r="B102" i="14"/>
  <c r="AD102" i="8"/>
  <c r="A102"/>
  <c r="K102" i="11"/>
  <c r="B101" i="1"/>
  <c r="BI101" s="1"/>
  <c r="L102" i="11"/>
  <c r="B101" i="2"/>
  <c r="AJ103" i="14"/>
  <c r="CM102" i="8"/>
  <c r="DR97"/>
  <c r="DS97"/>
  <c r="EP97"/>
  <c r="DT97"/>
  <c r="DX96"/>
  <c r="EB96" s="1"/>
  <c r="DZ95"/>
  <c r="EM95" s="1"/>
  <c r="G95" i="1" s="1"/>
  <c r="M95" i="8" s="1"/>
  <c r="CX97"/>
  <c r="DN97"/>
  <c r="DO97"/>
  <c r="CS98"/>
  <c r="DP98" s="1"/>
  <c r="CT98"/>
  <c r="DQ98" s="1"/>
  <c r="CU98"/>
  <c r="Y100" i="1"/>
  <c r="I104" i="8"/>
  <c r="Q103" i="2"/>
  <c r="N97" i="11"/>
  <c r="AT95" i="1"/>
  <c r="CV97" i="8"/>
  <c r="DG97"/>
  <c r="EG97" s="1"/>
  <c r="CY97"/>
  <c r="EA97" s="1"/>
  <c r="CW97"/>
  <c r="DB97"/>
  <c r="EC97" s="1"/>
  <c r="ED97" s="1"/>
  <c r="CR97"/>
  <c r="DC97" s="1"/>
  <c r="CN97"/>
  <c r="D98" i="9"/>
  <c r="AN97" i="5"/>
  <c r="BQ97" i="8"/>
  <c r="BZ97"/>
  <c r="BP97"/>
  <c r="BT97"/>
  <c r="AL97" i="5"/>
  <c r="CG97" i="8"/>
  <c r="AO95"/>
  <c r="N97" i="7"/>
  <c r="BO95" i="1"/>
  <c r="CF97" i="8"/>
  <c r="Q97" i="7"/>
  <c r="AC97" i="10"/>
  <c r="X97" s="1"/>
  <c r="Y97" s="1"/>
  <c r="V99" i="2"/>
  <c r="AM97" i="5"/>
  <c r="DH97" i="8"/>
  <c r="EH97" s="1"/>
  <c r="AO97" i="5"/>
  <c r="A99"/>
  <c r="E99" s="1"/>
  <c r="EQ99" i="8" s="1"/>
  <c r="CZ99" s="1"/>
  <c r="AR100" i="5"/>
  <c r="F100" i="7"/>
  <c r="H101" i="5"/>
  <c r="D100" i="10"/>
  <c r="EI96" i="8"/>
  <c r="I99" i="7"/>
  <c r="G99" i="10"/>
  <c r="DD99" i="5"/>
  <c r="K100"/>
  <c r="DE99"/>
  <c r="J99" i="7"/>
  <c r="H99" i="10"/>
  <c r="L100" i="5"/>
  <c r="E100" i="10"/>
  <c r="G100" i="7"/>
  <c r="DB100" i="5"/>
  <c r="I101"/>
  <c r="AQ96"/>
  <c r="AU96" i="1" s="1"/>
  <c r="AP96" i="5"/>
  <c r="Y18" i="2"/>
  <c r="X18" s="1"/>
  <c r="X101" i="1"/>
  <c r="O102" i="2"/>
  <c r="DE102" i="8"/>
  <c r="AU96"/>
  <c r="B103" i="10"/>
  <c r="D103" i="7"/>
  <c r="F104" i="5"/>
  <c r="H101" i="7"/>
  <c r="F101" i="10"/>
  <c r="J102" i="5"/>
  <c r="DC101"/>
  <c r="H104" i="8"/>
  <c r="P103" i="2"/>
  <c r="AH96" i="7"/>
  <c r="AG96"/>
  <c r="AI96" s="1"/>
  <c r="DG101" i="5"/>
  <c r="AV96" i="8"/>
  <c r="AW96" i="1" s="1"/>
  <c r="L96" s="1"/>
  <c r="BO96" s="1"/>
  <c r="N101" i="2"/>
  <c r="AA101" i="7"/>
  <c r="AE101" i="8" s="1"/>
  <c r="BC101" s="1"/>
  <c r="BY102" i="11"/>
  <c r="K101" i="10"/>
  <c r="DA100" i="5"/>
  <c r="CY101"/>
  <c r="AQ94" i="1"/>
  <c r="U94" s="1"/>
  <c r="J95" s="1"/>
  <c r="AP95" i="8" s="1"/>
  <c r="D94" i="11"/>
  <c r="BM94" i="1"/>
  <c r="AK94" i="5"/>
  <c r="B100"/>
  <c r="B98" i="7"/>
  <c r="AU98" i="5"/>
  <c r="BS98"/>
  <c r="A98" i="11"/>
  <c r="C98" i="14"/>
  <c r="E98" i="1"/>
  <c r="Q98"/>
  <c r="E98" i="14" s="1"/>
  <c r="AV98" i="5"/>
  <c r="B98" i="9"/>
  <c r="A98" i="10"/>
  <c r="AA98" s="1"/>
  <c r="W98" i="8"/>
  <c r="AB97" i="2"/>
  <c r="AI98" i="5"/>
  <c r="AH98"/>
  <c r="BN98" i="8"/>
  <c r="BO98"/>
  <c r="DM98" s="1"/>
  <c r="AB98"/>
  <c r="EO98"/>
  <c r="DT98" s="1"/>
  <c r="DL98"/>
  <c r="CQ98"/>
  <c r="DA98" s="1"/>
  <c r="S102" i="2"/>
  <c r="K103" i="8"/>
  <c r="E100" i="7"/>
  <c r="G101" i="5"/>
  <c r="C100" i="10"/>
  <c r="CZ100" i="5"/>
  <c r="DC96" i="8"/>
  <c r="O96" s="1"/>
  <c r="DD96"/>
  <c r="AH97" i="7"/>
  <c r="AG97"/>
  <c r="AI97" s="1"/>
  <c r="D96" i="14"/>
  <c r="P97" i="1"/>
  <c r="R101" i="2"/>
  <c r="J102" i="8"/>
  <c r="DY96"/>
  <c r="DF102"/>
  <c r="M102" i="2"/>
  <c r="Q95" i="8"/>
  <c r="J100" i="2"/>
  <c r="DF99" i="5"/>
  <c r="AC101" i="1" l="1"/>
  <c r="BC102" i="5"/>
  <c r="BP103"/>
  <c r="AB102" i="1"/>
  <c r="AZ105" i="5"/>
  <c r="BK104"/>
  <c r="AD102" i="1"/>
  <c r="BN105" i="5"/>
  <c r="AF103" i="1"/>
  <c r="BE102" i="5"/>
  <c r="AE100" i="1"/>
  <c r="O97" i="8"/>
  <c r="O102" i="1"/>
  <c r="DK102" i="8" s="1"/>
  <c r="DI101"/>
  <c r="DJ101"/>
  <c r="BN96" i="1"/>
  <c r="C96" i="9"/>
  <c r="AR96" i="1"/>
  <c r="V96" s="1"/>
  <c r="K97" s="1"/>
  <c r="AR97" i="8" s="1"/>
  <c r="AD98" i="9"/>
  <c r="AV98" i="1" s="1"/>
  <c r="N101"/>
  <c r="AT97" i="8"/>
  <c r="AQ97"/>
  <c r="F97" i="11"/>
  <c r="M98" i="1"/>
  <c r="AW97" i="8"/>
  <c r="BU98"/>
  <c r="CA98"/>
  <c r="CH98"/>
  <c r="Y97" i="11"/>
  <c r="AH97" i="1" s="1"/>
  <c r="AA97" i="11"/>
  <c r="AC97"/>
  <c r="T97" i="8" s="1"/>
  <c r="AB97" i="11"/>
  <c r="P97" i="8" s="1"/>
  <c r="AD97" i="11"/>
  <c r="AI97" i="1" s="1"/>
  <c r="Z97" i="11"/>
  <c r="AC97" i="2" s="1"/>
  <c r="B102" i="1"/>
  <c r="BI102" s="1"/>
  <c r="B102" i="2"/>
  <c r="L103" i="11"/>
  <c r="A103" i="2"/>
  <c r="A103" i="7"/>
  <c r="A103" i="8"/>
  <c r="AD103"/>
  <c r="B103" i="14"/>
  <c r="J104" i="10"/>
  <c r="M103" i="5"/>
  <c r="A103" i="9"/>
  <c r="K103" i="11"/>
  <c r="AJ104" i="14"/>
  <c r="CM103" i="8"/>
  <c r="DR98"/>
  <c r="DS98"/>
  <c r="DZ96"/>
  <c r="DX97"/>
  <c r="EB97" s="1"/>
  <c r="DY97"/>
  <c r="DN98"/>
  <c r="DO98"/>
  <c r="CT99"/>
  <c r="DQ99" s="1"/>
  <c r="CS99"/>
  <c r="DP99" s="1"/>
  <c r="CU99"/>
  <c r="Y101" i="1"/>
  <c r="Q104" i="2"/>
  <c r="I105" i="8"/>
  <c r="D99" i="9"/>
  <c r="EI97" i="8"/>
  <c r="DL99"/>
  <c r="DD97"/>
  <c r="EE97" s="1"/>
  <c r="EF97" s="1"/>
  <c r="AP97" i="5"/>
  <c r="AV97" i="8"/>
  <c r="AW97" i="1" s="1"/>
  <c r="L97" s="1"/>
  <c r="AO97" i="8" s="1"/>
  <c r="AU97"/>
  <c r="AB98" i="2"/>
  <c r="AH99" i="5"/>
  <c r="AI99"/>
  <c r="BN99" i="8"/>
  <c r="CO99" s="1"/>
  <c r="V100" i="2"/>
  <c r="AQ97" i="5"/>
  <c r="AU97" i="1" s="1"/>
  <c r="A99" i="10"/>
  <c r="AA99" s="1"/>
  <c r="B99" i="9"/>
  <c r="A99" i="11"/>
  <c r="W99" i="8"/>
  <c r="BO99"/>
  <c r="DM99" s="1"/>
  <c r="BS99" i="5"/>
  <c r="EO99" i="8"/>
  <c r="B99" i="7"/>
  <c r="Q99" s="1"/>
  <c r="C99" i="14"/>
  <c r="AB99" i="8"/>
  <c r="AU99" i="5"/>
  <c r="AV99"/>
  <c r="CQ99" i="8"/>
  <c r="DA99" s="1"/>
  <c r="E99" i="1"/>
  <c r="Q99"/>
  <c r="E99" i="14" s="1"/>
  <c r="F101" i="7"/>
  <c r="D101" i="10"/>
  <c r="H102" i="5"/>
  <c r="AR101"/>
  <c r="A100"/>
  <c r="E100" s="1"/>
  <c r="EQ100" i="8" s="1"/>
  <c r="CZ100" s="1"/>
  <c r="G100" i="10"/>
  <c r="K101" i="5"/>
  <c r="DD100"/>
  <c r="I100" i="7"/>
  <c r="L101" i="5"/>
  <c r="H100" i="10"/>
  <c r="DE100" i="5"/>
  <c r="J100" i="7"/>
  <c r="DB101" i="5"/>
  <c r="E101" i="10"/>
  <c r="I102" i="5"/>
  <c r="G101" i="7"/>
  <c r="AO96" i="8"/>
  <c r="E96" i="11"/>
  <c r="DH98" i="8"/>
  <c r="EH98" s="1"/>
  <c r="EP98"/>
  <c r="D95" i="11"/>
  <c r="BM95" i="1"/>
  <c r="AK95" i="5"/>
  <c r="AQ95" i="1"/>
  <c r="U95" s="1"/>
  <c r="J96" s="1"/>
  <c r="AP96" i="8" s="1"/>
  <c r="D104" i="7"/>
  <c r="F105" i="5"/>
  <c r="B104" i="10"/>
  <c r="AT96" i="1"/>
  <c r="W100"/>
  <c r="DA101" i="5"/>
  <c r="E101" i="7"/>
  <c r="G102" i="5"/>
  <c r="C101" i="10"/>
  <c r="CZ101" i="5"/>
  <c r="N98" i="11"/>
  <c r="N102" i="2"/>
  <c r="DG102" i="5"/>
  <c r="F102" i="10"/>
  <c r="H102" i="7"/>
  <c r="DC102" i="5"/>
  <c r="J103"/>
  <c r="X102" i="1"/>
  <c r="R102" i="2"/>
  <c r="J103" i="8"/>
  <c r="CY102" i="5"/>
  <c r="E19" i="2"/>
  <c r="B19" i="8"/>
  <c r="D19" i="2" s="1"/>
  <c r="H19" i="11"/>
  <c r="L19" i="2"/>
  <c r="BD19" i="8"/>
  <c r="AB19" i="7"/>
  <c r="AN98" i="5"/>
  <c r="P98" i="1"/>
  <c r="D97" i="14"/>
  <c r="AE98" i="7"/>
  <c r="AF98" s="1"/>
  <c r="Q98"/>
  <c r="BP98" i="8"/>
  <c r="BQ98"/>
  <c r="N98" i="7"/>
  <c r="BT98" i="8"/>
  <c r="BY98"/>
  <c r="BZ98"/>
  <c r="CF98"/>
  <c r="CG98"/>
  <c r="DB98"/>
  <c r="EC98" s="1"/>
  <c r="ED98" s="1"/>
  <c r="CX98"/>
  <c r="DG98"/>
  <c r="EG98" s="1"/>
  <c r="CV98"/>
  <c r="CW98"/>
  <c r="CY98"/>
  <c r="EA98" s="1"/>
  <c r="AC98" i="10"/>
  <c r="X98" s="1"/>
  <c r="Y98" s="1"/>
  <c r="AM98" i="5"/>
  <c r="AO98"/>
  <c r="AL98"/>
  <c r="AA102" i="7"/>
  <c r="AE102" i="8" s="1"/>
  <c r="BC102" s="1"/>
  <c r="BY103" i="11"/>
  <c r="K102" i="10"/>
  <c r="H105" i="8"/>
  <c r="P104" i="2"/>
  <c r="O103"/>
  <c r="DE103" i="8"/>
  <c r="CO98"/>
  <c r="CR98"/>
  <c r="CN98"/>
  <c r="J101" i="2"/>
  <c r="M103"/>
  <c r="DF103" i="8"/>
  <c r="EE96"/>
  <c r="EF96" s="1"/>
  <c r="Q96"/>
  <c r="S103" i="2"/>
  <c r="K104" i="8"/>
  <c r="DF100" i="5"/>
  <c r="B102" l="1"/>
  <c r="AC102" i="1"/>
  <c r="BC103" i="5"/>
  <c r="J102" i="2"/>
  <c r="BN106" i="5"/>
  <c r="AF104" i="1"/>
  <c r="BE103" i="5"/>
  <c r="AE101" i="1"/>
  <c r="W101" s="1"/>
  <c r="BP104" i="5"/>
  <c r="AB103" i="1"/>
  <c r="AZ106" i="5"/>
  <c r="BK105"/>
  <c r="AD103" i="1"/>
  <c r="O103"/>
  <c r="DK103" i="8" s="1"/>
  <c r="DI102"/>
  <c r="DJ102"/>
  <c r="BN97" i="1"/>
  <c r="C97" i="9"/>
  <c r="AR97" i="1"/>
  <c r="V97" s="1"/>
  <c r="K98" s="1"/>
  <c r="AD99" i="9"/>
  <c r="AV99" i="1" s="1"/>
  <c r="N102"/>
  <c r="AT98" i="8"/>
  <c r="AW98"/>
  <c r="AQ98"/>
  <c r="F98" i="11"/>
  <c r="M99" i="1"/>
  <c r="CA99" i="8"/>
  <c r="CH99"/>
  <c r="BY99"/>
  <c r="BU99"/>
  <c r="AA98" i="11"/>
  <c r="AC98"/>
  <c r="T98" i="8" s="1"/>
  <c r="Y98" i="11"/>
  <c r="AH98" i="1" s="1"/>
  <c r="Z98" i="11"/>
  <c r="AC98" i="2" s="1"/>
  <c r="AD98" i="11"/>
  <c r="AI98" i="1" s="1"/>
  <c r="AB98" i="11"/>
  <c r="P98" i="8" s="1"/>
  <c r="N99" i="11"/>
  <c r="B103" i="1"/>
  <c r="BI103" s="1"/>
  <c r="B103" i="2"/>
  <c r="L104" i="11"/>
  <c r="AJ105" i="14"/>
  <c r="CM104" i="8"/>
  <c r="A104" i="2"/>
  <c r="M104" i="5"/>
  <c r="B104" i="14"/>
  <c r="A104" i="7"/>
  <c r="J105" i="10"/>
  <c r="A104" i="8"/>
  <c r="A104" i="9"/>
  <c r="K104" i="11"/>
  <c r="AD104" i="8"/>
  <c r="DR99"/>
  <c r="DS99"/>
  <c r="EP99"/>
  <c r="DT99"/>
  <c r="DZ97"/>
  <c r="EM97" s="1"/>
  <c r="G97" i="1" s="1"/>
  <c r="M97" i="8" s="1"/>
  <c r="EM96"/>
  <c r="G96" i="1" s="1"/>
  <c r="M96" i="8" s="1"/>
  <c r="DX98"/>
  <c r="EB98" s="1"/>
  <c r="DB99"/>
  <c r="EC99" s="1"/>
  <c r="ED99" s="1"/>
  <c r="DN99"/>
  <c r="DO99"/>
  <c r="CS100"/>
  <c r="DP100" s="1"/>
  <c r="CT100"/>
  <c r="DQ100" s="1"/>
  <c r="CU100"/>
  <c r="CR99"/>
  <c r="DC99" s="1"/>
  <c r="Y102" i="1"/>
  <c r="Q105" i="2"/>
  <c r="I106" i="8"/>
  <c r="AO99" i="5"/>
  <c r="AM99"/>
  <c r="CF99" i="8"/>
  <c r="AC99" i="10"/>
  <c r="X99" s="1"/>
  <c r="Y99" s="1"/>
  <c r="AL99" i="5"/>
  <c r="DL100" i="8"/>
  <c r="D100" i="9"/>
  <c r="CN99" i="8"/>
  <c r="AT97" i="1"/>
  <c r="CG99" i="8"/>
  <c r="N99" i="7"/>
  <c r="BP99" i="8"/>
  <c r="BT99"/>
  <c r="BZ99"/>
  <c r="BQ99"/>
  <c r="AN99" i="5"/>
  <c r="DG99" i="8"/>
  <c r="EG99" s="1"/>
  <c r="AE99" i="7"/>
  <c r="AF99" s="1"/>
  <c r="DH99" i="8"/>
  <c r="EH99" s="1"/>
  <c r="CY99"/>
  <c r="EA99" s="1"/>
  <c r="CW99"/>
  <c r="CV99"/>
  <c r="CX99"/>
  <c r="D102" i="10"/>
  <c r="F102" i="7"/>
  <c r="H103" i="5"/>
  <c r="A101"/>
  <c r="E101" s="1"/>
  <c r="EQ101" i="8" s="1"/>
  <c r="CZ101" s="1"/>
  <c r="Q100" i="1"/>
  <c r="E100" i="14" s="1"/>
  <c r="AI100" i="5"/>
  <c r="AH100"/>
  <c r="AV100"/>
  <c r="CQ100" i="8"/>
  <c r="DA100" s="1"/>
  <c r="BN100"/>
  <c r="CN100" s="1"/>
  <c r="C100" i="14"/>
  <c r="BO100" i="8"/>
  <c r="DM100" s="1"/>
  <c r="A100" i="10"/>
  <c r="AA100" s="1"/>
  <c r="AB100" i="8"/>
  <c r="B100" i="9"/>
  <c r="W100" i="8"/>
  <c r="EO100"/>
  <c r="A100" i="11"/>
  <c r="E100" i="1"/>
  <c r="BS100" i="5"/>
  <c r="AU100"/>
  <c r="AB99" i="2"/>
  <c r="B100" i="7"/>
  <c r="Q100" s="1"/>
  <c r="V101" i="2"/>
  <c r="Q97" i="8"/>
  <c r="DD101" i="5"/>
  <c r="G101" i="10"/>
  <c r="I101" i="7"/>
  <c r="K102" i="5"/>
  <c r="L102"/>
  <c r="J101" i="7"/>
  <c r="DE101" i="5"/>
  <c r="H101" i="10"/>
  <c r="AR102" i="5"/>
  <c r="I103"/>
  <c r="DB102"/>
  <c r="G102" i="7"/>
  <c r="E102" i="10"/>
  <c r="EI98" i="8"/>
  <c r="BO97" i="1"/>
  <c r="E97" i="11"/>
  <c r="AP98" i="5"/>
  <c r="DY98" i="8"/>
  <c r="AA103" i="7"/>
  <c r="AE103" i="8" s="1"/>
  <c r="BC103" s="1"/>
  <c r="K103" i="10"/>
  <c r="BY104" i="11"/>
  <c r="P99" i="1"/>
  <c r="D98" i="14"/>
  <c r="CY103" i="5"/>
  <c r="H106" i="8"/>
  <c r="P105" i="2"/>
  <c r="J104" i="8"/>
  <c r="R103" i="2"/>
  <c r="DE104" i="8"/>
  <c r="O104" i="2"/>
  <c r="AG98" i="7"/>
  <c r="AI98" s="1"/>
  <c r="AH98"/>
  <c r="H103"/>
  <c r="J104" i="5"/>
  <c r="DC103"/>
  <c r="F103" i="10"/>
  <c r="N103" i="2"/>
  <c r="M104"/>
  <c r="DF104" i="8"/>
  <c r="DG103" i="5"/>
  <c r="AQ96" i="1"/>
  <c r="U96" s="1"/>
  <c r="J97" s="1"/>
  <c r="AP97" i="8" s="1"/>
  <c r="BM96" i="1"/>
  <c r="D96" i="11"/>
  <c r="AK96" i="5"/>
  <c r="AQ98"/>
  <c r="AU98" i="1" s="1"/>
  <c r="AU98" i="8"/>
  <c r="F106" i="5"/>
  <c r="D105" i="7"/>
  <c r="B105" i="10"/>
  <c r="G103" i="5"/>
  <c r="E102" i="7"/>
  <c r="C102" i="10"/>
  <c r="CZ102" i="5"/>
  <c r="AV98" i="8"/>
  <c r="AW98" i="1" s="1"/>
  <c r="L98" s="1"/>
  <c r="BO98" s="1"/>
  <c r="S104" i="2"/>
  <c r="K105" i="8"/>
  <c r="DC98"/>
  <c r="O98" s="1"/>
  <c r="DD98"/>
  <c r="DA102" i="5"/>
  <c r="U19" i="2"/>
  <c r="W18" s="1"/>
  <c r="C19" s="1"/>
  <c r="X103" i="1"/>
  <c r="DF101" i="5"/>
  <c r="AC103" i="1" l="1"/>
  <c r="BC104" i="5"/>
  <c r="AZ107"/>
  <c r="BN107"/>
  <c r="AF105" i="1"/>
  <c r="BK106" i="5"/>
  <c r="AD104" i="1"/>
  <c r="BE104" i="5"/>
  <c r="AE102" i="1"/>
  <c r="W102" s="1"/>
  <c r="BP105" i="5"/>
  <c r="AB104" i="1"/>
  <c r="R19" i="8"/>
  <c r="S19" s="1"/>
  <c r="O99"/>
  <c r="O104" i="1"/>
  <c r="DK104" i="8" s="1"/>
  <c r="DI103"/>
  <c r="DJ103"/>
  <c r="AR98"/>
  <c r="C98" i="9"/>
  <c r="BN98" i="1"/>
  <c r="AR98"/>
  <c r="V98" s="1"/>
  <c r="K99" s="1"/>
  <c r="AD100" i="9"/>
  <c r="AV100" i="1" s="1"/>
  <c r="N103"/>
  <c r="AQ99" i="5"/>
  <c r="AU99" i="1" s="1"/>
  <c r="AT99" i="8"/>
  <c r="AQ99"/>
  <c r="M100" i="1"/>
  <c r="F99" i="11"/>
  <c r="AW99" i="8"/>
  <c r="CA100"/>
  <c r="CH100"/>
  <c r="BT100"/>
  <c r="BU100"/>
  <c r="AA99" i="11"/>
  <c r="AC99"/>
  <c r="T99" i="8" s="1"/>
  <c r="Y99" i="11"/>
  <c r="AH99" i="1" s="1"/>
  <c r="AD99" i="11"/>
  <c r="AI99" i="1" s="1"/>
  <c r="AB99" i="11"/>
  <c r="P99" i="8" s="1"/>
  <c r="Z99" i="11"/>
  <c r="AC99" i="2" s="1"/>
  <c r="DZ98" i="8"/>
  <c r="L105" i="11"/>
  <c r="B104" i="2"/>
  <c r="B104" i="1"/>
  <c r="BI104" s="1"/>
  <c r="A105" i="2"/>
  <c r="A105" i="9"/>
  <c r="B105" i="14"/>
  <c r="M105" i="5"/>
  <c r="A105" i="7"/>
  <c r="K105" i="11"/>
  <c r="AD105" i="8"/>
  <c r="A105"/>
  <c r="J106" i="10"/>
  <c r="CM105" i="8"/>
  <c r="AJ106" i="14"/>
  <c r="EP100" i="8"/>
  <c r="DT100"/>
  <c r="DR100"/>
  <c r="DS100"/>
  <c r="DX99"/>
  <c r="EB99" s="1"/>
  <c r="DG100"/>
  <c r="EG100" s="1"/>
  <c r="DN100"/>
  <c r="DO100"/>
  <c r="CU101"/>
  <c r="CS101"/>
  <c r="DP101" s="1"/>
  <c r="CT101"/>
  <c r="DQ101" s="1"/>
  <c r="DD99"/>
  <c r="EE99" s="1"/>
  <c r="EF99" s="1"/>
  <c r="Y103" i="1"/>
  <c r="AG99" i="7"/>
  <c r="AI99" s="1"/>
  <c r="AH99"/>
  <c r="AM100" i="5"/>
  <c r="I107" i="8"/>
  <c r="Q106" i="2"/>
  <c r="AP99" i="5"/>
  <c r="BQ100" i="8"/>
  <c r="AU99"/>
  <c r="DL101"/>
  <c r="EI99"/>
  <c r="DY99"/>
  <c r="AV99"/>
  <c r="AW99" i="1" s="1"/>
  <c r="L99" s="1"/>
  <c r="BO99" s="1"/>
  <c r="A101" i="10"/>
  <c r="AA101" s="1"/>
  <c r="A101" i="11"/>
  <c r="AB101" i="8"/>
  <c r="N100" i="7"/>
  <c r="EO101" i="8"/>
  <c r="BS101" i="5"/>
  <c r="B101" i="7"/>
  <c r="AE101" s="1"/>
  <c r="AF101" s="1"/>
  <c r="A102" i="5"/>
  <c r="E102" s="1"/>
  <c r="Q101" i="1"/>
  <c r="E101" i="14" s="1"/>
  <c r="C101"/>
  <c r="AB100" i="2"/>
  <c r="AV101" i="5"/>
  <c r="CQ101" i="8"/>
  <c r="DA101" s="1"/>
  <c r="AH101" i="5"/>
  <c r="AC101" i="10" s="1"/>
  <c r="AI101" i="5"/>
  <c r="B101" i="9"/>
  <c r="BY100" i="8"/>
  <c r="AU101" i="5"/>
  <c r="BN101" i="8"/>
  <c r="CO101" s="1"/>
  <c r="E101" i="1"/>
  <c r="BO101" i="8"/>
  <c r="DM101" s="1"/>
  <c r="W101"/>
  <c r="AR103" i="5"/>
  <c r="CG100" i="8"/>
  <c r="F103" i="7"/>
  <c r="D103" i="10"/>
  <c r="H104" i="5"/>
  <c r="N100" i="11"/>
  <c r="CR100" i="8"/>
  <c r="DD100" s="1"/>
  <c r="CO100"/>
  <c r="D101" i="9"/>
  <c r="DH100" i="8"/>
  <c r="EH100" s="1"/>
  <c r="CX100"/>
  <c r="AN100" i="5"/>
  <c r="BZ100" i="8"/>
  <c r="CF100"/>
  <c r="V102" i="2"/>
  <c r="AL100" i="5"/>
  <c r="BP100" i="8"/>
  <c r="AO100" i="5"/>
  <c r="AE100" i="7"/>
  <c r="AF100" s="1"/>
  <c r="DB100" i="8"/>
  <c r="EC100" s="1"/>
  <c r="ED100" s="1"/>
  <c r="AC100" i="10"/>
  <c r="X100" s="1"/>
  <c r="Y100" s="1"/>
  <c r="CY100" i="8"/>
  <c r="EA100" s="1"/>
  <c r="CW100"/>
  <c r="CV100"/>
  <c r="DD102" i="5"/>
  <c r="K103"/>
  <c r="G102" i="10"/>
  <c r="I102" i="7"/>
  <c r="H102" i="10"/>
  <c r="L103" i="5"/>
  <c r="J102" i="7"/>
  <c r="DE102" i="5"/>
  <c r="E103" i="10"/>
  <c r="G103" i="7"/>
  <c r="DB103" i="5"/>
  <c r="I104"/>
  <c r="AT98" i="1"/>
  <c r="E98" i="11"/>
  <c r="AO98" i="8"/>
  <c r="DG104" i="5"/>
  <c r="X104" i="1"/>
  <c r="F107" i="5"/>
  <c r="B106" i="10"/>
  <c r="D106" i="7"/>
  <c r="AQ97" i="1"/>
  <c r="U97" s="1"/>
  <c r="J98" s="1"/>
  <c r="AP98" i="8" s="1"/>
  <c r="AK97" i="5"/>
  <c r="D97" i="11"/>
  <c r="BM97" i="1"/>
  <c r="H104" i="7"/>
  <c r="F104" i="10"/>
  <c r="DC104" i="5"/>
  <c r="J105"/>
  <c r="CY104"/>
  <c r="M105" i="2"/>
  <c r="DF105" i="8"/>
  <c r="DA103" i="5"/>
  <c r="D99" i="14"/>
  <c r="P100" i="1"/>
  <c r="K106" i="8"/>
  <c r="S105" i="2"/>
  <c r="P106"/>
  <c r="H107" i="8"/>
  <c r="AA104" i="7"/>
  <c r="AE104" i="8" s="1"/>
  <c r="BC104" s="1"/>
  <c r="K104" i="10"/>
  <c r="BY105" i="11"/>
  <c r="B103" i="5"/>
  <c r="I19" i="2"/>
  <c r="H19"/>
  <c r="F19" i="1"/>
  <c r="F19" i="2"/>
  <c r="EE98" i="8"/>
  <c r="EF98" s="1"/>
  <c r="Q98"/>
  <c r="CZ103" i="5"/>
  <c r="E103" i="7"/>
  <c r="G104" i="5"/>
  <c r="C103" i="10"/>
  <c r="O105" i="2"/>
  <c r="DE105" i="8"/>
  <c r="J103" i="2"/>
  <c r="N104"/>
  <c r="J105" i="8"/>
  <c r="R104" i="2"/>
  <c r="DF102" i="5"/>
  <c r="AC104" i="1" l="1"/>
  <c r="BC105" i="5"/>
  <c r="BE105"/>
  <c r="AE103" i="1"/>
  <c r="AZ108" i="5"/>
  <c r="BP106"/>
  <c r="AB105" i="1"/>
  <c r="BN108" i="5"/>
  <c r="AF106" i="1"/>
  <c r="BK107" i="5"/>
  <c r="AD105" i="1"/>
  <c r="O105"/>
  <c r="DK105" i="8" s="1"/>
  <c r="DJ104"/>
  <c r="DI104"/>
  <c r="AB101" i="2"/>
  <c r="EQ102" i="8"/>
  <c r="CZ102" s="1"/>
  <c r="AR99"/>
  <c r="BN99" i="1"/>
  <c r="C99" i="9"/>
  <c r="AR99" i="1"/>
  <c r="V99" s="1"/>
  <c r="K100" s="1"/>
  <c r="AD101" i="9"/>
  <c r="AV101" i="1" s="1"/>
  <c r="N104"/>
  <c r="A102" i="11"/>
  <c r="AB101" s="1"/>
  <c r="P101" i="8" s="1"/>
  <c r="AH102" i="5"/>
  <c r="AC102" i="10" s="1"/>
  <c r="W102" i="8"/>
  <c r="BN102"/>
  <c r="CR102" s="1"/>
  <c r="AI102" i="5"/>
  <c r="AU102"/>
  <c r="EO102" i="8"/>
  <c r="DT102" s="1"/>
  <c r="C102" i="14"/>
  <c r="BS102" i="5"/>
  <c r="B102" i="9"/>
  <c r="AT100" i="8"/>
  <c r="AW100"/>
  <c r="AQ100"/>
  <c r="M101" i="1"/>
  <c r="F100" i="11"/>
  <c r="CA101" i="8"/>
  <c r="CH101"/>
  <c r="N101" i="7"/>
  <c r="BU101" i="8"/>
  <c r="Y100" i="11"/>
  <c r="AH100" i="1" s="1"/>
  <c r="AA100" i="11"/>
  <c r="AC100"/>
  <c r="T100" i="8" s="1"/>
  <c r="AB100" i="11"/>
  <c r="P100" i="8" s="1"/>
  <c r="AD100" i="11"/>
  <c r="AI100" i="1" s="1"/>
  <c r="Z100" i="11"/>
  <c r="AC100" i="2" s="1"/>
  <c r="EM98" i="8"/>
  <c r="G98" i="1" s="1"/>
  <c r="M98" i="8" s="1"/>
  <c r="Q99"/>
  <c r="B105" i="2"/>
  <c r="L106" i="11"/>
  <c r="B105" i="1"/>
  <c r="BI105" s="1"/>
  <c r="A106" i="2"/>
  <c r="M106" i="5"/>
  <c r="A106" i="9"/>
  <c r="A106" i="8"/>
  <c r="B106" i="14"/>
  <c r="J107" i="10"/>
  <c r="AD106" i="8"/>
  <c r="A106" i="7"/>
  <c r="K106" i="11"/>
  <c r="AJ107" i="14"/>
  <c r="CM106" i="8"/>
  <c r="DR101"/>
  <c r="DS101"/>
  <c r="EP101"/>
  <c r="DT101"/>
  <c r="DZ99"/>
  <c r="EM99" s="1"/>
  <c r="G99" i="1" s="1"/>
  <c r="M99" i="8" s="1"/>
  <c r="DX100"/>
  <c r="EB100" s="1"/>
  <c r="EI100"/>
  <c r="DG101"/>
  <c r="EG101" s="1"/>
  <c r="DN101"/>
  <c r="DO101"/>
  <c r="A102" i="10"/>
  <c r="AA102" s="1"/>
  <c r="CS102" i="8"/>
  <c r="DP102" s="1"/>
  <c r="CT102"/>
  <c r="DQ102" s="1"/>
  <c r="CU102"/>
  <c r="B102" i="7"/>
  <c r="Q102" s="1"/>
  <c r="BO102" i="8"/>
  <c r="DM102" s="1"/>
  <c r="E102" i="1"/>
  <c r="AB102" i="8"/>
  <c r="BP102" s="1"/>
  <c r="AV102" i="5"/>
  <c r="Q102" i="1"/>
  <c r="E102" i="14" s="1"/>
  <c r="Y104" i="1"/>
  <c r="AH100" i="7"/>
  <c r="AQ100" i="5"/>
  <c r="AU100" i="1" s="1"/>
  <c r="I108" i="8"/>
  <c r="Q107" i="2"/>
  <c r="X101" i="10"/>
  <c r="Y101" s="1"/>
  <c r="BT101" i="8"/>
  <c r="BY101"/>
  <c r="CG101"/>
  <c r="AT99" i="1"/>
  <c r="DL102" i="8"/>
  <c r="CQ102"/>
  <c r="DA102" s="1"/>
  <c r="BQ101"/>
  <c r="BZ101"/>
  <c r="CF101"/>
  <c r="BP101"/>
  <c r="DC100"/>
  <c r="O100" s="1"/>
  <c r="CY101"/>
  <c r="EA101" s="1"/>
  <c r="CX101"/>
  <c r="N101" i="11"/>
  <c r="Q101" i="7"/>
  <c r="AL101" i="5"/>
  <c r="AO101"/>
  <c r="AN101"/>
  <c r="CN101" i="8"/>
  <c r="CR101"/>
  <c r="DD101" s="1"/>
  <c r="D102" i="9"/>
  <c r="AM101" i="5"/>
  <c r="AV100" i="8"/>
  <c r="AW100" i="1" s="1"/>
  <c r="L100" s="1"/>
  <c r="CV101" i="8"/>
  <c r="AU100"/>
  <c r="CW101"/>
  <c r="DY100"/>
  <c r="DB101"/>
  <c r="EC101" s="1"/>
  <c r="ED101" s="1"/>
  <c r="DH101"/>
  <c r="EH101" s="1"/>
  <c r="H105" i="5"/>
  <c r="F104" i="7"/>
  <c r="D104" i="10"/>
  <c r="AR104" i="5"/>
  <c r="AG100" i="7"/>
  <c r="AI100" s="1"/>
  <c r="AP100" i="5"/>
  <c r="A103"/>
  <c r="E103" s="1"/>
  <c r="EQ103" i="8" s="1"/>
  <c r="CZ103" s="1"/>
  <c r="G103" i="10"/>
  <c r="K104" i="5"/>
  <c r="DD103"/>
  <c r="I103" i="7"/>
  <c r="DE103" i="5"/>
  <c r="H103" i="10"/>
  <c r="J103" i="7"/>
  <c r="L104" i="5"/>
  <c r="V103" i="2"/>
  <c r="G104" i="7"/>
  <c r="I105" i="5"/>
  <c r="DB104"/>
  <c r="E104" i="10"/>
  <c r="E99" i="11"/>
  <c r="AO99" i="8"/>
  <c r="AE102" i="7"/>
  <c r="AF102" s="1"/>
  <c r="V19" i="8"/>
  <c r="U19"/>
  <c r="M106" i="2"/>
  <c r="DF106" i="8"/>
  <c r="X105" i="1"/>
  <c r="O19" i="7"/>
  <c r="I19" i="11"/>
  <c r="P107" i="2"/>
  <c r="H108" i="8"/>
  <c r="AH101" i="7"/>
  <c r="AG101"/>
  <c r="AI101" s="1"/>
  <c r="J104" i="2"/>
  <c r="N105"/>
  <c r="CY105" i="5"/>
  <c r="DG105"/>
  <c r="O106" i="2"/>
  <c r="DE106" i="8"/>
  <c r="AP19" i="1"/>
  <c r="T19" s="1"/>
  <c r="J19" i="11"/>
  <c r="G19" i="2"/>
  <c r="Z19" s="1"/>
  <c r="Z20" i="8" s="1"/>
  <c r="D100" i="14"/>
  <c r="P101" i="1"/>
  <c r="BM98"/>
  <c r="AK98" i="5"/>
  <c r="D98" i="11"/>
  <c r="AQ98" i="1"/>
  <c r="U98" s="1"/>
  <c r="J99" s="1"/>
  <c r="AP99" i="8" s="1"/>
  <c r="B104" i="5"/>
  <c r="AA105" i="7"/>
  <c r="AE105" i="8" s="1"/>
  <c r="BC105" s="1"/>
  <c r="K105" i="10"/>
  <c r="BY106" i="11"/>
  <c r="S106" i="2"/>
  <c r="K107" i="8"/>
  <c r="H105" i="7"/>
  <c r="J106" i="5"/>
  <c r="F105" i="10"/>
  <c r="DC105" i="5"/>
  <c r="AA19" i="1"/>
  <c r="S19" s="1"/>
  <c r="H20" s="1"/>
  <c r="J106" i="8"/>
  <c r="R105" i="2"/>
  <c r="C104" i="10"/>
  <c r="G105" i="5"/>
  <c r="CZ104"/>
  <c r="E104" i="7"/>
  <c r="W103" i="1"/>
  <c r="DA104" i="5"/>
  <c r="B107" i="10"/>
  <c r="F108" i="5"/>
  <c r="D107" i="7"/>
  <c r="DF103" i="5"/>
  <c r="J105" i="2" l="1"/>
  <c r="AC105" i="1"/>
  <c r="BC106" i="5"/>
  <c r="AN102"/>
  <c r="BK108"/>
  <c r="AD106" i="1"/>
  <c r="BE106" i="5"/>
  <c r="AE104" i="1"/>
  <c r="W104" s="1"/>
  <c r="AZ109" i="5"/>
  <c r="BP107"/>
  <c r="AB106" i="1"/>
  <c r="BN109" i="5"/>
  <c r="AF107" i="1"/>
  <c r="O106"/>
  <c r="DK106" i="8" s="1"/>
  <c r="DI105"/>
  <c r="DJ105"/>
  <c r="AR100"/>
  <c r="C100" i="9"/>
  <c r="AR100" i="1"/>
  <c r="V100" s="1"/>
  <c r="K101" s="1"/>
  <c r="AR101" i="8" s="1"/>
  <c r="BN100" i="1"/>
  <c r="AD102" i="9"/>
  <c r="AV102" i="1" s="1"/>
  <c r="DH102" i="8"/>
  <c r="EH102" s="1"/>
  <c r="N105" i="1"/>
  <c r="AD101" i="11"/>
  <c r="AI101" i="1" s="1"/>
  <c r="AA101" i="11"/>
  <c r="AC101"/>
  <c r="T101" i="8" s="1"/>
  <c r="N102" i="11"/>
  <c r="Y101"/>
  <c r="AH101" i="1" s="1"/>
  <c r="Z101" i="11"/>
  <c r="AC101" i="2" s="1"/>
  <c r="AM102" i="5"/>
  <c r="AL102"/>
  <c r="BQ102" i="8"/>
  <c r="BT102"/>
  <c r="D103" i="9"/>
  <c r="CO102" i="8"/>
  <c r="CN102"/>
  <c r="EP102"/>
  <c r="I20" i="1"/>
  <c r="AT101" i="8"/>
  <c r="AQ101"/>
  <c r="F101" i="11"/>
  <c r="M102" i="1"/>
  <c r="AW101" i="8"/>
  <c r="N102" i="7"/>
  <c r="BZ102" i="8"/>
  <c r="BY102"/>
  <c r="CF102"/>
  <c r="CA102"/>
  <c r="CH102"/>
  <c r="CG102"/>
  <c r="BU102"/>
  <c r="DZ100"/>
  <c r="L107" i="11"/>
  <c r="B106" i="2"/>
  <c r="B106" i="1"/>
  <c r="BI106" s="1"/>
  <c r="CM107" i="8"/>
  <c r="AJ108" i="14"/>
  <c r="A107" i="2"/>
  <c r="M107" i="5"/>
  <c r="AD107" i="8"/>
  <c r="A107" i="7"/>
  <c r="A107" i="8"/>
  <c r="B107" i="14"/>
  <c r="J108" i="10"/>
  <c r="K107" i="11"/>
  <c r="A107" i="9"/>
  <c r="DR102" i="8"/>
  <c r="DS102"/>
  <c r="DX101"/>
  <c r="EB101" s="1"/>
  <c r="Q100"/>
  <c r="EI101"/>
  <c r="CW102"/>
  <c r="DN102"/>
  <c r="DO102"/>
  <c r="CS103"/>
  <c r="DP103" s="1"/>
  <c r="CT103"/>
  <c r="DQ103" s="1"/>
  <c r="CU103"/>
  <c r="X102" i="10"/>
  <c r="Y102" s="1"/>
  <c r="AO102" i="5"/>
  <c r="Y105" i="1"/>
  <c r="B105" i="5"/>
  <c r="I109" i="8"/>
  <c r="Q108" i="2"/>
  <c r="DY101" i="8"/>
  <c r="DB102"/>
  <c r="EC102" s="1"/>
  <c r="ED102" s="1"/>
  <c r="DG102"/>
  <c r="EG102" s="1"/>
  <c r="CX102"/>
  <c r="CV102"/>
  <c r="CQ103"/>
  <c r="DA103" s="1"/>
  <c r="CY102"/>
  <c r="EA102" s="1"/>
  <c r="AV101"/>
  <c r="AW101" i="1" s="1"/>
  <c r="L101" s="1"/>
  <c r="AO101" i="8" s="1"/>
  <c r="AU101"/>
  <c r="BN103"/>
  <c r="CR103" s="1"/>
  <c r="B103" i="7"/>
  <c r="AE103" s="1"/>
  <c r="AF103" s="1"/>
  <c r="A104" i="5"/>
  <c r="E104" s="1"/>
  <c r="EQ104" i="8" s="1"/>
  <c r="CZ104" s="1"/>
  <c r="B103" i="9"/>
  <c r="EE100" i="8"/>
  <c r="EF100" s="1"/>
  <c r="AR105" i="5"/>
  <c r="AT100" i="1"/>
  <c r="BO103" i="8"/>
  <c r="DM103" s="1"/>
  <c r="A103" i="11"/>
  <c r="EO103" i="8"/>
  <c r="Q103" i="1"/>
  <c r="E103" i="14" s="1"/>
  <c r="AU103" i="5"/>
  <c r="C103" i="14"/>
  <c r="AV103" i="5"/>
  <c r="DC101" i="8"/>
  <c r="O101" s="1"/>
  <c r="E103" i="1"/>
  <c r="AB103" i="8"/>
  <c r="AI103" i="5"/>
  <c r="A103" i="10"/>
  <c r="AA103" s="1"/>
  <c r="BS103" i="5"/>
  <c r="AB102" i="2"/>
  <c r="AH103" i="5"/>
  <c r="W103" i="8"/>
  <c r="AP101" i="5"/>
  <c r="AQ101"/>
  <c r="AU101" i="1" s="1"/>
  <c r="DL103" i="8"/>
  <c r="AO100"/>
  <c r="E100" i="11"/>
  <c r="BO100" i="1"/>
  <c r="H106" i="5"/>
  <c r="F105" i="7"/>
  <c r="D105" i="10"/>
  <c r="V104" i="2"/>
  <c r="I104" i="7"/>
  <c r="G104" i="10"/>
  <c r="K105" i="5"/>
  <c r="DD104"/>
  <c r="H104" i="10"/>
  <c r="DE104" i="5"/>
  <c r="L105"/>
  <c r="J104" i="7"/>
  <c r="G105"/>
  <c r="E105" i="10"/>
  <c r="I106" i="5"/>
  <c r="DB105"/>
  <c r="S107" i="2"/>
  <c r="K108" i="8"/>
  <c r="P102" i="1"/>
  <c r="D101" i="14"/>
  <c r="O107" i="2"/>
  <c r="DE107" i="8"/>
  <c r="J107"/>
  <c r="R106" i="2"/>
  <c r="V20" i="10"/>
  <c r="AJ20" i="5"/>
  <c r="C20" i="11"/>
  <c r="BK20" i="1"/>
  <c r="AN20" i="8"/>
  <c r="AC20" i="7"/>
  <c r="P19"/>
  <c r="F19" i="9"/>
  <c r="K106" i="10"/>
  <c r="AA106" i="7"/>
  <c r="AE106" i="8" s="1"/>
  <c r="BC106" s="1"/>
  <c r="BY107" i="11"/>
  <c r="C19" i="8"/>
  <c r="X106" i="1"/>
  <c r="D108" i="7"/>
  <c r="F109" i="5"/>
  <c r="B108" i="10"/>
  <c r="DA105" i="5"/>
  <c r="AG102" i="7"/>
  <c r="AI102" s="1"/>
  <c r="AH102"/>
  <c r="BM99" i="1"/>
  <c r="AQ99"/>
  <c r="U99" s="1"/>
  <c r="J100" s="1"/>
  <c r="AP100" i="8" s="1"/>
  <c r="AK99" i="5"/>
  <c r="D99" i="11"/>
  <c r="CY106" i="5"/>
  <c r="DC102" i="8"/>
  <c r="DD102"/>
  <c r="DC106" i="5"/>
  <c r="F106" i="10"/>
  <c r="J107" i="5"/>
  <c r="H106" i="7"/>
  <c r="M107" i="2"/>
  <c r="DF107" i="8"/>
  <c r="G106" i="5"/>
  <c r="E105" i="7"/>
  <c r="CZ105" i="5"/>
  <c r="C105" i="10"/>
  <c r="DG106" i="5"/>
  <c r="N106" i="2"/>
  <c r="P108"/>
  <c r="H109" i="8"/>
  <c r="DF104" i="5"/>
  <c r="BC107" l="1"/>
  <c r="AC106" i="1"/>
  <c r="J106" i="2"/>
  <c r="AP102" i="5"/>
  <c r="BP108"/>
  <c r="AB107" i="1"/>
  <c r="BK109" i="5"/>
  <c r="AD107" i="1"/>
  <c r="BN110" i="5"/>
  <c r="AF108" i="1"/>
  <c r="BE107" i="5"/>
  <c r="AE105" i="1"/>
  <c r="W105" s="1"/>
  <c r="AZ110" i="5"/>
  <c r="O102" i="8"/>
  <c r="EI102"/>
  <c r="O107" i="1"/>
  <c r="DK107" i="8" s="1"/>
  <c r="DI106"/>
  <c r="DJ106"/>
  <c r="AS20"/>
  <c r="AO20" i="1"/>
  <c r="AR101"/>
  <c r="V101" s="1"/>
  <c r="K102" s="1"/>
  <c r="AR102" i="8" s="1"/>
  <c r="C101" i="9"/>
  <c r="BN101" i="1"/>
  <c r="AD103" i="9"/>
  <c r="AV103" i="1" s="1"/>
  <c r="N106"/>
  <c r="AQ102" i="5"/>
  <c r="AU102" i="1" s="1"/>
  <c r="BL20"/>
  <c r="AT102" i="8"/>
  <c r="AU102"/>
  <c r="AQ102"/>
  <c r="F102" i="11"/>
  <c r="M103" i="1"/>
  <c r="AW102" i="8"/>
  <c r="CA103"/>
  <c r="CH103"/>
  <c r="AV102"/>
  <c r="AW102" i="1" s="1"/>
  <c r="L102" s="1"/>
  <c r="E102" i="11" s="1"/>
  <c r="BP103" i="8"/>
  <c r="BU103"/>
  <c r="Y102" i="11"/>
  <c r="AH102" i="1" s="1"/>
  <c r="AA102" i="11"/>
  <c r="AC102"/>
  <c r="T102" i="8" s="1"/>
  <c r="Z102" i="11"/>
  <c r="AC102" i="2" s="1"/>
  <c r="AD102" i="11"/>
  <c r="AI102" i="1" s="1"/>
  <c r="AB102" i="11"/>
  <c r="P102" i="8" s="1"/>
  <c r="EM100"/>
  <c r="G100" i="1" s="1"/>
  <c r="M100" i="8" s="1"/>
  <c r="A108" i="2"/>
  <c r="A108" i="7"/>
  <c r="J109" i="10"/>
  <c r="AD108" i="8"/>
  <c r="A108"/>
  <c r="B108" i="14"/>
  <c r="M108" i="5"/>
  <c r="A108" i="9"/>
  <c r="K108" i="11"/>
  <c r="CM108" i="8"/>
  <c r="AJ109" i="14"/>
  <c r="B107" i="2"/>
  <c r="B107" i="1"/>
  <c r="BI107" s="1"/>
  <c r="L108" i="11"/>
  <c r="DR103" i="8"/>
  <c r="DS103"/>
  <c r="Q101"/>
  <c r="EP103"/>
  <c r="DT103"/>
  <c r="DX102"/>
  <c r="EB102" s="1"/>
  <c r="DZ101"/>
  <c r="DY102"/>
  <c r="CX103"/>
  <c r="DN103"/>
  <c r="DO103"/>
  <c r="E104" i="1"/>
  <c r="CU104" i="8"/>
  <c r="CT104"/>
  <c r="DQ104" s="1"/>
  <c r="CS104"/>
  <c r="DP104" s="1"/>
  <c r="Q103" i="7"/>
  <c r="Q104" i="1"/>
  <c r="E104" i="14" s="1"/>
  <c r="Y106" i="1"/>
  <c r="AU104" i="5"/>
  <c r="A104" i="10"/>
  <c r="AA104" s="1"/>
  <c r="AB103" i="2"/>
  <c r="AH104" i="5"/>
  <c r="AC104" i="10" s="1"/>
  <c r="BO104" i="8"/>
  <c r="DM104" s="1"/>
  <c r="W104"/>
  <c r="C104" i="14"/>
  <c r="EO104" i="8"/>
  <c r="AB104"/>
  <c r="BY104" s="1"/>
  <c r="AV104" i="5"/>
  <c r="CV103" i="8"/>
  <c r="CY103"/>
  <c r="EA103" s="1"/>
  <c r="I110"/>
  <c r="Q109" i="2"/>
  <c r="DG103" i="8"/>
  <c r="EG103" s="1"/>
  <c r="DB103"/>
  <c r="EC103" s="1"/>
  <c r="ED103" s="1"/>
  <c r="A104" i="11"/>
  <c r="CW103" i="8"/>
  <c r="D104" i="9"/>
  <c r="N103" i="7"/>
  <c r="BN104" i="8"/>
  <c r="CR104" s="1"/>
  <c r="B104" i="9"/>
  <c r="AI104" i="5"/>
  <c r="BS104"/>
  <c r="B104" i="7"/>
  <c r="AE104" s="1"/>
  <c r="AF104" s="1"/>
  <c r="DL104" i="8"/>
  <c r="CQ104"/>
  <c r="DA104" s="1"/>
  <c r="AL103" i="5"/>
  <c r="AO103"/>
  <c r="AN103"/>
  <c r="AT101" i="1"/>
  <c r="CO103" i="8"/>
  <c r="CN103"/>
  <c r="AC103" i="10"/>
  <c r="X103" s="1"/>
  <c r="Y103" s="1"/>
  <c r="AM103" i="5"/>
  <c r="EE101" i="8"/>
  <c r="EF101" s="1"/>
  <c r="DH103"/>
  <c r="EH103" s="1"/>
  <c r="N103" i="11"/>
  <c r="BQ103" i="8"/>
  <c r="BT103"/>
  <c r="BY103"/>
  <c r="BZ103"/>
  <c r="CF103"/>
  <c r="CG103"/>
  <c r="AR106" i="5"/>
  <c r="A105"/>
  <c r="E105" s="1"/>
  <c r="EQ105" i="8" s="1"/>
  <c r="CZ105" s="1"/>
  <c r="E101" i="11"/>
  <c r="BO101" i="1"/>
  <c r="F106" i="7"/>
  <c r="D106" i="10"/>
  <c r="H107" i="5"/>
  <c r="V105" i="2"/>
  <c r="G105" i="10"/>
  <c r="K106" i="5"/>
  <c r="I105" i="7"/>
  <c r="DD105" i="5"/>
  <c r="DE105"/>
  <c r="H105" i="10"/>
  <c r="L106" i="5"/>
  <c r="J105" i="7"/>
  <c r="I107" i="5"/>
  <c r="E106" i="10"/>
  <c r="G106" i="7"/>
  <c r="DB106" i="5"/>
  <c r="AA107" i="7"/>
  <c r="AE107" i="8" s="1"/>
  <c r="BC107" s="1"/>
  <c r="K107" i="10"/>
  <c r="BY108" i="11"/>
  <c r="X107" i="1"/>
  <c r="AG103" i="7"/>
  <c r="AI103" s="1"/>
  <c r="AH103"/>
  <c r="R107" i="2"/>
  <c r="J108" i="8"/>
  <c r="CY107" i="5"/>
  <c r="P109" i="2"/>
  <c r="H110" i="8"/>
  <c r="O108" i="2"/>
  <c r="DE108" i="8"/>
  <c r="DG107" i="5"/>
  <c r="CZ106"/>
  <c r="E106" i="7"/>
  <c r="C106" i="10"/>
  <c r="G107" i="5"/>
  <c r="DC107"/>
  <c r="J108"/>
  <c r="F107" i="10"/>
  <c r="H107" i="7"/>
  <c r="EE102" i="8"/>
  <c r="EF102" s="1"/>
  <c r="Y19" i="2"/>
  <c r="X19" s="1"/>
  <c r="P103" i="1"/>
  <c r="D102" i="14"/>
  <c r="AQ100" i="1"/>
  <c r="U100" s="1"/>
  <c r="J101" s="1"/>
  <c r="AP101" i="8" s="1"/>
  <c r="AK100" i="5"/>
  <c r="D100" i="11"/>
  <c r="BM100" i="1"/>
  <c r="B109" i="10"/>
  <c r="F110" i="5"/>
  <c r="D109" i="7"/>
  <c r="K109" i="8"/>
  <c r="S108" i="2"/>
  <c r="DA106" i="5"/>
  <c r="M108" i="2"/>
  <c r="DF108" i="8"/>
  <c r="N107" i="2"/>
  <c r="DD103" i="8"/>
  <c r="DC103"/>
  <c r="B106" i="5"/>
  <c r="DF105"/>
  <c r="AC107" i="1" l="1"/>
  <c r="BC108" i="5"/>
  <c r="J107" i="2"/>
  <c r="AT102" i="1"/>
  <c r="BP109" i="5"/>
  <c r="AB108" i="1"/>
  <c r="AZ111" i="5"/>
  <c r="BK110"/>
  <c r="AD108" i="1"/>
  <c r="BN111" i="5"/>
  <c r="AF109" i="1"/>
  <c r="BE108" i="5"/>
  <c r="AE106" i="1"/>
  <c r="O103" i="8"/>
  <c r="O108" i="1"/>
  <c r="DK108" i="8" s="1"/>
  <c r="DI107"/>
  <c r="DJ107"/>
  <c r="C102" i="9"/>
  <c r="AD104"/>
  <c r="AV104" i="1" s="1"/>
  <c r="BN102"/>
  <c r="AR102"/>
  <c r="V102" s="1"/>
  <c r="K103" s="1"/>
  <c r="AR103" i="8" s="1"/>
  <c r="N107" i="1"/>
  <c r="AM104" i="5"/>
  <c r="AN104"/>
  <c r="AT103" i="8"/>
  <c r="AQ103"/>
  <c r="F103" i="11"/>
  <c r="M104" i="1"/>
  <c r="AW103" i="8"/>
  <c r="BT104"/>
  <c r="BU104"/>
  <c r="CA104"/>
  <c r="CH104"/>
  <c r="AC103" i="11"/>
  <c r="T103" i="8" s="1"/>
  <c r="AA103" i="11"/>
  <c r="Y103"/>
  <c r="AH103" i="1" s="1"/>
  <c r="AD103" i="11"/>
  <c r="AI103" i="1" s="1"/>
  <c r="Z103" i="11"/>
  <c r="AC103" i="2" s="1"/>
  <c r="AB103" i="11"/>
  <c r="P103" i="8" s="1"/>
  <c r="N104" i="11"/>
  <c r="AO104" i="5"/>
  <c r="CM109" i="8"/>
  <c r="AJ110" i="14"/>
  <c r="A109" i="2"/>
  <c r="A109" i="9"/>
  <c r="J110" i="10"/>
  <c r="K109" i="11"/>
  <c r="A109" i="7"/>
  <c r="M109" i="5"/>
  <c r="AD109" i="8"/>
  <c r="A109"/>
  <c r="B109" i="14"/>
  <c r="B108" i="1"/>
  <c r="BI108" s="1"/>
  <c r="B108" i="2"/>
  <c r="L109" i="11"/>
  <c r="DH104" i="8"/>
  <c r="EH104" s="1"/>
  <c r="DT104"/>
  <c r="DR104"/>
  <c r="DS104"/>
  <c r="EM101"/>
  <c r="G101" i="1" s="1"/>
  <c r="M101" i="8" s="1"/>
  <c r="DX103"/>
  <c r="EB103" s="1"/>
  <c r="DZ102"/>
  <c r="EM102" s="1"/>
  <c r="G102" i="1" s="1"/>
  <c r="M102" i="8" s="1"/>
  <c r="DY103"/>
  <c r="DG104"/>
  <c r="EG104" s="1"/>
  <c r="DN104"/>
  <c r="DO104"/>
  <c r="EP104"/>
  <c r="W105"/>
  <c r="CS105"/>
  <c r="DP105" s="1"/>
  <c r="CT105"/>
  <c r="DQ105" s="1"/>
  <c r="CU105"/>
  <c r="AL104" i="5"/>
  <c r="Y107" i="1"/>
  <c r="BZ104" i="8"/>
  <c r="CG104"/>
  <c r="CF104"/>
  <c r="BP104"/>
  <c r="N104" i="7"/>
  <c r="BQ104" i="8"/>
  <c r="X104" i="10"/>
  <c r="Y104" s="1"/>
  <c r="I111" i="8"/>
  <c r="Q110" i="2"/>
  <c r="EI103" i="8"/>
  <c r="CN104"/>
  <c r="CO104"/>
  <c r="D105" i="9"/>
  <c r="Q104" i="7"/>
  <c r="AP103" i="5"/>
  <c r="CW104" i="8"/>
  <c r="CY104"/>
  <c r="EA104" s="1"/>
  <c r="CV104"/>
  <c r="CX104"/>
  <c r="DB104"/>
  <c r="EC104" s="1"/>
  <c r="ED104" s="1"/>
  <c r="AQ103" i="5"/>
  <c r="AU103" i="1" s="1"/>
  <c r="Q102" i="8"/>
  <c r="BO102" i="1"/>
  <c r="AO102" i="8"/>
  <c r="AU103"/>
  <c r="AI105" i="5"/>
  <c r="AV103" i="8"/>
  <c r="AW103" i="1" s="1"/>
  <c r="L103" s="1"/>
  <c r="E103" i="11" s="1"/>
  <c r="BN105" i="8"/>
  <c r="CO105" s="1"/>
  <c r="AU105" i="5"/>
  <c r="BO105" i="8"/>
  <c r="DM105" s="1"/>
  <c r="Q105" i="1"/>
  <c r="E105" i="14" s="1"/>
  <c r="EO105" i="8"/>
  <c r="A105" i="11"/>
  <c r="AV105" i="5"/>
  <c r="E105" i="1"/>
  <c r="AB105" i="8"/>
  <c r="B105" i="9"/>
  <c r="A105" i="10"/>
  <c r="AA105" s="1"/>
  <c r="BS105" i="5"/>
  <c r="C105" i="14"/>
  <c r="CQ105" i="8"/>
  <c r="DA105" s="1"/>
  <c r="AB104" i="2"/>
  <c r="B105" i="7"/>
  <c r="Q105" s="1"/>
  <c r="DL105" i="8"/>
  <c r="AH105" i="5"/>
  <c r="H108"/>
  <c r="D107" i="10"/>
  <c r="F107" i="7"/>
  <c r="AR107" i="5"/>
  <c r="V106" i="2"/>
  <c r="A106" i="5"/>
  <c r="E106" s="1"/>
  <c r="EQ106" i="8" s="1"/>
  <c r="CZ106" s="1"/>
  <c r="DD106" i="5"/>
  <c r="K107"/>
  <c r="I106" i="7"/>
  <c r="G106" i="10"/>
  <c r="DE106" i="5"/>
  <c r="L107"/>
  <c r="J106" i="7"/>
  <c r="H106" i="10"/>
  <c r="E107"/>
  <c r="G107" i="7"/>
  <c r="DB107" i="5"/>
  <c r="I108"/>
  <c r="H111" i="8"/>
  <c r="P110" i="2"/>
  <c r="G108" i="5"/>
  <c r="E107" i="7"/>
  <c r="CZ107" i="5"/>
  <c r="C107" i="10"/>
  <c r="DC104" i="8"/>
  <c r="DD104"/>
  <c r="O109" i="2"/>
  <c r="DE109" i="8"/>
  <c r="J109"/>
  <c r="R108" i="2"/>
  <c r="AB20" i="7"/>
  <c r="B20" i="8"/>
  <c r="D20" i="2" s="1"/>
  <c r="H20" i="11"/>
  <c r="L20" i="2"/>
  <c r="E20"/>
  <c r="BD20" i="8"/>
  <c r="X108" i="1"/>
  <c r="K108" i="10"/>
  <c r="AA108" i="7"/>
  <c r="AE108" i="8" s="1"/>
  <c r="BC108" s="1"/>
  <c r="BY109" i="11"/>
  <c r="M109" i="2"/>
  <c r="DF109" i="8"/>
  <c r="AH104" i="7"/>
  <c r="AG104"/>
  <c r="AI104" s="1"/>
  <c r="F111" i="5"/>
  <c r="D110" i="7"/>
  <c r="B110" i="10"/>
  <c r="CY108" i="5"/>
  <c r="EE103" i="8"/>
  <c r="EF103" s="1"/>
  <c r="W106" i="1"/>
  <c r="DA107" i="5"/>
  <c r="K110" i="8"/>
  <c r="S109" i="2"/>
  <c r="B107" i="5"/>
  <c r="N108" i="2"/>
  <c r="J109" i="5"/>
  <c r="F108" i="10"/>
  <c r="H108" i="7"/>
  <c r="DC108" i="5"/>
  <c r="AQ101" i="1"/>
  <c r="U101" s="1"/>
  <c r="J102" s="1"/>
  <c r="AP102" i="8" s="1"/>
  <c r="AK101" i="5"/>
  <c r="BM101" i="1"/>
  <c r="D101" i="11"/>
  <c r="D103" i="14"/>
  <c r="P104" i="1"/>
  <c r="DG108" i="5"/>
  <c r="DF106"/>
  <c r="BC109" l="1"/>
  <c r="AC108" i="1"/>
  <c r="B108" i="5"/>
  <c r="BN112"/>
  <c r="AF110" i="1"/>
  <c r="BE109" i="5"/>
  <c r="AE107" i="1"/>
  <c r="W107" s="1"/>
  <c r="BP110" i="5"/>
  <c r="AB109" i="1"/>
  <c r="AZ112" i="5"/>
  <c r="BK111"/>
  <c r="AD109" i="1"/>
  <c r="O104" i="8"/>
  <c r="O109" i="1"/>
  <c r="DK109" i="8" s="1"/>
  <c r="DJ108"/>
  <c r="DI108"/>
  <c r="AR103" i="1"/>
  <c r="V103" s="1"/>
  <c r="K104" s="1"/>
  <c r="AR104" i="8" s="1"/>
  <c r="BN103" i="1"/>
  <c r="C103" i="9"/>
  <c r="AD105"/>
  <c r="AV105" i="1" s="1"/>
  <c r="N108"/>
  <c r="AQ104" i="5"/>
  <c r="AU104" i="1" s="1"/>
  <c r="AP104" i="5"/>
  <c r="AT104" i="8"/>
  <c r="AW104"/>
  <c r="AQ104"/>
  <c r="F104" i="11"/>
  <c r="M105" i="1"/>
  <c r="CA105" i="8"/>
  <c r="CH105"/>
  <c r="BQ105"/>
  <c r="BU105"/>
  <c r="Y104" i="11"/>
  <c r="AH104" i="1" s="1"/>
  <c r="AA104" i="11"/>
  <c r="AC104"/>
  <c r="T104" i="8" s="1"/>
  <c r="Z104" i="11"/>
  <c r="AC104" i="2" s="1"/>
  <c r="AD104" i="11"/>
  <c r="AI104" i="1" s="1"/>
  <c r="AB104" i="11"/>
  <c r="P104" i="8" s="1"/>
  <c r="A110" i="2"/>
  <c r="M110" i="5"/>
  <c r="J111" i="10"/>
  <c r="AD110" i="8"/>
  <c r="B110" i="14"/>
  <c r="K110" i="11"/>
  <c r="A110" i="7"/>
  <c r="A110" i="9"/>
  <c r="A110" i="8"/>
  <c r="B109" i="2"/>
  <c r="L110" i="11"/>
  <c r="B109" i="1"/>
  <c r="BI109" s="1"/>
  <c r="AJ111" i="14"/>
  <c r="CM110" i="8"/>
  <c r="EI104"/>
  <c r="EP105"/>
  <c r="DT105"/>
  <c r="DR105"/>
  <c r="DS105"/>
  <c r="DX104"/>
  <c r="EB104" s="1"/>
  <c r="DZ103"/>
  <c r="EM103" s="1"/>
  <c r="G103" i="1" s="1"/>
  <c r="M103" i="8" s="1"/>
  <c r="DG105"/>
  <c r="EG105" s="1"/>
  <c r="DN105"/>
  <c r="DO105"/>
  <c r="CS106"/>
  <c r="DP106" s="1"/>
  <c r="CT106"/>
  <c r="DQ106" s="1"/>
  <c r="CU106"/>
  <c r="J108" i="2"/>
  <c r="Y108" i="1"/>
  <c r="AV104" i="8"/>
  <c r="AW104" i="1" s="1"/>
  <c r="L104" s="1"/>
  <c r="AO104" i="8" s="1"/>
  <c r="Q111" i="2"/>
  <c r="I112" i="8"/>
  <c r="Q103"/>
  <c r="AU104"/>
  <c r="AT103" i="1"/>
  <c r="DY104" i="8"/>
  <c r="DH105"/>
  <c r="EH105" s="1"/>
  <c r="N105" i="11"/>
  <c r="CW105" i="8"/>
  <c r="CV105"/>
  <c r="CY105"/>
  <c r="EA105" s="1"/>
  <c r="CX105"/>
  <c r="DB105"/>
  <c r="EC105" s="1"/>
  <c r="ED105" s="1"/>
  <c r="AO105" i="5"/>
  <c r="AN105"/>
  <c r="N105" i="7"/>
  <c r="BO103" i="1"/>
  <c r="AO103" i="8"/>
  <c r="AE105" i="7"/>
  <c r="AF105" s="1"/>
  <c r="BZ105" i="8"/>
  <c r="CF105"/>
  <c r="CG105"/>
  <c r="CN105"/>
  <c r="BP105"/>
  <c r="AL105" i="5"/>
  <c r="BT105" i="8"/>
  <c r="BY105"/>
  <c r="AM105" i="5"/>
  <c r="AC105" i="10"/>
  <c r="X105" s="1"/>
  <c r="Y105" s="1"/>
  <c r="D106" i="9"/>
  <c r="AR108" i="5"/>
  <c r="CR105" i="8"/>
  <c r="DD105" s="1"/>
  <c r="D108" i="10"/>
  <c r="F108" i="7"/>
  <c r="H109" i="5"/>
  <c r="A107"/>
  <c r="E107" s="1"/>
  <c r="EQ107" i="8" s="1"/>
  <c r="CZ107" s="1"/>
  <c r="V107" i="2"/>
  <c r="DD107" i="5"/>
  <c r="G107" i="10"/>
  <c r="K108" i="5"/>
  <c r="I107" i="7"/>
  <c r="J107"/>
  <c r="DE107" i="5"/>
  <c r="H107" i="10"/>
  <c r="L108" i="5"/>
  <c r="E108" i="10"/>
  <c r="G108" i="7"/>
  <c r="DB108" i="5"/>
  <c r="I109"/>
  <c r="DG109"/>
  <c r="D102" i="11"/>
  <c r="BM102" i="1"/>
  <c r="AQ102"/>
  <c r="U102" s="1"/>
  <c r="J103" s="1"/>
  <c r="AP103" i="8" s="1"/>
  <c r="AK102" i="5"/>
  <c r="B111" i="10"/>
  <c r="F112" i="5"/>
  <c r="D111" i="7"/>
  <c r="B106" i="9"/>
  <c r="A106" i="10"/>
  <c r="AA106" s="1"/>
  <c r="C106" i="14"/>
  <c r="AU106" i="5"/>
  <c r="Q106" i="1"/>
  <c r="E106" i="14" s="1"/>
  <c r="W106" i="8"/>
  <c r="AV106" i="5"/>
  <c r="B106" i="7"/>
  <c r="E106" i="1"/>
  <c r="BS106" i="5"/>
  <c r="A106" i="11"/>
  <c r="AB105" i="2"/>
  <c r="AI106" i="5"/>
  <c r="AH106"/>
  <c r="BN106" i="8"/>
  <c r="BO106"/>
  <c r="DM106" s="1"/>
  <c r="AB106"/>
  <c r="EO106"/>
  <c r="DT106" s="1"/>
  <c r="DL106"/>
  <c r="CQ106"/>
  <c r="DA106" s="1"/>
  <c r="CY109" i="5"/>
  <c r="S110" i="2"/>
  <c r="K111" i="8"/>
  <c r="U20" i="2"/>
  <c r="W19" s="1"/>
  <c r="C20" s="1"/>
  <c r="J110" i="8"/>
  <c r="R109" i="2"/>
  <c r="H112" i="8"/>
  <c r="P111" i="2"/>
  <c r="C108" i="10"/>
  <c r="E108" i="7"/>
  <c r="G109" i="5"/>
  <c r="CZ108"/>
  <c r="N109" i="2"/>
  <c r="BY110" i="11"/>
  <c r="AA109" i="7"/>
  <c r="AE109" i="8" s="1"/>
  <c r="BC109" s="1"/>
  <c r="K109" i="10"/>
  <c r="M110" i="2"/>
  <c r="DF110" i="8"/>
  <c r="J110" i="5"/>
  <c r="DC109"/>
  <c r="F109" i="10"/>
  <c r="H109" i="7"/>
  <c r="DA108" i="5"/>
  <c r="X109" i="1"/>
  <c r="EE104" i="8"/>
  <c r="EF104" s="1"/>
  <c r="DE110"/>
  <c r="O110" i="2"/>
  <c r="P105" i="1"/>
  <c r="D104" i="14"/>
  <c r="DF107" i="5"/>
  <c r="AC109" i="1" l="1"/>
  <c r="BC110" i="5"/>
  <c r="AZ113"/>
  <c r="BN113"/>
  <c r="AF111" i="1"/>
  <c r="BK112" i="5"/>
  <c r="AD110" i="1"/>
  <c r="BE110" i="5"/>
  <c r="AE108" i="1"/>
  <c r="W108" s="1"/>
  <c r="BP111" i="5"/>
  <c r="AB110" i="1"/>
  <c r="R20" i="8"/>
  <c r="S20" s="1"/>
  <c r="N109" i="1"/>
  <c r="O110"/>
  <c r="DK110" i="8" s="1"/>
  <c r="DI109"/>
  <c r="DJ109"/>
  <c r="AD106" i="9"/>
  <c r="AV106" i="1" s="1"/>
  <c r="AR104"/>
  <c r="V104" s="1"/>
  <c r="K105" s="1"/>
  <c r="AR105" i="8" s="1"/>
  <c r="BN104" i="1"/>
  <c r="C104" i="9"/>
  <c r="AT104" i="1"/>
  <c r="AT105" i="8"/>
  <c r="AQ105"/>
  <c r="M106" i="1"/>
  <c r="F105" i="11"/>
  <c r="AW105" i="8"/>
  <c r="BU106"/>
  <c r="CA106"/>
  <c r="CH106"/>
  <c r="AA105" i="11"/>
  <c r="AC105"/>
  <c r="T105" i="8" s="1"/>
  <c r="Y105" i="11"/>
  <c r="AH105" i="1" s="1"/>
  <c r="AB105" i="11"/>
  <c r="P105" i="8" s="1"/>
  <c r="AD105" i="11"/>
  <c r="AI105" i="1" s="1"/>
  <c r="Z105" i="11"/>
  <c r="AC105" i="2" s="1"/>
  <c r="L111" i="11"/>
  <c r="B110" i="2"/>
  <c r="B110" i="1"/>
  <c r="BI110" s="1"/>
  <c r="A111" i="2"/>
  <c r="M111" i="5"/>
  <c r="J112" i="10"/>
  <c r="K111" i="11"/>
  <c r="A111" i="7"/>
  <c r="A111" i="8"/>
  <c r="AD111"/>
  <c r="B111" i="14"/>
  <c r="A111" i="9"/>
  <c r="AJ112" i="14"/>
  <c r="CM111" i="8"/>
  <c r="DR106"/>
  <c r="DS106"/>
  <c r="DZ104"/>
  <c r="EM104" s="1"/>
  <c r="G104" i="1" s="1"/>
  <c r="M104" i="8" s="1"/>
  <c r="DX105"/>
  <c r="EB105" s="1"/>
  <c r="DN106"/>
  <c r="DO106"/>
  <c r="EI105"/>
  <c r="CT107"/>
  <c r="DQ107" s="1"/>
  <c r="CU107"/>
  <c r="CS107"/>
  <c r="DP107" s="1"/>
  <c r="Y109" i="1"/>
  <c r="AG105" i="7"/>
  <c r="AI105" s="1"/>
  <c r="AH105"/>
  <c r="Q112" i="2"/>
  <c r="I113" i="8"/>
  <c r="Q104"/>
  <c r="DY105"/>
  <c r="BO104" i="1"/>
  <c r="E104" i="11"/>
  <c r="AQ105" i="5"/>
  <c r="AU105" i="1" s="1"/>
  <c r="AP105" i="5"/>
  <c r="AV105" i="8"/>
  <c r="AW105" i="1" s="1"/>
  <c r="L105" s="1"/>
  <c r="BO105" s="1"/>
  <c r="DC105" i="8"/>
  <c r="EE105" s="1"/>
  <c r="EF105" s="1"/>
  <c r="AR109" i="5"/>
  <c r="AU105" i="8"/>
  <c r="D109" i="10"/>
  <c r="H110" i="5"/>
  <c r="F109" i="7"/>
  <c r="H108" i="10"/>
  <c r="J108" i="7"/>
  <c r="L109" i="5"/>
  <c r="DE108"/>
  <c r="A108"/>
  <c r="E108" s="1"/>
  <c r="EQ108" i="8" s="1"/>
  <c r="CZ108" s="1"/>
  <c r="DD108" i="5"/>
  <c r="I108" i="7"/>
  <c r="G108" i="10"/>
  <c r="K109" i="5"/>
  <c r="V108" i="2"/>
  <c r="E109" i="10"/>
  <c r="DB109" i="5"/>
  <c r="I110"/>
  <c r="G109" i="7"/>
  <c r="S111" i="2"/>
  <c r="K112" i="8"/>
  <c r="X110" i="1"/>
  <c r="N110" i="2"/>
  <c r="CY106" i="8"/>
  <c r="EA106" s="1"/>
  <c r="CV106"/>
  <c r="CW106"/>
  <c r="CX106"/>
  <c r="DG106"/>
  <c r="EG106" s="1"/>
  <c r="DB106"/>
  <c r="EC106" s="1"/>
  <c r="ED106" s="1"/>
  <c r="AO106" i="5"/>
  <c r="AC106" i="10"/>
  <c r="X106" s="1"/>
  <c r="Y106" s="1"/>
  <c r="AM106" i="5"/>
  <c r="AL106"/>
  <c r="D103" i="11"/>
  <c r="AQ103" i="1"/>
  <c r="U103" s="1"/>
  <c r="J104" s="1"/>
  <c r="AP104" i="8" s="1"/>
  <c r="AK103" i="5"/>
  <c r="BM103" i="1"/>
  <c r="DE111" i="8"/>
  <c r="O111" i="2"/>
  <c r="H110" i="7"/>
  <c r="DC110" i="5"/>
  <c r="J111"/>
  <c r="F110" i="10"/>
  <c r="K110"/>
  <c r="BY111" i="11"/>
  <c r="AA110" i="7"/>
  <c r="AE110" i="8" s="1"/>
  <c r="BC110" s="1"/>
  <c r="CO106"/>
  <c r="CN106"/>
  <c r="CR106"/>
  <c r="D107" i="9"/>
  <c r="DG110" i="5"/>
  <c r="P106" i="1"/>
  <c r="D105" i="14"/>
  <c r="I20" i="2"/>
  <c r="F20"/>
  <c r="F20" i="1"/>
  <c r="H20" i="2"/>
  <c r="CY110" i="5"/>
  <c r="Q106" i="7"/>
  <c r="AE106"/>
  <c r="AF106" s="1"/>
  <c r="CZ109" i="5"/>
  <c r="G110"/>
  <c r="E109" i="7"/>
  <c r="C109" i="10"/>
  <c r="AN106" i="5"/>
  <c r="B109"/>
  <c r="P112" i="2"/>
  <c r="H113" i="8"/>
  <c r="D112" i="7"/>
  <c r="B112" i="10"/>
  <c r="F113" i="5"/>
  <c r="Q107" i="1"/>
  <c r="E107" i="14" s="1"/>
  <c r="BS107" i="5"/>
  <c r="A107" i="10"/>
  <c r="AA107" s="1"/>
  <c r="E107" i="1"/>
  <c r="W107" i="8"/>
  <c r="B107" i="7"/>
  <c r="B107" i="9"/>
  <c r="AD107" s="1"/>
  <c r="AV107" i="1" s="1"/>
  <c r="AV107" i="5"/>
  <c r="C107" i="14"/>
  <c r="AU107" i="5"/>
  <c r="A107" i="11"/>
  <c r="AB106" i="2"/>
  <c r="AI107" i="5"/>
  <c r="AH107"/>
  <c r="BN107" i="8"/>
  <c r="BO107"/>
  <c r="DM107" s="1"/>
  <c r="EO107"/>
  <c r="DT107" s="1"/>
  <c r="AB107"/>
  <c r="CQ107"/>
  <c r="DA107" s="1"/>
  <c r="DL107"/>
  <c r="DF111"/>
  <c r="M111" i="2"/>
  <c r="J111" i="8"/>
  <c r="R110" i="2"/>
  <c r="BQ106" i="8"/>
  <c r="N106" i="7"/>
  <c r="BP106" i="8"/>
  <c r="BT106"/>
  <c r="BY106"/>
  <c r="BZ106"/>
  <c r="CG106"/>
  <c r="CF106"/>
  <c r="DA109" i="5"/>
  <c r="DH106" i="8"/>
  <c r="EH106" s="1"/>
  <c r="EP106"/>
  <c r="N106" i="11"/>
  <c r="J109" i="2"/>
  <c r="DF108" i="5"/>
  <c r="AC110" i="1" l="1"/>
  <c r="BC111" i="5"/>
  <c r="J110" i="2"/>
  <c r="BE111" i="5"/>
  <c r="AE109" i="1"/>
  <c r="W109" s="1"/>
  <c r="AZ114" i="5"/>
  <c r="BP112"/>
  <c r="AB111" i="1"/>
  <c r="BN114" i="5"/>
  <c r="AF112" i="1"/>
  <c r="BK113" i="5"/>
  <c r="AD111" i="1"/>
  <c r="O105" i="8"/>
  <c r="Q105" s="1"/>
  <c r="N110" i="1"/>
  <c r="O111"/>
  <c r="DK111" i="8" s="1"/>
  <c r="DI110"/>
  <c r="DJ110"/>
  <c r="BN105" i="1"/>
  <c r="AR105"/>
  <c r="V105" s="1"/>
  <c r="K106" s="1"/>
  <c r="AR106" i="8" s="1"/>
  <c r="C105" i="9"/>
  <c r="AT106" i="8"/>
  <c r="AW106"/>
  <c r="AQ106"/>
  <c r="M107" i="1"/>
  <c r="F106" i="11"/>
  <c r="BU107" i="8"/>
  <c r="CA107"/>
  <c r="CH107"/>
  <c r="Y106" i="11"/>
  <c r="AH106" i="1" s="1"/>
  <c r="AA106" i="11"/>
  <c r="AC106"/>
  <c r="T106" i="8" s="1"/>
  <c r="Z106" i="11"/>
  <c r="AC106" i="2" s="1"/>
  <c r="AB106" i="11"/>
  <c r="P106" i="8" s="1"/>
  <c r="AD106" i="11"/>
  <c r="AI106" i="1" s="1"/>
  <c r="AJ113" i="14"/>
  <c r="CM112" i="8"/>
  <c r="A112" i="2"/>
  <c r="A112" i="9"/>
  <c r="B112" i="14"/>
  <c r="K112" i="11"/>
  <c r="J113" i="10"/>
  <c r="M112" i="5"/>
  <c r="A112" i="7"/>
  <c r="AD112" i="8"/>
  <c r="A112"/>
  <c r="B111" i="2"/>
  <c r="B111" i="1"/>
  <c r="BI111" s="1"/>
  <c r="L112" i="11"/>
  <c r="DR107" i="8"/>
  <c r="DS107"/>
  <c r="DZ105"/>
  <c r="EM105" s="1"/>
  <c r="G105" i="1" s="1"/>
  <c r="M105" i="8" s="1"/>
  <c r="DX106"/>
  <c r="EB106" s="1"/>
  <c r="DN107"/>
  <c r="DO107"/>
  <c r="E108" i="1"/>
  <c r="CS108" i="8"/>
  <c r="DP108" s="1"/>
  <c r="CT108"/>
  <c r="DQ108" s="1"/>
  <c r="CU108"/>
  <c r="Y110" i="1"/>
  <c r="I114" i="8"/>
  <c r="Q113" i="2"/>
  <c r="DL108" i="8"/>
  <c r="EO108"/>
  <c r="AU108" i="5"/>
  <c r="E105" i="11"/>
  <c r="AT105" i="1"/>
  <c r="AO105" i="8"/>
  <c r="V109" i="2"/>
  <c r="A108" i="10"/>
  <c r="AA108" s="1"/>
  <c r="B108" i="9"/>
  <c r="BS108" i="5"/>
  <c r="AB108" i="8"/>
  <c r="AB107" i="2"/>
  <c r="AV108" i="5"/>
  <c r="AI108"/>
  <c r="Q108" i="1"/>
  <c r="E108" i="14" s="1"/>
  <c r="A108" i="11"/>
  <c r="BN108" i="8"/>
  <c r="CR108" s="1"/>
  <c r="C108" i="14"/>
  <c r="AH108" i="5"/>
  <c r="AC108" i="10" s="1"/>
  <c r="W108" i="8"/>
  <c r="BO108"/>
  <c r="DM108" s="1"/>
  <c r="B108" i="7"/>
  <c r="AE108" s="1"/>
  <c r="AF108" s="1"/>
  <c r="F110"/>
  <c r="D110" i="10"/>
  <c r="H111" i="5"/>
  <c r="L110"/>
  <c r="H109" i="10"/>
  <c r="J109" i="7"/>
  <c r="DE109" i="5"/>
  <c r="I109" i="7"/>
  <c r="DD109" i="5"/>
  <c r="G109" i="10"/>
  <c r="K110" i="5"/>
  <c r="AR110"/>
  <c r="A109"/>
  <c r="E109" s="1"/>
  <c r="EQ109" i="8" s="1"/>
  <c r="CZ109" s="1"/>
  <c r="CQ108"/>
  <c r="DA108" s="1"/>
  <c r="I111" i="5"/>
  <c r="E110" i="10"/>
  <c r="G110" i="7"/>
  <c r="DB110" i="5"/>
  <c r="DY106" i="8"/>
  <c r="D108" i="9"/>
  <c r="AV106" i="8"/>
  <c r="AW106" i="1" s="1"/>
  <c r="L106" s="1"/>
  <c r="AO106" i="8" s="1"/>
  <c r="N107" i="11"/>
  <c r="O112" i="2"/>
  <c r="DE112" i="8"/>
  <c r="DA110" i="5"/>
  <c r="BP107" i="8"/>
  <c r="N107" i="7"/>
  <c r="BQ107" i="8"/>
  <c r="BT107"/>
  <c r="BZ107"/>
  <c r="BY107"/>
  <c r="CF107"/>
  <c r="CG107"/>
  <c r="DC106"/>
  <c r="O106" s="1"/>
  <c r="DD106"/>
  <c r="EI106"/>
  <c r="B110" i="5"/>
  <c r="J112" i="8"/>
  <c r="R111" i="2"/>
  <c r="I20" i="11"/>
  <c r="O20" i="7"/>
  <c r="M112" i="2"/>
  <c r="DF112" i="8"/>
  <c r="AA111" i="7"/>
  <c r="AE111" i="8" s="1"/>
  <c r="BC111" s="1"/>
  <c r="K111" i="10"/>
  <c r="BY112" i="11"/>
  <c r="DB107" i="8"/>
  <c r="EC107" s="1"/>
  <c r="ED107" s="1"/>
  <c r="CY107"/>
  <c r="EA107" s="1"/>
  <c r="DG107"/>
  <c r="EG107" s="1"/>
  <c r="CV107"/>
  <c r="CW107"/>
  <c r="CX107"/>
  <c r="S112" i="2"/>
  <c r="K113" i="8"/>
  <c r="AN107" i="5"/>
  <c r="AP20" i="1"/>
  <c r="T20" s="1"/>
  <c r="J20" i="11"/>
  <c r="G20" i="2"/>
  <c r="Z20" s="1"/>
  <c r="Z21" i="8" s="1"/>
  <c r="AO107" i="5"/>
  <c r="AC107" i="10"/>
  <c r="X107" s="1"/>
  <c r="Y107" s="1"/>
  <c r="AM107" i="5"/>
  <c r="AL107"/>
  <c r="AE107" i="7"/>
  <c r="AF107" s="1"/>
  <c r="Q107"/>
  <c r="X111" i="1"/>
  <c r="AA20"/>
  <c r="S20" s="1"/>
  <c r="H21" s="1"/>
  <c r="AQ106" i="5"/>
  <c r="AU106" i="1" s="1"/>
  <c r="DH107" i="8"/>
  <c r="EH107" s="1"/>
  <c r="EP107"/>
  <c r="DG111" i="5"/>
  <c r="B113" i="10"/>
  <c r="F114" i="5"/>
  <c r="D113" i="7"/>
  <c r="P113" i="2"/>
  <c r="H114" i="8"/>
  <c r="AG106" i="7"/>
  <c r="AI106" s="1"/>
  <c r="AH106"/>
  <c r="D106" i="14"/>
  <c r="P107" i="1"/>
  <c r="AP106" i="5"/>
  <c r="C110" i="10"/>
  <c r="E110" i="7"/>
  <c r="CZ110" i="5"/>
  <c r="G111"/>
  <c r="CO107" i="8"/>
  <c r="CR107"/>
  <c r="CN107"/>
  <c r="CY111" i="5"/>
  <c r="J112"/>
  <c r="DC111"/>
  <c r="F111" i="10"/>
  <c r="H111" i="7"/>
  <c r="AK104" i="5"/>
  <c r="AQ104" i="1"/>
  <c r="U104" s="1"/>
  <c r="J105" s="1"/>
  <c r="AP105" i="8" s="1"/>
  <c r="D104" i="11"/>
  <c r="BM104" i="1"/>
  <c r="AU106" i="8"/>
  <c r="V20"/>
  <c r="U20"/>
  <c r="N111" i="2"/>
  <c r="DF109" i="5"/>
  <c r="AC111" i="1" l="1"/>
  <c r="BC112" i="5"/>
  <c r="BK114"/>
  <c r="AD112" i="1"/>
  <c r="BE112" i="5"/>
  <c r="AE110" i="1"/>
  <c r="AZ115" i="5"/>
  <c r="BP113"/>
  <c r="AB112" i="1"/>
  <c r="BN115" i="5"/>
  <c r="AF113" i="1"/>
  <c r="N111"/>
  <c r="O112"/>
  <c r="DK112" i="8" s="1"/>
  <c r="DI111"/>
  <c r="DJ111"/>
  <c r="C106" i="9"/>
  <c r="AD108"/>
  <c r="AV108" i="1" s="1"/>
  <c r="AR106"/>
  <c r="V106" s="1"/>
  <c r="K107" s="1"/>
  <c r="AR107" i="8" s="1"/>
  <c r="BN106" i="1"/>
  <c r="I21"/>
  <c r="AT107" i="8"/>
  <c r="AW107"/>
  <c r="AQ107"/>
  <c r="M108" i="1"/>
  <c r="F107" i="11"/>
  <c r="CA108" i="8"/>
  <c r="CH108"/>
  <c r="BT108"/>
  <c r="BU108"/>
  <c r="Y107" i="11"/>
  <c r="AH107" i="1" s="1"/>
  <c r="AA107" i="11"/>
  <c r="AC107"/>
  <c r="T107" i="8" s="1"/>
  <c r="Z107" i="11"/>
  <c r="AC107" i="2" s="1"/>
  <c r="AB107" i="11"/>
  <c r="P107" i="8" s="1"/>
  <c r="AD107" i="11"/>
  <c r="AI107" i="1" s="1"/>
  <c r="DZ106" i="8"/>
  <c r="AJ114" i="14"/>
  <c r="CM113" i="8"/>
  <c r="L113" i="11"/>
  <c r="B112" i="2"/>
  <c r="B112" i="1"/>
  <c r="BI112" s="1"/>
  <c r="A113" i="2"/>
  <c r="K113" i="11"/>
  <c r="A113" i="7"/>
  <c r="B113" i="14"/>
  <c r="M113" i="5"/>
  <c r="A113" i="9"/>
  <c r="A113" i="8"/>
  <c r="J114" i="10"/>
  <c r="AD113" i="8"/>
  <c r="DR108"/>
  <c r="DS108"/>
  <c r="EP108"/>
  <c r="DT108"/>
  <c r="DX107"/>
  <c r="EB107" s="1"/>
  <c r="CY108"/>
  <c r="EA108" s="1"/>
  <c r="DN108"/>
  <c r="DO108"/>
  <c r="CU109"/>
  <c r="CS109"/>
  <c r="DP109" s="1"/>
  <c r="CT109"/>
  <c r="DQ109" s="1"/>
  <c r="DH108"/>
  <c r="EH108" s="1"/>
  <c r="D109" i="9"/>
  <c r="Y111" i="1"/>
  <c r="CF108" i="8"/>
  <c r="CG108"/>
  <c r="BP108"/>
  <c r="AL108" i="5"/>
  <c r="BQ108" i="8"/>
  <c r="N108" i="7"/>
  <c r="BY108" i="8"/>
  <c r="BZ108"/>
  <c r="I115"/>
  <c r="Q114" i="2"/>
  <c r="CN108" i="8"/>
  <c r="AN108" i="5"/>
  <c r="AO108"/>
  <c r="AM108"/>
  <c r="Q108" i="7"/>
  <c r="X108" i="10"/>
  <c r="Y108" s="1"/>
  <c r="N108" i="11"/>
  <c r="CO108" i="8"/>
  <c r="CV108"/>
  <c r="D111" i="10"/>
  <c r="F111" i="7"/>
  <c r="H112" i="5"/>
  <c r="CW108" i="8"/>
  <c r="CX108"/>
  <c r="DE110" i="5"/>
  <c r="J110" i="7"/>
  <c r="H110" i="10"/>
  <c r="L111" i="5"/>
  <c r="V110" i="2"/>
  <c r="DG108" i="8"/>
  <c r="EG108" s="1"/>
  <c r="DB108"/>
  <c r="EC108" s="1"/>
  <c r="ED108" s="1"/>
  <c r="DD110" i="5"/>
  <c r="K111"/>
  <c r="G110" i="10"/>
  <c r="I110" i="7"/>
  <c r="A110" i="5"/>
  <c r="E110" s="1"/>
  <c r="EQ110" i="8" s="1"/>
  <c r="CZ110" s="1"/>
  <c r="AR111" i="5"/>
  <c r="I112"/>
  <c r="E111" i="10"/>
  <c r="G111" i="7"/>
  <c r="DB111" i="5"/>
  <c r="AQ107"/>
  <c r="AU107" i="1" s="1"/>
  <c r="AT106"/>
  <c r="BO106"/>
  <c r="E106" i="11"/>
  <c r="CZ111" i="5"/>
  <c r="E111" i="7"/>
  <c r="G112" i="5"/>
  <c r="C111" i="10"/>
  <c r="W110" i="1"/>
  <c r="J112" i="2"/>
  <c r="DA111" i="5"/>
  <c r="AG108" i="7"/>
  <c r="AI108" s="1"/>
  <c r="AH108"/>
  <c r="P20"/>
  <c r="F20" i="9"/>
  <c r="M113" i="2"/>
  <c r="DF113" i="8"/>
  <c r="DE113"/>
  <c r="O113" i="2"/>
  <c r="AP107" i="5"/>
  <c r="EI107" i="8"/>
  <c r="AU107"/>
  <c r="DG112" i="5"/>
  <c r="AG107" i="7"/>
  <c r="AI107" s="1"/>
  <c r="AH107"/>
  <c r="C20" i="8"/>
  <c r="AV107"/>
  <c r="AW107" i="1" s="1"/>
  <c r="L107" s="1"/>
  <c r="E107" i="11" s="1"/>
  <c r="CY112" i="5"/>
  <c r="X112" i="1"/>
  <c r="B111" i="5"/>
  <c r="DY107" i="8"/>
  <c r="AQ105" i="1"/>
  <c r="U105" s="1"/>
  <c r="J106" s="1"/>
  <c r="AP106" i="8" s="1"/>
  <c r="BM105" i="1"/>
  <c r="D105" i="11"/>
  <c r="AK105" i="5"/>
  <c r="P114" i="2"/>
  <c r="H115" i="8"/>
  <c r="J113"/>
  <c r="R112" i="2"/>
  <c r="J111"/>
  <c r="P108" i="1"/>
  <c r="D107" i="14"/>
  <c r="W109" i="8"/>
  <c r="C109" i="14"/>
  <c r="BS109" i="5"/>
  <c r="Q109" i="1"/>
  <c r="E109" i="14" s="1"/>
  <c r="A109" i="10"/>
  <c r="AA109" s="1"/>
  <c r="B109" i="7"/>
  <c r="AU109" i="5"/>
  <c r="AV109"/>
  <c r="E109" i="1"/>
  <c r="B109" i="9"/>
  <c r="A109" i="11"/>
  <c r="AB108" i="2"/>
  <c r="AH109" i="5"/>
  <c r="AI109"/>
  <c r="BN109" i="8"/>
  <c r="BO109"/>
  <c r="DM109" s="1"/>
  <c r="AB109"/>
  <c r="EO109"/>
  <c r="DT109" s="1"/>
  <c r="CQ109"/>
  <c r="DA109" s="1"/>
  <c r="DL109"/>
  <c r="EE106"/>
  <c r="EF106" s="1"/>
  <c r="Q106"/>
  <c r="N112" i="2"/>
  <c r="J113" i="5"/>
  <c r="H112" i="7"/>
  <c r="F112" i="10"/>
  <c r="DC112" i="5"/>
  <c r="DD107" i="8"/>
  <c r="DC107"/>
  <c r="O107" s="1"/>
  <c r="B114" i="10"/>
  <c r="F115" i="5"/>
  <c r="D114" i="7"/>
  <c r="BK21" i="1"/>
  <c r="C21" i="11"/>
  <c r="V21" i="10"/>
  <c r="AJ21" i="5"/>
  <c r="AN21" i="8"/>
  <c r="AC21" i="7"/>
  <c r="K114" i="8"/>
  <c r="S113" i="2"/>
  <c r="BY113" i="11"/>
  <c r="K112" i="10"/>
  <c r="AA112" i="7"/>
  <c r="AE112" i="8" s="1"/>
  <c r="BC112" s="1"/>
  <c r="DD108"/>
  <c r="DC108"/>
  <c r="DF110" i="5"/>
  <c r="BC113" l="1"/>
  <c r="AC112" i="1"/>
  <c r="BP114" i="5"/>
  <c r="AB113" i="1"/>
  <c r="BK115" i="5"/>
  <c r="AD113" i="1"/>
  <c r="BN116" i="5"/>
  <c r="AF114" i="1"/>
  <c r="BE113" i="5"/>
  <c r="AE111" i="1"/>
  <c r="W111" s="1"/>
  <c r="AZ116" i="5"/>
  <c r="O108" i="8"/>
  <c r="N112" i="1"/>
  <c r="O113"/>
  <c r="DK113" i="8" s="1"/>
  <c r="DJ112"/>
  <c r="DI112"/>
  <c r="AS21"/>
  <c r="AO21" i="1"/>
  <c r="C107" i="9"/>
  <c r="AR107" i="1"/>
  <c r="V107" s="1"/>
  <c r="K108" s="1"/>
  <c r="AR108" i="8" s="1"/>
  <c r="BN107" i="1"/>
  <c r="AD109" i="9"/>
  <c r="AV109" i="1" s="1"/>
  <c r="BL21"/>
  <c r="AT108" i="8"/>
  <c r="AQ108"/>
  <c r="M109" i="1"/>
  <c r="F108" i="11"/>
  <c r="AW108" i="8"/>
  <c r="BU109"/>
  <c r="CA109"/>
  <c r="CH109"/>
  <c r="AC108" i="11"/>
  <c r="T108" i="8" s="1"/>
  <c r="AA108" i="11"/>
  <c r="Y108"/>
  <c r="AH108" i="1" s="1"/>
  <c r="Z108" i="11"/>
  <c r="AC108" i="2" s="1"/>
  <c r="AD108" i="11"/>
  <c r="AI108" i="1" s="1"/>
  <c r="AB108" i="11"/>
  <c r="P108" i="8" s="1"/>
  <c r="EM106"/>
  <c r="G106" i="1" s="1"/>
  <c r="M106" i="8" s="1"/>
  <c r="AJ115" i="14"/>
  <c r="CM114" i="8"/>
  <c r="L114" i="11"/>
  <c r="B113" i="2"/>
  <c r="B113" i="1"/>
  <c r="BI113" s="1"/>
  <c r="DZ107" i="8"/>
  <c r="A114" i="2"/>
  <c r="M114" i="5"/>
  <c r="B114" i="14"/>
  <c r="A114" i="9"/>
  <c r="K114" i="11"/>
  <c r="J115" i="10"/>
  <c r="AD114" i="8"/>
  <c r="A114" i="7"/>
  <c r="A114" i="8"/>
  <c r="DR109"/>
  <c r="DS109"/>
  <c r="DX108"/>
  <c r="EB108" s="1"/>
  <c r="DN109"/>
  <c r="DO109"/>
  <c r="CS110"/>
  <c r="DP110" s="1"/>
  <c r="CT110"/>
  <c r="DQ110" s="1"/>
  <c r="CU110"/>
  <c r="D110" i="9"/>
  <c r="EI108" i="8"/>
  <c r="Y112" i="1"/>
  <c r="AV108" i="8"/>
  <c r="AW108" i="1" s="1"/>
  <c r="L108" s="1"/>
  <c r="E108" i="11" s="1"/>
  <c r="AP108" i="5"/>
  <c r="Q115" i="2"/>
  <c r="I116" i="8"/>
  <c r="AU108"/>
  <c r="CQ110"/>
  <c r="DA110" s="1"/>
  <c r="AQ108" i="5"/>
  <c r="AU108" i="1" s="1"/>
  <c r="V111" i="2"/>
  <c r="AB110" i="8"/>
  <c r="F112" i="7"/>
  <c r="H113" i="5"/>
  <c r="D112" i="10"/>
  <c r="BS110" i="5"/>
  <c r="E110" i="1"/>
  <c r="DL110" i="8"/>
  <c r="AU110" i="5"/>
  <c r="AB109" i="2"/>
  <c r="A111" i="5"/>
  <c r="E111" s="1"/>
  <c r="AH110"/>
  <c r="AC110" i="10" s="1"/>
  <c r="AI110" i="5"/>
  <c r="DY108" i="8"/>
  <c r="Q110" i="1"/>
  <c r="E110" i="14" s="1"/>
  <c r="BO110" i="8"/>
  <c r="DM110" s="1"/>
  <c r="A110" i="11"/>
  <c r="EO110" i="8"/>
  <c r="C110" i="14"/>
  <c r="AR112" i="5"/>
  <c r="AV110"/>
  <c r="DD111"/>
  <c r="I111" i="7"/>
  <c r="K112" i="5"/>
  <c r="G111" i="10"/>
  <c r="DE111" i="5"/>
  <c r="L112"/>
  <c r="J111" i="7"/>
  <c r="H111" i="10"/>
  <c r="B110" i="7"/>
  <c r="AE110" s="1"/>
  <c r="AF110" s="1"/>
  <c r="A110" i="10"/>
  <c r="AA110" s="1"/>
  <c r="B110" i="9"/>
  <c r="BN110" i="8"/>
  <c r="W110"/>
  <c r="I113" i="5"/>
  <c r="E112" i="10"/>
  <c r="DB112" i="5"/>
  <c r="G112" i="7"/>
  <c r="AN109" i="5"/>
  <c r="AO107" i="8"/>
  <c r="BO107" i="1"/>
  <c r="EE107" i="8"/>
  <c r="EF107" s="1"/>
  <c r="Q107"/>
  <c r="N113" i="2"/>
  <c r="B115" i="10"/>
  <c r="F116" i="5"/>
  <c r="D115" i="7"/>
  <c r="BP109" i="8"/>
  <c r="BQ109"/>
  <c r="N109" i="7"/>
  <c r="BT109" i="8"/>
  <c r="BY109"/>
  <c r="BZ109"/>
  <c r="CF109"/>
  <c r="CG109"/>
  <c r="N109" i="11"/>
  <c r="EE108" i="8"/>
  <c r="EF108" s="1"/>
  <c r="DC113" i="5"/>
  <c r="H113" i="7"/>
  <c r="J114" i="5"/>
  <c r="F113" i="10"/>
  <c r="DH109" i="8"/>
  <c r="EH109" s="1"/>
  <c r="EP109"/>
  <c r="R113" i="2"/>
  <c r="J114" i="8"/>
  <c r="P115" i="2"/>
  <c r="H116" i="8"/>
  <c r="AK106" i="5"/>
  <c r="AQ106" i="1"/>
  <c r="U106" s="1"/>
  <c r="J107" s="1"/>
  <c r="AP107" i="8" s="1"/>
  <c r="D106" i="11"/>
  <c r="BM106" i="1"/>
  <c r="X113"/>
  <c r="DA112" i="5"/>
  <c r="DG109" i="8"/>
  <c r="EG109" s="1"/>
  <c r="CW109"/>
  <c r="CV109"/>
  <c r="CY109"/>
  <c r="EA109" s="1"/>
  <c r="DB109"/>
  <c r="EC109" s="1"/>
  <c r="ED109" s="1"/>
  <c r="CX109"/>
  <c r="AC109" i="10"/>
  <c r="X109" s="1"/>
  <c r="Y109" s="1"/>
  <c r="AM109" i="5"/>
  <c r="AO109"/>
  <c r="AL109"/>
  <c r="P109" i="1"/>
  <c r="D108" i="14"/>
  <c r="AT107" i="1"/>
  <c r="K115" i="8"/>
  <c r="S114" i="2"/>
  <c r="Q109" i="7"/>
  <c r="AE109"/>
  <c r="AF109" s="1"/>
  <c r="CY113" i="5"/>
  <c r="DG113"/>
  <c r="CN109" i="8"/>
  <c r="CO109"/>
  <c r="CR109"/>
  <c r="Y20" i="2"/>
  <c r="X20" s="1"/>
  <c r="O114"/>
  <c r="DE114" i="8"/>
  <c r="G113" i="5"/>
  <c r="E112" i="7"/>
  <c r="CZ112" i="5"/>
  <c r="C112" i="10"/>
  <c r="AA113" i="7"/>
  <c r="AE113" i="8" s="1"/>
  <c r="BC113" s="1"/>
  <c r="BY114" i="11"/>
  <c r="K113" i="10"/>
  <c r="M114" i="2"/>
  <c r="DF114" i="8"/>
  <c r="B112" i="5"/>
  <c r="DF111"/>
  <c r="AC113" i="1" l="1"/>
  <c r="BC114" i="5"/>
  <c r="B113"/>
  <c r="BP115"/>
  <c r="AB114" i="1"/>
  <c r="AZ117" i="5"/>
  <c r="BK116"/>
  <c r="AD114" i="1"/>
  <c r="BN117" i="5"/>
  <c r="AF115" i="1"/>
  <c r="BE114" i="5"/>
  <c r="AE112" i="1"/>
  <c r="N113"/>
  <c r="O114"/>
  <c r="DK114" i="8" s="1"/>
  <c r="DI113"/>
  <c r="DJ113"/>
  <c r="E111" i="1"/>
  <c r="EQ111" i="8"/>
  <c r="CZ111" s="1"/>
  <c r="C108" i="9"/>
  <c r="BN108" i="1"/>
  <c r="AR108"/>
  <c r="V108" s="1"/>
  <c r="K109" s="1"/>
  <c r="AD110" i="9"/>
  <c r="AV110" i="1" s="1"/>
  <c r="A111" i="11"/>
  <c r="Z110" s="1"/>
  <c r="AC110" i="2" s="1"/>
  <c r="AT109" i="8"/>
  <c r="AW109"/>
  <c r="AQ109"/>
  <c r="M110" i="1"/>
  <c r="F109" i="11"/>
  <c r="BU110" i="8"/>
  <c r="CA110"/>
  <c r="CH110"/>
  <c r="Y109" i="11"/>
  <c r="AH109" i="1" s="1"/>
  <c r="AC109" i="11"/>
  <c r="T109" i="8" s="1"/>
  <c r="AA109" i="11"/>
  <c r="Z109"/>
  <c r="AC109" i="2" s="1"/>
  <c r="AB109" i="11"/>
  <c r="P109" i="8" s="1"/>
  <c r="AD109" i="11"/>
  <c r="AI109" i="1" s="1"/>
  <c r="EM107" i="8"/>
  <c r="G107" i="1" s="1"/>
  <c r="M107" i="8" s="1"/>
  <c r="L115" i="11"/>
  <c r="B114" i="2"/>
  <c r="B114" i="1"/>
  <c r="BI114" s="1"/>
  <c r="A115" i="2"/>
  <c r="A115" i="7"/>
  <c r="A115" i="9"/>
  <c r="M115" i="5"/>
  <c r="A115" i="8"/>
  <c r="K115" i="11"/>
  <c r="B115" i="14"/>
  <c r="AD115" i="8"/>
  <c r="J116" i="10"/>
  <c r="AJ116" i="14"/>
  <c r="CM115" i="8"/>
  <c r="B111" i="9"/>
  <c r="DR110" i="8"/>
  <c r="DS110"/>
  <c r="W111"/>
  <c r="C111" i="14"/>
  <c r="AB110" i="2"/>
  <c r="BN111" i="8"/>
  <c r="CR111" s="1"/>
  <c r="BS111" i="5"/>
  <c r="BO111" i="8"/>
  <c r="DM111" s="1"/>
  <c r="Q111" i="1"/>
  <c r="E111" i="14" s="1"/>
  <c r="EP110" i="8"/>
  <c r="DT110"/>
  <c r="EO111"/>
  <c r="DT111" s="1"/>
  <c r="DX109"/>
  <c r="EB109" s="1"/>
  <c r="DZ108"/>
  <c r="EM108" s="1"/>
  <c r="G108" i="1" s="1"/>
  <c r="M108" i="8" s="1"/>
  <c r="DB110"/>
  <c r="EC110" s="1"/>
  <c r="ED110" s="1"/>
  <c r="DN110"/>
  <c r="DO110"/>
  <c r="AV111" i="5"/>
  <c r="CS111" i="8"/>
  <c r="DP111" s="1"/>
  <c r="CT111"/>
  <c r="DQ111" s="1"/>
  <c r="CU111"/>
  <c r="D111" i="9"/>
  <c r="D112" s="1"/>
  <c r="Y113" i="1"/>
  <c r="J113" i="2"/>
  <c r="AB111" i="8"/>
  <c r="AU111" i="5"/>
  <c r="A111" i="10"/>
  <c r="AA111" s="1"/>
  <c r="AI111" i="5"/>
  <c r="B111" i="7"/>
  <c r="AE111" s="1"/>
  <c r="AF111" s="1"/>
  <c r="AH111" i="5"/>
  <c r="AC111" i="10" s="1"/>
  <c r="CO110" i="8"/>
  <c r="CN110"/>
  <c r="CR110"/>
  <c r="DC110" s="1"/>
  <c r="N110" i="11"/>
  <c r="AT108" i="1"/>
  <c r="DH110" i="8"/>
  <c r="EH110" s="1"/>
  <c r="Q116" i="2"/>
  <c r="I117" i="8"/>
  <c r="DG110"/>
  <c r="EG110" s="1"/>
  <c r="CY110"/>
  <c r="EA110" s="1"/>
  <c r="CV110"/>
  <c r="CW110"/>
  <c r="CX110"/>
  <c r="CQ111"/>
  <c r="DL111"/>
  <c r="AO110" i="5"/>
  <c r="AR113"/>
  <c r="BT110" i="8"/>
  <c r="AM110" i="5"/>
  <c r="AN110"/>
  <c r="BY110" i="8"/>
  <c r="BZ110"/>
  <c r="CG110"/>
  <c r="CF110"/>
  <c r="BP110"/>
  <c r="N110" i="7"/>
  <c r="BQ110" i="8"/>
  <c r="F113" i="7"/>
  <c r="D113" i="10"/>
  <c r="H114" i="5"/>
  <c r="AL110"/>
  <c r="V112" i="2"/>
  <c r="Q110" i="7"/>
  <c r="A112" i="5"/>
  <c r="E112" s="1"/>
  <c r="EQ112" i="8" s="1"/>
  <c r="CZ112" s="1"/>
  <c r="X110" i="10"/>
  <c r="Y110" s="1"/>
  <c r="DD112" i="5"/>
  <c r="K113"/>
  <c r="G112" i="10"/>
  <c r="I112" i="7"/>
  <c r="J112"/>
  <c r="H112" i="10"/>
  <c r="DE112" i="5"/>
  <c r="L113"/>
  <c r="G113" i="7"/>
  <c r="I114" i="5"/>
  <c r="DB113"/>
  <c r="E113" i="10"/>
  <c r="AO108" i="8"/>
  <c r="BO108" i="1"/>
  <c r="EI109" i="8"/>
  <c r="AP109" i="5"/>
  <c r="Q108" i="8"/>
  <c r="AU109"/>
  <c r="AV109"/>
  <c r="AW109" i="1" s="1"/>
  <c r="L109" s="1"/>
  <c r="E109" i="11" s="1"/>
  <c r="AQ109" i="5"/>
  <c r="AU109" i="1" s="1"/>
  <c r="DY109" i="8"/>
  <c r="M115" i="2"/>
  <c r="DF115" i="8"/>
  <c r="K116"/>
  <c r="S115" i="2"/>
  <c r="AH110" i="7"/>
  <c r="AG110"/>
  <c r="AI110" s="1"/>
  <c r="AK107" i="5"/>
  <c r="BM107" i="1"/>
  <c r="D107" i="11"/>
  <c r="AQ107" i="1"/>
  <c r="U107" s="1"/>
  <c r="J108" s="1"/>
  <c r="AP108" i="8" s="1"/>
  <c r="J115"/>
  <c r="R114" i="2"/>
  <c r="CY114" i="5"/>
  <c r="B21" i="8"/>
  <c r="D21" i="2" s="1"/>
  <c r="E21"/>
  <c r="BD21" i="8"/>
  <c r="AB21" i="7"/>
  <c r="L21" i="2"/>
  <c r="H21" i="11"/>
  <c r="P110" i="1"/>
  <c r="D109" i="14"/>
  <c r="O115" i="2"/>
  <c r="DE115" i="8"/>
  <c r="DD109"/>
  <c r="DC109"/>
  <c r="O109" s="1"/>
  <c r="AG109" i="7"/>
  <c r="AI109" s="1"/>
  <c r="AH109"/>
  <c r="W112" i="1"/>
  <c r="DA113" i="5"/>
  <c r="B116" i="10"/>
  <c r="D116" i="7"/>
  <c r="F117" i="5"/>
  <c r="P116" i="2"/>
  <c r="H117" i="8"/>
  <c r="J115" i="5"/>
  <c r="DC114"/>
  <c r="F114" i="10"/>
  <c r="H114" i="7"/>
  <c r="DG114" i="5"/>
  <c r="C113" i="10"/>
  <c r="G114" i="5"/>
  <c r="CZ113"/>
  <c r="E113" i="7"/>
  <c r="X114" i="1"/>
  <c r="AA114" i="7"/>
  <c r="AE114" i="8" s="1"/>
  <c r="BC114" s="1"/>
  <c r="BY115" i="11"/>
  <c r="K114" i="10"/>
  <c r="N114" i="2"/>
  <c r="DF112" i="5"/>
  <c r="AC114" i="1" l="1"/>
  <c r="BC115" i="5"/>
  <c r="BN118"/>
  <c r="AF116" i="1"/>
  <c r="BE115" i="5"/>
  <c r="AE113" i="1"/>
  <c r="W113" s="1"/>
  <c r="BP116" i="5"/>
  <c r="AB115" i="1"/>
  <c r="AZ118" i="5"/>
  <c r="BK117"/>
  <c r="AD115" i="1"/>
  <c r="O110" i="8"/>
  <c r="CW111"/>
  <c r="DA111"/>
  <c r="N114" i="1"/>
  <c r="O115"/>
  <c r="DK115" i="8" s="1"/>
  <c r="DI114"/>
  <c r="DJ114"/>
  <c r="AR109"/>
  <c r="C109" i="9"/>
  <c r="BN109" i="1"/>
  <c r="AR109"/>
  <c r="V109" s="1"/>
  <c r="K110" s="1"/>
  <c r="AD111" i="9"/>
  <c r="AV111" i="1" s="1"/>
  <c r="CN111" i="8"/>
  <c r="CO111"/>
  <c r="AN111" i="5"/>
  <c r="AC110" i="11"/>
  <c r="T110" i="8" s="1"/>
  <c r="N111" i="11"/>
  <c r="Y110"/>
  <c r="AH110" i="1" s="1"/>
  <c r="AA110" i="11"/>
  <c r="X111" i="10"/>
  <c r="Y111" s="1"/>
  <c r="AD110" i="11"/>
  <c r="AI110" i="1" s="1"/>
  <c r="AB110" i="11"/>
  <c r="P110" i="8" s="1"/>
  <c r="AT110"/>
  <c r="AW110"/>
  <c r="AQ110"/>
  <c r="M111" i="1"/>
  <c r="F110" i="11"/>
  <c r="CA111" i="8"/>
  <c r="CH111"/>
  <c r="BY111"/>
  <c r="BU111"/>
  <c r="EP111"/>
  <c r="DH111"/>
  <c r="EH111" s="1"/>
  <c r="AM111" i="5"/>
  <c r="AL111"/>
  <c r="A116" i="2"/>
  <c r="A116" i="7"/>
  <c r="J117" i="10"/>
  <c r="AD116" i="8"/>
  <c r="A116"/>
  <c r="B116" i="14"/>
  <c r="M116" i="5"/>
  <c r="A116" i="9"/>
  <c r="K116" i="11"/>
  <c r="AJ117" i="14"/>
  <c r="CM116" i="8"/>
  <c r="N111" i="7"/>
  <c r="CG111" i="8"/>
  <c r="B115" i="1"/>
  <c r="BI115" s="1"/>
  <c r="B115" i="2"/>
  <c r="L116" i="11"/>
  <c r="CF111" i="8"/>
  <c r="AO111" i="5"/>
  <c r="Q111" i="7"/>
  <c r="DR111" i="8"/>
  <c r="DS111"/>
  <c r="DZ109"/>
  <c r="DX110"/>
  <c r="EB110" s="1"/>
  <c r="CY111"/>
  <c r="EA111" s="1"/>
  <c r="DN111"/>
  <c r="DO111"/>
  <c r="BQ111"/>
  <c r="BP111"/>
  <c r="BT111"/>
  <c r="AV112" i="5"/>
  <c r="CU112" i="8"/>
  <c r="CT112"/>
  <c r="DQ112" s="1"/>
  <c r="CS112"/>
  <c r="DP112" s="1"/>
  <c r="BZ111"/>
  <c r="DD110"/>
  <c r="EE110" s="1"/>
  <c r="EF110" s="1"/>
  <c r="Y114" i="1"/>
  <c r="EI110" i="8"/>
  <c r="Q117" i="2"/>
  <c r="I118" i="8"/>
  <c r="CX111"/>
  <c r="DY110"/>
  <c r="CV111"/>
  <c r="DG111"/>
  <c r="EG111" s="1"/>
  <c r="DB111"/>
  <c r="EC111" s="1"/>
  <c r="ED111" s="1"/>
  <c r="CQ112"/>
  <c r="DA112" s="1"/>
  <c r="BO109" i="1"/>
  <c r="AP110" i="5"/>
  <c r="AO109" i="8"/>
  <c r="AV110"/>
  <c r="AW110" i="1" s="1"/>
  <c r="L110" s="1"/>
  <c r="AQ110" i="5"/>
  <c r="AU110" i="1" s="1"/>
  <c r="V113" i="2"/>
  <c r="AU110" i="8"/>
  <c r="AR114" i="5"/>
  <c r="A113"/>
  <c r="E113" s="1"/>
  <c r="EQ113" i="8" s="1"/>
  <c r="CZ113" s="1"/>
  <c r="Q112" i="1"/>
  <c r="E112" i="14" s="1"/>
  <c r="H115" i="5"/>
  <c r="D114" i="10"/>
  <c r="F114" i="7"/>
  <c r="W112" i="8"/>
  <c r="A112" i="10"/>
  <c r="AA112" s="1"/>
  <c r="EO112" i="8"/>
  <c r="B112" i="9"/>
  <c r="AB111" i="2"/>
  <c r="BN112" i="8"/>
  <c r="CR112" s="1"/>
  <c r="B112" i="7"/>
  <c r="AE112" s="1"/>
  <c r="AF112" s="1"/>
  <c r="AI112" i="5"/>
  <c r="BS112"/>
  <c r="AH112"/>
  <c r="AC112" i="10" s="1"/>
  <c r="AU112" i="5"/>
  <c r="DL112" i="8"/>
  <c r="BO112"/>
  <c r="DM112" s="1"/>
  <c r="E112" i="1"/>
  <c r="AB112" i="8"/>
  <c r="C112" i="14"/>
  <c r="A112" i="11"/>
  <c r="DD113" i="5"/>
  <c r="K114"/>
  <c r="I113" i="7"/>
  <c r="G113" i="10"/>
  <c r="L114" i="5"/>
  <c r="H113" i="10"/>
  <c r="DE113" i="5"/>
  <c r="J113" i="7"/>
  <c r="I115" i="5"/>
  <c r="G114" i="7"/>
  <c r="E114" i="10"/>
  <c r="DB114" i="5"/>
  <c r="AT109" i="1"/>
  <c r="DG115" i="5"/>
  <c r="U21" i="2"/>
  <c r="W20" s="1"/>
  <c r="C21" s="1"/>
  <c r="R115"/>
  <c r="J116" i="8"/>
  <c r="AH111" i="7"/>
  <c r="AG111"/>
  <c r="AI111" s="1"/>
  <c r="P117" i="2"/>
  <c r="H118" i="8"/>
  <c r="EE109"/>
  <c r="EF109" s="1"/>
  <c r="Q109"/>
  <c r="P111" i="1"/>
  <c r="D110" i="14"/>
  <c r="J115" i="2"/>
  <c r="DA114" i="5"/>
  <c r="O116" i="2"/>
  <c r="DE116" i="8"/>
  <c r="AA115" i="7"/>
  <c r="AE115" i="8" s="1"/>
  <c r="BC115" s="1"/>
  <c r="BY116" i="11"/>
  <c r="K115" i="10"/>
  <c r="H115" i="7"/>
  <c r="DC115" i="5"/>
  <c r="J116"/>
  <c r="F115" i="10"/>
  <c r="DC111" i="8"/>
  <c r="DD111"/>
  <c r="M116" i="2"/>
  <c r="DF116" i="8"/>
  <c r="B114" i="5"/>
  <c r="K117" i="8"/>
  <c r="S116" i="2"/>
  <c r="B117" i="10"/>
  <c r="F118" i="5"/>
  <c r="D117" i="7"/>
  <c r="CY115" i="5"/>
  <c r="N115" i="2"/>
  <c r="X115" i="1"/>
  <c r="E114" i="7"/>
  <c r="G115" i="5"/>
  <c r="CZ114"/>
  <c r="C114" i="10"/>
  <c r="AK108" i="5"/>
  <c r="AQ108" i="1"/>
  <c r="U108" s="1"/>
  <c r="J109" s="1"/>
  <c r="AP109" i="8" s="1"/>
  <c r="D108" i="11"/>
  <c r="BM108" i="1"/>
  <c r="J114" i="2"/>
  <c r="DF113" i="5"/>
  <c r="AC115" i="1" l="1"/>
  <c r="BC116" i="5"/>
  <c r="AZ119"/>
  <c r="BN119"/>
  <c r="AF117" i="1"/>
  <c r="BK118" i="5"/>
  <c r="AD116" i="1"/>
  <c r="BE116" i="5"/>
  <c r="AE114" i="1"/>
  <c r="W114" s="1"/>
  <c r="BP117" i="5"/>
  <c r="AB116" i="1"/>
  <c r="R21" i="8"/>
  <c r="S21" s="1"/>
  <c r="O111"/>
  <c r="DY111"/>
  <c r="N115" i="1"/>
  <c r="O116"/>
  <c r="DK116" i="8" s="1"/>
  <c r="DI115"/>
  <c r="DJ115"/>
  <c r="AR110"/>
  <c r="C110" i="9"/>
  <c r="AR110" i="1"/>
  <c r="V110" s="1"/>
  <c r="K111" s="1"/>
  <c r="AR111" i="8" s="1"/>
  <c r="BN110" i="1"/>
  <c r="AD112" i="9"/>
  <c r="AV112" i="1" s="1"/>
  <c r="AP111" i="5"/>
  <c r="Q110" i="8"/>
  <c r="AT111"/>
  <c r="AQ111"/>
  <c r="F111" i="11"/>
  <c r="M112" i="1"/>
  <c r="AW111" i="8"/>
  <c r="CA112"/>
  <c r="CH112"/>
  <c r="BZ112"/>
  <c r="BU112"/>
  <c r="AC111" i="11"/>
  <c r="T111" i="8" s="1"/>
  <c r="AA111" i="11"/>
  <c r="Y111"/>
  <c r="AH111" i="1" s="1"/>
  <c r="AB111" i="11"/>
  <c r="P111" i="8" s="1"/>
  <c r="AD111" i="11"/>
  <c r="AI111" i="1" s="1"/>
  <c r="Z111" i="11"/>
  <c r="AC111" i="2" s="1"/>
  <c r="DZ110" i="8"/>
  <c r="EM110" s="1"/>
  <c r="G110" i="1" s="1"/>
  <c r="M110" i="8" s="1"/>
  <c r="EI111"/>
  <c r="AQ111" i="5"/>
  <c r="AU111" i="1" s="1"/>
  <c r="EM109" i="8"/>
  <c r="G109" i="1" s="1"/>
  <c r="M109" i="8" s="1"/>
  <c r="AJ118" i="14"/>
  <c r="CM117" i="8"/>
  <c r="A117" i="2"/>
  <c r="A117" i="7"/>
  <c r="A117" i="8"/>
  <c r="M117" i="5"/>
  <c r="A117" i="9"/>
  <c r="K117" i="11"/>
  <c r="AD117" i="8"/>
  <c r="J118" i="10"/>
  <c r="B117" i="14"/>
  <c r="B116" i="2"/>
  <c r="B116" i="1"/>
  <c r="BI116" s="1"/>
  <c r="L117" i="11"/>
  <c r="B115" i="5"/>
  <c r="EP112" i="8"/>
  <c r="DT112"/>
  <c r="DR112"/>
  <c r="DS112"/>
  <c r="DX111"/>
  <c r="EB111" s="1"/>
  <c r="DB112"/>
  <c r="EC112" s="1"/>
  <c r="ED112" s="1"/>
  <c r="DN112"/>
  <c r="DO112"/>
  <c r="AU111"/>
  <c r="AV111"/>
  <c r="AW111" i="1" s="1"/>
  <c r="L111" s="1"/>
  <c r="AO111" i="8" s="1"/>
  <c r="CS113"/>
  <c r="DP113" s="1"/>
  <c r="CT113"/>
  <c r="DQ113" s="1"/>
  <c r="CU113"/>
  <c r="Y115" i="1"/>
  <c r="Q118" i="2"/>
  <c r="I119" i="8"/>
  <c r="CY112"/>
  <c r="EA112" s="1"/>
  <c r="CX112"/>
  <c r="CW112"/>
  <c r="DG112"/>
  <c r="EG112" s="1"/>
  <c r="CV112"/>
  <c r="CQ113"/>
  <c r="DA113" s="1"/>
  <c r="AT110" i="1"/>
  <c r="CN112" i="8"/>
  <c r="D113" i="9"/>
  <c r="CO112" i="8"/>
  <c r="E110" i="11"/>
  <c r="BO110" i="1"/>
  <c r="AO110" i="8"/>
  <c r="AN112" i="5"/>
  <c r="A114"/>
  <c r="E114" s="1"/>
  <c r="EQ114" i="8" s="1"/>
  <c r="CZ114" s="1"/>
  <c r="Q112" i="7"/>
  <c r="V114" i="2"/>
  <c r="BY112" i="8"/>
  <c r="X112" i="10"/>
  <c r="Y112" s="1"/>
  <c r="B113" i="9"/>
  <c r="AR115" i="5"/>
  <c r="AH113"/>
  <c r="AC113" i="10" s="1"/>
  <c r="CF112" i="8"/>
  <c r="AI113" i="5"/>
  <c r="A113" i="11"/>
  <c r="BP112" i="8"/>
  <c r="AU113" i="5"/>
  <c r="BO113" i="8"/>
  <c r="DM113" s="1"/>
  <c r="A113" i="10"/>
  <c r="AA113" s="1"/>
  <c r="N112" i="7"/>
  <c r="AB113" i="8"/>
  <c r="BS113" i="5"/>
  <c r="B113" i="7"/>
  <c r="AE113" s="1"/>
  <c r="AF113" s="1"/>
  <c r="EO113" i="8"/>
  <c r="C113" i="14"/>
  <c r="W113" i="8"/>
  <c r="BN113"/>
  <c r="BQ112"/>
  <c r="DH112"/>
  <c r="EH112" s="1"/>
  <c r="BT112"/>
  <c r="Q113" i="1"/>
  <c r="E113" i="14" s="1"/>
  <c r="E113" i="1"/>
  <c r="CG112" i="8"/>
  <c r="DL113"/>
  <c r="AB112" i="2"/>
  <c r="AV113" i="5"/>
  <c r="F115" i="7"/>
  <c r="H116" i="5"/>
  <c r="D115" i="10"/>
  <c r="AM112" i="5"/>
  <c r="AL112"/>
  <c r="N112" i="11"/>
  <c r="AO112" i="5"/>
  <c r="DD114"/>
  <c r="K115"/>
  <c r="I114" i="7"/>
  <c r="G114" i="10"/>
  <c r="DE114" i="5"/>
  <c r="L115"/>
  <c r="J114" i="7"/>
  <c r="H114" i="10"/>
  <c r="E115"/>
  <c r="DB115" i="5"/>
  <c r="I116"/>
  <c r="G115" i="7"/>
  <c r="P112" i="1"/>
  <c r="D111" i="14"/>
  <c r="X116" i="1"/>
  <c r="F119" i="5"/>
  <c r="B118" i="10"/>
  <c r="D118" i="7"/>
  <c r="K118" i="8"/>
  <c r="S117" i="2"/>
  <c r="DG116" i="5"/>
  <c r="N116" i="2"/>
  <c r="CZ115" i="5"/>
  <c r="G116"/>
  <c r="C115" i="10"/>
  <c r="E115" i="7"/>
  <c r="CY116" i="5"/>
  <c r="M117" i="2"/>
  <c r="DF117" i="8"/>
  <c r="J116" i="2"/>
  <c r="DA115" i="5"/>
  <c r="J117" i="8"/>
  <c r="R116" i="2"/>
  <c r="J117" i="5"/>
  <c r="H116" i="7"/>
  <c r="F116" i="10"/>
  <c r="DC116" i="5"/>
  <c r="AG112" i="7"/>
  <c r="AI112" s="1"/>
  <c r="AH112"/>
  <c r="DD112" i="8"/>
  <c r="DC112"/>
  <c r="O117" i="2"/>
  <c r="DE117" i="8"/>
  <c r="H119"/>
  <c r="P118" i="2"/>
  <c r="F21"/>
  <c r="F21" i="1"/>
  <c r="H21" i="2"/>
  <c r="I21"/>
  <c r="AK109" i="5"/>
  <c r="AQ109" i="1"/>
  <c r="U109" s="1"/>
  <c r="J110" s="1"/>
  <c r="AP110" i="8" s="1"/>
  <c r="D109" i="11"/>
  <c r="BM109" i="1"/>
  <c r="EE111" i="8"/>
  <c r="EF111" s="1"/>
  <c r="K116" i="10"/>
  <c r="AA116" i="7"/>
  <c r="AE116" i="8" s="1"/>
  <c r="BC116" s="1"/>
  <c r="BY117" i="11"/>
  <c r="DF114" i="5"/>
  <c r="AC116" i="1" l="1"/>
  <c r="BC117" i="5"/>
  <c r="BE117"/>
  <c r="AE115" i="1"/>
  <c r="AZ120" i="5"/>
  <c r="BP118"/>
  <c r="AB117" i="1"/>
  <c r="BN120" i="5"/>
  <c r="AF118" i="1"/>
  <c r="BK119" i="5"/>
  <c r="AD117" i="1"/>
  <c r="O112" i="8"/>
  <c r="N116" i="1"/>
  <c r="O117"/>
  <c r="DK117" i="8" s="1"/>
  <c r="DJ116"/>
  <c r="DI116"/>
  <c r="C111" i="9"/>
  <c r="BN111" i="1"/>
  <c r="AR111"/>
  <c r="V111" s="1"/>
  <c r="K112" s="1"/>
  <c r="AD113" i="9"/>
  <c r="AV113" i="1" s="1"/>
  <c r="AT111"/>
  <c r="AT112" i="8"/>
  <c r="AQ112"/>
  <c r="M113" i="1"/>
  <c r="F112" i="11"/>
  <c r="AW112" i="8"/>
  <c r="CA113"/>
  <c r="CH113"/>
  <c r="CF113"/>
  <c r="BU113"/>
  <c r="AC112" i="11"/>
  <c r="T112" i="8" s="1"/>
  <c r="Y112" i="11"/>
  <c r="AH112" i="1" s="1"/>
  <c r="AA112" i="11"/>
  <c r="Z112"/>
  <c r="AC112" i="2" s="1"/>
  <c r="AD112" i="11"/>
  <c r="AI112" i="1" s="1"/>
  <c r="AB112" i="11"/>
  <c r="P112" i="8" s="1"/>
  <c r="Q111"/>
  <c r="A118" i="2"/>
  <c r="M118" i="5"/>
  <c r="A118" i="8"/>
  <c r="K118" i="11"/>
  <c r="AD118" i="8"/>
  <c r="J119" i="10"/>
  <c r="B118" i="14"/>
  <c r="A118" i="7"/>
  <c r="A118" i="9"/>
  <c r="B117" i="1"/>
  <c r="BI117" s="1"/>
  <c r="L118" i="11"/>
  <c r="B117" i="2"/>
  <c r="CM118" i="8"/>
  <c r="AJ119" i="14"/>
  <c r="DR113" i="8"/>
  <c r="DS113"/>
  <c r="EP113"/>
  <c r="DT113"/>
  <c r="DX112"/>
  <c r="EB112" s="1"/>
  <c r="DZ111"/>
  <c r="EM111" s="1"/>
  <c r="G111" i="1" s="1"/>
  <c r="M111" i="8" s="1"/>
  <c r="DB113"/>
  <c r="EC113" s="1"/>
  <c r="ED113" s="1"/>
  <c r="DN113"/>
  <c r="DO113"/>
  <c r="CS114"/>
  <c r="DP114" s="1"/>
  <c r="CT114"/>
  <c r="DQ114" s="1"/>
  <c r="CU114"/>
  <c r="Y116" i="1"/>
  <c r="DH113" i="8"/>
  <c r="EH113" s="1"/>
  <c r="Q119" i="2"/>
  <c r="I120" i="8"/>
  <c r="DY112"/>
  <c r="BO111" i="1"/>
  <c r="EI112" i="8"/>
  <c r="CW113"/>
  <c r="CX113"/>
  <c r="CV113"/>
  <c r="DG113"/>
  <c r="EG113" s="1"/>
  <c r="DL114"/>
  <c r="CY113"/>
  <c r="EA113" s="1"/>
  <c r="E111" i="11"/>
  <c r="AP112" i="5"/>
  <c r="AH114"/>
  <c r="D114" i="9"/>
  <c r="AL113" i="5"/>
  <c r="W114" i="8"/>
  <c r="X113" i="10"/>
  <c r="Y113" s="1"/>
  <c r="N113" i="11"/>
  <c r="AN113" i="5"/>
  <c r="BN114" i="8"/>
  <c r="CR114" s="1"/>
  <c r="B114" i="7"/>
  <c r="Q114" s="1"/>
  <c r="BO114" i="8"/>
  <c r="DM114" s="1"/>
  <c r="C114" i="14"/>
  <c r="AB114" i="8"/>
  <c r="AV114" i="5"/>
  <c r="AI114"/>
  <c r="EO114" i="8"/>
  <c r="AU114" i="5"/>
  <c r="Q114" i="1"/>
  <c r="E114" i="14" s="1"/>
  <c r="AO113" i="5"/>
  <c r="BS114"/>
  <c r="A114" i="11"/>
  <c r="E114" i="1"/>
  <c r="A114" i="10"/>
  <c r="AA114" s="1"/>
  <c r="AB113" i="2"/>
  <c r="B114" i="9"/>
  <c r="CQ114" i="8"/>
  <c r="DA114" s="1"/>
  <c r="AU112"/>
  <c r="AV112"/>
  <c r="AW112" i="1" s="1"/>
  <c r="L112" s="1"/>
  <c r="AO112" i="8" s="1"/>
  <c r="CN113"/>
  <c r="CO113"/>
  <c r="CR113"/>
  <c r="DC113" s="1"/>
  <c r="BQ113"/>
  <c r="CG113"/>
  <c r="N113" i="7"/>
  <c r="BP113" i="8"/>
  <c r="BZ113"/>
  <c r="BT113"/>
  <c r="BY113"/>
  <c r="AM113" i="5"/>
  <c r="Q113" i="7"/>
  <c r="D116" i="10"/>
  <c r="F116" i="7"/>
  <c r="H117" i="5"/>
  <c r="AR116"/>
  <c r="AQ112"/>
  <c r="AU112" i="1" s="1"/>
  <c r="V115" i="2"/>
  <c r="A115" i="5"/>
  <c r="E115" s="1"/>
  <c r="EQ115" i="8" s="1"/>
  <c r="CZ115" s="1"/>
  <c r="DD115" i="5"/>
  <c r="K116"/>
  <c r="I115" i="7"/>
  <c r="G115" i="10"/>
  <c r="L116" i="5"/>
  <c r="H115" i="10"/>
  <c r="J115" i="7"/>
  <c r="DE115" i="5"/>
  <c r="E116" i="10"/>
  <c r="I117" i="5"/>
  <c r="G116" i="7"/>
  <c r="DB116" i="5"/>
  <c r="U21" i="8"/>
  <c r="V21"/>
  <c r="DG117" i="5"/>
  <c r="I21" i="11"/>
  <c r="O21" i="7"/>
  <c r="J118" i="8"/>
  <c r="R117" i="2"/>
  <c r="P119"/>
  <c r="H120" i="8"/>
  <c r="M118" i="2"/>
  <c r="DF118" i="8"/>
  <c r="X117" i="1"/>
  <c r="B116" i="5"/>
  <c r="J21" i="11"/>
  <c r="AP21" i="1"/>
  <c r="T21" s="1"/>
  <c r="G21" i="2"/>
  <c r="Z21" s="1"/>
  <c r="Z22" i="8" s="1"/>
  <c r="J118" i="5"/>
  <c r="H117" i="7"/>
  <c r="F117" i="10"/>
  <c r="DC117" i="5"/>
  <c r="AG113" i="7"/>
  <c r="AI113" s="1"/>
  <c r="AH113"/>
  <c r="E116"/>
  <c r="G117" i="5"/>
  <c r="CZ116"/>
  <c r="C116" i="10"/>
  <c r="P113" i="1"/>
  <c r="D112" i="14"/>
  <c r="D119" i="7"/>
  <c r="B119" i="10"/>
  <c r="F120" i="5"/>
  <c r="EE112" i="8"/>
  <c r="EF112" s="1"/>
  <c r="W115" i="1"/>
  <c r="DA116" i="5"/>
  <c r="N117" i="2"/>
  <c r="BM110" i="1"/>
  <c r="AK110" i="5"/>
  <c r="AQ110" i="1"/>
  <c r="U110" s="1"/>
  <c r="J111" s="1"/>
  <c r="AP111" i="8" s="1"/>
  <c r="D110" i="11"/>
  <c r="AA117" i="7"/>
  <c r="AE117" i="8" s="1"/>
  <c r="BC117" s="1"/>
  <c r="BY118" i="11"/>
  <c r="K117" i="10"/>
  <c r="DE118" i="8"/>
  <c r="O118" i="2"/>
  <c r="CY117" i="5"/>
  <c r="K119" i="8"/>
  <c r="S118" i="2"/>
  <c r="AA21" i="1"/>
  <c r="S21" s="1"/>
  <c r="H22" s="1"/>
  <c r="DF115" i="5"/>
  <c r="J117" i="2" l="1"/>
  <c r="AC117" i="1"/>
  <c r="BC118" i="5"/>
  <c r="BK120"/>
  <c r="AD118" i="1"/>
  <c r="BE118" i="5"/>
  <c r="AE116" i="1"/>
  <c r="AZ121" i="5"/>
  <c r="BP119"/>
  <c r="AB118" i="1"/>
  <c r="BN121" i="5"/>
  <c r="AF119" i="1"/>
  <c r="O113" i="8"/>
  <c r="N117" i="1"/>
  <c r="O118"/>
  <c r="DK118" i="8" s="1"/>
  <c r="DI117"/>
  <c r="DJ117"/>
  <c r="AR112"/>
  <c r="AR112" i="1"/>
  <c r="V112" s="1"/>
  <c r="K113" s="1"/>
  <c r="BN112"/>
  <c r="C112" i="9"/>
  <c r="AD114"/>
  <c r="AV114" i="1" s="1"/>
  <c r="DZ112" i="8"/>
  <c r="EM112" s="1"/>
  <c r="G112" i="1" s="1"/>
  <c r="M112" i="8" s="1"/>
  <c r="I22" i="1"/>
  <c r="AT113" i="8"/>
  <c r="AQ113"/>
  <c r="F113" i="11"/>
  <c r="M114" i="1"/>
  <c r="AW113" i="8"/>
  <c r="CA114"/>
  <c r="CH114"/>
  <c r="CG114"/>
  <c r="BU114"/>
  <c r="AA113" i="11"/>
  <c r="Y113"/>
  <c r="AH113" i="1" s="1"/>
  <c r="AC113" i="11"/>
  <c r="T113" i="8" s="1"/>
  <c r="AB113" i="11"/>
  <c r="P113" i="8" s="1"/>
  <c r="Z113" i="11"/>
  <c r="AC113" i="2" s="1"/>
  <c r="AD113" i="11"/>
  <c r="AI113" i="1" s="1"/>
  <c r="B118" i="2"/>
  <c r="B118" i="1"/>
  <c r="BI118" s="1"/>
  <c r="L119" i="11"/>
  <c r="CM119" i="8"/>
  <c r="AJ120" i="14"/>
  <c r="A119" i="2"/>
  <c r="A119" i="8"/>
  <c r="J120" i="10"/>
  <c r="K119" i="11"/>
  <c r="M119" i="5"/>
  <c r="A119" i="9"/>
  <c r="AD119" i="8"/>
  <c r="B119" i="14"/>
  <c r="A119" i="7"/>
  <c r="DR114" i="8"/>
  <c r="DS114"/>
  <c r="EP114"/>
  <c r="DT114"/>
  <c r="DX113"/>
  <c r="EB113" s="1"/>
  <c r="CY114"/>
  <c r="EA114" s="1"/>
  <c r="DN114"/>
  <c r="DO114"/>
  <c r="CT115"/>
  <c r="DQ115" s="1"/>
  <c r="CU115"/>
  <c r="CS115"/>
  <c r="DP115" s="1"/>
  <c r="Y117" i="1"/>
  <c r="EI113" i="8"/>
  <c r="Q120" i="2"/>
  <c r="I121" i="8"/>
  <c r="DD113"/>
  <c r="EE113" s="1"/>
  <c r="EF113" s="1"/>
  <c r="DY113"/>
  <c r="BT114"/>
  <c r="CF114"/>
  <c r="BQ114"/>
  <c r="BP114"/>
  <c r="N114" i="7"/>
  <c r="N114" i="11"/>
  <c r="BY114" i="8"/>
  <c r="BZ114"/>
  <c r="DH114"/>
  <c r="EH114" s="1"/>
  <c r="DL115"/>
  <c r="AN114" i="5"/>
  <c r="AL114"/>
  <c r="D115" i="9"/>
  <c r="AT112" i="1"/>
  <c r="AC114" i="10"/>
  <c r="X114" s="1"/>
  <c r="Y114" s="1"/>
  <c r="AM114" i="5"/>
  <c r="AO114"/>
  <c r="AE114" i="7"/>
  <c r="AF114" s="1"/>
  <c r="AP113" i="5"/>
  <c r="Q115" i="1"/>
  <c r="E115" i="14" s="1"/>
  <c r="AU113" i="8"/>
  <c r="CV114"/>
  <c r="CN114"/>
  <c r="DG114"/>
  <c r="EG114" s="1"/>
  <c r="CO114"/>
  <c r="CW114"/>
  <c r="CX114"/>
  <c r="AQ113" i="5"/>
  <c r="AU113" i="1" s="1"/>
  <c r="DB114" i="8"/>
  <c r="EC114" s="1"/>
  <c r="ED114" s="1"/>
  <c r="AV113"/>
  <c r="AW113" i="1" s="1"/>
  <c r="L113" s="1"/>
  <c r="E113" i="11" s="1"/>
  <c r="E112"/>
  <c r="BO112" i="1"/>
  <c r="Q112" i="8"/>
  <c r="V116" i="2"/>
  <c r="AV115" i="5"/>
  <c r="AI115"/>
  <c r="AH115"/>
  <c r="AC115" i="10" s="1"/>
  <c r="B115" i="7"/>
  <c r="AE115" s="1"/>
  <c r="AF115" s="1"/>
  <c r="AB114" i="2"/>
  <c r="BN115" i="8"/>
  <c r="BO115"/>
  <c r="DM115" s="1"/>
  <c r="A115" i="11"/>
  <c r="BS115" i="5"/>
  <c r="C115" i="14"/>
  <c r="D117" i="10"/>
  <c r="H118" i="5"/>
  <c r="F117" i="7"/>
  <c r="A116" i="5"/>
  <c r="E116" s="1"/>
  <c r="EQ116" i="8" s="1"/>
  <c r="CZ116" s="1"/>
  <c r="B115" i="9"/>
  <c r="AR117" i="5"/>
  <c r="CQ115" i="8"/>
  <c r="DA115" s="1"/>
  <c r="EO115"/>
  <c r="W115"/>
  <c r="A115" i="10"/>
  <c r="AA115" s="1"/>
  <c r="AB115" i="8"/>
  <c r="AU115" i="5"/>
  <c r="E115" i="1"/>
  <c r="DD116" i="5"/>
  <c r="K117"/>
  <c r="I116" i="7"/>
  <c r="G116" i="10"/>
  <c r="L117" i="5"/>
  <c r="J116" i="7"/>
  <c r="DE116" i="5"/>
  <c r="H116" i="10"/>
  <c r="DB117" i="5"/>
  <c r="I118"/>
  <c r="G117" i="7"/>
  <c r="E117" i="10"/>
  <c r="CY118" i="5"/>
  <c r="AA118" i="7"/>
  <c r="AE118" i="8" s="1"/>
  <c r="BC118" s="1"/>
  <c r="BY119" i="11"/>
  <c r="K118" i="10"/>
  <c r="P21" i="7"/>
  <c r="F21" i="9"/>
  <c r="B117" i="5"/>
  <c r="D120" i="7"/>
  <c r="B120" i="10"/>
  <c r="F121" i="5"/>
  <c r="DC114" i="8"/>
  <c r="DD114"/>
  <c r="K120"/>
  <c r="S119" i="2"/>
  <c r="AJ22" i="5"/>
  <c r="BK22" i="1"/>
  <c r="AN22" i="8"/>
  <c r="V22" i="10"/>
  <c r="AC22" i="7"/>
  <c r="C22" i="11"/>
  <c r="C21" i="8"/>
  <c r="F118" i="10"/>
  <c r="H118" i="7"/>
  <c r="DC118" i="5"/>
  <c r="J119"/>
  <c r="P120" i="2"/>
  <c r="H121" i="8"/>
  <c r="O119" i="2"/>
  <c r="DE119" i="8"/>
  <c r="J118" i="2"/>
  <c r="W116" i="1"/>
  <c r="DA117" i="5"/>
  <c r="G118"/>
  <c r="CZ117"/>
  <c r="E117" i="7"/>
  <c r="C117" i="10"/>
  <c r="R118" i="2"/>
  <c r="J119" i="8"/>
  <c r="D111" i="11"/>
  <c r="AQ111" i="1"/>
  <c r="U111" s="1"/>
  <c r="J112" s="1"/>
  <c r="AP112" i="8" s="1"/>
  <c r="BM111" i="1"/>
  <c r="AK111" i="5"/>
  <c r="D113" i="14"/>
  <c r="P114" i="1"/>
  <c r="X118"/>
  <c r="N118" i="2"/>
  <c r="M119"/>
  <c r="DF119" i="8"/>
  <c r="DG118" i="5"/>
  <c r="DF116"/>
  <c r="BC119" l="1"/>
  <c r="AC118" i="1"/>
  <c r="BP120" i="5"/>
  <c r="AB119" i="1"/>
  <c r="BN122" i="5"/>
  <c r="AF120" i="1"/>
  <c r="BE119" i="5"/>
  <c r="AE117" i="1"/>
  <c r="BK121" i="5"/>
  <c r="AD119" i="1"/>
  <c r="AZ122" i="5"/>
  <c r="O114" i="8"/>
  <c r="N118" i="1"/>
  <c r="O119"/>
  <c r="DK119" i="8" s="1"/>
  <c r="DI118"/>
  <c r="DJ118"/>
  <c r="AS22"/>
  <c r="AO22" i="1"/>
  <c r="AR113" i="8"/>
  <c r="AR113" i="1"/>
  <c r="V113" s="1"/>
  <c r="K114" s="1"/>
  <c r="AR114" i="8" s="1"/>
  <c r="C113" i="9"/>
  <c r="BN113" i="1"/>
  <c r="AD115" i="9"/>
  <c r="AV115" i="1" s="1"/>
  <c r="BL22"/>
  <c r="AT114" i="8"/>
  <c r="AQ114"/>
  <c r="F114" i="11"/>
  <c r="M115" i="1"/>
  <c r="AW114" i="8"/>
  <c r="CA115"/>
  <c r="CH115"/>
  <c r="DZ113"/>
  <c r="EM113" s="1"/>
  <c r="G113" i="1" s="1"/>
  <c r="M113" i="8" s="1"/>
  <c r="BP115"/>
  <c r="BU115"/>
  <c r="Y114" i="11"/>
  <c r="AH114" i="1" s="1"/>
  <c r="AC114" i="11"/>
  <c r="T114" i="8" s="1"/>
  <c r="AA114" i="11"/>
  <c r="AD114"/>
  <c r="AI114" i="1" s="1"/>
  <c r="Z114" i="11"/>
  <c r="AC114" i="2" s="1"/>
  <c r="AB114" i="11"/>
  <c r="P114" i="8" s="1"/>
  <c r="Q113"/>
  <c r="B119" i="1"/>
  <c r="BI119" s="1"/>
  <c r="B119" i="2"/>
  <c r="L120" i="11"/>
  <c r="AJ121" i="14"/>
  <c r="CM120" i="8"/>
  <c r="A120" i="2"/>
  <c r="M120" i="5"/>
  <c r="J121" i="10"/>
  <c r="A120" i="9"/>
  <c r="A120" i="7"/>
  <c r="A120" i="8"/>
  <c r="B120" i="14"/>
  <c r="K120" i="11"/>
  <c r="AD120" i="8"/>
  <c r="DR115"/>
  <c r="DS115"/>
  <c r="DH115"/>
  <c r="EH115" s="1"/>
  <c r="DT115"/>
  <c r="DX114"/>
  <c r="EB114" s="1"/>
  <c r="CX115"/>
  <c r="DN115"/>
  <c r="DO115"/>
  <c r="CS116"/>
  <c r="DP116" s="1"/>
  <c r="CT116"/>
  <c r="DQ116" s="1"/>
  <c r="CU116"/>
  <c r="Y118" i="1"/>
  <c r="AH114" i="7"/>
  <c r="Q121" i="2"/>
  <c r="I122" i="8"/>
  <c r="AG114" i="7"/>
  <c r="AI114" s="1"/>
  <c r="AV114" i="8"/>
  <c r="AW114" i="1" s="1"/>
  <c r="L114" s="1"/>
  <c r="AO114" i="8" s="1"/>
  <c r="EI114"/>
  <c r="D116" i="9"/>
  <c r="AU114" i="8"/>
  <c r="AP114" i="5"/>
  <c r="CW115" i="8"/>
  <c r="AT113" i="1"/>
  <c r="DY114" i="8"/>
  <c r="CN115"/>
  <c r="AQ114" i="5"/>
  <c r="AU114" i="1" s="1"/>
  <c r="AR118" i="5"/>
  <c r="AL115"/>
  <c r="CR115" i="8"/>
  <c r="DC115" s="1"/>
  <c r="CO115"/>
  <c r="N115" i="11"/>
  <c r="AO115" i="5"/>
  <c r="A117"/>
  <c r="E117" s="1"/>
  <c r="EQ117" i="8" s="1"/>
  <c r="CZ117" s="1"/>
  <c r="CV115"/>
  <c r="X115" i="10"/>
  <c r="Y115" s="1"/>
  <c r="Q115" i="7"/>
  <c r="AO113" i="8"/>
  <c r="BO113" i="1"/>
  <c r="AM115" i="5"/>
  <c r="EP115" i="8"/>
  <c r="H119" i="5"/>
  <c r="F118" i="7"/>
  <c r="D118" i="10"/>
  <c r="V117" i="2"/>
  <c r="BT115" i="8"/>
  <c r="BY115"/>
  <c r="BZ115"/>
  <c r="CG115"/>
  <c r="CF115"/>
  <c r="BQ115"/>
  <c r="N115" i="7"/>
  <c r="AN115" i="5"/>
  <c r="DG115" i="8"/>
  <c r="EG115" s="1"/>
  <c r="DB115"/>
  <c r="EC115" s="1"/>
  <c r="ED115" s="1"/>
  <c r="CY115"/>
  <c r="EA115" s="1"/>
  <c r="DD117" i="5"/>
  <c r="K118"/>
  <c r="G117" i="10"/>
  <c r="I117" i="7"/>
  <c r="L118" i="5"/>
  <c r="J117" i="7"/>
  <c r="H117" i="10"/>
  <c r="DE117" i="5"/>
  <c r="DB118"/>
  <c r="G118" i="7"/>
  <c r="E118" i="10"/>
  <c r="I119" i="5"/>
  <c r="F119" i="10"/>
  <c r="H119" i="7"/>
  <c r="DC119" i="5"/>
  <c r="J120"/>
  <c r="S120" i="2"/>
  <c r="K121" i="8"/>
  <c r="BS116" i="5"/>
  <c r="A116" i="11"/>
  <c r="B116" i="9"/>
  <c r="Q116" i="1"/>
  <c r="E116" i="14" s="1"/>
  <c r="C116"/>
  <c r="B116" i="7"/>
  <c r="AV116" i="5"/>
  <c r="E116" i="1"/>
  <c r="W116" i="8"/>
  <c r="AU116" i="5"/>
  <c r="A116" i="10"/>
  <c r="AA116" s="1"/>
  <c r="AB115" i="2"/>
  <c r="AH116" i="5"/>
  <c r="AI116"/>
  <c r="BN116" i="8"/>
  <c r="BO116"/>
  <c r="DM116" s="1"/>
  <c r="AB116"/>
  <c r="EO116"/>
  <c r="DT116" s="1"/>
  <c r="CQ116"/>
  <c r="DA116" s="1"/>
  <c r="DL116"/>
  <c r="AK112" i="5"/>
  <c r="BM112" i="1"/>
  <c r="D112" i="11"/>
  <c r="AQ112" i="1"/>
  <c r="U112" s="1"/>
  <c r="J113" s="1"/>
  <c r="AP113" i="8" s="1"/>
  <c r="K119" i="10"/>
  <c r="BY120" i="11"/>
  <c r="AA119" i="7"/>
  <c r="AE119" i="8" s="1"/>
  <c r="BC119" s="1"/>
  <c r="EE114"/>
  <c r="EF114" s="1"/>
  <c r="DG119" i="5"/>
  <c r="W117" i="1"/>
  <c r="DA118" i="5"/>
  <c r="R119" i="2"/>
  <c r="J120" i="8"/>
  <c r="B118" i="5"/>
  <c r="B121" i="10"/>
  <c r="F122" i="5"/>
  <c r="D121" i="7"/>
  <c r="C118" i="10"/>
  <c r="E118" i="7"/>
  <c r="G119" i="5"/>
  <c r="CZ118"/>
  <c r="X119" i="1"/>
  <c r="P121" i="2"/>
  <c r="H122" i="8"/>
  <c r="CY119" i="5"/>
  <c r="DE120" i="8"/>
  <c r="O120" i="2"/>
  <c r="DF120" i="8"/>
  <c r="M120" i="2"/>
  <c r="N119"/>
  <c r="P115" i="1"/>
  <c r="D114" i="14"/>
  <c r="AG115" i="7"/>
  <c r="AI115" s="1"/>
  <c r="AH115"/>
  <c r="Y21" i="2"/>
  <c r="X21" s="1"/>
  <c r="DF117" i="5"/>
  <c r="AC119" i="1" l="1"/>
  <c r="BC120" i="5"/>
  <c r="B119"/>
  <c r="AZ123"/>
  <c r="BN123"/>
  <c r="AF121" i="1"/>
  <c r="BK122" i="5"/>
  <c r="AD120" i="1"/>
  <c r="BE120" i="5"/>
  <c r="AE118" i="1"/>
  <c r="BP121" i="5"/>
  <c r="AB120" i="1"/>
  <c r="O115" i="8"/>
  <c r="N119" i="1"/>
  <c r="O120"/>
  <c r="DK120" i="8" s="1"/>
  <c r="DI119"/>
  <c r="DJ119"/>
  <c r="C114" i="9"/>
  <c r="AR114" i="1"/>
  <c r="V114" s="1"/>
  <c r="K115" s="1"/>
  <c r="AR115" i="8" s="1"/>
  <c r="BN114" i="1"/>
  <c r="AD116" i="9"/>
  <c r="AV116" i="1" s="1"/>
  <c r="DZ114" i="8"/>
  <c r="EM114" s="1"/>
  <c r="G114" i="1" s="1"/>
  <c r="M114" i="8" s="1"/>
  <c r="AT115"/>
  <c r="AQ115"/>
  <c r="M116" i="1"/>
  <c r="F115" i="11"/>
  <c r="AW115" i="8"/>
  <c r="BU116"/>
  <c r="CA116"/>
  <c r="CH116"/>
  <c r="Y115" i="11"/>
  <c r="AH115" i="1" s="1"/>
  <c r="AC115" i="11"/>
  <c r="T115" i="8" s="1"/>
  <c r="AA115" i="11"/>
  <c r="AB115"/>
  <c r="P115" i="8" s="1"/>
  <c r="Z115" i="11"/>
  <c r="AC115" i="2" s="1"/>
  <c r="AD115" i="11"/>
  <c r="AI115" i="1" s="1"/>
  <c r="B120" i="2"/>
  <c r="B120" i="1"/>
  <c r="BI120" s="1"/>
  <c r="L121" i="11"/>
  <c r="AJ122" i="14"/>
  <c r="CM121" i="8"/>
  <c r="EI115"/>
  <c r="A121" i="2"/>
  <c r="A121" i="7"/>
  <c r="A121" i="8"/>
  <c r="M121" i="5"/>
  <c r="A121" i="9"/>
  <c r="K121" i="11"/>
  <c r="J122" i="10"/>
  <c r="AD121" i="8"/>
  <c r="B121" i="14"/>
  <c r="DR116" i="8"/>
  <c r="DS116"/>
  <c r="DX115"/>
  <c r="EB115" s="1"/>
  <c r="DN116"/>
  <c r="DO116"/>
  <c r="DY115"/>
  <c r="CS117"/>
  <c r="DP117" s="1"/>
  <c r="CU117"/>
  <c r="CT117"/>
  <c r="DQ117" s="1"/>
  <c r="Y119" i="1"/>
  <c r="J119" i="2"/>
  <c r="Q122"/>
  <c r="I123" i="8"/>
  <c r="AT114" i="1"/>
  <c r="AP115" i="5"/>
  <c r="E114" i="11"/>
  <c r="DD115" i="8"/>
  <c r="EE115" s="1"/>
  <c r="EF115" s="1"/>
  <c r="AQ115" i="5"/>
  <c r="AU115" i="1" s="1"/>
  <c r="BO114"/>
  <c r="Q114" i="8"/>
  <c r="AR119" i="5"/>
  <c r="H120"/>
  <c r="F119" i="7"/>
  <c r="D119" i="10"/>
  <c r="AU115" i="8"/>
  <c r="AV115"/>
  <c r="AW115" i="1" s="1"/>
  <c r="L115" s="1"/>
  <c r="E115" i="11" s="1"/>
  <c r="V118" i="2"/>
  <c r="A118" i="5"/>
  <c r="E118" s="1"/>
  <c r="EQ118" i="8" s="1"/>
  <c r="CZ118" s="1"/>
  <c r="K119" i="5"/>
  <c r="I118" i="7"/>
  <c r="G118" i="10"/>
  <c r="DD118" i="5"/>
  <c r="H118" i="10"/>
  <c r="L119" i="5"/>
  <c r="J118" i="7"/>
  <c r="DE118" i="5"/>
  <c r="I120"/>
  <c r="DB119"/>
  <c r="E119" i="10"/>
  <c r="G119" i="7"/>
  <c r="AN116" i="5"/>
  <c r="CY120"/>
  <c r="AE116" i="7"/>
  <c r="AF116" s="1"/>
  <c r="Q116"/>
  <c r="D115" i="14"/>
  <c r="P116" i="1"/>
  <c r="CO116" i="8"/>
  <c r="CR116"/>
  <c r="CN116"/>
  <c r="D117" i="9"/>
  <c r="D122" i="7"/>
  <c r="F123" i="5"/>
  <c r="B122" i="10"/>
  <c r="M121" i="2"/>
  <c r="DF121" i="8"/>
  <c r="K120" i="10"/>
  <c r="BY121" i="11"/>
  <c r="AA120" i="7"/>
  <c r="AE120" i="8" s="1"/>
  <c r="BC120" s="1"/>
  <c r="S121" i="2"/>
  <c r="K122" i="8"/>
  <c r="X120" i="1"/>
  <c r="R120" i="2"/>
  <c r="J121" i="8"/>
  <c r="DG120" i="5"/>
  <c r="H22" i="11"/>
  <c r="B22" i="8"/>
  <c r="D22" i="2" s="1"/>
  <c r="BD22" i="8"/>
  <c r="L22" i="2"/>
  <c r="E22"/>
  <c r="AB22" i="7"/>
  <c r="BM113" i="1"/>
  <c r="AQ113"/>
  <c r="U113" s="1"/>
  <c r="J114" s="1"/>
  <c r="AP114" i="8" s="1"/>
  <c r="AK113" i="5"/>
  <c r="D113" i="11"/>
  <c r="BQ116" i="8"/>
  <c r="BP116"/>
  <c r="N116" i="7"/>
  <c r="BT116" i="8"/>
  <c r="BY116"/>
  <c r="BZ116"/>
  <c r="CF116"/>
  <c r="CG116"/>
  <c r="N116" i="11"/>
  <c r="N120" i="2"/>
  <c r="CY116" i="8"/>
  <c r="EA116" s="1"/>
  <c r="DB116"/>
  <c r="EC116" s="1"/>
  <c r="ED116" s="1"/>
  <c r="DG116"/>
  <c r="EG116" s="1"/>
  <c r="CV116"/>
  <c r="CX116"/>
  <c r="CW116"/>
  <c r="F120" i="10"/>
  <c r="DC120" i="5"/>
  <c r="J121"/>
  <c r="H120" i="7"/>
  <c r="O121" i="2"/>
  <c r="DE121" i="8"/>
  <c r="P122" i="2"/>
  <c r="H123" i="8"/>
  <c r="AM116" i="5"/>
  <c r="AO116"/>
  <c r="AC116" i="10"/>
  <c r="X116" s="1"/>
  <c r="Y116" s="1"/>
  <c r="AL116" i="5"/>
  <c r="BS117"/>
  <c r="AU117"/>
  <c r="Q117" i="1"/>
  <c r="E117" i="14" s="1"/>
  <c r="A117" i="11"/>
  <c r="B117" i="9"/>
  <c r="E117" i="1"/>
  <c r="AV117" i="5"/>
  <c r="C117" i="14"/>
  <c r="B117" i="7"/>
  <c r="A117" i="10"/>
  <c r="AA117" s="1"/>
  <c r="W117" i="8"/>
  <c r="AB116" i="2"/>
  <c r="AI117" i="5"/>
  <c r="AH117"/>
  <c r="BN117" i="8"/>
  <c r="BO117"/>
  <c r="DM117" s="1"/>
  <c r="EO117"/>
  <c r="DT117" s="1"/>
  <c r="AB117"/>
  <c r="CQ117"/>
  <c r="DA117" s="1"/>
  <c r="DL117"/>
  <c r="E119" i="7"/>
  <c r="C119" i="10"/>
  <c r="G120" i="5"/>
  <c r="CZ119"/>
  <c r="W118" i="1"/>
  <c r="DA119" i="5"/>
  <c r="DH116" i="8"/>
  <c r="EH116" s="1"/>
  <c r="EP116"/>
  <c r="DF118" i="5"/>
  <c r="AC120" i="1" l="1"/>
  <c r="BC121" i="5"/>
  <c r="BN124"/>
  <c r="AF122" i="1"/>
  <c r="BP122" i="5"/>
  <c r="AB121" i="1"/>
  <c r="BK123" i="5"/>
  <c r="AD121" i="1"/>
  <c r="BE121" i="5"/>
  <c r="AE119" i="1"/>
  <c r="W119" s="1"/>
  <c r="AZ124" i="5"/>
  <c r="N120" i="1"/>
  <c r="O121"/>
  <c r="DK121" i="8" s="1"/>
  <c r="DJ120"/>
  <c r="DI120"/>
  <c r="C115" i="9"/>
  <c r="AR115" i="1"/>
  <c r="V115" s="1"/>
  <c r="K116" s="1"/>
  <c r="AR116" i="8" s="1"/>
  <c r="AD117" i="9"/>
  <c r="AV117" i="1" s="1"/>
  <c r="BN115"/>
  <c r="AT116" i="8"/>
  <c r="AW116"/>
  <c r="AQ116"/>
  <c r="F116" i="11"/>
  <c r="M117" i="1"/>
  <c r="BU117" i="8"/>
  <c r="CA117"/>
  <c r="CH117"/>
  <c r="AA116" i="11"/>
  <c r="Y116"/>
  <c r="AH116" i="1" s="1"/>
  <c r="AC116" i="11"/>
  <c r="T116" i="8" s="1"/>
  <c r="AB116" i="11"/>
  <c r="P116" i="8" s="1"/>
  <c r="AD116" i="11"/>
  <c r="AI116" i="1" s="1"/>
  <c r="Z116" i="11"/>
  <c r="AC116" i="2" s="1"/>
  <c r="B121"/>
  <c r="L122" i="11"/>
  <c r="B121" i="1"/>
  <c r="BI121" s="1"/>
  <c r="AJ123" i="14"/>
  <c r="CM122" i="8"/>
  <c r="A122" i="2"/>
  <c r="K122" i="11"/>
  <c r="A122" i="7"/>
  <c r="J123" i="10"/>
  <c r="M122" i="5"/>
  <c r="A122" i="9"/>
  <c r="B122" i="14"/>
  <c r="A122" i="8"/>
  <c r="AD122"/>
  <c r="DR117"/>
  <c r="DS117"/>
  <c r="DZ115"/>
  <c r="EM115" s="1"/>
  <c r="G115" i="1" s="1"/>
  <c r="M115" i="8" s="1"/>
  <c r="DX116"/>
  <c r="EB116" s="1"/>
  <c r="DN117"/>
  <c r="DO117"/>
  <c r="CS118"/>
  <c r="DP118" s="1"/>
  <c r="CT118"/>
  <c r="DQ118" s="1"/>
  <c r="CU118"/>
  <c r="Y120" i="1"/>
  <c r="Q123" i="2"/>
  <c r="I124" i="8"/>
  <c r="DL118"/>
  <c r="AT115" i="1"/>
  <c r="AO115" i="8"/>
  <c r="BO115" i="1"/>
  <c r="AR120" i="5"/>
  <c r="E118" i="1"/>
  <c r="F120" i="7"/>
  <c r="D120" i="10"/>
  <c r="H121" i="5"/>
  <c r="V119" i="2"/>
  <c r="BN118" i="8"/>
  <c r="CO118" s="1"/>
  <c r="BO118"/>
  <c r="DM118" s="1"/>
  <c r="AU118" i="5"/>
  <c r="AB118" i="8"/>
  <c r="BS118" i="5"/>
  <c r="W118" i="8"/>
  <c r="EO118"/>
  <c r="A118" i="11"/>
  <c r="B118" i="7"/>
  <c r="AE118" s="1"/>
  <c r="AF118" s="1"/>
  <c r="B118" i="9"/>
  <c r="C118" i="14"/>
  <c r="AB117" i="2"/>
  <c r="AV118" i="5"/>
  <c r="AH118"/>
  <c r="AC118" i="10" s="1"/>
  <c r="Q118" i="1"/>
  <c r="E118" i="14" s="1"/>
  <c r="AI118" i="5"/>
  <c r="A118" i="10"/>
  <c r="AA118" s="1"/>
  <c r="CQ118" i="8"/>
  <c r="DA118" s="1"/>
  <c r="DD119" i="5"/>
  <c r="I119" i="7"/>
  <c r="K120" i="5"/>
  <c r="G119" i="10"/>
  <c r="A119" i="5"/>
  <c r="E119" s="1"/>
  <c r="EQ119" i="8" s="1"/>
  <c r="CZ119" s="1"/>
  <c r="J119" i="7"/>
  <c r="L120" i="5"/>
  <c r="DE119"/>
  <c r="H119" i="10"/>
  <c r="G120" i="7"/>
  <c r="DB120" i="5"/>
  <c r="I121"/>
  <c r="E120" i="10"/>
  <c r="EI116" i="8"/>
  <c r="AV116"/>
  <c r="AW116" i="1" s="1"/>
  <c r="L116" s="1"/>
  <c r="E116" i="11" s="1"/>
  <c r="AP116" i="5"/>
  <c r="DY116" i="8"/>
  <c r="Q115"/>
  <c r="AU116"/>
  <c r="DC116"/>
  <c r="O116" s="1"/>
  <c r="DD116"/>
  <c r="N117" i="11"/>
  <c r="O122" i="2"/>
  <c r="DE122" i="8"/>
  <c r="DG121" i="5"/>
  <c r="AA121" i="7"/>
  <c r="AE121" i="8" s="1"/>
  <c r="BC121" s="1"/>
  <c r="K121" i="10"/>
  <c r="BY122" i="11"/>
  <c r="B120" i="5"/>
  <c r="D118" i="9"/>
  <c r="J120" i="2"/>
  <c r="CY121" i="5"/>
  <c r="AO117"/>
  <c r="AC117" i="10"/>
  <c r="X117" s="1"/>
  <c r="Y117" s="1"/>
  <c r="AM117" i="5"/>
  <c r="AL117"/>
  <c r="N121" i="2"/>
  <c r="M122"/>
  <c r="DF122" i="8"/>
  <c r="AH116" i="7"/>
  <c r="AG116"/>
  <c r="AI116" s="1"/>
  <c r="DA120" i="5"/>
  <c r="X121" i="1"/>
  <c r="K123" i="8"/>
  <c r="S122" i="2"/>
  <c r="N117" i="7"/>
  <c r="BQ117" i="8"/>
  <c r="BP117"/>
  <c r="BT117"/>
  <c r="BZ117"/>
  <c r="BY117"/>
  <c r="CF117"/>
  <c r="CG117"/>
  <c r="CX117"/>
  <c r="DG117"/>
  <c r="EG117" s="1"/>
  <c r="CV117"/>
  <c r="CW117"/>
  <c r="CY117"/>
  <c r="EA117" s="1"/>
  <c r="DB117"/>
  <c r="EC117" s="1"/>
  <c r="ED117" s="1"/>
  <c r="CO117"/>
  <c r="CR117"/>
  <c r="CN117"/>
  <c r="H124"/>
  <c r="P123" i="2"/>
  <c r="D114" i="11"/>
  <c r="AQ114" i="1"/>
  <c r="U114" s="1"/>
  <c r="J115" s="1"/>
  <c r="AP115" i="8" s="1"/>
  <c r="AK114" i="5"/>
  <c r="BM114" i="1"/>
  <c r="U22" i="2"/>
  <c r="W21" s="1"/>
  <c r="C22" s="1"/>
  <c r="DH117" i="8"/>
  <c r="EH117" s="1"/>
  <c r="EP117"/>
  <c r="F121" i="10"/>
  <c r="DC121" i="5"/>
  <c r="H121" i="7"/>
  <c r="J122" i="5"/>
  <c r="G121"/>
  <c r="E120" i="7"/>
  <c r="CZ120" i="5"/>
  <c r="C120" i="10"/>
  <c r="AE117" i="7"/>
  <c r="AF117" s="1"/>
  <c r="Q117"/>
  <c r="J122" i="8"/>
  <c r="R121" i="2"/>
  <c r="F124" i="5"/>
  <c r="B123" i="10"/>
  <c r="D123" i="7"/>
  <c r="D116" i="14"/>
  <c r="P117" i="1"/>
  <c r="AN117" i="5"/>
  <c r="AQ116"/>
  <c r="AU116" i="1" s="1"/>
  <c r="DF119" i="5"/>
  <c r="J121" i="2" l="1"/>
  <c r="BC122" i="5"/>
  <c r="AC121" i="1"/>
  <c r="AZ125" i="5"/>
  <c r="BN125"/>
  <c r="AF123" i="1"/>
  <c r="BP123" i="5"/>
  <c r="AB122" i="1"/>
  <c r="BE122" i="5"/>
  <c r="AE120" i="1"/>
  <c r="W120" s="1"/>
  <c r="BK124" i="5"/>
  <c r="AD122" i="1"/>
  <c r="R22" i="8"/>
  <c r="S22" s="1"/>
  <c r="N121" i="1"/>
  <c r="O122"/>
  <c r="DK122" i="8" s="1"/>
  <c r="DI121"/>
  <c r="DJ121"/>
  <c r="AD118" i="9"/>
  <c r="AV118" i="1" s="1"/>
  <c r="BN116"/>
  <c r="AR116"/>
  <c r="V116" s="1"/>
  <c r="K117" s="1"/>
  <c r="AR117" i="8" s="1"/>
  <c r="C116" i="9"/>
  <c r="AT117" i="8"/>
  <c r="AQ117"/>
  <c r="F117" i="11"/>
  <c r="M118" i="1"/>
  <c r="AW117" i="8"/>
  <c r="CA118"/>
  <c r="CH118"/>
  <c r="DZ116"/>
  <c r="CF118"/>
  <c r="BU118"/>
  <c r="Y117" i="11"/>
  <c r="AH117" i="1" s="1"/>
  <c r="AA117" i="11"/>
  <c r="AC117"/>
  <c r="T117" i="8" s="1"/>
  <c r="AB117" i="11"/>
  <c r="P117" i="8" s="1"/>
  <c r="Z117" i="11"/>
  <c r="AC117" i="2" s="1"/>
  <c r="AD117" i="11"/>
  <c r="AI117" i="1" s="1"/>
  <c r="A123" i="2"/>
  <c r="K123" i="11"/>
  <c r="J124" i="10"/>
  <c r="A123" i="7"/>
  <c r="A123" i="9"/>
  <c r="A123" i="8"/>
  <c r="B123" i="14"/>
  <c r="M123" i="5"/>
  <c r="AD123" i="8"/>
  <c r="B122" i="2"/>
  <c r="B122" i="1"/>
  <c r="BI122" s="1"/>
  <c r="L123" i="11"/>
  <c r="AJ124" i="14"/>
  <c r="CM123" i="8"/>
  <c r="DR118"/>
  <c r="DS118"/>
  <c r="EP118"/>
  <c r="DT118"/>
  <c r="DX117"/>
  <c r="EB117" s="1"/>
  <c r="CY118"/>
  <c r="EA118" s="1"/>
  <c r="DN118"/>
  <c r="DO118"/>
  <c r="BO119"/>
  <c r="DM119" s="1"/>
  <c r="CS119"/>
  <c r="DP119" s="1"/>
  <c r="CT119"/>
  <c r="DQ119" s="1"/>
  <c r="CU119"/>
  <c r="Y121" i="1"/>
  <c r="I125" i="8"/>
  <c r="Q124" i="2"/>
  <c r="N118" i="7"/>
  <c r="DH118" i="8"/>
  <c r="EH118" s="1"/>
  <c r="Q119" i="1"/>
  <c r="E119" i="14" s="1"/>
  <c r="AB119" i="8"/>
  <c r="BZ119" s="1"/>
  <c r="AB118" i="2"/>
  <c r="A119" i="11"/>
  <c r="N119" s="1"/>
  <c r="AL118" i="5"/>
  <c r="BS119"/>
  <c r="AV119"/>
  <c r="EO119" i="8"/>
  <c r="CQ119"/>
  <c r="DA119" s="1"/>
  <c r="AM118" i="5"/>
  <c r="N118" i="11"/>
  <c r="CG118" i="8"/>
  <c r="BP118"/>
  <c r="BQ118"/>
  <c r="BT118"/>
  <c r="BZ118"/>
  <c r="BY118"/>
  <c r="E119" i="1"/>
  <c r="B119" i="7"/>
  <c r="AE119" s="1"/>
  <c r="AF119" s="1"/>
  <c r="AH119" i="5"/>
  <c r="AU119"/>
  <c r="AO118"/>
  <c r="BN119" i="8"/>
  <c r="CR119" s="1"/>
  <c r="B119" i="9"/>
  <c r="H122" i="5"/>
  <c r="D121" i="10"/>
  <c r="F121" i="7"/>
  <c r="AR121" i="5"/>
  <c r="C119" i="14"/>
  <c r="AI119" i="5"/>
  <c r="W119" i="8"/>
  <c r="DL119"/>
  <c r="A119" i="10"/>
  <c r="AA119" s="1"/>
  <c r="A120" i="5"/>
  <c r="E120" s="1"/>
  <c r="EQ120" i="8" s="1"/>
  <c r="CZ120" s="1"/>
  <c r="CR118"/>
  <c r="DC118" s="1"/>
  <c r="AN118" i="5"/>
  <c r="CN118" i="8"/>
  <c r="Q118" i="7"/>
  <c r="CX118" i="8"/>
  <c r="V120" i="2"/>
  <c r="X118" i="10"/>
  <c r="Y118" s="1"/>
  <c r="D119" i="9"/>
  <c r="DB118" i="8"/>
  <c r="EC118" s="1"/>
  <c r="ED118" s="1"/>
  <c r="CV118"/>
  <c r="DG118"/>
  <c r="EG118" s="1"/>
  <c r="CW118"/>
  <c r="G120" i="10"/>
  <c r="K121" i="5"/>
  <c r="DD120"/>
  <c r="I120" i="7"/>
  <c r="J120"/>
  <c r="L121" i="5"/>
  <c r="DE120"/>
  <c r="H120" i="10"/>
  <c r="DB121" i="5"/>
  <c r="G121" i="7"/>
  <c r="I122" i="5"/>
  <c r="E121" i="10"/>
  <c r="BO116" i="1"/>
  <c r="AO116" i="8"/>
  <c r="AQ117" i="5"/>
  <c r="AU117" i="1" s="1"/>
  <c r="AT116"/>
  <c r="EI117" i="8"/>
  <c r="DY117"/>
  <c r="AV117"/>
  <c r="AW117" i="1" s="1"/>
  <c r="L117" s="1"/>
  <c r="AO117" i="8" s="1"/>
  <c r="D117" i="14"/>
  <c r="P118" i="1"/>
  <c r="H125" i="8"/>
  <c r="P124" i="2"/>
  <c r="AP117" i="5"/>
  <c r="D124" i="7"/>
  <c r="B124" i="10"/>
  <c r="F125" i="5"/>
  <c r="AG117" i="7"/>
  <c r="AI117" s="1"/>
  <c r="AH117"/>
  <c r="CZ121" i="5"/>
  <c r="C121" i="10"/>
  <c r="E121" i="7"/>
  <c r="G122" i="5"/>
  <c r="AH118" i="7"/>
  <c r="AG118"/>
  <c r="AI118" s="1"/>
  <c r="DA121" i="5"/>
  <c r="M123" i="2"/>
  <c r="DF123" i="8"/>
  <c r="AA122" i="7"/>
  <c r="AE122" i="8" s="1"/>
  <c r="BC122" s="1"/>
  <c r="BY123" i="11"/>
  <c r="K122" i="10"/>
  <c r="EE116" i="8"/>
  <c r="EF116" s="1"/>
  <c r="Q116"/>
  <c r="H22" i="2"/>
  <c r="F22" i="1"/>
  <c r="F22" i="2"/>
  <c r="I22"/>
  <c r="O123"/>
  <c r="DE123" i="8"/>
  <c r="DD117"/>
  <c r="DC117"/>
  <c r="O117" s="1"/>
  <c r="BM115" i="1"/>
  <c r="D115" i="11"/>
  <c r="AK115" i="5"/>
  <c r="AQ115" i="1"/>
  <c r="U115" s="1"/>
  <c r="J116" s="1"/>
  <c r="AP116" i="8" s="1"/>
  <c r="DG122" i="5"/>
  <c r="AU117" i="8"/>
  <c r="X122" i="1"/>
  <c r="K124" i="8"/>
  <c r="S123" i="2"/>
  <c r="J123" i="8"/>
  <c r="R122" i="2"/>
  <c r="J123" i="5"/>
  <c r="H122" i="7"/>
  <c r="F122" i="10"/>
  <c r="DC122" i="5"/>
  <c r="N122" i="2"/>
  <c r="CY122" i="5"/>
  <c r="B121"/>
  <c r="DF120"/>
  <c r="AC122" i="1" l="1"/>
  <c r="BC123" i="5"/>
  <c r="B122"/>
  <c r="BK125"/>
  <c r="AD123" i="1"/>
  <c r="BN126" i="5"/>
  <c r="AF124" i="1"/>
  <c r="AZ126" i="5"/>
  <c r="BP124"/>
  <c r="AB123" i="1"/>
  <c r="BE123" i="5"/>
  <c r="AE121" i="1"/>
  <c r="O118" i="8"/>
  <c r="AR117" i="1"/>
  <c r="V117" s="1"/>
  <c r="K118" s="1"/>
  <c r="AR118" i="8" s="1"/>
  <c r="BN117" i="1"/>
  <c r="N122"/>
  <c r="O123"/>
  <c r="DK123" i="8" s="1"/>
  <c r="DI122"/>
  <c r="DJ122"/>
  <c r="C117" i="9"/>
  <c r="AD119"/>
  <c r="AV119" i="1" s="1"/>
  <c r="AT118" i="8"/>
  <c r="AQ118"/>
  <c r="M119" i="1"/>
  <c r="F118" i="11"/>
  <c r="AW118" i="8"/>
  <c r="CA119"/>
  <c r="CH119"/>
  <c r="EM116"/>
  <c r="G116" i="1" s="1"/>
  <c r="M116" i="8" s="1"/>
  <c r="BT119"/>
  <c r="BU119"/>
  <c r="Y118" i="11"/>
  <c r="AH118" i="1" s="1"/>
  <c r="AC118" i="11"/>
  <c r="T118" i="8" s="1"/>
  <c r="AA118" i="11"/>
  <c r="Z118"/>
  <c r="AC118" i="2" s="1"/>
  <c r="AB118" i="11"/>
  <c r="P118" i="8" s="1"/>
  <c r="AD118" i="11"/>
  <c r="AI118" i="1" s="1"/>
  <c r="DZ117" i="8"/>
  <c r="A124" i="2"/>
  <c r="A124" i="7"/>
  <c r="J125" i="10"/>
  <c r="AD124" i="8"/>
  <c r="A124"/>
  <c r="B124" i="14"/>
  <c r="M124" i="5"/>
  <c r="A124" i="9"/>
  <c r="K124" i="11"/>
  <c r="B123" i="2"/>
  <c r="L124" i="11"/>
  <c r="B123" i="1"/>
  <c r="BI123" s="1"/>
  <c r="AJ125" i="14"/>
  <c r="CM124" i="8"/>
  <c r="DH119"/>
  <c r="EH119" s="1"/>
  <c r="DT119"/>
  <c r="DR119"/>
  <c r="DS119"/>
  <c r="DX118"/>
  <c r="EB118" s="1"/>
  <c r="DB119"/>
  <c r="EC119" s="1"/>
  <c r="ED119" s="1"/>
  <c r="DN119"/>
  <c r="DO119"/>
  <c r="AO119" i="5"/>
  <c r="E120" i="1"/>
  <c r="CU120" i="8"/>
  <c r="CT120"/>
  <c r="DQ120" s="1"/>
  <c r="CS120"/>
  <c r="DP120" s="1"/>
  <c r="Y122" i="1"/>
  <c r="J122" i="2"/>
  <c r="I126" i="8"/>
  <c r="Q125" i="2"/>
  <c r="EP119" i="8"/>
  <c r="EI118"/>
  <c r="AH120" i="5"/>
  <c r="CG119" i="8"/>
  <c r="BP119"/>
  <c r="N119" i="7"/>
  <c r="BQ119" i="8"/>
  <c r="BY119"/>
  <c r="DD118"/>
  <c r="EE118" s="1"/>
  <c r="EF118" s="1"/>
  <c r="CF119"/>
  <c r="CO119"/>
  <c r="CN119"/>
  <c r="AP118" i="5"/>
  <c r="D120" i="9"/>
  <c r="CV119" i="8"/>
  <c r="DG119"/>
  <c r="EG119" s="1"/>
  <c r="CX119"/>
  <c r="CY119"/>
  <c r="EA119" s="1"/>
  <c r="CW119"/>
  <c r="CQ120"/>
  <c r="DA120" s="1"/>
  <c r="AQ118" i="5"/>
  <c r="AU118" i="1" s="1"/>
  <c r="AM119" i="5"/>
  <c r="Q119" i="7"/>
  <c r="AC119" i="10"/>
  <c r="X119" s="1"/>
  <c r="Y119" s="1"/>
  <c r="AL119" i="5"/>
  <c r="AV118" i="8"/>
  <c r="AW118" i="1" s="1"/>
  <c r="L118" s="1"/>
  <c r="BO118" s="1"/>
  <c r="AN119" i="5"/>
  <c r="AU118" i="8"/>
  <c r="DY118"/>
  <c r="D122" i="10"/>
  <c r="F122" i="7"/>
  <c r="H123" i="5"/>
  <c r="AR122"/>
  <c r="DL120" i="8"/>
  <c r="Q120" i="1"/>
  <c r="E120" i="14" s="1"/>
  <c r="CX120" i="8"/>
  <c r="A120" i="10"/>
  <c r="AA120" s="1"/>
  <c r="AV120" i="5"/>
  <c r="B120" i="9"/>
  <c r="BO120" i="8"/>
  <c r="DM120" s="1"/>
  <c r="AI120" i="5"/>
  <c r="BN120" i="8"/>
  <c r="AU120" i="5"/>
  <c r="AL120" s="1"/>
  <c r="EO120" i="8"/>
  <c r="C120" i="14"/>
  <c r="A120" i="11"/>
  <c r="W120" i="8"/>
  <c r="B120" i="7"/>
  <c r="Q120" s="1"/>
  <c r="AB120" i="8"/>
  <c r="AB119" i="2"/>
  <c r="BS120" i="5"/>
  <c r="A121"/>
  <c r="E121" s="1"/>
  <c r="EQ121" i="8" s="1"/>
  <c r="CZ121" s="1"/>
  <c r="V121" i="2"/>
  <c r="K122" i="5"/>
  <c r="G121" i="10"/>
  <c r="DD121" i="5"/>
  <c r="I121" i="7"/>
  <c r="DE121" i="5"/>
  <c r="H121" i="10"/>
  <c r="L122" i="5"/>
  <c r="J121" i="7"/>
  <c r="I123" i="5"/>
  <c r="E122" i="10"/>
  <c r="G122" i="7"/>
  <c r="DB122" i="5"/>
  <c r="AT117" i="1"/>
  <c r="BO117"/>
  <c r="E117" i="11"/>
  <c r="O124" i="2"/>
  <c r="DE124" i="8"/>
  <c r="N123" i="2"/>
  <c r="J124" i="8"/>
  <c r="R123" i="2"/>
  <c r="AP22" i="1"/>
  <c r="T22" s="1"/>
  <c r="J22" i="11"/>
  <c r="G22" i="2"/>
  <c r="Z22" s="1"/>
  <c r="Z23" i="8" s="1"/>
  <c r="C122" i="10"/>
  <c r="G123" i="5"/>
  <c r="E122" i="7"/>
  <c r="CZ122" i="5"/>
  <c r="CY123"/>
  <c r="O22" i="7"/>
  <c r="I22" i="11"/>
  <c r="DF124" i="8"/>
  <c r="M124" i="2"/>
  <c r="V22" i="8"/>
  <c r="U22"/>
  <c r="AA123" i="7"/>
  <c r="AE123" i="8" s="1"/>
  <c r="BC123" s="1"/>
  <c r="K123" i="10"/>
  <c r="BY124" i="11"/>
  <c r="DC119" i="8"/>
  <c r="DD119"/>
  <c r="DC123" i="5"/>
  <c r="F123" i="10"/>
  <c r="J124" i="5"/>
  <c r="H123" i="7"/>
  <c r="X123" i="1"/>
  <c r="DG123" i="5"/>
  <c r="AK116"/>
  <c r="BM116" i="1"/>
  <c r="AQ116"/>
  <c r="U116" s="1"/>
  <c r="J117" s="1"/>
  <c r="AP117" i="8" s="1"/>
  <c r="D116" i="11"/>
  <c r="EE117" i="8"/>
  <c r="EF117" s="1"/>
  <c r="Q117"/>
  <c r="H126"/>
  <c r="P125" i="2"/>
  <c r="AA22" i="1"/>
  <c r="S22" s="1"/>
  <c r="H23" s="1"/>
  <c r="P119"/>
  <c r="D118" i="14"/>
  <c r="K125" i="8"/>
  <c r="S124" i="2"/>
  <c r="AH119" i="7"/>
  <c r="AG119"/>
  <c r="AI119" s="1"/>
  <c r="W121" i="1"/>
  <c r="DA122" i="5"/>
  <c r="D125" i="7"/>
  <c r="F126" i="5"/>
  <c r="B125" i="10"/>
  <c r="DF121" i="5"/>
  <c r="AC123" i="1" l="1"/>
  <c r="BC124" i="5"/>
  <c r="BK126"/>
  <c r="AD124" i="1"/>
  <c r="BN127" i="5"/>
  <c r="AF125" i="1"/>
  <c r="BE124" i="5"/>
  <c r="AE122" i="1"/>
  <c r="W122" s="1"/>
  <c r="AZ127" i="5"/>
  <c r="BP125"/>
  <c r="AB124" i="1"/>
  <c r="O119" i="8"/>
  <c r="N123" i="1"/>
  <c r="O124"/>
  <c r="DK124" i="8" s="1"/>
  <c r="DI123"/>
  <c r="DJ123"/>
  <c r="C118" i="9"/>
  <c r="BN118" i="1"/>
  <c r="AR118"/>
  <c r="V118" s="1"/>
  <c r="K119" s="1"/>
  <c r="AD120" i="9"/>
  <c r="AV120" i="1" s="1"/>
  <c r="I23"/>
  <c r="AT119" i="8"/>
  <c r="AQ119"/>
  <c r="F119" i="11"/>
  <c r="M120" i="1"/>
  <c r="AW119" i="8"/>
  <c r="CA120"/>
  <c r="CH120"/>
  <c r="BQ120"/>
  <c r="BU120"/>
  <c r="AA119" i="11"/>
  <c r="Y119"/>
  <c r="AH119" i="1" s="1"/>
  <c r="AC119" i="11"/>
  <c r="T119" i="8" s="1"/>
  <c r="AD119" i="11"/>
  <c r="AI119" i="1" s="1"/>
  <c r="Z119" i="11"/>
  <c r="AC119" i="2" s="1"/>
  <c r="AB119" i="11"/>
  <c r="P119" i="8" s="1"/>
  <c r="Q118"/>
  <c r="DZ118"/>
  <c r="EM118" s="1"/>
  <c r="G118" i="1" s="1"/>
  <c r="M118" i="8" s="1"/>
  <c r="EM117"/>
  <c r="G117" i="1" s="1"/>
  <c r="M117" i="8" s="1"/>
  <c r="EI119"/>
  <c r="B124" i="1"/>
  <c r="BI124" s="1"/>
  <c r="B124" i="2"/>
  <c r="L125" i="11"/>
  <c r="A125" i="2"/>
  <c r="A125" i="7"/>
  <c r="A125" i="8"/>
  <c r="M125" i="5"/>
  <c r="A125" i="9"/>
  <c r="K125" i="11"/>
  <c r="B125" i="14"/>
  <c r="J126" i="10"/>
  <c r="AD125" i="8"/>
  <c r="AJ126" i="14"/>
  <c r="CM125" i="8"/>
  <c r="DR120"/>
  <c r="DS120"/>
  <c r="EP120"/>
  <c r="DT120"/>
  <c r="DX119"/>
  <c r="EB119" s="1"/>
  <c r="DB120"/>
  <c r="EC120" s="1"/>
  <c r="ED120" s="1"/>
  <c r="DN120"/>
  <c r="DO120"/>
  <c r="AQ119" i="5"/>
  <c r="AU119" i="1" s="1"/>
  <c r="CS121" i="8"/>
  <c r="DP121" s="1"/>
  <c r="CT121"/>
  <c r="DQ121" s="1"/>
  <c r="CU121"/>
  <c r="Y123" i="1"/>
  <c r="AO120" i="5"/>
  <c r="AC120" i="10"/>
  <c r="X120" s="1"/>
  <c r="Y120" s="1"/>
  <c r="AV119" i="8"/>
  <c r="AW119" i="1" s="1"/>
  <c r="L119" s="1"/>
  <c r="I127" i="8"/>
  <c r="Q126" i="2"/>
  <c r="AT118" i="1"/>
  <c r="AM120" i="5"/>
  <c r="AU119" i="8"/>
  <c r="DY119"/>
  <c r="CW120"/>
  <c r="DY120" s="1"/>
  <c r="DG120"/>
  <c r="EG120" s="1"/>
  <c r="CY120"/>
  <c r="EA120" s="1"/>
  <c r="D121" i="9"/>
  <c r="CV120" i="8"/>
  <c r="AN120" i="5"/>
  <c r="AP120" s="1"/>
  <c r="AP119"/>
  <c r="DH120" i="8"/>
  <c r="EH120" s="1"/>
  <c r="AE120" i="7"/>
  <c r="AF120" s="1"/>
  <c r="N120"/>
  <c r="BP120" i="8"/>
  <c r="BT120"/>
  <c r="BZ120"/>
  <c r="BY120"/>
  <c r="CF120"/>
  <c r="CG120"/>
  <c r="D123" i="10"/>
  <c r="F123" i="7"/>
  <c r="H124" i="5"/>
  <c r="CO120" i="8"/>
  <c r="CR120"/>
  <c r="DD120" s="1"/>
  <c r="CN120"/>
  <c r="N120" i="11"/>
  <c r="AR123" i="5"/>
  <c r="G122" i="10"/>
  <c r="DD122" i="5"/>
  <c r="I122" i="7"/>
  <c r="K123" i="5"/>
  <c r="V122" i="2"/>
  <c r="A122" i="5"/>
  <c r="E122" s="1"/>
  <c r="EQ122" i="8" s="1"/>
  <c r="CZ122" s="1"/>
  <c r="H122" i="10"/>
  <c r="DE122" i="5"/>
  <c r="J122" i="7"/>
  <c r="L123" i="5"/>
  <c r="G123" i="7"/>
  <c r="E123" i="10"/>
  <c r="I124" i="5"/>
  <c r="DB123"/>
  <c r="E118" i="11"/>
  <c r="AO118" i="8"/>
  <c r="X124" i="1"/>
  <c r="CZ123" i="5"/>
  <c r="G124"/>
  <c r="E123" i="7"/>
  <c r="C123" i="10"/>
  <c r="AV121" i="5"/>
  <c r="Q121" i="1"/>
  <c r="E121" i="14" s="1"/>
  <c r="BS121" i="5"/>
  <c r="B121" i="7"/>
  <c r="A121" i="11"/>
  <c r="E121" i="1"/>
  <c r="A121" i="10"/>
  <c r="AA121" s="1"/>
  <c r="C121" i="14"/>
  <c r="W121" i="8"/>
  <c r="B121" i="9"/>
  <c r="AU121" i="5"/>
  <c r="AB120" i="2"/>
  <c r="AI121" i="5"/>
  <c r="AH121"/>
  <c r="BN121" i="8"/>
  <c r="BO121"/>
  <c r="DM121" s="1"/>
  <c r="EO121"/>
  <c r="DT121" s="1"/>
  <c r="AB121"/>
  <c r="DL121"/>
  <c r="CQ121"/>
  <c r="DA121" s="1"/>
  <c r="J125"/>
  <c r="R124" i="2"/>
  <c r="P120" i="1"/>
  <c r="D119" i="14"/>
  <c r="CY124" i="5"/>
  <c r="B123"/>
  <c r="DG124"/>
  <c r="K124" i="10"/>
  <c r="BY125" i="11"/>
  <c r="AA124" i="7"/>
  <c r="AE124" i="8" s="1"/>
  <c r="BC124" s="1"/>
  <c r="P126" i="2"/>
  <c r="H127" i="8"/>
  <c r="B126" i="10"/>
  <c r="F127" i="5"/>
  <c r="D126" i="7"/>
  <c r="DA123" i="5"/>
  <c r="C23" i="11"/>
  <c r="V23" i="10"/>
  <c r="AN23" i="8"/>
  <c r="AJ23" i="5"/>
  <c r="AC23" i="7"/>
  <c r="BK23" i="1"/>
  <c r="H124" i="7"/>
  <c r="F124" i="10"/>
  <c r="DC124" i="5"/>
  <c r="J125"/>
  <c r="EE119" i="8"/>
  <c r="EF119" s="1"/>
  <c r="DF125"/>
  <c r="M125" i="2"/>
  <c r="DE125" i="8"/>
  <c r="O125" i="2"/>
  <c r="K126" i="8"/>
  <c r="S125" i="2"/>
  <c r="F22" i="9"/>
  <c r="P22" i="7"/>
  <c r="J123" i="2"/>
  <c r="BM117" i="1"/>
  <c r="D117" i="11"/>
  <c r="AK117" i="5"/>
  <c r="AQ117" i="1"/>
  <c r="U117" s="1"/>
  <c r="J118" s="1"/>
  <c r="AP118" i="8" s="1"/>
  <c r="C22"/>
  <c r="N124" i="2"/>
  <c r="DF122" i="5"/>
  <c r="BC125" l="1"/>
  <c r="AC124" i="1"/>
  <c r="BK127" i="5"/>
  <c r="AD125" i="1"/>
  <c r="AZ128" i="5"/>
  <c r="BP126"/>
  <c r="AB125" i="1"/>
  <c r="BN128" i="5"/>
  <c r="AF126" i="1"/>
  <c r="BE125" i="5"/>
  <c r="AE123" i="1"/>
  <c r="N124"/>
  <c r="O125"/>
  <c r="DK125" i="8" s="1"/>
  <c r="DJ124"/>
  <c r="DI124"/>
  <c r="AS23"/>
  <c r="AO23" i="1"/>
  <c r="AR119" i="8"/>
  <c r="AR119" i="1"/>
  <c r="V119" s="1"/>
  <c r="K120" s="1"/>
  <c r="AR120" i="8" s="1"/>
  <c r="BN119" i="1"/>
  <c r="C119" i="9"/>
  <c r="AD121"/>
  <c r="AV121" i="1" s="1"/>
  <c r="BL23"/>
  <c r="AT120" i="8"/>
  <c r="AQ120"/>
  <c r="F120" i="11"/>
  <c r="M121" i="1"/>
  <c r="AW120" i="8"/>
  <c r="BU121"/>
  <c r="CA121"/>
  <c r="CH121"/>
  <c r="AA120" i="11"/>
  <c r="AC120"/>
  <c r="T120" i="8" s="1"/>
  <c r="Y120" i="11"/>
  <c r="AH120" i="1" s="1"/>
  <c r="Z120" i="11"/>
  <c r="AC120" i="2" s="1"/>
  <c r="AD120" i="11"/>
  <c r="AI120" i="1" s="1"/>
  <c r="AB120" i="11"/>
  <c r="P120" i="8" s="1"/>
  <c r="DZ119"/>
  <c r="EM119" s="1"/>
  <c r="G119" i="1" s="1"/>
  <c r="M119" i="8" s="1"/>
  <c r="A126" i="2"/>
  <c r="A126" i="7"/>
  <c r="B126" i="14"/>
  <c r="A126" i="9"/>
  <c r="A126" i="8"/>
  <c r="J127" i="10"/>
  <c r="M126" i="5"/>
  <c r="K126" i="11"/>
  <c r="AD126" i="8"/>
  <c r="L126" i="11"/>
  <c r="B125" i="2"/>
  <c r="B125" i="1"/>
  <c r="BI125" s="1"/>
  <c r="AJ127" i="14"/>
  <c r="CM126" i="8"/>
  <c r="DR121"/>
  <c r="DS121"/>
  <c r="DX120"/>
  <c r="EB120" s="1"/>
  <c r="DN121"/>
  <c r="DO121"/>
  <c r="CS122"/>
  <c r="DP122" s="1"/>
  <c r="CT122"/>
  <c r="DQ122" s="1"/>
  <c r="CU122"/>
  <c r="AQ120" i="5"/>
  <c r="AU120" i="1" s="1"/>
  <c r="Y124"/>
  <c r="AH120" i="7"/>
  <c r="Q127" i="2"/>
  <c r="I128" i="8"/>
  <c r="EI120"/>
  <c r="AT119" i="1"/>
  <c r="DL122" i="8"/>
  <c r="A122" i="11"/>
  <c r="AG120" i="7"/>
  <c r="AI120" s="1"/>
  <c r="DC120" i="8"/>
  <c r="O120" s="1"/>
  <c r="AV120"/>
  <c r="AW120" i="1" s="1"/>
  <c r="L120" s="1"/>
  <c r="E120" i="11" s="1"/>
  <c r="AB121" i="2"/>
  <c r="AU120" i="8"/>
  <c r="Q119"/>
  <c r="C122" i="14"/>
  <c r="F124" i="7"/>
  <c r="D124" i="10"/>
  <c r="H125" i="5"/>
  <c r="AH122"/>
  <c r="AC122" i="10" s="1"/>
  <c r="AI122" i="5"/>
  <c r="B122" i="7"/>
  <c r="AE122" s="1"/>
  <c r="AF122" s="1"/>
  <c r="BN122" i="8"/>
  <c r="CN122" s="1"/>
  <c r="Q122" i="1"/>
  <c r="E122" i="14" s="1"/>
  <c r="E122" i="1"/>
  <c r="BO122" i="8"/>
  <c r="DM122" s="1"/>
  <c r="AU122" i="5"/>
  <c r="AR124"/>
  <c r="AB122" i="8"/>
  <c r="W122"/>
  <c r="AV122" i="5"/>
  <c r="B122" i="9"/>
  <c r="EO122" i="8"/>
  <c r="BS122" i="5"/>
  <c r="A122" i="10"/>
  <c r="AA122" s="1"/>
  <c r="CQ122" i="8"/>
  <c r="DA122" s="1"/>
  <c r="H123" i="10"/>
  <c r="DE123" i="5"/>
  <c r="L124"/>
  <c r="J123" i="7"/>
  <c r="DD123" i="5"/>
  <c r="I123" i="7"/>
  <c r="G123" i="10"/>
  <c r="K124" i="5"/>
  <c r="A123"/>
  <c r="E123" s="1"/>
  <c r="EQ123" i="8" s="1"/>
  <c r="CZ123" s="1"/>
  <c r="V123" i="2"/>
  <c r="DB124" i="5"/>
  <c r="I125"/>
  <c r="G124" i="7"/>
  <c r="E124" i="10"/>
  <c r="AN121" i="5"/>
  <c r="E119" i="11"/>
  <c r="AO119" i="8"/>
  <c r="BO119" i="1"/>
  <c r="D118" i="11"/>
  <c r="BM118" i="1"/>
  <c r="AQ118"/>
  <c r="U118" s="1"/>
  <c r="J119" s="1"/>
  <c r="AP119" i="8" s="1"/>
  <c r="AK118" i="5"/>
  <c r="Y22" i="2"/>
  <c r="X22" s="1"/>
  <c r="O126"/>
  <c r="DE126" i="8"/>
  <c r="K125" i="10"/>
  <c r="BY126" i="11"/>
  <c r="AA125" i="7"/>
  <c r="AE125" i="8" s="1"/>
  <c r="BC125" s="1"/>
  <c r="DH121"/>
  <c r="EH121" s="1"/>
  <c r="EP121"/>
  <c r="G125" i="5"/>
  <c r="CZ124"/>
  <c r="E124" i="7"/>
  <c r="C124" i="10"/>
  <c r="DF126" i="8"/>
  <c r="M126" i="2"/>
  <c r="N125"/>
  <c r="CY125" i="5"/>
  <c r="N121" i="7"/>
  <c r="BP121" i="8"/>
  <c r="BQ121"/>
  <c r="BT121"/>
  <c r="BZ121"/>
  <c r="BY121"/>
  <c r="CG121"/>
  <c r="CF121"/>
  <c r="Q121" i="7"/>
  <c r="AE121"/>
  <c r="AF121" s="1"/>
  <c r="N121" i="11"/>
  <c r="X125" i="1"/>
  <c r="H128" i="8"/>
  <c r="P127" i="2"/>
  <c r="DG125" i="5"/>
  <c r="CW121" i="8"/>
  <c r="CY121"/>
  <c r="EA121" s="1"/>
  <c r="DG121"/>
  <c r="EG121" s="1"/>
  <c r="CX121"/>
  <c r="DB121"/>
  <c r="EC121" s="1"/>
  <c r="ED121" s="1"/>
  <c r="CV121"/>
  <c r="AO121" i="5"/>
  <c r="AC121" i="10"/>
  <c r="X121" s="1"/>
  <c r="Y121" s="1"/>
  <c r="AM121" i="5"/>
  <c r="AL121"/>
  <c r="W123" i="1"/>
  <c r="DA124" i="5"/>
  <c r="K127" i="8"/>
  <c r="S126" i="2"/>
  <c r="F125" i="10"/>
  <c r="H125" i="7"/>
  <c r="J126" i="5"/>
  <c r="DC125"/>
  <c r="J124" i="2"/>
  <c r="R125"/>
  <c r="J126" i="8"/>
  <c r="B127" i="10"/>
  <c r="D127" i="7"/>
  <c r="F128" i="5"/>
  <c r="P121" i="1"/>
  <c r="D120" i="14"/>
  <c r="CR121" i="8"/>
  <c r="CN121"/>
  <c r="CO121"/>
  <c r="D122" i="9"/>
  <c r="B124" i="5"/>
  <c r="DF123"/>
  <c r="AC125" i="1" l="1"/>
  <c r="BC126" i="5"/>
  <c r="BK128"/>
  <c r="AD126" i="1"/>
  <c r="BN129" i="5"/>
  <c r="AF127" i="1"/>
  <c r="BE126" i="5"/>
  <c r="AE124" i="1"/>
  <c r="AZ129" i="5"/>
  <c r="BP127"/>
  <c r="AB126" i="1"/>
  <c r="N125"/>
  <c r="O126"/>
  <c r="DK126" i="8" s="1"/>
  <c r="DI125"/>
  <c r="DJ125"/>
  <c r="AD122" i="9"/>
  <c r="AV122" i="1" s="1"/>
  <c r="BN120"/>
  <c r="AR120"/>
  <c r="V120" s="1"/>
  <c r="K121" s="1"/>
  <c r="AR121" i="8" s="1"/>
  <c r="C120" i="9"/>
  <c r="AT121" i="8"/>
  <c r="AW121"/>
  <c r="AQ121"/>
  <c r="M122" i="1"/>
  <c r="F121" i="11"/>
  <c r="CA122" i="8"/>
  <c r="CH122"/>
  <c r="BQ122"/>
  <c r="BU122"/>
  <c r="AC121" i="11"/>
  <c r="T121" i="8" s="1"/>
  <c r="Y121" i="11"/>
  <c r="AH121" i="1" s="1"/>
  <c r="AA121" i="11"/>
  <c r="AB121"/>
  <c r="P121" i="8" s="1"/>
  <c r="AD121" i="11"/>
  <c r="AI121" i="1" s="1"/>
  <c r="Z121" i="11"/>
  <c r="AC121" i="2" s="1"/>
  <c r="B126"/>
  <c r="B126" i="1"/>
  <c r="BI126" s="1"/>
  <c r="L127" i="11"/>
  <c r="AJ128" i="14"/>
  <c r="CM127" i="8"/>
  <c r="A127" i="2"/>
  <c r="A127" i="8"/>
  <c r="B127" i="14"/>
  <c r="A127" i="7"/>
  <c r="K127" i="11"/>
  <c r="A127" i="9"/>
  <c r="M127" i="5"/>
  <c r="AD127" i="8"/>
  <c r="J128" i="10"/>
  <c r="DR122" i="8"/>
  <c r="DS122"/>
  <c r="DZ120"/>
  <c r="EP122"/>
  <c r="DT122"/>
  <c r="DX121"/>
  <c r="EB121" s="1"/>
  <c r="DB122"/>
  <c r="EC122" s="1"/>
  <c r="ED122" s="1"/>
  <c r="DN122"/>
  <c r="DO122"/>
  <c r="CT123"/>
  <c r="DQ123" s="1"/>
  <c r="CU123"/>
  <c r="CS123"/>
  <c r="DP123" s="1"/>
  <c r="Y125" i="1"/>
  <c r="AT120"/>
  <c r="I129" i="8"/>
  <c r="Q128" i="2"/>
  <c r="DH122" i="8"/>
  <c r="EH122" s="1"/>
  <c r="CV122"/>
  <c r="BP122"/>
  <c r="X122" i="10"/>
  <c r="Y122" s="1"/>
  <c r="N122" i="11"/>
  <c r="AN122" i="5"/>
  <c r="EE120" i="8"/>
  <c r="EF120" s="1"/>
  <c r="AL122" i="5"/>
  <c r="BT122" i="8"/>
  <c r="BZ122"/>
  <c r="BY122"/>
  <c r="N122" i="7"/>
  <c r="CF122" i="8"/>
  <c r="CG122"/>
  <c r="Q122" i="7"/>
  <c r="CY122" i="8"/>
  <c r="EA122" s="1"/>
  <c r="CR122"/>
  <c r="DD122" s="1"/>
  <c r="CO122"/>
  <c r="D123" i="9"/>
  <c r="D125" i="10"/>
  <c r="H126" i="5"/>
  <c r="F125" i="7"/>
  <c r="CX122" i="8"/>
  <c r="AO122" i="5"/>
  <c r="AM122"/>
  <c r="CW122" i="8"/>
  <c r="DG122"/>
  <c r="EG122" s="1"/>
  <c r="AP121" i="5"/>
  <c r="DE124"/>
  <c r="L125"/>
  <c r="H124" i="10"/>
  <c r="J124" i="7"/>
  <c r="DD124" i="5"/>
  <c r="K125"/>
  <c r="G124" i="10"/>
  <c r="I124" i="7"/>
  <c r="AR125" i="5"/>
  <c r="V124" i="2"/>
  <c r="A124" i="5"/>
  <c r="E124" s="1"/>
  <c r="EQ124" i="8" s="1"/>
  <c r="CZ124" s="1"/>
  <c r="E125" i="10"/>
  <c r="DB125" i="5"/>
  <c r="G125" i="7"/>
  <c r="I126" i="5"/>
  <c r="AO120" i="8"/>
  <c r="EI121"/>
  <c r="Q120"/>
  <c r="BO120" i="1"/>
  <c r="AV121" i="8"/>
  <c r="AW121" i="1" s="1"/>
  <c r="L121" s="1"/>
  <c r="E121" i="11" s="1"/>
  <c r="AH122" i="7"/>
  <c r="AG122"/>
  <c r="AI122" s="1"/>
  <c r="E123" i="1"/>
  <c r="B123" i="9"/>
  <c r="BS123" i="5"/>
  <c r="A123" i="11"/>
  <c r="Q123" i="1"/>
  <c r="E123" i="14" s="1"/>
  <c r="B123" i="7"/>
  <c r="W123" i="8"/>
  <c r="A123" i="10"/>
  <c r="AA123" s="1"/>
  <c r="AU123" i="5"/>
  <c r="C123" i="14"/>
  <c r="AV123" i="5"/>
  <c r="AB122" i="2"/>
  <c r="AI123" i="5"/>
  <c r="AH123"/>
  <c r="BN123" i="8"/>
  <c r="BO123"/>
  <c r="DM123" s="1"/>
  <c r="AB123"/>
  <c r="EO123"/>
  <c r="DT123" s="1"/>
  <c r="DL123"/>
  <c r="CQ123"/>
  <c r="DA123" s="1"/>
  <c r="AA126" i="7"/>
  <c r="AE126" i="8" s="1"/>
  <c r="BC126" s="1"/>
  <c r="K126" i="10"/>
  <c r="BY127" i="11"/>
  <c r="DE127" i="8"/>
  <c r="O127" i="2"/>
  <c r="E23"/>
  <c r="BD23" i="8"/>
  <c r="L23" i="2"/>
  <c r="H23" i="11"/>
  <c r="B23" i="8"/>
  <c r="D23" i="2" s="1"/>
  <c r="AB23" i="7"/>
  <c r="S127" i="2"/>
  <c r="K128" i="8"/>
  <c r="W124" i="1"/>
  <c r="DA125" i="5"/>
  <c r="AG121" i="7"/>
  <c r="AI121" s="1"/>
  <c r="AH121"/>
  <c r="N126" i="2"/>
  <c r="B125" i="5"/>
  <c r="DG126"/>
  <c r="J127" i="8"/>
  <c r="R126" i="2"/>
  <c r="CY126" i="5"/>
  <c r="DF127" i="8"/>
  <c r="M127" i="2"/>
  <c r="D119" i="11"/>
  <c r="BM119" i="1"/>
  <c r="AK119" i="5"/>
  <c r="AQ119" i="1"/>
  <c r="U119" s="1"/>
  <c r="J120" s="1"/>
  <c r="AP120" i="8" s="1"/>
  <c r="AQ121" i="5"/>
  <c r="AU121" i="1" s="1"/>
  <c r="DY121" i="8"/>
  <c r="DD121"/>
  <c r="DC121"/>
  <c r="O121" s="1"/>
  <c r="D121" i="14"/>
  <c r="P122" i="1"/>
  <c r="E125" i="7"/>
  <c r="C125" i="10"/>
  <c r="CZ125" i="5"/>
  <c r="G126"/>
  <c r="AU121" i="8"/>
  <c r="F129" i="5"/>
  <c r="D128" i="7"/>
  <c r="B128" i="10"/>
  <c r="DC126" i="5"/>
  <c r="F126" i="10"/>
  <c r="J127" i="5"/>
  <c r="H126" i="7"/>
  <c r="H129" i="8"/>
  <c r="P128" i="2"/>
  <c r="X126" i="1"/>
  <c r="J125" i="2"/>
  <c r="DF124" i="5"/>
  <c r="AC126" i="1" l="1"/>
  <c r="BC127" i="5"/>
  <c r="AR121" i="1"/>
  <c r="V121" s="1"/>
  <c r="K122" s="1"/>
  <c r="AR122" i="8" s="1"/>
  <c r="BN121" i="1"/>
  <c r="C121" i="9"/>
  <c r="BK129" i="5"/>
  <c r="AD127" i="1"/>
  <c r="BN130" i="5"/>
  <c r="AF128" i="1"/>
  <c r="BP128" i="5"/>
  <c r="AB127" i="1"/>
  <c r="BE127" i="5"/>
  <c r="AE125" i="1"/>
  <c r="AZ130" i="5"/>
  <c r="N126" i="1"/>
  <c r="O127"/>
  <c r="DK127" i="8" s="1"/>
  <c r="DI126"/>
  <c r="DJ126"/>
  <c r="AD123" i="9"/>
  <c r="AV123" i="1" s="1"/>
  <c r="AT122" i="8"/>
  <c r="AQ122"/>
  <c r="M123" i="1"/>
  <c r="F122" i="11"/>
  <c r="AW122" i="8"/>
  <c r="BU123"/>
  <c r="CA123"/>
  <c r="CH123"/>
  <c r="Y122" i="11"/>
  <c r="AH122" i="1" s="1"/>
  <c r="AA122" i="11"/>
  <c r="AC122"/>
  <c r="T122" i="8" s="1"/>
  <c r="Z122" i="11"/>
  <c r="AC122" i="2" s="1"/>
  <c r="AB122" i="11"/>
  <c r="P122" i="8" s="1"/>
  <c r="AD122" i="11"/>
  <c r="AI122" i="1" s="1"/>
  <c r="DZ121" i="8"/>
  <c r="EI122"/>
  <c r="L128" i="11"/>
  <c r="B127" i="2"/>
  <c r="B127" i="1"/>
  <c r="BI127" s="1"/>
  <c r="AJ129" i="14"/>
  <c r="CM128" i="8"/>
  <c r="EM120"/>
  <c r="G120" i="1" s="1"/>
  <c r="M120" i="8" s="1"/>
  <c r="A128" i="2"/>
  <c r="M128" i="5"/>
  <c r="A128" i="8"/>
  <c r="A128" i="7"/>
  <c r="A128" i="9"/>
  <c r="J129" i="10"/>
  <c r="B128" i="14"/>
  <c r="K128" i="11"/>
  <c r="AD128" i="8"/>
  <c r="DR123"/>
  <c r="DS123"/>
  <c r="DX122"/>
  <c r="EB122" s="1"/>
  <c r="DN123"/>
  <c r="DO123"/>
  <c r="CS124"/>
  <c r="DP124" s="1"/>
  <c r="CT124"/>
  <c r="DQ124" s="1"/>
  <c r="CU124"/>
  <c r="Y126" i="1"/>
  <c r="I130" i="8"/>
  <c r="Q129" i="2"/>
  <c r="D124" i="9"/>
  <c r="A125" i="5"/>
  <c r="E125" s="1"/>
  <c r="EQ125" i="8" s="1"/>
  <c r="CZ125" s="1"/>
  <c r="AV122"/>
  <c r="AW122" i="1" s="1"/>
  <c r="L122" s="1"/>
  <c r="AO122" i="8" s="1"/>
  <c r="AP122" i="5"/>
  <c r="V125" i="2"/>
  <c r="AU122" i="8"/>
  <c r="AR126" i="5"/>
  <c r="DC122" i="8"/>
  <c r="O122" s="1"/>
  <c r="H127" i="5"/>
  <c r="F126" i="7"/>
  <c r="D126" i="10"/>
  <c r="AQ122" i="5"/>
  <c r="AU122" i="1" s="1"/>
  <c r="DY122" i="8"/>
  <c r="H125" i="10"/>
  <c r="DE125" i="5"/>
  <c r="L126"/>
  <c r="J125" i="7"/>
  <c r="DD125" i="5"/>
  <c r="G125" i="10"/>
  <c r="K126" i="5"/>
  <c r="I125" i="7"/>
  <c r="I127" i="5"/>
  <c r="E126" i="10"/>
  <c r="DB126" i="5"/>
  <c r="G126" i="7"/>
  <c r="AT121" i="1"/>
  <c r="AO121" i="8"/>
  <c r="BO121" i="1"/>
  <c r="CY127" i="5"/>
  <c r="H127" i="7"/>
  <c r="DC127" i="5"/>
  <c r="J128"/>
  <c r="F127" i="10"/>
  <c r="D129" i="7"/>
  <c r="F130" i="5"/>
  <c r="B129" i="10"/>
  <c r="CR123" i="8"/>
  <c r="CN123"/>
  <c r="CO123"/>
  <c r="H130"/>
  <c r="P129" i="2"/>
  <c r="EE121" i="8"/>
  <c r="EF121" s="1"/>
  <c r="Q121"/>
  <c r="D122" i="14"/>
  <c r="P123" i="1"/>
  <c r="DG127" i="5"/>
  <c r="B127"/>
  <c r="W125" i="1"/>
  <c r="DA126" i="5"/>
  <c r="J126" i="2"/>
  <c r="B126" i="5"/>
  <c r="C124" i="14"/>
  <c r="B124" i="7"/>
  <c r="E124" i="1"/>
  <c r="BS124" i="5"/>
  <c r="W124" i="8"/>
  <c r="B124" i="9"/>
  <c r="Q124" i="1"/>
  <c r="E124" i="14" s="1"/>
  <c r="A124" i="11"/>
  <c r="AU124" i="5"/>
  <c r="A124" i="10"/>
  <c r="AA124" s="1"/>
  <c r="AV124" i="5"/>
  <c r="AB123" i="2"/>
  <c r="AH124" i="5"/>
  <c r="AI124"/>
  <c r="BN124" i="8"/>
  <c r="BO124"/>
  <c r="DM124" s="1"/>
  <c r="AB124"/>
  <c r="EO124"/>
  <c r="DT124" s="1"/>
  <c r="CQ124"/>
  <c r="DA124" s="1"/>
  <c r="DL124"/>
  <c r="AE123" i="7"/>
  <c r="AF123" s="1"/>
  <c r="Q123"/>
  <c r="R127" i="2"/>
  <c r="J128" i="8"/>
  <c r="X127" i="1"/>
  <c r="BM120"/>
  <c r="AK120" i="5"/>
  <c r="AQ120" i="1"/>
  <c r="U120" s="1"/>
  <c r="J121" s="1"/>
  <c r="AP121" i="8" s="1"/>
  <c r="D120" i="11"/>
  <c r="M128" i="2"/>
  <c r="DF128" i="8"/>
  <c r="N127" i="2"/>
  <c r="U23"/>
  <c r="W22" s="1"/>
  <c r="C23" s="1"/>
  <c r="AA127" i="7"/>
  <c r="AE127" i="8" s="1"/>
  <c r="BC127" s="1"/>
  <c r="BY128" i="11"/>
  <c r="K127" i="10"/>
  <c r="BQ123" i="8"/>
  <c r="N123" i="7"/>
  <c r="BP123" i="8"/>
  <c r="BT123"/>
  <c r="BY123"/>
  <c r="BZ123"/>
  <c r="CF123"/>
  <c r="CG123"/>
  <c r="DG123"/>
  <c r="EG123" s="1"/>
  <c r="CV123"/>
  <c r="CX123"/>
  <c r="CW123"/>
  <c r="DB123"/>
  <c r="EC123" s="1"/>
  <c r="ED123" s="1"/>
  <c r="CY123"/>
  <c r="EA123" s="1"/>
  <c r="DH123"/>
  <c r="EH123" s="1"/>
  <c r="EP123"/>
  <c r="N123" i="11"/>
  <c r="AC123" i="10"/>
  <c r="X123" s="1"/>
  <c r="Y123" s="1"/>
  <c r="AM123" i="5"/>
  <c r="AO123"/>
  <c r="AL123"/>
  <c r="C126" i="10"/>
  <c r="G127" i="5"/>
  <c r="CZ126"/>
  <c r="E126" i="7"/>
  <c r="S128" i="2"/>
  <c r="K129" i="8"/>
  <c r="O128" i="2"/>
  <c r="DE128" i="8"/>
  <c r="AN123" i="5"/>
  <c r="DF125"/>
  <c r="BC128" l="1"/>
  <c r="AC127" i="1"/>
  <c r="BE128" i="5"/>
  <c r="AE126" i="1"/>
  <c r="BK130" i="5"/>
  <c r="AD128" i="1"/>
  <c r="AZ131" i="5"/>
  <c r="BN131"/>
  <c r="AF129" i="1"/>
  <c r="BP129" i="5"/>
  <c r="AB128" i="1"/>
  <c r="R23" i="8"/>
  <c r="S23" s="1"/>
  <c r="F23" i="2"/>
  <c r="N127" i="1"/>
  <c r="O128"/>
  <c r="DK128" i="8" s="1"/>
  <c r="DI127"/>
  <c r="DJ127"/>
  <c r="AR122" i="1"/>
  <c r="V122" s="1"/>
  <c r="K123" s="1"/>
  <c r="AR123" i="8" s="1"/>
  <c r="BN122" i="1"/>
  <c r="C122" i="9"/>
  <c r="AD124"/>
  <c r="AV124" i="1" s="1"/>
  <c r="DZ122" i="8"/>
  <c r="AT123"/>
  <c r="AQ123"/>
  <c r="F123" i="11"/>
  <c r="M124" i="1"/>
  <c r="AW123" i="8"/>
  <c r="BU124"/>
  <c r="CA124"/>
  <c r="CH124"/>
  <c r="Y123" i="11"/>
  <c r="AH123" i="1" s="1"/>
  <c r="AC123" i="11"/>
  <c r="T123" i="8" s="1"/>
  <c r="AA123" i="11"/>
  <c r="AD123"/>
  <c r="AI123" i="1" s="1"/>
  <c r="AB123" i="11"/>
  <c r="P123" i="8" s="1"/>
  <c r="Z123" i="11"/>
  <c r="AC123" i="2" s="1"/>
  <c r="EM121" i="8"/>
  <c r="G121" i="1" s="1"/>
  <c r="M121" i="8" s="1"/>
  <c r="B128" i="2"/>
  <c r="L129" i="11"/>
  <c r="B128" i="1"/>
  <c r="BI128" s="1"/>
  <c r="A129" i="2"/>
  <c r="M129" i="5"/>
  <c r="J130" i="10"/>
  <c r="A129" i="9"/>
  <c r="AD129" i="8"/>
  <c r="B129" i="14"/>
  <c r="K129" i="11"/>
  <c r="A129" i="7"/>
  <c r="A129" i="8"/>
  <c r="CM129"/>
  <c r="AJ130" i="14"/>
  <c r="DR124" i="8"/>
  <c r="DS124"/>
  <c r="DX123"/>
  <c r="EB123" s="1"/>
  <c r="DN124"/>
  <c r="DO124"/>
  <c r="C125" i="14"/>
  <c r="CU125" i="8"/>
  <c r="CS125"/>
  <c r="DP125" s="1"/>
  <c r="CT125"/>
  <c r="DQ125" s="1"/>
  <c r="Y127" i="1"/>
  <c r="I131" i="8"/>
  <c r="Q130" i="2"/>
  <c r="D125" i="9"/>
  <c r="BN125" i="8"/>
  <c r="A125" i="10"/>
  <c r="AA125" s="1"/>
  <c r="AB125" i="8"/>
  <c r="B125" i="7"/>
  <c r="AE125" s="1"/>
  <c r="AF125" s="1"/>
  <c r="B125" i="9"/>
  <c r="BO125" i="8"/>
  <c r="DM125" s="1"/>
  <c r="EO125"/>
  <c r="BS125" i="5"/>
  <c r="W125" i="8"/>
  <c r="AU125" i="5"/>
  <c r="AV125"/>
  <c r="E125" i="1"/>
  <c r="AB124" i="2"/>
  <c r="Q125" i="1"/>
  <c r="E125" i="14" s="1"/>
  <c r="AI125" i="5"/>
  <c r="A125" i="11"/>
  <c r="AH125" i="5"/>
  <c r="CQ125" i="8"/>
  <c r="DA125" s="1"/>
  <c r="DL125"/>
  <c r="EE122"/>
  <c r="EF122" s="1"/>
  <c r="AT122" i="1"/>
  <c r="V126" i="2"/>
  <c r="Q122" i="8"/>
  <c r="AR127" i="5"/>
  <c r="A126"/>
  <c r="E126" s="1"/>
  <c r="EQ126" i="8" s="1"/>
  <c r="CZ126" s="1"/>
  <c r="AN124" i="5"/>
  <c r="D127" i="10"/>
  <c r="F127" i="7"/>
  <c r="H128" i="5"/>
  <c r="H126" i="10"/>
  <c r="DE126" i="5"/>
  <c r="L127"/>
  <c r="J126" i="7"/>
  <c r="DD126" i="5"/>
  <c r="K127"/>
  <c r="I126" i="7"/>
  <c r="G126" i="10"/>
  <c r="BO122" i="1"/>
  <c r="G127" i="7"/>
  <c r="I128" i="5"/>
  <c r="DB127"/>
  <c r="E127" i="10"/>
  <c r="E122" i="11"/>
  <c r="DY123" i="8"/>
  <c r="BY129" i="11"/>
  <c r="AA128" i="7"/>
  <c r="AE128" i="8" s="1"/>
  <c r="BC128" s="1"/>
  <c r="K128" i="10"/>
  <c r="M129" i="2"/>
  <c r="DF129" i="8"/>
  <c r="CY128" i="5"/>
  <c r="CZ127"/>
  <c r="G128"/>
  <c r="C127" i="10"/>
  <c r="E127" i="7"/>
  <c r="AG123"/>
  <c r="AI123" s="1"/>
  <c r="AH123"/>
  <c r="CO124" i="8"/>
  <c r="CN124"/>
  <c r="CR124"/>
  <c r="AQ123" i="5"/>
  <c r="AU123" i="1" s="1"/>
  <c r="AU123" i="8"/>
  <c r="X128" i="1"/>
  <c r="N124" i="11"/>
  <c r="D123" i="14"/>
  <c r="P124" i="1"/>
  <c r="AV123" i="8"/>
  <c r="AW123" i="1" s="1"/>
  <c r="L123" s="1"/>
  <c r="E123" i="11" s="1"/>
  <c r="J127" i="2"/>
  <c r="S129"/>
  <c r="K130" i="8"/>
  <c r="DC123"/>
  <c r="O123" s="1"/>
  <c r="DD123"/>
  <c r="DE129"/>
  <c r="O129" i="2"/>
  <c r="DG128" i="5"/>
  <c r="P130" i="2"/>
  <c r="H131" i="8"/>
  <c r="AP123" i="5"/>
  <c r="DG124" i="8"/>
  <c r="EG124" s="1"/>
  <c r="CW124"/>
  <c r="CY124"/>
  <c r="EA124" s="1"/>
  <c r="CV124"/>
  <c r="CX124"/>
  <c r="DB124"/>
  <c r="EC124" s="1"/>
  <c r="ED124" s="1"/>
  <c r="N128" i="2"/>
  <c r="N124" i="7"/>
  <c r="BQ124" i="8"/>
  <c r="BP124"/>
  <c r="BT124"/>
  <c r="BY124"/>
  <c r="BZ124"/>
  <c r="CF124"/>
  <c r="CG124"/>
  <c r="AE124" i="7"/>
  <c r="AF124" s="1"/>
  <c r="Q124"/>
  <c r="EI123" i="8"/>
  <c r="AC124" i="10"/>
  <c r="X124" s="1"/>
  <c r="Y124" s="1"/>
  <c r="AM124" i="5"/>
  <c r="AO124"/>
  <c r="AL124"/>
  <c r="DH124" i="8"/>
  <c r="EH124" s="1"/>
  <c r="EP124"/>
  <c r="B130" i="10"/>
  <c r="D130" i="7"/>
  <c r="F131" i="5"/>
  <c r="W126" i="1"/>
  <c r="DA127" i="5"/>
  <c r="J129" i="8"/>
  <c r="R128" i="2"/>
  <c r="F128" i="10"/>
  <c r="H128" i="7"/>
  <c r="DC128" i="5"/>
  <c r="J129"/>
  <c r="AK121"/>
  <c r="AQ121" i="1"/>
  <c r="U121" s="1"/>
  <c r="J122" s="1"/>
  <c r="AP122" i="8" s="1"/>
  <c r="BM121" i="1"/>
  <c r="D121" i="11"/>
  <c r="DF126" i="5"/>
  <c r="AC128" i="1" l="1"/>
  <c r="BC129" i="5"/>
  <c r="J129" i="2" s="1"/>
  <c r="BN132" i="5"/>
  <c r="AF130" i="1"/>
  <c r="BE129" i="5"/>
  <c r="AE127" i="1"/>
  <c r="BP130" i="5"/>
  <c r="AB129" i="1"/>
  <c r="BK131" i="5"/>
  <c r="AD129" i="1"/>
  <c r="AZ132" i="5"/>
  <c r="H23" i="2"/>
  <c r="F23" i="1"/>
  <c r="I23" i="2"/>
  <c r="AA23" i="1" s="1"/>
  <c r="S23" s="1"/>
  <c r="H24" s="1"/>
  <c r="N128"/>
  <c r="O129"/>
  <c r="DK129" i="8" s="1"/>
  <c r="DJ128"/>
  <c r="DI128"/>
  <c r="EM122"/>
  <c r="G122" i="1" s="1"/>
  <c r="M122" i="8" s="1"/>
  <c r="AD125" i="9"/>
  <c r="AV125" i="1" s="1"/>
  <c r="AR123"/>
  <c r="V123" s="1"/>
  <c r="K124" s="1"/>
  <c r="AR124" i="8" s="1"/>
  <c r="C123" i="9"/>
  <c r="BN123" i="1"/>
  <c r="AT124" i="8"/>
  <c r="AW124"/>
  <c r="AQ124"/>
  <c r="M125" i="1"/>
  <c r="F124" i="11"/>
  <c r="CA125" i="8"/>
  <c r="CH125"/>
  <c r="BT125"/>
  <c r="BU125"/>
  <c r="AA124" i="11"/>
  <c r="AC124"/>
  <c r="T124" i="8" s="1"/>
  <c r="Y124" i="11"/>
  <c r="AH124" i="1" s="1"/>
  <c r="AB124" i="11"/>
  <c r="P124" i="8" s="1"/>
  <c r="Z124" i="11"/>
  <c r="AC124" i="2" s="1"/>
  <c r="AD124" i="11"/>
  <c r="AI124" i="1" s="1"/>
  <c r="B129"/>
  <c r="BI129" s="1"/>
  <c r="L130" i="11"/>
  <c r="B129" i="2"/>
  <c r="DZ123" i="8"/>
  <c r="CM130"/>
  <c r="AJ131" i="14"/>
  <c r="A130" i="2"/>
  <c r="A130" i="7"/>
  <c r="J131" i="10"/>
  <c r="AD130" i="8"/>
  <c r="B130" i="14"/>
  <c r="A130" i="8"/>
  <c r="K130" i="11"/>
  <c r="A130" i="9"/>
  <c r="M130" i="5"/>
  <c r="DH125" i="8"/>
  <c r="EH125" s="1"/>
  <c r="DT125"/>
  <c r="DR125"/>
  <c r="DS125"/>
  <c r="DX124"/>
  <c r="EB124" s="1"/>
  <c r="CX125"/>
  <c r="DN125"/>
  <c r="DO125"/>
  <c r="B126" i="9"/>
  <c r="CS126" i="8"/>
  <c r="DP126" s="1"/>
  <c r="CT126"/>
  <c r="DQ126" s="1"/>
  <c r="CU126"/>
  <c r="CG125"/>
  <c r="BP125"/>
  <c r="BZ125"/>
  <c r="CF125"/>
  <c r="BQ125"/>
  <c r="BY125"/>
  <c r="N125" i="7"/>
  <c r="Y128" i="1"/>
  <c r="AL125" i="5"/>
  <c r="Q125" i="7"/>
  <c r="I132" i="8"/>
  <c r="Q131" i="2"/>
  <c r="AN125" i="5"/>
  <c r="EP125" i="8"/>
  <c r="N125" i="11"/>
  <c r="D126" i="9"/>
  <c r="C126" i="14"/>
  <c r="AI126" i="5"/>
  <c r="AH126"/>
  <c r="B126" i="7"/>
  <c r="Q126" s="1"/>
  <c r="CR125" i="8"/>
  <c r="DC125" s="1"/>
  <c r="CO125"/>
  <c r="BO126"/>
  <c r="DM126" s="1"/>
  <c r="AU126" i="5"/>
  <c r="CN125" i="8"/>
  <c r="AC125" i="10"/>
  <c r="X125" s="1"/>
  <c r="Y125" s="1"/>
  <c r="V127" i="2"/>
  <c r="EO126" i="8"/>
  <c r="W126"/>
  <c r="Q126" i="1"/>
  <c r="E126" i="14" s="1"/>
  <c r="AO125" i="5"/>
  <c r="AB126" i="8"/>
  <c r="A126" i="11"/>
  <c r="BS126" i="5"/>
  <c r="AM125"/>
  <c r="BN126" i="8"/>
  <c r="CN126" s="1"/>
  <c r="E126" i="1"/>
  <c r="A126" i="10"/>
  <c r="AA126" s="1"/>
  <c r="AV126" i="5"/>
  <c r="AB125" i="2"/>
  <c r="CW125" i="8"/>
  <c r="DB125"/>
  <c r="EC125" s="1"/>
  <c r="ED125" s="1"/>
  <c r="DG125"/>
  <c r="EG125" s="1"/>
  <c r="CV125"/>
  <c r="CQ126"/>
  <c r="DA126" s="1"/>
  <c r="CY125"/>
  <c r="EA125" s="1"/>
  <c r="DL126"/>
  <c r="A127" i="5"/>
  <c r="E127" s="1"/>
  <c r="EQ127" i="8" s="1"/>
  <c r="CZ127" s="1"/>
  <c r="H129" i="5"/>
  <c r="D128" i="10"/>
  <c r="F128" i="7"/>
  <c r="AP124" i="5"/>
  <c r="AR128"/>
  <c r="J127" i="7"/>
  <c r="DE127" i="5"/>
  <c r="H127" i="10"/>
  <c r="L128" i="5"/>
  <c r="DD127"/>
  <c r="G127" i="10"/>
  <c r="K128" i="5"/>
  <c r="I127" i="7"/>
  <c r="E128" i="10"/>
  <c r="I129" i="5"/>
  <c r="DB128"/>
  <c r="G128" i="7"/>
  <c r="BO123" i="1"/>
  <c r="AO123" i="8"/>
  <c r="AU124"/>
  <c r="CZ128" i="5"/>
  <c r="G129"/>
  <c r="C128" i="10"/>
  <c r="E128" i="7"/>
  <c r="M130" i="2"/>
  <c r="DF130" i="8"/>
  <c r="AV124"/>
  <c r="AW124" i="1" s="1"/>
  <c r="L124" s="1"/>
  <c r="E124" i="11" s="1"/>
  <c r="DY124" i="8"/>
  <c r="AG125" i="7"/>
  <c r="AI125" s="1"/>
  <c r="AH125"/>
  <c r="AG124"/>
  <c r="AI124" s="1"/>
  <c r="AH124"/>
  <c r="DG129" i="5"/>
  <c r="DC124" i="8"/>
  <c r="O124" s="1"/>
  <c r="DD124"/>
  <c r="K131"/>
  <c r="S130" i="2"/>
  <c r="R129"/>
  <c r="J130" i="8"/>
  <c r="AQ122" i="1"/>
  <c r="U122" s="1"/>
  <c r="J123" s="1"/>
  <c r="AP123" i="8" s="1"/>
  <c r="D122" i="11"/>
  <c r="BM122" i="1"/>
  <c r="AK122" i="5"/>
  <c r="U23" i="8"/>
  <c r="V23"/>
  <c r="EE123"/>
  <c r="EF123" s="1"/>
  <c r="Q123"/>
  <c r="AQ124" i="5"/>
  <c r="AU124" i="1" s="1"/>
  <c r="B128" i="5"/>
  <c r="AP23" i="1"/>
  <c r="T23" s="1"/>
  <c r="J23" i="11"/>
  <c r="G23" i="2"/>
  <c r="Z23" s="1"/>
  <c r="Z24" i="8" s="1"/>
  <c r="B24" s="1"/>
  <c r="D124" i="14"/>
  <c r="P125" i="1"/>
  <c r="CY129" i="5"/>
  <c r="BY130" i="11"/>
  <c r="K129" i="10"/>
  <c r="AA129" i="7"/>
  <c r="AE129" i="8" s="1"/>
  <c r="BC129" s="1"/>
  <c r="AT123" i="1"/>
  <c r="B131" i="10"/>
  <c r="F132" i="5"/>
  <c r="D131" i="7"/>
  <c r="W127" i="1"/>
  <c r="DA128" i="5"/>
  <c r="X129" i="1"/>
  <c r="EI124" i="8"/>
  <c r="N129" i="2"/>
  <c r="O130"/>
  <c r="DE130" i="8"/>
  <c r="F129" i="10"/>
  <c r="H129" i="7"/>
  <c r="J130" i="5"/>
  <c r="DC129"/>
  <c r="H132" i="8"/>
  <c r="P131" i="2"/>
  <c r="J128"/>
  <c r="DF127" i="5"/>
  <c r="I23" i="11" l="1"/>
  <c r="O23" i="7"/>
  <c r="BC130" i="5"/>
  <c r="AC129" i="1"/>
  <c r="AZ133" i="5"/>
  <c r="BN133"/>
  <c r="AF131" i="1"/>
  <c r="BE130" i="5"/>
  <c r="AE128" i="1"/>
  <c r="W128" s="1"/>
  <c r="BP131" i="5"/>
  <c r="AB130" i="1"/>
  <c r="BK132" i="5"/>
  <c r="AD130" i="1"/>
  <c r="O125" i="8"/>
  <c r="N129" i="1"/>
  <c r="O130"/>
  <c r="DK130" i="8" s="1"/>
  <c r="DI129"/>
  <c r="DJ129"/>
  <c r="BN124" i="1"/>
  <c r="C124" i="9"/>
  <c r="AR124" i="1"/>
  <c r="V124" s="1"/>
  <c r="K125" s="1"/>
  <c r="AD126" i="9"/>
  <c r="AV126" i="1" s="1"/>
  <c r="I24"/>
  <c r="AT125" i="8"/>
  <c r="AQ125"/>
  <c r="F125" i="11"/>
  <c r="M126" i="1"/>
  <c r="AW125" i="8"/>
  <c r="CA126"/>
  <c r="CH126"/>
  <c r="CF126"/>
  <c r="BU126"/>
  <c r="AC125" i="11"/>
  <c r="T125" i="8" s="1"/>
  <c r="AA125" i="11"/>
  <c r="Y125"/>
  <c r="AH125" i="1" s="1"/>
  <c r="AD125" i="11"/>
  <c r="AI125" i="1" s="1"/>
  <c r="AB125" i="11"/>
  <c r="P125" i="8" s="1"/>
  <c r="Z125" i="11"/>
  <c r="AC125" i="2" s="1"/>
  <c r="DZ124" i="8"/>
  <c r="EM123"/>
  <c r="G123" i="1" s="1"/>
  <c r="M123" i="8" s="1"/>
  <c r="B130" i="1"/>
  <c r="BI130" s="1"/>
  <c r="L131" i="11"/>
  <c r="B130" i="2"/>
  <c r="A131"/>
  <c r="A131" i="7"/>
  <c r="A131" i="9"/>
  <c r="M131" i="5"/>
  <c r="A131" i="8"/>
  <c r="K131" i="11"/>
  <c r="B131" i="14"/>
  <c r="AD131" i="8"/>
  <c r="J132" i="10"/>
  <c r="AJ132" i="14"/>
  <c r="CM131" i="8"/>
  <c r="EI125"/>
  <c r="EP126"/>
  <c r="DT126"/>
  <c r="DR126"/>
  <c r="DS126"/>
  <c r="DX125"/>
  <c r="EB125" s="1"/>
  <c r="DY125"/>
  <c r="DN126"/>
  <c r="DO126"/>
  <c r="CS127"/>
  <c r="DP127" s="1"/>
  <c r="CT127"/>
  <c r="DQ127" s="1"/>
  <c r="CU127"/>
  <c r="AE126" i="7"/>
  <c r="AF126" s="1"/>
  <c r="AH126" s="1"/>
  <c r="AV125" i="8"/>
  <c r="AW125" i="1" s="1"/>
  <c r="L125" s="1"/>
  <c r="AO125" i="8" s="1"/>
  <c r="BZ126"/>
  <c r="CG126"/>
  <c r="DD125"/>
  <c r="EE125" s="1"/>
  <c r="EF125" s="1"/>
  <c r="Y129" i="1"/>
  <c r="D127" i="9"/>
  <c r="AP125" i="5"/>
  <c r="DH126" i="8"/>
  <c r="EH126" s="1"/>
  <c r="Q132" i="2"/>
  <c r="I133" i="8"/>
  <c r="AN126" i="5"/>
  <c r="AQ125"/>
  <c r="AU125" i="1" s="1"/>
  <c r="N126" i="7"/>
  <c r="CR126" i="8"/>
  <c r="DC126" s="1"/>
  <c r="BQ126"/>
  <c r="BT126"/>
  <c r="BP126"/>
  <c r="CO126"/>
  <c r="AL126" i="5"/>
  <c r="BY126" i="8"/>
  <c r="AU125"/>
  <c r="N126" i="11"/>
  <c r="AM126" i="5"/>
  <c r="AO126"/>
  <c r="AC126" i="10"/>
  <c r="X126" s="1"/>
  <c r="Y126" s="1"/>
  <c r="A128" i="5"/>
  <c r="E128" s="1"/>
  <c r="EQ128" i="8" s="1"/>
  <c r="CZ128" s="1"/>
  <c r="CY126"/>
  <c r="EA126" s="1"/>
  <c r="DG126"/>
  <c r="EG126" s="1"/>
  <c r="DB126"/>
  <c r="EC126" s="1"/>
  <c r="ED126" s="1"/>
  <c r="CX126"/>
  <c r="CW126"/>
  <c r="CV126"/>
  <c r="CQ127"/>
  <c r="DA127" s="1"/>
  <c r="A127" i="11"/>
  <c r="BO127" i="8"/>
  <c r="DM127" s="1"/>
  <c r="A127" i="10"/>
  <c r="AA127" s="1"/>
  <c r="BS127" i="5"/>
  <c r="W127" i="8"/>
  <c r="B127" i="7"/>
  <c r="AE127" s="1"/>
  <c r="AF127" s="1"/>
  <c r="AB127" i="8"/>
  <c r="C127" i="14"/>
  <c r="AB126" i="2"/>
  <c r="AV127" i="5"/>
  <c r="EO127" i="8"/>
  <c r="B127" i="9"/>
  <c r="AH127" i="5"/>
  <c r="AU127"/>
  <c r="AI127"/>
  <c r="E127" i="1"/>
  <c r="BN127" i="8"/>
  <c r="CR127" s="1"/>
  <c r="Q127" i="1"/>
  <c r="E127" i="14" s="1"/>
  <c r="DL127" i="8"/>
  <c r="AR129" i="5"/>
  <c r="F129" i="7"/>
  <c r="H130" i="5"/>
  <c r="D129" i="10"/>
  <c r="V128" i="2"/>
  <c r="J128" i="7"/>
  <c r="L129" i="5"/>
  <c r="DE128"/>
  <c r="H128" i="10"/>
  <c r="DD128" i="5"/>
  <c r="G128" i="10"/>
  <c r="I128" i="7"/>
  <c r="K129" i="5"/>
  <c r="G129" i="7"/>
  <c r="E129" i="10"/>
  <c r="DB129" i="5"/>
  <c r="I130"/>
  <c r="AT124" i="1"/>
  <c r="B129" i="5"/>
  <c r="X130" i="1"/>
  <c r="F133" i="5"/>
  <c r="D132" i="7"/>
  <c r="B132" i="10"/>
  <c r="BY131" i="11"/>
  <c r="AA130" i="7"/>
  <c r="AE130" i="8" s="1"/>
  <c r="BC130" s="1"/>
  <c r="K130" i="10"/>
  <c r="M131" i="2"/>
  <c r="DF131" i="8"/>
  <c r="BM123" i="1"/>
  <c r="AQ123"/>
  <c r="U123" s="1"/>
  <c r="J124" s="1"/>
  <c r="AP124" i="8" s="1"/>
  <c r="D123" i="11"/>
  <c r="AK123" i="5"/>
  <c r="DG130"/>
  <c r="K132" i="8"/>
  <c r="S131" i="2"/>
  <c r="AJ24" i="5"/>
  <c r="BK24" i="1"/>
  <c r="V24" i="10"/>
  <c r="C24" i="11"/>
  <c r="AN24" i="8"/>
  <c r="AC24" i="7"/>
  <c r="E129"/>
  <c r="CZ129" i="5"/>
  <c r="G130"/>
  <c r="C129" i="10"/>
  <c r="P23" i="7"/>
  <c r="F23" i="9"/>
  <c r="EE124" i="8"/>
  <c r="EF124" s="1"/>
  <c r="Q124"/>
  <c r="AO124"/>
  <c r="O131" i="2"/>
  <c r="DE131" i="8"/>
  <c r="P132" i="2"/>
  <c r="H133" i="8"/>
  <c r="D125" i="14"/>
  <c r="P126" i="1"/>
  <c r="C23" i="8"/>
  <c r="BO124" i="1"/>
  <c r="DC130" i="5"/>
  <c r="H130" i="7"/>
  <c r="J131" i="5"/>
  <c r="F130" i="10"/>
  <c r="N130" i="2"/>
  <c r="DA129" i="5"/>
  <c r="CY130"/>
  <c r="R130" i="2"/>
  <c r="J131" i="8"/>
  <c r="DF128" i="5"/>
  <c r="BC131" l="1"/>
  <c r="AC130" i="1"/>
  <c r="J130" i="2"/>
  <c r="O126" i="8"/>
  <c r="BP132" i="5"/>
  <c r="AB131" i="1"/>
  <c r="AZ134" i="5"/>
  <c r="BK133"/>
  <c r="AD131" i="1"/>
  <c r="BN134" i="5"/>
  <c r="AF132" i="1"/>
  <c r="BE131" i="5"/>
  <c r="AE129" i="1"/>
  <c r="N130"/>
  <c r="O131"/>
  <c r="DK131" i="8" s="1"/>
  <c r="DI130"/>
  <c r="DJ130"/>
  <c r="AS24"/>
  <c r="AO24" i="1"/>
  <c r="AR125" i="8"/>
  <c r="C125" i="9"/>
  <c r="AR125" i="1"/>
  <c r="V125" s="1"/>
  <c r="K126" s="1"/>
  <c r="AR126" i="8" s="1"/>
  <c r="BN125" i="1"/>
  <c r="AD127" i="9"/>
  <c r="AV127" i="1" s="1"/>
  <c r="AG126" i="7"/>
  <c r="AI126" s="1"/>
  <c r="BL24" i="1"/>
  <c r="AT126" i="8"/>
  <c r="AW126"/>
  <c r="AQ126"/>
  <c r="F126" i="11"/>
  <c r="M127" i="1"/>
  <c r="CA127" i="8"/>
  <c r="CH127"/>
  <c r="BY127"/>
  <c r="BU127"/>
  <c r="Y126" i="11"/>
  <c r="AH126" i="1" s="1"/>
  <c r="AA126" i="11"/>
  <c r="AC126"/>
  <c r="T126" i="8" s="1"/>
  <c r="AB126" i="11"/>
  <c r="P126" i="8" s="1"/>
  <c r="AD126" i="11"/>
  <c r="AI126" i="1" s="1"/>
  <c r="Z126" i="11"/>
  <c r="AC126" i="2" s="1"/>
  <c r="EM124" i="8"/>
  <c r="G124" i="1" s="1"/>
  <c r="M124" i="8" s="1"/>
  <c r="B131" i="1"/>
  <c r="BI131" s="1"/>
  <c r="B131" i="2"/>
  <c r="L132" i="11"/>
  <c r="A132" i="2"/>
  <c r="A132" i="9"/>
  <c r="B132" i="14"/>
  <c r="K132" i="11"/>
  <c r="J133" i="10"/>
  <c r="M132" i="5"/>
  <c r="A132" i="7"/>
  <c r="AD132" i="8"/>
  <c r="A132"/>
  <c r="CM132"/>
  <c r="AJ133" i="14"/>
  <c r="DH127" i="8"/>
  <c r="EH127" s="1"/>
  <c r="DT127"/>
  <c r="DR127"/>
  <c r="DS127"/>
  <c r="DX126"/>
  <c r="EB126" s="1"/>
  <c r="DZ125"/>
  <c r="EM125" s="1"/>
  <c r="G125" i="1" s="1"/>
  <c r="M125" i="8" s="1"/>
  <c r="DB127"/>
  <c r="EC127" s="1"/>
  <c r="ED127" s="1"/>
  <c r="DN127"/>
  <c r="DO127"/>
  <c r="CU128"/>
  <c r="CT128"/>
  <c r="DQ128" s="1"/>
  <c r="CS128"/>
  <c r="DP128" s="1"/>
  <c r="Y130" i="1"/>
  <c r="AT125"/>
  <c r="DD126" i="8"/>
  <c r="EE126" s="1"/>
  <c r="EF126" s="1"/>
  <c r="EI126"/>
  <c r="I134"/>
  <c r="Q133" i="2"/>
  <c r="AV126" i="8"/>
  <c r="AW126" i="1" s="1"/>
  <c r="L126" s="1"/>
  <c r="E126" i="11" s="1"/>
  <c r="AP126" i="5"/>
  <c r="BQ127" i="8"/>
  <c r="CV127"/>
  <c r="AU126"/>
  <c r="Q125"/>
  <c r="AQ126" i="5"/>
  <c r="AU126" i="1" s="1"/>
  <c r="EP127" i="8"/>
  <c r="AL127" i="5"/>
  <c r="CX127" i="8"/>
  <c r="CW127"/>
  <c r="DG127"/>
  <c r="EG127" s="1"/>
  <c r="CY127"/>
  <c r="EA127" s="1"/>
  <c r="Q127" i="7"/>
  <c r="DY126" i="8"/>
  <c r="D128" i="9"/>
  <c r="CN127" i="8"/>
  <c r="CO127"/>
  <c r="V129" i="2"/>
  <c r="CG127" i="8"/>
  <c r="CF127"/>
  <c r="BP127"/>
  <c r="AO127" i="5"/>
  <c r="N127" i="7"/>
  <c r="AN127" i="5"/>
  <c r="AM127"/>
  <c r="BT127" i="8"/>
  <c r="AC127" i="10"/>
  <c r="X127" s="1"/>
  <c r="Y127" s="1"/>
  <c r="BZ127" i="8"/>
  <c r="N127" i="11"/>
  <c r="H131" i="5"/>
  <c r="D130" i="10"/>
  <c r="F130" i="7"/>
  <c r="J129"/>
  <c r="DE129" i="5"/>
  <c r="L130"/>
  <c r="H129" i="10"/>
  <c r="A129" i="5"/>
  <c r="E129" s="1"/>
  <c r="EQ129" i="8" s="1"/>
  <c r="CZ129" s="1"/>
  <c r="DD129" i="5"/>
  <c r="G129" i="10"/>
  <c r="K130" i="5"/>
  <c r="I129" i="7"/>
  <c r="AR130" i="5"/>
  <c r="DB130"/>
  <c r="E130" i="10"/>
  <c r="I131" i="5"/>
  <c r="G130" i="7"/>
  <c r="E125" i="11"/>
  <c r="BO125" i="1"/>
  <c r="D126" i="14"/>
  <c r="P127" i="1"/>
  <c r="CY131" i="5"/>
  <c r="Y23" i="2"/>
  <c r="X23" s="1"/>
  <c r="D133" i="7"/>
  <c r="B133" i="10"/>
  <c r="F134" i="5"/>
  <c r="DC131"/>
  <c r="F131" i="10"/>
  <c r="H131" i="7"/>
  <c r="J132" i="5"/>
  <c r="K133" i="8"/>
  <c r="S132" i="2"/>
  <c r="P133"/>
  <c r="H134" i="8"/>
  <c r="DG131" i="5"/>
  <c r="M132" i="2"/>
  <c r="DF132" i="8"/>
  <c r="X131" i="1"/>
  <c r="W129"/>
  <c r="DA130" i="5"/>
  <c r="DE132" i="8"/>
  <c r="O132" i="2"/>
  <c r="E130" i="7"/>
  <c r="CZ130" i="5"/>
  <c r="G131"/>
  <c r="C130" i="10"/>
  <c r="B130" i="5"/>
  <c r="AK124"/>
  <c r="AQ124" i="1"/>
  <c r="U124" s="1"/>
  <c r="J125" s="1"/>
  <c r="AP125" i="8" s="1"/>
  <c r="BM124" i="1"/>
  <c r="D124" i="11"/>
  <c r="N131" i="2"/>
  <c r="AH127" i="7"/>
  <c r="AG127"/>
  <c r="AI127" s="1"/>
  <c r="DD127" i="8"/>
  <c r="DC127"/>
  <c r="C128" i="14"/>
  <c r="B128" i="7"/>
  <c r="W128" i="8"/>
  <c r="E128" i="1"/>
  <c r="BS128" i="5"/>
  <c r="Q128" i="1"/>
  <c r="E128" i="14" s="1"/>
  <c r="A128" i="11"/>
  <c r="AV128" i="5"/>
  <c r="AU128"/>
  <c r="B128" i="9"/>
  <c r="A128" i="10"/>
  <c r="AA128" s="1"/>
  <c r="AB127" i="2"/>
  <c r="AI128" i="5"/>
  <c r="AH128"/>
  <c r="BN128" i="8"/>
  <c r="BO128"/>
  <c r="DM128" s="1"/>
  <c r="AB128"/>
  <c r="EO128"/>
  <c r="DT128" s="1"/>
  <c r="DL128"/>
  <c r="CQ128"/>
  <c r="DA128" s="1"/>
  <c r="J132"/>
  <c r="R131" i="2"/>
  <c r="BY132" i="11"/>
  <c r="K131" i="10"/>
  <c r="AA131" i="7"/>
  <c r="AE131" i="8" s="1"/>
  <c r="BC131" s="1"/>
  <c r="DF129" i="5"/>
  <c r="B131" l="1"/>
  <c r="AC131" i="1"/>
  <c r="BC132" i="5"/>
  <c r="BP133"/>
  <c r="AB132" i="1"/>
  <c r="BE132" i="5"/>
  <c r="AE130" i="1"/>
  <c r="AZ135" i="5"/>
  <c r="BK134"/>
  <c r="AD132" i="1"/>
  <c r="BN135" i="5"/>
  <c r="AF134" i="1" s="1"/>
  <c r="AF133"/>
  <c r="O127" i="8"/>
  <c r="N131" i="1"/>
  <c r="O132"/>
  <c r="DK132" i="8" s="1"/>
  <c r="DI131"/>
  <c r="DJ131"/>
  <c r="AR126" i="1"/>
  <c r="V126" s="1"/>
  <c r="K127" s="1"/>
  <c r="AD128" i="9"/>
  <c r="AV128" i="1" s="1"/>
  <c r="C126" i="9"/>
  <c r="BN126" i="1"/>
  <c r="EI127" i="8"/>
  <c r="AT127"/>
  <c r="AQ127"/>
  <c r="M128" i="1"/>
  <c r="F127" i="11"/>
  <c r="AW127" i="8"/>
  <c r="BU128"/>
  <c r="CA128"/>
  <c r="CH128"/>
  <c r="AC127" i="11"/>
  <c r="T127" i="8" s="1"/>
  <c r="Y127" i="11"/>
  <c r="AH127" i="1" s="1"/>
  <c r="AA127" i="11"/>
  <c r="Z127"/>
  <c r="AC127" i="2" s="1"/>
  <c r="AB127" i="11"/>
  <c r="P127" i="8" s="1"/>
  <c r="AD127" i="11"/>
  <c r="AI127" i="1" s="1"/>
  <c r="DZ126" i="8"/>
  <c r="EM126" s="1"/>
  <c r="G126" i="1" s="1"/>
  <c r="M126" i="8" s="1"/>
  <c r="B132" i="2"/>
  <c r="L133" i="11"/>
  <c r="B132" i="1"/>
  <c r="BI132" s="1"/>
  <c r="AJ134" i="14"/>
  <c r="CM133" i="8"/>
  <c r="A133" i="2"/>
  <c r="A133" i="9"/>
  <c r="B133" i="14"/>
  <c r="A133" i="7"/>
  <c r="M133" i="5"/>
  <c r="K133" i="11"/>
  <c r="AD133" i="8"/>
  <c r="A133"/>
  <c r="J134" i="10"/>
  <c r="DR128" i="8"/>
  <c r="DS128"/>
  <c r="DX127"/>
  <c r="EB127" s="1"/>
  <c r="DN128"/>
  <c r="DO128"/>
  <c r="CS129"/>
  <c r="DP129" s="1"/>
  <c r="CT129"/>
  <c r="DQ129" s="1"/>
  <c r="CU129"/>
  <c r="Y131" i="1"/>
  <c r="J131" i="2"/>
  <c r="I135" i="8"/>
  <c r="Q134" i="2"/>
  <c r="AT126" i="1"/>
  <c r="AP127" i="5"/>
  <c r="DY127" i="8"/>
  <c r="DL129"/>
  <c r="AQ127" i="5"/>
  <c r="AU127" i="1" s="1"/>
  <c r="AV127" i="8"/>
  <c r="AW127" i="1" s="1"/>
  <c r="L127" s="1"/>
  <c r="E127" i="11" s="1"/>
  <c r="V130" i="2"/>
  <c r="Q126" i="8"/>
  <c r="A129" i="10"/>
  <c r="AA129" s="1"/>
  <c r="AU127" i="8"/>
  <c r="B129" i="7"/>
  <c r="AE129" s="1"/>
  <c r="AF129" s="1"/>
  <c r="A130" i="5"/>
  <c r="E130" s="1"/>
  <c r="EQ130" i="8" s="1"/>
  <c r="CZ130" s="1"/>
  <c r="BO126" i="1"/>
  <c r="AB128" i="2"/>
  <c r="AV129" i="5"/>
  <c r="C129" i="14"/>
  <c r="AI129" i="5"/>
  <c r="BS129"/>
  <c r="BN129" i="8"/>
  <c r="CO129" s="1"/>
  <c r="W129"/>
  <c r="AH129" i="5"/>
  <c r="A129" i="11"/>
  <c r="EO129" i="8"/>
  <c r="BO129"/>
  <c r="DM129" s="1"/>
  <c r="AU129" i="5"/>
  <c r="AB129" i="8"/>
  <c r="Q129" i="1"/>
  <c r="E129" i="14" s="1"/>
  <c r="E129" i="1"/>
  <c r="H132" i="5"/>
  <c r="F131" i="7"/>
  <c r="D131" i="10"/>
  <c r="AR131" i="5"/>
  <c r="B129" i="9"/>
  <c r="DE130" i="5"/>
  <c r="J130" i="7"/>
  <c r="L131" i="5"/>
  <c r="H130" i="10"/>
  <c r="CQ129" i="8"/>
  <c r="DA129" s="1"/>
  <c r="K131" i="5"/>
  <c r="I130" i="7"/>
  <c r="DD130" i="5"/>
  <c r="G130" i="10"/>
  <c r="I132" i="5"/>
  <c r="G131" i="7"/>
  <c r="DB131" i="5"/>
  <c r="E131" i="10"/>
  <c r="AO126" i="8"/>
  <c r="N128" i="7"/>
  <c r="BQ128" i="8"/>
  <c r="BP128"/>
  <c r="BT128"/>
  <c r="BZ128"/>
  <c r="BY128"/>
  <c r="CF128"/>
  <c r="CG128"/>
  <c r="Q128" i="7"/>
  <c r="AE128"/>
  <c r="AF128" s="1"/>
  <c r="E131"/>
  <c r="CZ131" i="5"/>
  <c r="G132"/>
  <c r="C131" i="10"/>
  <c r="M133" i="2"/>
  <c r="DF133" i="8"/>
  <c r="W130" i="1"/>
  <c r="J132" i="2"/>
  <c r="DA131" i="5"/>
  <c r="H135" i="8"/>
  <c r="P135" i="2" s="1"/>
  <c r="P134"/>
  <c r="AB24" i="7"/>
  <c r="L24" i="2"/>
  <c r="BD24" i="8"/>
  <c r="D24" i="2"/>
  <c r="E24"/>
  <c r="H24" i="11"/>
  <c r="K134" i="8"/>
  <c r="S133" i="2"/>
  <c r="P128" i="1"/>
  <c r="D127" i="14"/>
  <c r="N132" i="2"/>
  <c r="AK125" i="5"/>
  <c r="D125" i="11"/>
  <c r="BM125" i="1"/>
  <c r="AQ125"/>
  <c r="U125" s="1"/>
  <c r="J126" s="1"/>
  <c r="AP126" i="8" s="1"/>
  <c r="O133" i="2"/>
  <c r="DE133" i="8"/>
  <c r="AN128" i="5"/>
  <c r="BY133" i="11"/>
  <c r="AA132" i="7"/>
  <c r="AE132" i="8" s="1"/>
  <c r="BC132" s="1"/>
  <c r="K132" i="10"/>
  <c r="CX128" i="8"/>
  <c r="CV128"/>
  <c r="CY128"/>
  <c r="EA128" s="1"/>
  <c r="DG128"/>
  <c r="EG128" s="1"/>
  <c r="DB128"/>
  <c r="EC128" s="1"/>
  <c r="ED128" s="1"/>
  <c r="CW128"/>
  <c r="AO128" i="5"/>
  <c r="AC128" i="10"/>
  <c r="X128" s="1"/>
  <c r="Y128" s="1"/>
  <c r="AM128" i="5"/>
  <c r="AL128"/>
  <c r="B134" i="10"/>
  <c r="D134" i="7"/>
  <c r="F135" i="5"/>
  <c r="CO128" i="8"/>
  <c r="CR128"/>
  <c r="CN128"/>
  <c r="X132" i="1"/>
  <c r="H132" i="7"/>
  <c r="J133" i="5"/>
  <c r="F132" i="10"/>
  <c r="DC132" i="5"/>
  <c r="EE127" i="8"/>
  <c r="EF127" s="1"/>
  <c r="DH128"/>
  <c r="EH128" s="1"/>
  <c r="EP128"/>
  <c r="J133"/>
  <c r="R132" i="2"/>
  <c r="N128" i="11"/>
  <c r="DG132" i="5"/>
  <c r="B132"/>
  <c r="CY132"/>
  <c r="D129" i="9"/>
  <c r="DF130" i="5"/>
  <c r="AC132" i="1" l="1"/>
  <c r="BC133" i="5"/>
  <c r="BK135"/>
  <c r="AD134" i="1" s="1"/>
  <c r="AD133"/>
  <c r="BP134" i="5"/>
  <c r="AB133" i="1"/>
  <c r="BE133" i="5"/>
  <c r="AE131" i="1"/>
  <c r="W131" s="1"/>
  <c r="N132"/>
  <c r="O133"/>
  <c r="DK133" i="8" s="1"/>
  <c r="DJ132"/>
  <c r="DI132"/>
  <c r="Q135" i="2"/>
  <c r="AR127" i="8"/>
  <c r="BN127" i="1"/>
  <c r="AR127"/>
  <c r="V127" s="1"/>
  <c r="K128" s="1"/>
  <c r="C127" i="9"/>
  <c r="AD129"/>
  <c r="AV129" i="1" s="1"/>
  <c r="AT128" i="8"/>
  <c r="AQ128"/>
  <c r="F128" i="11"/>
  <c r="M129" i="1"/>
  <c r="AW128" i="8"/>
  <c r="CA129"/>
  <c r="CH129"/>
  <c r="BZ129"/>
  <c r="BU129"/>
  <c r="CR129"/>
  <c r="DD129" s="1"/>
  <c r="AC128" i="11"/>
  <c r="T128" i="8" s="1"/>
  <c r="Y128" i="11"/>
  <c r="AH128" i="1" s="1"/>
  <c r="AA128" i="11"/>
  <c r="Z128"/>
  <c r="AC128" i="2" s="1"/>
  <c r="AD128" i="11"/>
  <c r="AI128" i="1" s="1"/>
  <c r="AB128" i="11"/>
  <c r="P128" i="8" s="1"/>
  <c r="B133" i="2"/>
  <c r="B133" i="1"/>
  <c r="BI133" s="1"/>
  <c r="L134" i="11"/>
  <c r="DZ127" i="8"/>
  <c r="EM127" s="1"/>
  <c r="G127" i="1" s="1"/>
  <c r="M127" i="8" s="1"/>
  <c r="AJ135" i="14"/>
  <c r="CM135" i="8" s="1"/>
  <c r="CM134"/>
  <c r="A134" i="2"/>
  <c r="K134" i="11"/>
  <c r="B134" i="14"/>
  <c r="AD134" i="8"/>
  <c r="A134" i="7"/>
  <c r="J135" i="10"/>
  <c r="A134" i="9"/>
  <c r="A134" i="8"/>
  <c r="M134" i="5"/>
  <c r="DR129" i="8"/>
  <c r="DS129"/>
  <c r="DH129"/>
  <c r="EH129" s="1"/>
  <c r="DT129"/>
  <c r="DX128"/>
  <c r="EB128" s="1"/>
  <c r="CX129"/>
  <c r="DN129"/>
  <c r="DO129"/>
  <c r="CS130"/>
  <c r="DP130" s="1"/>
  <c r="CT130"/>
  <c r="DQ130" s="1"/>
  <c r="CU130"/>
  <c r="AT127" i="1"/>
  <c r="Y132"/>
  <c r="D130" i="9"/>
  <c r="Q129" i="7"/>
  <c r="AN129" i="5"/>
  <c r="CN129" i="8"/>
  <c r="CG129"/>
  <c r="BP129"/>
  <c r="BQ129"/>
  <c r="N129" i="7"/>
  <c r="BT129" i="8"/>
  <c r="BY129"/>
  <c r="CF129"/>
  <c r="EP129"/>
  <c r="AL129" i="5"/>
  <c r="V131" i="2"/>
  <c r="AM129" i="5"/>
  <c r="AC129" i="10"/>
  <c r="X129" s="1"/>
  <c r="Y129" s="1"/>
  <c r="A131" i="5"/>
  <c r="E131" s="1"/>
  <c r="EQ131" i="8" s="1"/>
  <c r="CZ131" s="1"/>
  <c r="DB129"/>
  <c r="EC129" s="1"/>
  <c r="ED129" s="1"/>
  <c r="AO129" i="5"/>
  <c r="AR132"/>
  <c r="N129" i="11"/>
  <c r="H133" i="5"/>
  <c r="F132" i="7"/>
  <c r="D132" i="10"/>
  <c r="DG129" i="8"/>
  <c r="EG129" s="1"/>
  <c r="CW129"/>
  <c r="CY129"/>
  <c r="EA129" s="1"/>
  <c r="DE131" i="5"/>
  <c r="L132"/>
  <c r="J131" i="7"/>
  <c r="H131" i="10"/>
  <c r="DD131" i="5"/>
  <c r="K132"/>
  <c r="G131" i="10"/>
  <c r="I131" i="7"/>
  <c r="AO127" i="8"/>
  <c r="BO127" i="1"/>
  <c r="CV129" i="8"/>
  <c r="I133" i="5"/>
  <c r="G132" i="7"/>
  <c r="E132" i="10"/>
  <c r="DB132" i="5"/>
  <c r="AQ128"/>
  <c r="AU128" i="1" s="1"/>
  <c r="EI128" i="8"/>
  <c r="DY128"/>
  <c r="P129" i="1"/>
  <c r="D128" i="14"/>
  <c r="M134" i="2"/>
  <c r="DF134" i="8"/>
  <c r="U24" i="2"/>
  <c r="W23" s="1"/>
  <c r="C24" s="1"/>
  <c r="D126" i="11"/>
  <c r="AK126" i="5"/>
  <c r="BM126" i="1"/>
  <c r="AQ126"/>
  <c r="U126" s="1"/>
  <c r="J127" s="1"/>
  <c r="AP127" i="8" s="1"/>
  <c r="X133" i="1"/>
  <c r="X134"/>
  <c r="R133" i="2"/>
  <c r="J134" i="8"/>
  <c r="G133" i="5"/>
  <c r="C132" i="10"/>
  <c r="E132" i="7"/>
  <c r="CZ132" i="5"/>
  <c r="Q127" i="8"/>
  <c r="DG133" i="5"/>
  <c r="DC128" i="8"/>
  <c r="O128" s="1"/>
  <c r="DD128"/>
  <c r="D135" i="7"/>
  <c r="B135" i="10"/>
  <c r="J134" i="5"/>
  <c r="F133" i="10"/>
  <c r="H133" i="7"/>
  <c r="DC133" i="5"/>
  <c r="AU130"/>
  <c r="AV130"/>
  <c r="E130" i="1"/>
  <c r="A130" i="10"/>
  <c r="AA130" s="1"/>
  <c r="A130" i="11"/>
  <c r="C130" i="14"/>
  <c r="BS130" i="5"/>
  <c r="B130" i="7"/>
  <c r="B130" i="9"/>
  <c r="W130" i="8"/>
  <c r="Q130" i="1"/>
  <c r="E130" i="14" s="1"/>
  <c r="AB129" i="2"/>
  <c r="AH130" i="5"/>
  <c r="AI130"/>
  <c r="BN130" i="8"/>
  <c r="BO130"/>
  <c r="DM130" s="1"/>
  <c r="EO130"/>
  <c r="DT130" s="1"/>
  <c r="AB130"/>
  <c r="CQ130"/>
  <c r="DA130" s="1"/>
  <c r="DL130"/>
  <c r="J133" i="2"/>
  <c r="DA132" i="5"/>
  <c r="O134" i="2"/>
  <c r="DE134" i="8"/>
  <c r="AU128"/>
  <c r="K135"/>
  <c r="S135" i="2" s="1"/>
  <c r="S134"/>
  <c r="AG128" i="7"/>
  <c r="AI128" s="1"/>
  <c r="AH128"/>
  <c r="CY133" i="5"/>
  <c r="AA133" i="7"/>
  <c r="AE133" i="8" s="1"/>
  <c r="BC133" s="1"/>
  <c r="K133" i="10"/>
  <c r="BY134" i="11"/>
  <c r="N133" i="2"/>
  <c r="AG129" i="7"/>
  <c r="AI129" s="1"/>
  <c r="AH129"/>
  <c r="AP128" i="5"/>
  <c r="AV128" i="8"/>
  <c r="AW128" i="1" s="1"/>
  <c r="L128" s="1"/>
  <c r="BO128" s="1"/>
  <c r="DF131" i="5"/>
  <c r="AC133" i="1" l="1"/>
  <c r="BC134" i="5"/>
  <c r="BP135"/>
  <c r="AB135" i="1" s="1"/>
  <c r="AB134"/>
  <c r="BE134" i="5"/>
  <c r="AE132" i="1"/>
  <c r="R24" i="8"/>
  <c r="S24" s="1"/>
  <c r="N133" i="1"/>
  <c r="O134"/>
  <c r="DK134" i="8" s="1"/>
  <c r="DI133"/>
  <c r="DJ133"/>
  <c r="AR128"/>
  <c r="C128" i="9"/>
  <c r="AR128" i="1"/>
  <c r="V128" s="1"/>
  <c r="K129" s="1"/>
  <c r="BN128"/>
  <c r="AD130" i="9"/>
  <c r="AV130" i="1" s="1"/>
  <c r="DC129" i="8"/>
  <c r="EE129" s="1"/>
  <c r="EF129" s="1"/>
  <c r="EI129"/>
  <c r="AT129"/>
  <c r="AQ129"/>
  <c r="F129" i="11"/>
  <c r="M130" i="1"/>
  <c r="AW129" i="8"/>
  <c r="BU130"/>
  <c r="CA130"/>
  <c r="CH130"/>
  <c r="AC129" i="11"/>
  <c r="T129" i="8" s="1"/>
  <c r="Y129" i="11"/>
  <c r="AH129" i="1" s="1"/>
  <c r="AA129" i="11"/>
  <c r="Z129"/>
  <c r="AC129" i="2" s="1"/>
  <c r="AD129" i="11"/>
  <c r="AI129" i="1" s="1"/>
  <c r="AB129" i="11"/>
  <c r="P129" i="8" s="1"/>
  <c r="DZ128"/>
  <c r="B134" i="2"/>
  <c r="B134" i="1"/>
  <c r="BI134" s="1"/>
  <c r="L135" i="11"/>
  <c r="A135" i="2"/>
  <c r="A135" i="8"/>
  <c r="A135" i="7"/>
  <c r="K135" i="11"/>
  <c r="B135" i="14"/>
  <c r="A135" i="9"/>
  <c r="AD135" i="8"/>
  <c r="M135" i="5"/>
  <c r="DR130" i="8"/>
  <c r="DS130"/>
  <c r="DX129"/>
  <c r="EB129" s="1"/>
  <c r="DN130"/>
  <c r="DO130"/>
  <c r="DY129"/>
  <c r="AB130" i="2"/>
  <c r="CT131" i="8"/>
  <c r="DQ131" s="1"/>
  <c r="CU131"/>
  <c r="CS131"/>
  <c r="DP131" s="1"/>
  <c r="Y133" i="1"/>
  <c r="Y134"/>
  <c r="D131" i="9"/>
  <c r="AP129" i="5"/>
  <c r="AU129" i="8"/>
  <c r="AV129"/>
  <c r="AW129" i="1" s="1"/>
  <c r="L129" s="1"/>
  <c r="E129" i="11" s="1"/>
  <c r="CQ131" i="8"/>
  <c r="DA131" s="1"/>
  <c r="AU131" i="5"/>
  <c r="AH131"/>
  <c r="AV131"/>
  <c r="AI131"/>
  <c r="BN131" i="8"/>
  <c r="CR131" s="1"/>
  <c r="E131" i="1"/>
  <c r="BO131" i="8"/>
  <c r="DM131" s="1"/>
  <c r="EO131"/>
  <c r="B131" i="7"/>
  <c r="AE131" s="1"/>
  <c r="AF131" s="1"/>
  <c r="A131" i="11"/>
  <c r="DL131" i="8"/>
  <c r="C131" i="14"/>
  <c r="BS131" i="5"/>
  <c r="AB131" i="8"/>
  <c r="A131" i="10"/>
  <c r="AA131" s="1"/>
  <c r="Q131" i="1"/>
  <c r="E131" i="14" s="1"/>
  <c r="B131" i="9"/>
  <c r="W131" i="8"/>
  <c r="AQ129" i="5"/>
  <c r="AU129" i="1" s="1"/>
  <c r="AR133" i="5"/>
  <c r="F133" i="7"/>
  <c r="D133" i="10"/>
  <c r="H134" i="5"/>
  <c r="V132" i="2"/>
  <c r="DE132" i="5"/>
  <c r="H132" i="10"/>
  <c r="J132" i="7"/>
  <c r="L133" i="5"/>
  <c r="K133"/>
  <c r="DD132"/>
  <c r="G132" i="10"/>
  <c r="I132" i="7"/>
  <c r="A132" i="5"/>
  <c r="E132" s="1"/>
  <c r="EQ132" i="8" s="1"/>
  <c r="CZ132" s="1"/>
  <c r="E133" i="10"/>
  <c r="I134" i="5"/>
  <c r="DB133"/>
  <c r="G133" i="7"/>
  <c r="AN130" i="5"/>
  <c r="AT128" i="1"/>
  <c r="CY134" i="5"/>
  <c r="O135" i="2"/>
  <c r="DE135" i="8"/>
  <c r="CN130"/>
  <c r="CO130"/>
  <c r="CR130"/>
  <c r="Q130" i="7"/>
  <c r="AE130"/>
  <c r="AF130" s="1"/>
  <c r="I24" i="2"/>
  <c r="F24" i="1"/>
  <c r="F24" i="2"/>
  <c r="H24"/>
  <c r="W132" i="1"/>
  <c r="J134" i="2"/>
  <c r="DA133" i="5"/>
  <c r="N134" i="2"/>
  <c r="N135"/>
  <c r="DG134" i="5"/>
  <c r="DH130" i="8"/>
  <c r="EH130" s="1"/>
  <c r="EP130"/>
  <c r="J135"/>
  <c r="R134" i="2"/>
  <c r="AK127" i="5"/>
  <c r="AQ127" i="1"/>
  <c r="U127" s="1"/>
  <c r="J128" s="1"/>
  <c r="AP128" i="8" s="1"/>
  <c r="D127" i="11"/>
  <c r="BM127" i="1"/>
  <c r="AO128" i="8"/>
  <c r="B133" i="5"/>
  <c r="AA134" i="7"/>
  <c r="AE134" i="8" s="1"/>
  <c r="BC134" s="1"/>
  <c r="K134" i="10"/>
  <c r="BY135" i="11"/>
  <c r="BQ130" i="8"/>
  <c r="BP130"/>
  <c r="N130" i="7"/>
  <c r="BT130" i="8"/>
  <c r="BZ130"/>
  <c r="BY130"/>
  <c r="CF130"/>
  <c r="CG130"/>
  <c r="M135" i="2"/>
  <c r="DF135" i="8"/>
  <c r="CW130"/>
  <c r="CV130"/>
  <c r="CX130"/>
  <c r="DB130"/>
  <c r="EC130" s="1"/>
  <c r="ED130" s="1"/>
  <c r="DG130"/>
  <c r="EG130" s="1"/>
  <c r="CY130"/>
  <c r="EA130" s="1"/>
  <c r="AM130" i="5"/>
  <c r="AC130" i="10"/>
  <c r="X130" s="1"/>
  <c r="Y130" s="1"/>
  <c r="AO130" i="5"/>
  <c r="AL130"/>
  <c r="N130" i="11"/>
  <c r="F134" i="10"/>
  <c r="DC134" i="5"/>
  <c r="J135"/>
  <c r="H134" i="7"/>
  <c r="EE128" i="8"/>
  <c r="EF128" s="1"/>
  <c r="Q128"/>
  <c r="C133" i="10"/>
  <c r="G134" i="5"/>
  <c r="E133" i="7"/>
  <c r="CZ133" i="5"/>
  <c r="P130" i="1"/>
  <c r="D129" i="14"/>
  <c r="E128" i="11"/>
  <c r="DF132" i="5"/>
  <c r="AC134" i="1" l="1"/>
  <c r="BC135" i="5"/>
  <c r="AC135" i="1" s="1"/>
  <c r="O129" i="8"/>
  <c r="Q129" s="1"/>
  <c r="BE135" i="5"/>
  <c r="AE134" i="1" s="1"/>
  <c r="AE133"/>
  <c r="N134"/>
  <c r="N135" s="1"/>
  <c r="O135"/>
  <c r="DK135" i="8" s="1"/>
  <c r="DI134"/>
  <c r="DJ134"/>
  <c r="AR129"/>
  <c r="AR129" i="1"/>
  <c r="V129" s="1"/>
  <c r="K130" s="1"/>
  <c r="BN129"/>
  <c r="AD131" i="9"/>
  <c r="AV131" i="1" s="1"/>
  <c r="C129" i="9"/>
  <c r="AT130" i="8"/>
  <c r="AQ130"/>
  <c r="F130" i="11"/>
  <c r="M131" i="1"/>
  <c r="AW130" i="8"/>
  <c r="CA131"/>
  <c r="CH131"/>
  <c r="CO131"/>
  <c r="BP131"/>
  <c r="BU131"/>
  <c r="AC130" i="11"/>
  <c r="T130" i="8" s="1"/>
  <c r="AA130" i="11"/>
  <c r="Y130"/>
  <c r="AH130" i="1" s="1"/>
  <c r="AD130" i="11"/>
  <c r="AI130" i="1" s="1"/>
  <c r="AB130" i="11"/>
  <c r="P130" i="8" s="1"/>
  <c r="Z130" i="11"/>
  <c r="AC130" i="2" s="1"/>
  <c r="EM128" i="8"/>
  <c r="G128" i="1" s="1"/>
  <c r="M128" i="8" s="1"/>
  <c r="B135" i="2"/>
  <c r="B135" i="1"/>
  <c r="BI135" s="1"/>
  <c r="DR131" i="8"/>
  <c r="DS131"/>
  <c r="EP131"/>
  <c r="DT131"/>
  <c r="B134" i="5"/>
  <c r="DZ129" i="8"/>
  <c r="EM129" s="1"/>
  <c r="G129" i="1" s="1"/>
  <c r="M129" i="8" s="1"/>
  <c r="DX130"/>
  <c r="EB130" s="1"/>
  <c r="CW131"/>
  <c r="DN131"/>
  <c r="DO131"/>
  <c r="E132" i="1"/>
  <c r="CS132" i="8"/>
  <c r="DP132" s="1"/>
  <c r="CT132"/>
  <c r="DQ132" s="1"/>
  <c r="CU132"/>
  <c r="C132" i="14"/>
  <c r="D132" i="9"/>
  <c r="CN131" i="8"/>
  <c r="AT129" i="1"/>
  <c r="BN132" i="8"/>
  <c r="CN132" s="1"/>
  <c r="AH132" i="5"/>
  <c r="AC132" i="10" s="1"/>
  <c r="AB132" i="8"/>
  <c r="BS132" i="5"/>
  <c r="AI132"/>
  <c r="AU132"/>
  <c r="B132" i="7"/>
  <c r="AE132" s="1"/>
  <c r="AF132" s="1"/>
  <c r="N131" i="11"/>
  <c r="BO132" i="8"/>
  <c r="DM132" s="1"/>
  <c r="DB131"/>
  <c r="EC131" s="1"/>
  <c r="ED131" s="1"/>
  <c r="CX131"/>
  <c r="CV131"/>
  <c r="DG131"/>
  <c r="EG131" s="1"/>
  <c r="DL132"/>
  <c r="CQ132"/>
  <c r="DA132" s="1"/>
  <c r="AB131" i="2"/>
  <c r="CY131" i="8"/>
  <c r="EA131" s="1"/>
  <c r="B132" i="9"/>
  <c r="Q132" i="1"/>
  <c r="E132" i="14" s="1"/>
  <c r="EO132" i="8"/>
  <c r="W132"/>
  <c r="Q131" i="7"/>
  <c r="AV132" i="5"/>
  <c r="AN131"/>
  <c r="AL131"/>
  <c r="A132" i="11"/>
  <c r="N131" i="7"/>
  <c r="A132" i="10"/>
  <c r="AA132" s="1"/>
  <c r="BT131" i="8"/>
  <c r="AC131" i="10"/>
  <c r="X131" s="1"/>
  <c r="Y131" s="1"/>
  <c r="DH131" i="8"/>
  <c r="EH131" s="1"/>
  <c r="AM131" i="5"/>
  <c r="AO131"/>
  <c r="CG131" i="8"/>
  <c r="BQ131"/>
  <c r="BZ131"/>
  <c r="BY131"/>
  <c r="CF131"/>
  <c r="A133" i="5"/>
  <c r="E133" s="1"/>
  <c r="EQ133" i="8" s="1"/>
  <c r="CZ133" s="1"/>
  <c r="V133" i="2"/>
  <c r="F134" i="7"/>
  <c r="D134" i="10"/>
  <c r="H135" i="5"/>
  <c r="AR134"/>
  <c r="J133" i="7"/>
  <c r="DE133" i="5"/>
  <c r="H133" i="10"/>
  <c r="L134" i="5"/>
  <c r="DD133"/>
  <c r="I133" i="7"/>
  <c r="G133" i="10"/>
  <c r="K134" i="5"/>
  <c r="G134" i="7"/>
  <c r="DB134" i="5"/>
  <c r="E134" i="10"/>
  <c r="I135" i="5"/>
  <c r="EI130" i="8"/>
  <c r="AP130" i="5"/>
  <c r="DY130" i="8"/>
  <c r="U24"/>
  <c r="V24"/>
  <c r="AA24" i="1"/>
  <c r="S24" s="1"/>
  <c r="H25" s="1"/>
  <c r="I24" i="11"/>
  <c r="O24" i="7"/>
  <c r="DG135" i="5"/>
  <c r="CY135"/>
  <c r="AV130" i="8"/>
  <c r="AW130" i="1" s="1"/>
  <c r="L130" s="1"/>
  <c r="AK128" i="5"/>
  <c r="D128" i="11"/>
  <c r="AQ128" i="1"/>
  <c r="U128" s="1"/>
  <c r="J129" s="1"/>
  <c r="AP129" i="8" s="1"/>
  <c r="BM128" i="1"/>
  <c r="AP24"/>
  <c r="T24" s="1"/>
  <c r="J24" i="11"/>
  <c r="G24" i="2"/>
  <c r="Z24" s="1"/>
  <c r="Z25" i="8" s="1"/>
  <c r="F135" i="10"/>
  <c r="H135" i="7"/>
  <c r="DC135" i="5"/>
  <c r="K135" i="10"/>
  <c r="AA135" i="7"/>
  <c r="AE135" i="8" s="1"/>
  <c r="BC135" s="1"/>
  <c r="E134" i="7"/>
  <c r="CZ134" i="5"/>
  <c r="G135"/>
  <c r="C134" i="10"/>
  <c r="DC130" i="8"/>
  <c r="O130" s="1"/>
  <c r="DD130"/>
  <c r="DC131"/>
  <c r="DD131"/>
  <c r="D130" i="14"/>
  <c r="P131" i="1"/>
  <c r="AG131" i="7"/>
  <c r="AI131" s="1"/>
  <c r="AH131"/>
  <c r="R135" i="2"/>
  <c r="W133" i="1"/>
  <c r="J135" i="2"/>
  <c r="DA134" i="5"/>
  <c r="AH130" i="7"/>
  <c r="AG130"/>
  <c r="AI130" s="1"/>
  <c r="AU130" i="8"/>
  <c r="BO129" i="1"/>
  <c r="AO129" i="8"/>
  <c r="AQ130" i="5"/>
  <c r="AU130" i="1" s="1"/>
  <c r="DF133" i="5"/>
  <c r="O131" i="8" l="1"/>
  <c r="DI135"/>
  <c r="DJ135"/>
  <c r="AR130"/>
  <c r="BN130" i="1"/>
  <c r="C130" i="9"/>
  <c r="AR130" i="1"/>
  <c r="V130" s="1"/>
  <c r="K131" s="1"/>
  <c r="AD132" i="9"/>
  <c r="AV132" i="1" s="1"/>
  <c r="Q132" i="7"/>
  <c r="I25" i="1"/>
  <c r="AT131" i="8"/>
  <c r="AQ131"/>
  <c r="F131" i="11"/>
  <c r="M132" i="1"/>
  <c r="AW131" i="8"/>
  <c r="CA132"/>
  <c r="CH132"/>
  <c r="BT132"/>
  <c r="BU132"/>
  <c r="AC131" i="11"/>
  <c r="T131" i="8" s="1"/>
  <c r="Y131" i="11"/>
  <c r="AH131" i="1" s="1"/>
  <c r="AA131" i="11"/>
  <c r="AD131"/>
  <c r="AI131" i="1" s="1"/>
  <c r="AB131" i="11"/>
  <c r="P131" i="8" s="1"/>
  <c r="Z131" i="11"/>
  <c r="AC131" i="2" s="1"/>
  <c r="DZ130" i="8"/>
  <c r="DH132"/>
  <c r="EH132" s="1"/>
  <c r="DT132"/>
  <c r="DR132"/>
  <c r="DS132"/>
  <c r="DX131"/>
  <c r="EB131" s="1"/>
  <c r="DY131"/>
  <c r="DB132"/>
  <c r="EC132" s="1"/>
  <c r="ED132" s="1"/>
  <c r="DN132"/>
  <c r="DO132"/>
  <c r="CU133"/>
  <c r="CS133"/>
  <c r="DP133" s="1"/>
  <c r="CT133"/>
  <c r="DQ133" s="1"/>
  <c r="BZ132"/>
  <c r="BY132"/>
  <c r="CG132"/>
  <c r="BP132"/>
  <c r="N132" i="7"/>
  <c r="CF132" i="8"/>
  <c r="BQ132"/>
  <c r="EP132"/>
  <c r="AN132" i="5"/>
  <c r="CO132" i="8"/>
  <c r="CR132"/>
  <c r="DD132" s="1"/>
  <c r="D133" i="9"/>
  <c r="AL132" i="5"/>
  <c r="AO132"/>
  <c r="N132" i="11"/>
  <c r="AM132" i="5"/>
  <c r="DG132" i="8"/>
  <c r="EG132" s="1"/>
  <c r="CY132"/>
  <c r="EA132" s="1"/>
  <c r="EI131"/>
  <c r="CX132"/>
  <c r="CV132"/>
  <c r="CW132"/>
  <c r="AP131" i="5"/>
  <c r="X132" i="10"/>
  <c r="Y132" s="1"/>
  <c r="AQ131" i="5"/>
  <c r="AU131" i="1" s="1"/>
  <c r="AU131" i="8"/>
  <c r="AV131"/>
  <c r="AW131" i="1" s="1"/>
  <c r="L131" s="1"/>
  <c r="D135" i="10"/>
  <c r="F135" i="7"/>
  <c r="G134" i="10"/>
  <c r="I134" i="7"/>
  <c r="K135" i="5"/>
  <c r="DD134"/>
  <c r="H134" i="10"/>
  <c r="L135" i="5"/>
  <c r="J134" i="7"/>
  <c r="DE134" i="5"/>
  <c r="V134" i="2"/>
  <c r="A134" i="5"/>
  <c r="E134" s="1"/>
  <c r="EQ134" i="8" s="1"/>
  <c r="CZ134" s="1"/>
  <c r="AR135" i="5"/>
  <c r="E135" i="10"/>
  <c r="G135" i="7"/>
  <c r="DB135" i="5"/>
  <c r="AO130" i="8"/>
  <c r="E130" i="11"/>
  <c r="BO130" i="1"/>
  <c r="EE131" i="8"/>
  <c r="EF131" s="1"/>
  <c r="AT130" i="1"/>
  <c r="AQ129"/>
  <c r="U129" s="1"/>
  <c r="J130" s="1"/>
  <c r="AP130" i="8" s="1"/>
  <c r="BM129" i="1"/>
  <c r="AK129" i="5"/>
  <c r="D129" i="11"/>
  <c r="EE130" i="8"/>
  <c r="EF130" s="1"/>
  <c r="Q130"/>
  <c r="P132" i="1"/>
  <c r="D131" i="14"/>
  <c r="P24" i="7"/>
  <c r="F24" i="9"/>
  <c r="AU133" i="5"/>
  <c r="AV133"/>
  <c r="B133" i="9"/>
  <c r="A133" i="10"/>
  <c r="AA133" s="1"/>
  <c r="W133" i="8"/>
  <c r="Q133" i="1"/>
  <c r="E133" i="14" s="1"/>
  <c r="BS133" i="5"/>
  <c r="B133" i="7"/>
  <c r="C133" i="14"/>
  <c r="E133" i="1"/>
  <c r="A133" i="11"/>
  <c r="AB132" i="2"/>
  <c r="AH133" i="5"/>
  <c r="AI133"/>
  <c r="BN133" i="8"/>
  <c r="BO133"/>
  <c r="DM133" s="1"/>
  <c r="EO133"/>
  <c r="DT133" s="1"/>
  <c r="AB133"/>
  <c r="CQ133"/>
  <c r="DA133" s="1"/>
  <c r="DL133"/>
  <c r="C24"/>
  <c r="AH132" i="7"/>
  <c r="AG132"/>
  <c r="AI132" s="1"/>
  <c r="CZ135" i="5"/>
  <c r="E135" i="7"/>
  <c r="C135" i="10"/>
  <c r="C25" i="11"/>
  <c r="AJ25" i="5"/>
  <c r="AN25" i="8"/>
  <c r="V25" i="10"/>
  <c r="AC25" i="7"/>
  <c r="BK25" i="1"/>
  <c r="W134"/>
  <c r="DA135" i="5"/>
  <c r="B135"/>
  <c r="DF134"/>
  <c r="AS25" i="8" l="1"/>
  <c r="AO25" i="1"/>
  <c r="AR131" i="8"/>
  <c r="C131" i="9"/>
  <c r="BN131" i="1"/>
  <c r="AD133" i="9"/>
  <c r="AV133" i="1" s="1"/>
  <c r="AR131"/>
  <c r="V131" s="1"/>
  <c r="K132" s="1"/>
  <c r="AR132" i="8" s="1"/>
  <c r="BL25" i="1"/>
  <c r="AT132" i="8"/>
  <c r="AW132"/>
  <c r="AQ132"/>
  <c r="F132" i="11"/>
  <c r="M133" i="1"/>
  <c r="BU133" i="8"/>
  <c r="CA133"/>
  <c r="CH133"/>
  <c r="AA132" i="11"/>
  <c r="AC132"/>
  <c r="T132" i="8" s="1"/>
  <c r="Y132" i="11"/>
  <c r="AH132" i="1" s="1"/>
  <c r="Z132" i="11"/>
  <c r="AC132" i="2" s="1"/>
  <c r="AB132" i="11"/>
  <c r="P132" i="8" s="1"/>
  <c r="AD132" i="11"/>
  <c r="AI132" i="1" s="1"/>
  <c r="EM130" i="8"/>
  <c r="G130" i="1" s="1"/>
  <c r="M130" i="8" s="1"/>
  <c r="DR133"/>
  <c r="DS133"/>
  <c r="EI132"/>
  <c r="DZ131"/>
  <c r="EM131" s="1"/>
  <c r="G131" i="1" s="1"/>
  <c r="M131" i="8" s="1"/>
  <c r="DX132"/>
  <c r="EB132" s="1"/>
  <c r="DN133"/>
  <c r="DO133"/>
  <c r="AQ132" i="5"/>
  <c r="AU132" i="1" s="1"/>
  <c r="A134" i="10"/>
  <c r="AA134" s="1"/>
  <c r="CS134" i="8"/>
  <c r="DP134" s="1"/>
  <c r="CT134"/>
  <c r="DQ134" s="1"/>
  <c r="CU134"/>
  <c r="AU132"/>
  <c r="AV132"/>
  <c r="AW132" i="1" s="1"/>
  <c r="L132" s="1"/>
  <c r="AO132" i="8" s="1"/>
  <c r="AP132" i="5"/>
  <c r="DC132" i="8"/>
  <c r="EE132" s="1"/>
  <c r="EF132" s="1"/>
  <c r="Q131"/>
  <c r="DY132"/>
  <c r="AT131" i="1"/>
  <c r="DL134" i="8"/>
  <c r="CQ134"/>
  <c r="DA134" s="1"/>
  <c r="Q134" i="1"/>
  <c r="E134" i="14" s="1"/>
  <c r="AV134" i="5"/>
  <c r="W134" i="8"/>
  <c r="B134" i="9"/>
  <c r="C134" i="14"/>
  <c r="AO131" i="8"/>
  <c r="E131" i="11"/>
  <c r="BO131" i="1"/>
  <c r="V135" i="2"/>
  <c r="A135" i="5"/>
  <c r="E135" s="1"/>
  <c r="EQ135" i="8" s="1"/>
  <c r="CZ135" s="1"/>
  <c r="AU134" i="5"/>
  <c r="AB134" i="8"/>
  <c r="CF134" s="1"/>
  <c r="AH134" i="5"/>
  <c r="AC134" i="10" s="1"/>
  <c r="AI134" i="5"/>
  <c r="B134" i="7"/>
  <c r="AE134" s="1"/>
  <c r="AF134" s="1"/>
  <c r="AB133" i="2"/>
  <c r="I135" i="7"/>
  <c r="G135" i="10"/>
  <c r="DD135" i="5"/>
  <c r="DE135"/>
  <c r="H135" i="10"/>
  <c r="J135" i="7"/>
  <c r="BN134" i="8"/>
  <c r="CO134" s="1"/>
  <c r="A134" i="11"/>
  <c r="BO134" i="8"/>
  <c r="DM134" s="1"/>
  <c r="E134" i="1"/>
  <c r="EO134" i="8"/>
  <c r="BS134" i="5"/>
  <c r="P133" i="1"/>
  <c r="D132" i="14"/>
  <c r="N133" i="7"/>
  <c r="BP133" i="8"/>
  <c r="BQ133"/>
  <c r="BT133"/>
  <c r="BY133"/>
  <c r="BZ133"/>
  <c r="CF133"/>
  <c r="CG133"/>
  <c r="D130" i="11"/>
  <c r="AK130" i="5"/>
  <c r="AQ130" i="1"/>
  <c r="U130" s="1"/>
  <c r="J131" s="1"/>
  <c r="AP131" i="8" s="1"/>
  <c r="BM130" i="1"/>
  <c r="CV133" i="8"/>
  <c r="DB133"/>
  <c r="EC133" s="1"/>
  <c r="ED133" s="1"/>
  <c r="CW133"/>
  <c r="CY133"/>
  <c r="EA133" s="1"/>
  <c r="CX133"/>
  <c r="DG133"/>
  <c r="EG133" s="1"/>
  <c r="AM133" i="5"/>
  <c r="AC133" i="10"/>
  <c r="X133" s="1"/>
  <c r="Y133" s="1"/>
  <c r="AO133" i="5"/>
  <c r="AL133"/>
  <c r="AN133"/>
  <c r="DH133" i="8"/>
  <c r="EH133" s="1"/>
  <c r="EP133"/>
  <c r="N133" i="11"/>
  <c r="Y24" i="2"/>
  <c r="X24" s="1"/>
  <c r="CR133" i="8"/>
  <c r="CN133"/>
  <c r="CO133"/>
  <c r="D134" i="9"/>
  <c r="Q133" i="7"/>
  <c r="AE133"/>
  <c r="AF133" s="1"/>
  <c r="DF135" i="5"/>
  <c r="O132" i="8" l="1"/>
  <c r="Q132" s="1"/>
  <c r="C132" i="9"/>
  <c r="AR132" i="1"/>
  <c r="V132" s="1"/>
  <c r="K133" s="1"/>
  <c r="AR133" i="8" s="1"/>
  <c r="BN132" i="1"/>
  <c r="AD134" i="9"/>
  <c r="AV134" i="1" s="1"/>
  <c r="AT133" i="8"/>
  <c r="AW133"/>
  <c r="AQ133"/>
  <c r="F133" i="11"/>
  <c r="M134" i="1"/>
  <c r="CA134" i="8"/>
  <c r="CH134"/>
  <c r="BY134"/>
  <c r="BU134"/>
  <c r="Y133" i="11"/>
  <c r="AH133" i="1" s="1"/>
  <c r="AC133" i="11"/>
  <c r="T133" i="8" s="1"/>
  <c r="AA133" i="11"/>
  <c r="AB133"/>
  <c r="P133" i="8" s="1"/>
  <c r="AD133" i="11"/>
  <c r="AI133" i="1" s="1"/>
  <c r="Z133" i="11"/>
  <c r="AC133" i="2" s="1"/>
  <c r="EP134" i="8"/>
  <c r="DT134"/>
  <c r="DR134"/>
  <c r="DS134"/>
  <c r="DZ132"/>
  <c r="EM132" s="1"/>
  <c r="G132" i="1" s="1"/>
  <c r="M132" i="8" s="1"/>
  <c r="DX133"/>
  <c r="EB133" s="1"/>
  <c r="DB134"/>
  <c r="EC134" s="1"/>
  <c r="ED134" s="1"/>
  <c r="DN134"/>
  <c r="DO134"/>
  <c r="X134" i="10"/>
  <c r="Y134" s="1"/>
  <c r="CS135" i="8"/>
  <c r="DP135" s="1"/>
  <c r="CT135"/>
  <c r="DQ135" s="1"/>
  <c r="CU135"/>
  <c r="AT132" i="1"/>
  <c r="CN134" i="8"/>
  <c r="BO132" i="1"/>
  <c r="DL135" i="8"/>
  <c r="E132" i="11"/>
  <c r="Q134" i="7"/>
  <c r="CY134" i="8"/>
  <c r="EA134" s="1"/>
  <c r="DG134"/>
  <c r="EG134" s="1"/>
  <c r="CX134"/>
  <c r="CV134"/>
  <c r="CW134"/>
  <c r="AM134" i="5"/>
  <c r="B135" i="7"/>
  <c r="AE135" s="1"/>
  <c r="AF135" s="1"/>
  <c r="B135" i="9"/>
  <c r="AV135" i="5"/>
  <c r="AB134" i="2"/>
  <c r="AH135" i="5"/>
  <c r="C135" i="14"/>
  <c r="AI135" i="5"/>
  <c r="BS135"/>
  <c r="BN135" i="8"/>
  <c r="CO135" s="1"/>
  <c r="AU135" i="5"/>
  <c r="BO135" i="8"/>
  <c r="DM135" s="1"/>
  <c r="W135"/>
  <c r="CQ135"/>
  <c r="DA135" s="1"/>
  <c r="EO135"/>
  <c r="DH135" s="1"/>
  <c r="EH135" s="1"/>
  <c r="Q135" i="1"/>
  <c r="E135" i="14" s="1"/>
  <c r="A135" i="10"/>
  <c r="AA135" s="1"/>
  <c r="AB135" i="8"/>
  <c r="A135" i="11"/>
  <c r="E135" i="1"/>
  <c r="DH134" i="8"/>
  <c r="EH134" s="1"/>
  <c r="AN134" i="5"/>
  <c r="BQ134" i="8"/>
  <c r="CG134"/>
  <c r="BP134"/>
  <c r="N134" i="7"/>
  <c r="BT134" i="8"/>
  <c r="BZ134"/>
  <c r="AO134" i="5"/>
  <c r="AL134"/>
  <c r="N134" i="11"/>
  <c r="CR134" i="8"/>
  <c r="DC134" s="1"/>
  <c r="D135" i="9"/>
  <c r="AV133" i="8"/>
  <c r="AW133" i="1" s="1"/>
  <c r="L133" s="1"/>
  <c r="BO133" s="1"/>
  <c r="DY133" i="8"/>
  <c r="AU133"/>
  <c r="AP133" i="5"/>
  <c r="B25" i="8"/>
  <c r="D25" i="2" s="1"/>
  <c r="BD25" i="8"/>
  <c r="E25" i="2"/>
  <c r="L25"/>
  <c r="H25" i="11"/>
  <c r="AB25" i="7"/>
  <c r="DD133" i="8"/>
  <c r="DC133"/>
  <c r="O133" s="1"/>
  <c r="BM131" i="1"/>
  <c r="AQ131"/>
  <c r="U131" s="1"/>
  <c r="J132" s="1"/>
  <c r="AP132" i="8" s="1"/>
  <c r="AK131" i="5"/>
  <c r="D131" i="11"/>
  <c r="EI133" i="8"/>
  <c r="AH133" i="7"/>
  <c r="AG133"/>
  <c r="AI133" s="1"/>
  <c r="AQ133" i="5"/>
  <c r="AU133" i="1" s="1"/>
  <c r="D133" i="14"/>
  <c r="P134" i="1"/>
  <c r="AG134" i="7"/>
  <c r="AI134" s="1"/>
  <c r="AH134"/>
  <c r="O134" i="8" l="1"/>
  <c r="BN133" i="1"/>
  <c r="C133" i="9"/>
  <c r="AR133" i="1"/>
  <c r="V133" s="1"/>
  <c r="K134" s="1"/>
  <c r="AD135" i="9"/>
  <c r="AV135" i="1" s="1"/>
  <c r="AT134" i="8"/>
  <c r="AT135"/>
  <c r="AQ134"/>
  <c r="M135" i="1"/>
  <c r="F134" i="11"/>
  <c r="AW134" i="8"/>
  <c r="CA135"/>
  <c r="CH135"/>
  <c r="BZ135"/>
  <c r="BU135"/>
  <c r="Y135" i="11"/>
  <c r="AH135" i="1" s="1"/>
  <c r="AC135" i="11"/>
  <c r="T135" i="8" s="1"/>
  <c r="AA135" i="11"/>
  <c r="Z135"/>
  <c r="AC135" i="2" s="1"/>
  <c r="AB135" i="11"/>
  <c r="P135" i="8" s="1"/>
  <c r="AD135" i="11"/>
  <c r="AI135" i="1" s="1"/>
  <c r="Y134" i="11"/>
  <c r="AH134" i="1" s="1"/>
  <c r="AA134" i="11"/>
  <c r="AC134"/>
  <c r="T134" i="8" s="1"/>
  <c r="AD134" i="11"/>
  <c r="AI134" i="1" s="1"/>
  <c r="AB134" i="11"/>
  <c r="P134" i="8" s="1"/>
  <c r="Z134" i="11"/>
  <c r="AC134" i="2" s="1"/>
  <c r="DZ133" i="8"/>
  <c r="CN135"/>
  <c r="EP135"/>
  <c r="DT135"/>
  <c r="DR135"/>
  <c r="DS135"/>
  <c r="DX134"/>
  <c r="EB134" s="1"/>
  <c r="DG135"/>
  <c r="EG135" s="1"/>
  <c r="EI135" s="1"/>
  <c r="DN135"/>
  <c r="DO135"/>
  <c r="DY134"/>
  <c r="AU134"/>
  <c r="EI134"/>
  <c r="AT133" i="1"/>
  <c r="AQ134" i="5"/>
  <c r="AU134" i="1" s="1"/>
  <c r="BY135" i="8"/>
  <c r="CF135"/>
  <c r="BP135"/>
  <c r="Q135" i="7"/>
  <c r="N135" i="11"/>
  <c r="AL135" i="5"/>
  <c r="DD134" i="8"/>
  <c r="EE134" s="1"/>
  <c r="EF134" s="1"/>
  <c r="CG135"/>
  <c r="N135" i="7"/>
  <c r="CR135" i="8"/>
  <c r="DD135" s="1"/>
  <c r="BT135"/>
  <c r="AN135" i="5"/>
  <c r="BQ135" i="8"/>
  <c r="CY135"/>
  <c r="EA135" s="1"/>
  <c r="AO135" i="5"/>
  <c r="DB135" i="8"/>
  <c r="EC135" s="1"/>
  <c r="ED135" s="1"/>
  <c r="AC135" i="10"/>
  <c r="X135" s="1"/>
  <c r="Y135" s="1"/>
  <c r="CV135" i="8"/>
  <c r="CW135"/>
  <c r="AM135" i="5"/>
  <c r="CX135" i="8"/>
  <c r="AP134" i="5"/>
  <c r="AV134" i="8"/>
  <c r="AW134" i="1" s="1"/>
  <c r="L134" s="1"/>
  <c r="E133" i="11"/>
  <c r="AO133" i="8"/>
  <c r="D134" i="14"/>
  <c r="P135" i="1"/>
  <c r="D135" i="14" s="1"/>
  <c r="U25" i="2"/>
  <c r="W24" s="1"/>
  <c r="C25" s="1"/>
  <c r="AH135" i="7"/>
  <c r="AG135"/>
  <c r="AI135" s="1"/>
  <c r="EE133" i="8"/>
  <c r="EF133" s="1"/>
  <c r="Q133"/>
  <c r="AQ132" i="1"/>
  <c r="U132" s="1"/>
  <c r="J133" s="1"/>
  <c r="AP133" i="8" s="1"/>
  <c r="BM132" i="1"/>
  <c r="D132" i="11"/>
  <c r="AK132" i="5"/>
  <c r="R25" i="8" l="1"/>
  <c r="S25" s="1"/>
  <c r="F25" i="1"/>
  <c r="AR134" i="8"/>
  <c r="AR134" i="1"/>
  <c r="V134" s="1"/>
  <c r="K135" s="1"/>
  <c r="C134" i="9"/>
  <c r="BN134" i="1"/>
  <c r="AW135" i="8"/>
  <c r="AQ135"/>
  <c r="F135" i="11"/>
  <c r="EM133" i="8"/>
  <c r="G133" i="1" s="1"/>
  <c r="M133" i="8" s="1"/>
  <c r="DX135"/>
  <c r="EB135" s="1"/>
  <c r="DZ134"/>
  <c r="EM134" s="1"/>
  <c r="G134" i="1" s="1"/>
  <c r="M134" i="8" s="1"/>
  <c r="Q134"/>
  <c r="AT134" i="1"/>
  <c r="DC135" i="8"/>
  <c r="O135" s="1"/>
  <c r="AP135" i="5"/>
  <c r="AV135" i="8"/>
  <c r="AW135" i="1" s="1"/>
  <c r="L135" s="1"/>
  <c r="BO135" s="1"/>
  <c r="DY135" i="8"/>
  <c r="AU135"/>
  <c r="AQ135" i="5"/>
  <c r="AU135" i="1" s="1"/>
  <c r="E134" i="11"/>
  <c r="BO134" i="1"/>
  <c r="AO134" i="8"/>
  <c r="I25" i="2"/>
  <c r="AA25" i="1" s="1"/>
  <c r="S25" s="1"/>
  <c r="H26" s="1"/>
  <c r="H25" i="2"/>
  <c r="D133" i="11"/>
  <c r="BM133" i="1"/>
  <c r="AQ133"/>
  <c r="U133" s="1"/>
  <c r="J134" s="1"/>
  <c r="AP134" i="8" s="1"/>
  <c r="AK133" i="5"/>
  <c r="F25" i="2" l="1"/>
  <c r="J25" i="11" s="1"/>
  <c r="AR135" i="8"/>
  <c r="AR135" i="1"/>
  <c r="V135" s="1"/>
  <c r="BN135"/>
  <c r="C135" i="9"/>
  <c r="DZ135" i="8"/>
  <c r="Q135"/>
  <c r="EE135"/>
  <c r="EF135" s="1"/>
  <c r="AT135" i="1"/>
  <c r="E135" i="11"/>
  <c r="AO135" i="8"/>
  <c r="AC26" i="7"/>
  <c r="AJ26" i="5"/>
  <c r="BK26" i="1"/>
  <c r="C26" i="11"/>
  <c r="AN26" i="8"/>
  <c r="V26" i="10"/>
  <c r="BM134" i="1"/>
  <c r="AK134" i="5"/>
  <c r="D134" i="11"/>
  <c r="AQ134" i="1"/>
  <c r="U134" s="1"/>
  <c r="J135" s="1"/>
  <c r="AP135" i="8" s="1"/>
  <c r="U25"/>
  <c r="V25"/>
  <c r="O25" i="7"/>
  <c r="I25" i="11"/>
  <c r="G25" i="2" l="1"/>
  <c r="Z25" s="1"/>
  <c r="Z26" i="8" s="1"/>
  <c r="AP25" i="1"/>
  <c r="T25" s="1"/>
  <c r="I26" s="1"/>
  <c r="AO26" s="1"/>
  <c r="EM135" i="8"/>
  <c r="G135" i="1" s="1"/>
  <c r="M135" i="8" s="1"/>
  <c r="D135" i="11"/>
  <c r="AK135" i="5"/>
  <c r="AQ135" i="1"/>
  <c r="U135" s="1"/>
  <c r="BM135"/>
  <c r="F25" i="9"/>
  <c r="P25" i="7"/>
  <c r="C25" i="8" l="1"/>
  <c r="AS26"/>
  <c r="BL26" i="1"/>
  <c r="Y25" i="2"/>
  <c r="X25" s="1"/>
  <c r="AB26" i="7" l="1"/>
  <c r="H26" i="11"/>
  <c r="E26" i="2"/>
  <c r="B26" i="8"/>
  <c r="D26" i="2" s="1"/>
  <c r="BD26" i="8"/>
  <c r="L26" i="2"/>
  <c r="U26" l="1"/>
  <c r="W25" s="1"/>
  <c r="C26" s="1"/>
  <c r="R26" i="8" l="1"/>
  <c r="S26" s="1"/>
  <c r="F26" i="2" l="1"/>
  <c r="J26" i="11" s="1"/>
  <c r="F26" i="1"/>
  <c r="I26" i="2"/>
  <c r="O26" i="7" s="1"/>
  <c r="H26" i="2"/>
  <c r="U26" i="8"/>
  <c r="V26"/>
  <c r="AP26" i="1" l="1"/>
  <c r="T26" s="1"/>
  <c r="I27" s="1"/>
  <c r="AA26"/>
  <c r="S26" s="1"/>
  <c r="H27" s="1"/>
  <c r="AJ27" i="5" s="1"/>
  <c r="G26" i="2"/>
  <c r="Z26" s="1"/>
  <c r="Z27" i="8" s="1"/>
  <c r="I26" i="11"/>
  <c r="P26" i="7"/>
  <c r="F26" i="9"/>
  <c r="V27" i="10" l="1"/>
  <c r="AN27" i="8"/>
  <c r="BK27" i="1"/>
  <c r="C27" i="11"/>
  <c r="AC27" i="7"/>
  <c r="C26" i="8"/>
  <c r="AS27"/>
  <c r="AO27" i="1"/>
  <c r="BL27"/>
  <c r="Y26" i="2"/>
  <c r="X26" s="1"/>
  <c r="AB27" i="7" l="1"/>
  <c r="E27" i="2"/>
  <c r="B27" i="8"/>
  <c r="D27" i="2" s="1"/>
  <c r="BD27" i="8"/>
  <c r="L27" i="2"/>
  <c r="H27" i="11"/>
  <c r="U27" i="2" l="1"/>
  <c r="W26" s="1"/>
  <c r="C27" s="1"/>
  <c r="F27" s="1"/>
  <c r="R27" i="8" l="1"/>
  <c r="S27" s="1"/>
  <c r="G27" i="2" l="1"/>
  <c r="Z27" s="1"/>
  <c r="Z28" i="8" s="1"/>
  <c r="I27" i="2"/>
  <c r="I27" i="11" s="1"/>
  <c r="F27" i="1"/>
  <c r="H27" i="2"/>
  <c r="U27" i="8"/>
  <c r="V27"/>
  <c r="AP27" i="1" l="1"/>
  <c r="T27" s="1"/>
  <c r="I28" s="1"/>
  <c r="AO28" s="1"/>
  <c r="AA27"/>
  <c r="S27" s="1"/>
  <c r="H28" s="1"/>
  <c r="BK28" s="1"/>
  <c r="J27" i="11"/>
  <c r="P27" i="7" s="1"/>
  <c r="O27"/>
  <c r="C27" i="8"/>
  <c r="V28" i="10" l="1"/>
  <c r="AN28" i="8"/>
  <c r="F27" i="9"/>
  <c r="C28" i="11"/>
  <c r="AC28" i="7"/>
  <c r="AJ28" i="5"/>
  <c r="AS28" i="8"/>
  <c r="BL28" i="1"/>
  <c r="Y27" i="2"/>
  <c r="X27" s="1"/>
  <c r="E28" l="1"/>
  <c r="L28"/>
  <c r="B28" i="8"/>
  <c r="D28" i="2" s="1"/>
  <c r="BD28" i="8"/>
  <c r="AB28" i="7"/>
  <c r="H28" i="11"/>
  <c r="U28" i="2" l="1"/>
  <c r="W27" s="1"/>
  <c r="C28" s="1"/>
  <c r="R28" i="8" l="1"/>
  <c r="S28" s="1"/>
  <c r="H28" i="2" l="1"/>
  <c r="I28"/>
  <c r="AA28" i="1" s="1"/>
  <c r="S28" s="1"/>
  <c r="H29" s="1"/>
  <c r="F28" i="2"/>
  <c r="G28" s="1"/>
  <c r="Z28" s="1"/>
  <c r="Z29" i="8" s="1"/>
  <c r="F28" i="1"/>
  <c r="V28" i="8"/>
  <c r="U28"/>
  <c r="J28" i="11" l="1"/>
  <c r="F28" i="9" s="1"/>
  <c r="I28" i="11"/>
  <c r="O28" i="7"/>
  <c r="AP28" i="1"/>
  <c r="T28" s="1"/>
  <c r="I29" s="1"/>
  <c r="AJ29" i="5"/>
  <c r="AC29" i="7"/>
  <c r="C29" i="11"/>
  <c r="V29" i="10"/>
  <c r="AN29" i="8"/>
  <c r="BK29" i="1"/>
  <c r="C28" i="8"/>
  <c r="P28" i="7" l="1"/>
  <c r="AS29" i="8"/>
  <c r="AO29" i="1"/>
  <c r="BL29"/>
  <c r="Y28" i="2"/>
  <c r="X28" s="1"/>
  <c r="E29" l="1"/>
  <c r="B29" i="8"/>
  <c r="D29" i="2" s="1"/>
  <c r="L29"/>
  <c r="H29" i="11"/>
  <c r="AB29" i="7"/>
  <c r="BD29" i="8"/>
  <c r="U29" i="2" l="1"/>
  <c r="W28" s="1"/>
  <c r="C29" s="1"/>
  <c r="R29" i="8" l="1"/>
  <c r="S29" s="1"/>
  <c r="F29" i="2"/>
  <c r="I29" l="1"/>
  <c r="I29" i="11" s="1"/>
  <c r="H29" i="2"/>
  <c r="F29" i="1"/>
  <c r="J29" i="11"/>
  <c r="AP29" i="1"/>
  <c r="T29" s="1"/>
  <c r="G29" i="2"/>
  <c r="Z29" s="1"/>
  <c r="Z30" i="8" s="1"/>
  <c r="V29"/>
  <c r="U29"/>
  <c r="AA29" i="1" l="1"/>
  <c r="S29" s="1"/>
  <c r="H30" s="1"/>
  <c r="AC30" i="7" s="1"/>
  <c r="O29"/>
  <c r="I30" i="1"/>
  <c r="AO30" s="1"/>
  <c r="P29" i="7"/>
  <c r="F29" i="9"/>
  <c r="C29" i="8"/>
  <c r="AJ30" i="5" l="1"/>
  <c r="AN30" i="8"/>
  <c r="C30" i="11"/>
  <c r="BK30" i="1"/>
  <c r="V30" i="10"/>
  <c r="AS30" i="8"/>
  <c r="BL30" i="1"/>
  <c r="Y29" i="2"/>
  <c r="X29" s="1"/>
  <c r="L30" l="1"/>
  <c r="E30"/>
  <c r="H30" i="11"/>
  <c r="B30" i="8"/>
  <c r="D30" i="2" s="1"/>
  <c r="AB30" i="7"/>
  <c r="BD30" i="8"/>
  <c r="U30" i="2" l="1"/>
  <c r="W29" s="1"/>
  <c r="C30" s="1"/>
  <c r="R30" i="8" l="1"/>
  <c r="S30" s="1"/>
  <c r="F30" i="2" l="1"/>
  <c r="AP30" i="1" s="1"/>
  <c r="T30" s="1"/>
  <c r="H30" i="2"/>
  <c r="I30"/>
  <c r="AA30" i="1" s="1"/>
  <c r="S30" s="1"/>
  <c r="H31" s="1"/>
  <c r="F30"/>
  <c r="U30" i="8"/>
  <c r="V30"/>
  <c r="O30" i="7" l="1"/>
  <c r="I30" i="11"/>
  <c r="J30"/>
  <c r="F30" i="9" s="1"/>
  <c r="G30" i="2"/>
  <c r="Z30" s="1"/>
  <c r="Z31" i="8" s="1"/>
  <c r="I31" i="1"/>
  <c r="BK31"/>
  <c r="AN31" i="8"/>
  <c r="AJ31" i="5"/>
  <c r="V31" i="10"/>
  <c r="C31" i="11"/>
  <c r="AC31" i="7"/>
  <c r="P30" l="1"/>
  <c r="C30" i="8"/>
  <c r="BL31" i="1"/>
  <c r="AO31"/>
  <c r="AS31" i="8"/>
  <c r="Y30" i="2"/>
  <c r="X30" s="1"/>
  <c r="AB31" i="7" l="1"/>
  <c r="H31" i="11"/>
  <c r="B31" i="8"/>
  <c r="D31" i="2" s="1"/>
  <c r="BD31" i="8"/>
  <c r="E31" i="2"/>
  <c r="L31"/>
  <c r="U31" l="1"/>
  <c r="W30" s="1"/>
  <c r="C31" s="1"/>
  <c r="R31" i="8" l="1"/>
  <c r="S31" s="1"/>
  <c r="H31" i="2" l="1"/>
  <c r="F31" i="1"/>
  <c r="I31" i="2"/>
  <c r="O31" i="7" s="1"/>
  <c r="F31" i="2"/>
  <c r="G31" s="1"/>
  <c r="Z31" s="1"/>
  <c r="Z32" i="8" s="1"/>
  <c r="U31"/>
  <c r="V31"/>
  <c r="J31" i="11" l="1"/>
  <c r="P31" i="7" s="1"/>
  <c r="AP31" i="1"/>
  <c r="T31" s="1"/>
  <c r="I32" s="1"/>
  <c r="AO32" s="1"/>
  <c r="I31" i="11"/>
  <c r="AA31" i="1"/>
  <c r="S31" s="1"/>
  <c r="H32" s="1"/>
  <c r="AC32" i="7" s="1"/>
  <c r="C31" i="8"/>
  <c r="F31" i="9" l="1"/>
  <c r="V32" i="10"/>
  <c r="BK32" i="1"/>
  <c r="C32" i="11"/>
  <c r="AN32" i="8"/>
  <c r="AJ32" i="5"/>
  <c r="AS32" i="8"/>
  <c r="BL32" i="1"/>
  <c r="Y31" i="2"/>
  <c r="X31" s="1"/>
  <c r="E32" l="1"/>
  <c r="L32"/>
  <c r="BD32" i="8"/>
  <c r="H32" i="11"/>
  <c r="AB32" i="7"/>
  <c r="B32" i="8"/>
  <c r="D32" i="2" s="1"/>
  <c r="U32" l="1"/>
  <c r="W31" s="1"/>
  <c r="C32" s="1"/>
  <c r="R32" i="8" l="1"/>
  <c r="S32" s="1"/>
  <c r="F32" i="1" l="1"/>
  <c r="I32" i="2"/>
  <c r="AA32" i="1" s="1"/>
  <c r="S32" s="1"/>
  <c r="H33" s="1"/>
  <c r="AN33" i="8" s="1"/>
  <c r="F32" i="2"/>
  <c r="J32" i="11" s="1"/>
  <c r="H32" i="2"/>
  <c r="V32" i="8"/>
  <c r="U32"/>
  <c r="AP32" i="1" l="1"/>
  <c r="T32" s="1"/>
  <c r="I33" s="1"/>
  <c r="AO33" s="1"/>
  <c r="G32" i="2"/>
  <c r="Z32" s="1"/>
  <c r="Z33" i="8" s="1"/>
  <c r="V33" i="10"/>
  <c r="AJ33" i="5"/>
  <c r="BK33" i="1"/>
  <c r="AC33" i="7"/>
  <c r="C33" i="11"/>
  <c r="O32" i="7"/>
  <c r="I32" i="11"/>
  <c r="P32" i="7"/>
  <c r="F32" i="9"/>
  <c r="C32" i="8" l="1"/>
  <c r="AS33"/>
  <c r="BL33" i="1"/>
  <c r="Y32" i="2"/>
  <c r="X32" s="1"/>
  <c r="L33" l="1"/>
  <c r="E33"/>
  <c r="BD33" i="8"/>
  <c r="B33"/>
  <c r="D33" i="2" s="1"/>
  <c r="AB33" i="7"/>
  <c r="H33" i="11"/>
  <c r="U33" i="2" l="1"/>
  <c r="W32" s="1"/>
  <c r="C33" s="1"/>
  <c r="R33" i="8" l="1"/>
  <c r="S33" s="1"/>
  <c r="F33" i="1"/>
  <c r="I33" i="2" l="1"/>
  <c r="AA33" i="1" s="1"/>
  <c r="S33" s="1"/>
  <c r="H34" s="1"/>
  <c r="AC34" i="7" s="1"/>
  <c r="H33" i="2"/>
  <c r="F33"/>
  <c r="J33" i="11" s="1"/>
  <c r="U33" i="8"/>
  <c r="V33"/>
  <c r="G33" i="2" l="1"/>
  <c r="Z33" s="1"/>
  <c r="Z34" i="8" s="1"/>
  <c r="V34" i="10"/>
  <c r="C34" i="11"/>
  <c r="I33"/>
  <c r="O33" i="7"/>
  <c r="AJ34" i="5"/>
  <c r="BK34" i="1"/>
  <c r="AN34" i="8"/>
  <c r="AP33" i="1"/>
  <c r="T33" s="1"/>
  <c r="I34" s="1"/>
  <c r="P33" i="7"/>
  <c r="F33" i="9"/>
  <c r="C33" i="8" l="1"/>
  <c r="BL34" i="1"/>
  <c r="AO34"/>
  <c r="AS34" i="8"/>
  <c r="Y33" i="2"/>
  <c r="X33" s="1"/>
  <c r="L34" l="1"/>
  <c r="B34" i="8"/>
  <c r="D34" i="2" s="1"/>
  <c r="BD34" i="8"/>
  <c r="H34" i="11"/>
  <c r="E34" i="2"/>
  <c r="AB34" i="7"/>
  <c r="U34" i="2" l="1"/>
  <c r="W33" s="1"/>
  <c r="C34" s="1"/>
  <c r="R34" i="8" l="1"/>
  <c r="S34" s="1"/>
  <c r="F34" i="2"/>
  <c r="H34" l="1"/>
  <c r="I34"/>
  <c r="I34" i="11" s="1"/>
  <c r="F34" i="1"/>
  <c r="U34" i="8"/>
  <c r="V34"/>
  <c r="J34" i="11"/>
  <c r="AP34" i="1"/>
  <c r="T34" s="1"/>
  <c r="G34" i="2"/>
  <c r="Z34" s="1"/>
  <c r="Z35" i="8" s="1"/>
  <c r="O34" i="7" l="1"/>
  <c r="AA34" i="1"/>
  <c r="S34" s="1"/>
  <c r="H35" s="1"/>
  <c r="AC35" i="7" s="1"/>
  <c r="I35" i="1"/>
  <c r="P34" i="7"/>
  <c r="F34" i="9"/>
  <c r="C34" i="8"/>
  <c r="AN35" l="1"/>
  <c r="AJ35" i="5"/>
  <c r="BK35" i="1"/>
  <c r="C35" i="11"/>
  <c r="V35" i="10"/>
  <c r="BL35" i="1"/>
  <c r="AO35"/>
  <c r="AS35" i="8"/>
  <c r="Y34" i="2"/>
  <c r="X34" s="1"/>
  <c r="H35" i="11" l="1"/>
  <c r="AB35" i="7"/>
  <c r="L35" i="2"/>
  <c r="BD35" i="8"/>
  <c r="B35"/>
  <c r="D35" i="2" s="1"/>
  <c r="E35"/>
  <c r="U35" l="1"/>
  <c r="W34" s="1"/>
  <c r="C35" s="1"/>
  <c r="R35" i="8" l="1"/>
  <c r="S35" s="1"/>
  <c r="H35" i="2" l="1"/>
  <c r="I35"/>
  <c r="I35" i="11" s="1"/>
  <c r="F35" i="1"/>
  <c r="F35" i="2"/>
  <c r="J35" i="11" s="1"/>
  <c r="V35" i="8"/>
  <c r="U35"/>
  <c r="AP35" i="1" l="1"/>
  <c r="T35" s="1"/>
  <c r="I36" s="1"/>
  <c r="AO36" s="1"/>
  <c r="G35" i="2"/>
  <c r="Z35" s="1"/>
  <c r="Z36" i="8" s="1"/>
  <c r="O35" i="7"/>
  <c r="AA35" i="1"/>
  <c r="S35" s="1"/>
  <c r="H36" s="1"/>
  <c r="AJ36" i="5" s="1"/>
  <c r="P35" i="7"/>
  <c r="F35" i="9"/>
  <c r="C35" i="8" l="1"/>
  <c r="AC36" i="7"/>
  <c r="V36" i="10"/>
  <c r="BK36" i="1"/>
  <c r="AN36" i="8"/>
  <c r="C36" i="11"/>
  <c r="BL36" i="1"/>
  <c r="AS36" i="8"/>
  <c r="Y35" i="2"/>
  <c r="X35" s="1"/>
  <c r="B36" i="8" l="1"/>
  <c r="D36" i="2" s="1"/>
  <c r="E36"/>
  <c r="AB36" i="7"/>
  <c r="BD36" i="8"/>
  <c r="H36" i="11"/>
  <c r="L36" i="2"/>
  <c r="U36" l="1"/>
  <c r="W35" s="1"/>
  <c r="C36" s="1"/>
  <c r="R36" i="8" l="1"/>
  <c r="S36" s="1"/>
  <c r="I36" i="2"/>
  <c r="H36" l="1"/>
  <c r="F36" i="1"/>
  <c r="F36" i="2"/>
  <c r="AP36" i="1" s="1"/>
  <c r="T36" s="1"/>
  <c r="O36" i="7"/>
  <c r="I36" i="11"/>
  <c r="U36" i="8"/>
  <c r="V36"/>
  <c r="AA36" i="1"/>
  <c r="S36" s="1"/>
  <c r="H37" s="1"/>
  <c r="G36" i="2" l="1"/>
  <c r="Z36" s="1"/>
  <c r="Z37" i="8" s="1"/>
  <c r="J36" i="11"/>
  <c r="P36" i="7" s="1"/>
  <c r="I37" i="1"/>
  <c r="AO37" s="1"/>
  <c r="C37" i="11"/>
  <c r="V37" i="10"/>
  <c r="BK37" i="1"/>
  <c r="AN37" i="8"/>
  <c r="AJ37" i="5"/>
  <c r="AC37" i="7"/>
  <c r="C36" i="8" l="1"/>
  <c r="F36" i="9"/>
  <c r="BL37" i="1"/>
  <c r="AS37" i="8"/>
  <c r="Y36" i="2"/>
  <c r="X36" s="1"/>
  <c r="H37" i="11" l="1"/>
  <c r="AB37" i="7"/>
  <c r="BD37" i="8"/>
  <c r="E37" i="2"/>
  <c r="L37"/>
  <c r="B37" i="8"/>
  <c r="D37" i="2" s="1"/>
  <c r="U37" l="1"/>
  <c r="W36" s="1"/>
  <c r="C37" s="1"/>
  <c r="R37" i="8" l="1"/>
  <c r="S37" s="1"/>
  <c r="I37" i="2"/>
  <c r="F37" i="1" l="1"/>
  <c r="H37" i="2"/>
  <c r="F37"/>
  <c r="G37" s="1"/>
  <c r="Z37" s="1"/>
  <c r="Z38" i="8" s="1"/>
  <c r="I37" i="11"/>
  <c r="O37" i="7"/>
  <c r="V37" i="8"/>
  <c r="U37"/>
  <c r="AA37" i="1"/>
  <c r="S37" s="1"/>
  <c r="H38" s="1"/>
  <c r="AP37" l="1"/>
  <c r="T37" s="1"/>
  <c r="I38" s="1"/>
  <c r="J37" i="11"/>
  <c r="F37" i="9" s="1"/>
  <c r="BK38" i="1"/>
  <c r="AC38" i="7"/>
  <c r="AN38" i="8"/>
  <c r="C38" i="11"/>
  <c r="AJ38" i="5"/>
  <c r="V38" i="10"/>
  <c r="C37" i="8"/>
  <c r="P37" i="7" l="1"/>
  <c r="AS38" i="8"/>
  <c r="AO38" i="1"/>
  <c r="BL38"/>
  <c r="Y37" i="2"/>
  <c r="X37" s="1"/>
  <c r="L38" l="1"/>
  <c r="E38"/>
  <c r="B38" i="8"/>
  <c r="D38" i="2" s="1"/>
  <c r="H38" i="11"/>
  <c r="AB38" i="7"/>
  <c r="BD38" i="8"/>
  <c r="U38" i="2" l="1"/>
  <c r="W37" s="1"/>
  <c r="C38" s="1"/>
  <c r="R38" i="8" l="1"/>
  <c r="S38" s="1"/>
  <c r="F38" i="1"/>
  <c r="I38" i="2" l="1"/>
  <c r="I38" i="11" s="1"/>
  <c r="F38" i="2"/>
  <c r="J38" i="11" s="1"/>
  <c r="H38" i="2"/>
  <c r="V38" i="8"/>
  <c r="U38"/>
  <c r="G38" i="2" l="1"/>
  <c r="Z38" s="1"/>
  <c r="Z39" i="8" s="1"/>
  <c r="AA38" i="1"/>
  <c r="S38" s="1"/>
  <c r="H39" s="1"/>
  <c r="BK39" s="1"/>
  <c r="O38" i="7"/>
  <c r="AP38" i="1"/>
  <c r="T38" s="1"/>
  <c r="I39" s="1"/>
  <c r="AO39" s="1"/>
  <c r="F38" i="9"/>
  <c r="P38" i="7"/>
  <c r="C38" i="8" l="1"/>
  <c r="AC39" i="7"/>
  <c r="V39" i="10"/>
  <c r="C39" i="11"/>
  <c r="AN39" i="8"/>
  <c r="AJ39" i="5"/>
  <c r="AS39" i="8"/>
  <c r="BL39" i="1"/>
  <c r="Y38" i="2"/>
  <c r="X38" s="1"/>
  <c r="B39" i="8" l="1"/>
  <c r="D39" i="2" s="1"/>
  <c r="H39" i="11"/>
  <c r="BD39" i="8"/>
  <c r="E39" i="2"/>
  <c r="AB39" i="7"/>
  <c r="L39" i="2"/>
  <c r="U39" l="1"/>
  <c r="W38" s="1"/>
  <c r="C39" s="1"/>
  <c r="R39" i="8" l="1"/>
  <c r="S39" s="1"/>
  <c r="F39" i="2"/>
  <c r="F39" i="1" l="1"/>
  <c r="H39" i="2"/>
  <c r="I39"/>
  <c r="AA39" i="1" s="1"/>
  <c r="S39" s="1"/>
  <c r="H40" s="1"/>
  <c r="U39" i="8"/>
  <c r="V39"/>
  <c r="AP39" i="1"/>
  <c r="T39" s="1"/>
  <c r="J39" i="11"/>
  <c r="G39" i="2"/>
  <c r="Z39" s="1"/>
  <c r="Z40" i="8" s="1"/>
  <c r="O39" i="7" l="1"/>
  <c r="I39" i="11"/>
  <c r="I40" i="1"/>
  <c r="F39" i="9"/>
  <c r="P39" i="7"/>
  <c r="C39" i="8"/>
  <c r="V40" i="10"/>
  <c r="C40" i="11"/>
  <c r="AJ40" i="5"/>
  <c r="AC40" i="7"/>
  <c r="AN40" i="8"/>
  <c r="BK40" i="1"/>
  <c r="AS40" i="8" l="1"/>
  <c r="AO40" i="1"/>
  <c r="BL40"/>
  <c r="Y39" i="2"/>
  <c r="X39" s="1"/>
  <c r="L40" l="1"/>
  <c r="H40" i="11"/>
  <c r="B40" i="8"/>
  <c r="D40" i="2" s="1"/>
  <c r="BD40" i="8"/>
  <c r="AB40" i="7"/>
  <c r="E40" i="2"/>
  <c r="U40" l="1"/>
  <c r="W39" s="1"/>
  <c r="C40" s="1"/>
  <c r="R40" i="8" l="1"/>
  <c r="S40" s="1"/>
  <c r="H40" i="2" l="1"/>
  <c r="F40"/>
  <c r="AP40" i="1" s="1"/>
  <c r="T40" s="1"/>
  <c r="I40" i="2"/>
  <c r="O40" i="7" s="1"/>
  <c r="F40" i="1"/>
  <c r="U40" i="8"/>
  <c r="V40"/>
  <c r="AA40" i="1" l="1"/>
  <c r="S40" s="1"/>
  <c r="H41" s="1"/>
  <c r="AN41" i="8" s="1"/>
  <c r="J40" i="11"/>
  <c r="F40" i="9" s="1"/>
  <c r="G40" i="2"/>
  <c r="Z40" s="1"/>
  <c r="Z41" i="8" s="1"/>
  <c r="I40" i="11"/>
  <c r="I41" i="1"/>
  <c r="BK41" l="1"/>
  <c r="C41" i="11"/>
  <c r="AJ41" i="5"/>
  <c r="V41" i="10"/>
  <c r="AC41" i="7"/>
  <c r="P40"/>
  <c r="C40" i="8"/>
  <c r="BL41" i="1"/>
  <c r="AO41"/>
  <c r="AS41" i="8"/>
  <c r="Y40" i="2"/>
  <c r="X40" s="1"/>
  <c r="B41" i="8" l="1"/>
  <c r="D41" i="2" s="1"/>
  <c r="E41"/>
  <c r="H41" i="11"/>
  <c r="L41" i="2"/>
  <c r="BD41" i="8"/>
  <c r="AB41" i="7"/>
  <c r="U41" i="2" l="1"/>
  <c r="W40" s="1"/>
  <c r="C41" s="1"/>
  <c r="R41" i="8" l="1"/>
  <c r="S41" s="1"/>
  <c r="H41" i="2"/>
  <c r="I41" l="1"/>
  <c r="I41" i="11" s="1"/>
  <c r="F41" i="2"/>
  <c r="J41" i="11" s="1"/>
  <c r="F41" i="1"/>
  <c r="U41" i="8"/>
  <c r="V41"/>
  <c r="G41" i="2" l="1"/>
  <c r="Z41" s="1"/>
  <c r="Z42" i="8" s="1"/>
  <c r="AA41" i="1"/>
  <c r="S41" s="1"/>
  <c r="H42" s="1"/>
  <c r="AN42" i="8" s="1"/>
  <c r="O41" i="7"/>
  <c r="AP41" i="1"/>
  <c r="T41" s="1"/>
  <c r="I42" s="1"/>
  <c r="P41" i="7"/>
  <c r="F41" i="9"/>
  <c r="C41" i="8" l="1"/>
  <c r="V42" i="10"/>
  <c r="C42" i="11"/>
  <c r="AC42" i="7"/>
  <c r="AJ42" i="5"/>
  <c r="BK42" i="1"/>
  <c r="BL42"/>
  <c r="AO42"/>
  <c r="AS42" i="8"/>
  <c r="Y41" i="2"/>
  <c r="X41" s="1"/>
  <c r="L42" l="1"/>
  <c r="H42" i="11"/>
  <c r="E42" i="2"/>
  <c r="BD42" i="8"/>
  <c r="AB42" i="7"/>
  <c r="B42" i="8"/>
  <c r="D42" i="2" s="1"/>
  <c r="U42" l="1"/>
  <c r="W41" s="1"/>
  <c r="C42" s="1"/>
  <c r="R42" i="8" l="1"/>
  <c r="S42" s="1"/>
  <c r="F42" i="1" l="1"/>
  <c r="F42" i="2"/>
  <c r="G42" s="1"/>
  <c r="Z42" s="1"/>
  <c r="Z43" i="8" s="1"/>
  <c r="I42" i="2"/>
  <c r="O42" i="7" s="1"/>
  <c r="H42" i="2"/>
  <c r="U42" i="8"/>
  <c r="V42"/>
  <c r="AA42" i="1" l="1"/>
  <c r="S42" s="1"/>
  <c r="H43" s="1"/>
  <c r="AN43" i="8" s="1"/>
  <c r="I42" i="11"/>
  <c r="J42"/>
  <c r="F42" i="9" s="1"/>
  <c r="AP42" i="1"/>
  <c r="T42" s="1"/>
  <c r="I43" s="1"/>
  <c r="C42" i="8"/>
  <c r="C43" i="11" l="1"/>
  <c r="V43" i="10"/>
  <c r="AC43" i="7"/>
  <c r="BK43" i="1"/>
  <c r="AJ43" i="5"/>
  <c r="P42" i="7"/>
  <c r="AS43" i="8"/>
  <c r="AO43" i="1"/>
  <c r="BL43"/>
  <c r="Y42" i="2"/>
  <c r="X42" s="1"/>
  <c r="E43" l="1"/>
  <c r="B43" i="8"/>
  <c r="D43" i="2" s="1"/>
  <c r="AB43" i="7"/>
  <c r="L43" i="2"/>
  <c r="H43" i="11"/>
  <c r="BD43" i="8"/>
  <c r="U43" i="2" l="1"/>
  <c r="W42" s="1"/>
  <c r="C43" s="1"/>
  <c r="R43" i="8" l="1"/>
  <c r="S43" s="1"/>
  <c r="H43" i="2" l="1"/>
  <c r="I43"/>
  <c r="I43" i="11" s="1"/>
  <c r="F43" i="1"/>
  <c r="F43" i="2"/>
  <c r="AP43" i="1" s="1"/>
  <c r="T43" s="1"/>
  <c r="U43" i="8"/>
  <c r="V43"/>
  <c r="J43" i="11" l="1"/>
  <c r="P43" i="7" s="1"/>
  <c r="G43" i="2"/>
  <c r="Z43" s="1"/>
  <c r="Z44" i="8" s="1"/>
  <c r="O43" i="7"/>
  <c r="AA43" i="1"/>
  <c r="S43" s="1"/>
  <c r="H44" s="1"/>
  <c r="BK44" s="1"/>
  <c r="I44"/>
  <c r="F43" i="9" l="1"/>
  <c r="C43" i="8"/>
  <c r="AJ44" i="5"/>
  <c r="AN44" i="8"/>
  <c r="AC44" i="7"/>
  <c r="C44" i="11"/>
  <c r="V44" i="10"/>
  <c r="BL44" i="1"/>
  <c r="AO44"/>
  <c r="AS44" i="8"/>
  <c r="Y43" i="2"/>
  <c r="X43" s="1"/>
  <c r="BD44" i="8" l="1"/>
  <c r="AB44" i="7"/>
  <c r="H44" i="11"/>
  <c r="L44" i="2"/>
  <c r="E44"/>
  <c r="B44" i="8"/>
  <c r="D44" i="2" s="1"/>
  <c r="U44" l="1"/>
  <c r="W43" s="1"/>
  <c r="C44" s="1"/>
  <c r="R44" i="8" l="1"/>
  <c r="S44" s="1"/>
  <c r="F44" i="2" l="1"/>
  <c r="AP44" i="1" s="1"/>
  <c r="T44" s="1"/>
  <c r="I44" i="2"/>
  <c r="AA44" i="1" s="1"/>
  <c r="S44" s="1"/>
  <c r="H45" s="1"/>
  <c r="H44" i="2"/>
  <c r="F44" i="1"/>
  <c r="V44" i="8"/>
  <c r="U44"/>
  <c r="O44" i="7" l="1"/>
  <c r="J44" i="11"/>
  <c r="P44" i="7" s="1"/>
  <c r="G44" i="2"/>
  <c r="Z44" s="1"/>
  <c r="Z45" i="8" s="1"/>
  <c r="I44" i="11"/>
  <c r="I45" i="1"/>
  <c r="BK45"/>
  <c r="C45" i="11"/>
  <c r="AN45" i="8"/>
  <c r="V45" i="10"/>
  <c r="AC45" i="7"/>
  <c r="AJ45" i="5"/>
  <c r="F44" i="9" l="1"/>
  <c r="C44" i="8"/>
  <c r="AS45"/>
  <c r="AO45" i="1"/>
  <c r="BL45"/>
  <c r="Y44" i="2"/>
  <c r="X44" s="1"/>
  <c r="L45" l="1"/>
  <c r="B45" i="8"/>
  <c r="D45" i="2" s="1"/>
  <c r="BD45" i="8"/>
  <c r="H45" i="11"/>
  <c r="AB45" i="7"/>
  <c r="E45" i="2"/>
  <c r="U45" l="1"/>
  <c r="W44" s="1"/>
  <c r="C45" s="1"/>
  <c r="R45" i="8" l="1"/>
  <c r="S45" s="1"/>
  <c r="H45" i="2"/>
  <c r="I45" l="1"/>
  <c r="I45" i="11" s="1"/>
  <c r="F45" i="2"/>
  <c r="G45" s="1"/>
  <c r="Z45" s="1"/>
  <c r="Z46" i="8" s="1"/>
  <c r="F45" i="1"/>
  <c r="V45" i="8"/>
  <c r="U45"/>
  <c r="J45" i="11" l="1"/>
  <c r="P45" i="7" s="1"/>
  <c r="O45"/>
  <c r="AP45" i="1"/>
  <c r="T45" s="1"/>
  <c r="I46" s="1"/>
  <c r="AO46" s="1"/>
  <c r="AA45"/>
  <c r="S45" s="1"/>
  <c r="H46" s="1"/>
  <c r="AN46" i="8" s="1"/>
  <c r="C45"/>
  <c r="F45" i="9" l="1"/>
  <c r="BK46" i="1"/>
  <c r="AC46" i="7"/>
  <c r="V46" i="10"/>
  <c r="C46" i="11"/>
  <c r="AJ46" i="5"/>
  <c r="AS46" i="8"/>
  <c r="BL46" i="1"/>
  <c r="Y45" i="2"/>
  <c r="X45" s="1"/>
  <c r="BD46" i="8" l="1"/>
  <c r="B46"/>
  <c r="D46" i="2" s="1"/>
  <c r="H46" i="11"/>
  <c r="L46" i="2"/>
  <c r="E46"/>
  <c r="AB46" i="7"/>
  <c r="U46" i="2" l="1"/>
  <c r="W45" s="1"/>
  <c r="C46" s="1"/>
  <c r="R46" i="8" l="1"/>
  <c r="S46" s="1"/>
  <c r="F46" i="1" l="1"/>
  <c r="I46" i="2"/>
  <c r="AA46" i="1" s="1"/>
  <c r="S46" s="1"/>
  <c r="H47" s="1"/>
  <c r="F46" i="2"/>
  <c r="G46" s="1"/>
  <c r="Z46" s="1"/>
  <c r="Z47" i="8" s="1"/>
  <c r="H46" i="2"/>
  <c r="V46" i="8"/>
  <c r="U46"/>
  <c r="J46" i="11" l="1"/>
  <c r="P46" i="7" s="1"/>
  <c r="AP46" i="1"/>
  <c r="T46" s="1"/>
  <c r="I47" s="1"/>
  <c r="AO47" s="1"/>
  <c r="O46" i="7"/>
  <c r="I46" i="11"/>
  <c r="BK47" i="1"/>
  <c r="C47" i="11"/>
  <c r="V47" i="10"/>
  <c r="AC47" i="7"/>
  <c r="AN47" i="8"/>
  <c r="AJ47" i="5"/>
  <c r="C46" i="8"/>
  <c r="F46" i="9" l="1"/>
  <c r="AS47" i="8"/>
  <c r="BL47" i="1"/>
  <c r="Y46" i="2"/>
  <c r="X46" s="1"/>
  <c r="BD47" i="8" l="1"/>
  <c r="L47" i="2"/>
  <c r="B47" i="8"/>
  <c r="D47" i="2" s="1"/>
  <c r="E47"/>
  <c r="H47" i="11"/>
  <c r="AB47" i="7"/>
  <c r="U47" i="2" l="1"/>
  <c r="W46" s="1"/>
  <c r="C47" s="1"/>
  <c r="R47" i="8" l="1"/>
  <c r="S47" s="1"/>
  <c r="F47" i="1"/>
  <c r="I47" i="2" l="1"/>
  <c r="O47" i="7" s="1"/>
  <c r="F47" i="2"/>
  <c r="J47" i="11" s="1"/>
  <c r="H47" i="2"/>
  <c r="U47" i="8"/>
  <c r="V47"/>
  <c r="G47" i="2" l="1"/>
  <c r="Z47" s="1"/>
  <c r="Z48" i="8" s="1"/>
  <c r="I47" i="11"/>
  <c r="AP47" i="1"/>
  <c r="T47" s="1"/>
  <c r="I48" s="1"/>
  <c r="AA47"/>
  <c r="S47" s="1"/>
  <c r="H48" s="1"/>
  <c r="AC48" i="7" s="1"/>
  <c r="F47" i="9"/>
  <c r="P47" i="7"/>
  <c r="C47" i="8" l="1"/>
  <c r="C48" i="11"/>
  <c r="V48" i="10"/>
  <c r="BK48" i="1"/>
  <c r="AN48" i="8"/>
  <c r="AJ48" i="5"/>
  <c r="AS48" i="8"/>
  <c r="AO48" i="1"/>
  <c r="BL48"/>
  <c r="Y47" i="2"/>
  <c r="X47" s="1"/>
  <c r="H48" i="11" l="1"/>
  <c r="B48" i="8"/>
  <c r="D48" i="2" s="1"/>
  <c r="BD48" i="8"/>
  <c r="E48" i="2"/>
  <c r="L48"/>
  <c r="AB48" i="7"/>
  <c r="U48" i="2" l="1"/>
  <c r="W47" s="1"/>
  <c r="C48" s="1"/>
  <c r="R48" i="8" l="1"/>
  <c r="S48" s="1"/>
  <c r="I48" i="2"/>
  <c r="F48" i="1" l="1"/>
  <c r="F48" i="2"/>
  <c r="AP48" i="1" s="1"/>
  <c r="T48" s="1"/>
  <c r="H48" i="2"/>
  <c r="O48" i="7"/>
  <c r="I48" i="11"/>
  <c r="U48" i="8"/>
  <c r="V48"/>
  <c r="AA48" i="1"/>
  <c r="S48" s="1"/>
  <c r="H49" s="1"/>
  <c r="G48" i="2" l="1"/>
  <c r="Z48" s="1"/>
  <c r="Z49" i="8" s="1"/>
  <c r="J48" i="11"/>
  <c r="P48" i="7" s="1"/>
  <c r="I49" i="1"/>
  <c r="AO49" s="1"/>
  <c r="V49" i="10"/>
  <c r="AJ49" i="5"/>
  <c r="BK49" i="1"/>
  <c r="C49" i="11"/>
  <c r="AN49" i="8"/>
  <c r="AC49" i="7"/>
  <c r="C48" i="8" l="1"/>
  <c r="F48" i="9"/>
  <c r="AS49" i="8"/>
  <c r="BL49" i="1"/>
  <c r="Y48" i="2"/>
  <c r="X48" s="1"/>
  <c r="E49" l="1"/>
  <c r="BD49" i="8"/>
  <c r="AB49" i="7"/>
  <c r="L49" i="2"/>
  <c r="H49" i="11"/>
  <c r="B49" i="8"/>
  <c r="D49" i="2" s="1"/>
  <c r="U49" l="1"/>
  <c r="W48" s="1"/>
  <c r="C49" s="1"/>
  <c r="R49" i="8" l="1"/>
  <c r="S49" s="1"/>
  <c r="I49" i="2" l="1"/>
  <c r="I49" i="11" s="1"/>
  <c r="H49" i="2"/>
  <c r="F49"/>
  <c r="J49" i="11" s="1"/>
  <c r="F49" i="1"/>
  <c r="V49" i="8"/>
  <c r="U49"/>
  <c r="G49" i="2" l="1"/>
  <c r="Z49" s="1"/>
  <c r="Z50" i="8" s="1"/>
  <c r="AP49" i="1"/>
  <c r="T49" s="1"/>
  <c r="I50" s="1"/>
  <c r="AO50" s="1"/>
  <c r="O49" i="7"/>
  <c r="AA49" i="1"/>
  <c r="S49" s="1"/>
  <c r="H50" s="1"/>
  <c r="AC50" i="7" s="1"/>
  <c r="P49"/>
  <c r="F49" i="9"/>
  <c r="C49" i="8" l="1"/>
  <c r="V50" i="10"/>
  <c r="AN50" i="8"/>
  <c r="BK50" i="1"/>
  <c r="C50" i="11"/>
  <c r="AJ50" i="5"/>
  <c r="BL50" i="1"/>
  <c r="AS50" i="8"/>
  <c r="Y49" i="2"/>
  <c r="X49" s="1"/>
  <c r="E50" l="1"/>
  <c r="H50" i="11"/>
  <c r="AB50" i="7"/>
  <c r="BD50" i="8"/>
  <c r="L50" i="2"/>
  <c r="B50" i="8"/>
  <c r="D50" i="2" s="1"/>
  <c r="U50" l="1"/>
  <c r="W49" s="1"/>
  <c r="C50" s="1"/>
  <c r="R50" i="8" l="1"/>
  <c r="S50" s="1"/>
  <c r="I50" i="2" l="1"/>
  <c r="I50" i="11" s="1"/>
  <c r="H50" i="2"/>
  <c r="F50"/>
  <c r="J50" i="11" s="1"/>
  <c r="F50" i="1"/>
  <c r="V50" i="8"/>
  <c r="U50"/>
  <c r="AP50" i="1" l="1"/>
  <c r="T50" s="1"/>
  <c r="I51" s="1"/>
  <c r="G50" i="2"/>
  <c r="Z50" s="1"/>
  <c r="Z51" i="8" s="1"/>
  <c r="AA50" i="1"/>
  <c r="S50" s="1"/>
  <c r="H51" s="1"/>
  <c r="BK51" s="1"/>
  <c r="O50" i="7"/>
  <c r="P50"/>
  <c r="F50" i="9"/>
  <c r="C50" i="8" l="1"/>
  <c r="AJ51" i="5"/>
  <c r="V51" i="10"/>
  <c r="AC51" i="7"/>
  <c r="C51" i="11"/>
  <c r="AN51" i="8"/>
  <c r="AS51"/>
  <c r="AO51" i="1"/>
  <c r="BL51"/>
  <c r="Y50" i="2"/>
  <c r="X50" s="1"/>
  <c r="AB51" i="7" l="1"/>
  <c r="H51" i="11"/>
  <c r="L51" i="2"/>
  <c r="BD51" i="8"/>
  <c r="B51"/>
  <c r="D51" i="2" s="1"/>
  <c r="E51"/>
  <c r="U51" l="1"/>
  <c r="W50" s="1"/>
  <c r="C51" s="1"/>
  <c r="R51" i="8" l="1"/>
  <c r="S51" s="1"/>
  <c r="F51" i="2"/>
  <c r="F51" i="1" l="1"/>
  <c r="H51" i="2"/>
  <c r="I51"/>
  <c r="AA51" i="1" s="1"/>
  <c r="S51" s="1"/>
  <c r="H52" s="1"/>
  <c r="AJ52" i="5" s="1"/>
  <c r="V51" i="8"/>
  <c r="U51"/>
  <c r="J51" i="11"/>
  <c r="AP51" i="1"/>
  <c r="T51" s="1"/>
  <c r="G51" i="2"/>
  <c r="Z51" s="1"/>
  <c r="Z52" i="8" s="1"/>
  <c r="O51" i="7" l="1"/>
  <c r="I51" i="11"/>
  <c r="AN52" i="8"/>
  <c r="BK52" i="1"/>
  <c r="C52" i="11"/>
  <c r="AC52" i="7"/>
  <c r="V52" i="10"/>
  <c r="I52" i="1"/>
  <c r="AO52" s="1"/>
  <c r="C51" i="8"/>
  <c r="P51" i="7"/>
  <c r="F51" i="9"/>
  <c r="AS52" i="8" l="1"/>
  <c r="BL52" i="1"/>
  <c r="Y51" i="2"/>
  <c r="X51" s="1"/>
  <c r="E52" l="1"/>
  <c r="L52"/>
  <c r="BD52" i="8"/>
  <c r="AB52" i="7"/>
  <c r="H52" i="11"/>
  <c r="B52" i="8"/>
  <c r="D52" i="2" s="1"/>
  <c r="U52" l="1"/>
  <c r="W51" s="1"/>
  <c r="C52" s="1"/>
  <c r="R52" i="8" l="1"/>
  <c r="S52" s="1"/>
  <c r="I52" i="2" l="1"/>
  <c r="O52" i="7" s="1"/>
  <c r="F52" i="2"/>
  <c r="G52" s="1"/>
  <c r="Z52" s="1"/>
  <c r="Z53" i="8" s="1"/>
  <c r="H52" i="2"/>
  <c r="F52" i="1"/>
  <c r="V52" i="8"/>
  <c r="U52"/>
  <c r="J52" i="11" l="1"/>
  <c r="F52" i="9" s="1"/>
  <c r="AP52" i="1"/>
  <c r="T52" s="1"/>
  <c r="I53" s="1"/>
  <c r="AO53" s="1"/>
  <c r="AA52"/>
  <c r="S52" s="1"/>
  <c r="H53" s="1"/>
  <c r="AN53" i="8" s="1"/>
  <c r="I52" i="11"/>
  <c r="C52" i="8"/>
  <c r="P52" i="7" l="1"/>
  <c r="BK53" i="1"/>
  <c r="V53" i="10"/>
  <c r="AJ53" i="5"/>
  <c r="AC53" i="7"/>
  <c r="C53" i="11"/>
  <c r="AS53" i="8"/>
  <c r="BL53" i="1"/>
  <c r="Y52" i="2"/>
  <c r="X52" s="1"/>
  <c r="B53" i="8" l="1"/>
  <c r="D53" i="2" s="1"/>
  <c r="AB53" i="7"/>
  <c r="BD53" i="8"/>
  <c r="E53" i="2"/>
  <c r="H53" i="11"/>
  <c r="L53" i="2"/>
  <c r="U53" l="1"/>
  <c r="W52" s="1"/>
  <c r="C53" s="1"/>
  <c r="R53" i="8" l="1"/>
  <c r="S53" s="1"/>
  <c r="F53" i="2" l="1"/>
  <c r="G53" s="1"/>
  <c r="Z53" s="1"/>
  <c r="Z54" i="8" s="1"/>
  <c r="I53" i="2"/>
  <c r="AA53" i="1" s="1"/>
  <c r="S53" s="1"/>
  <c r="H54" s="1"/>
  <c r="AJ54" i="5" s="1"/>
  <c r="H53" i="2"/>
  <c r="F53" i="1"/>
  <c r="V53" i="8"/>
  <c r="U53"/>
  <c r="AC54" i="7" l="1"/>
  <c r="BK54" i="1"/>
  <c r="I53" i="11"/>
  <c r="O53" i="7"/>
  <c r="V54" i="10"/>
  <c r="C54" i="11"/>
  <c r="AN54" i="8"/>
  <c r="J53" i="11"/>
  <c r="F53" i="9" s="1"/>
  <c r="AP53" i="1"/>
  <c r="T53" s="1"/>
  <c r="I54" s="1"/>
  <c r="AO54" s="1"/>
  <c r="C53" i="8"/>
  <c r="P53" i="7" l="1"/>
  <c r="AS54" i="8"/>
  <c r="BL54" i="1"/>
  <c r="Y53" i="2"/>
  <c r="X53" s="1"/>
  <c r="L54" l="1"/>
  <c r="BD54" i="8"/>
  <c r="B54"/>
  <c r="D54" i="2" s="1"/>
  <c r="H54" i="11"/>
  <c r="AB54" i="7"/>
  <c r="E54" i="2"/>
  <c r="U54" l="1"/>
  <c r="W53" s="1"/>
  <c r="C54" s="1"/>
  <c r="R54" i="8" l="1"/>
  <c r="S54" s="1"/>
  <c r="F54" i="1"/>
  <c r="F54" i="2" l="1"/>
  <c r="J54" i="11" s="1"/>
  <c r="H54" i="2"/>
  <c r="I54"/>
  <c r="AA54" i="1" s="1"/>
  <c r="S54" s="1"/>
  <c r="H55" s="1"/>
  <c r="U54" i="8"/>
  <c r="V54"/>
  <c r="O54" i="7" l="1"/>
  <c r="I54" i="11"/>
  <c r="G54" i="2"/>
  <c r="Z54" s="1"/>
  <c r="Z55" i="8" s="1"/>
  <c r="AP54" i="1"/>
  <c r="T54" s="1"/>
  <c r="I55" s="1"/>
  <c r="F54" i="9"/>
  <c r="P54" i="7"/>
  <c r="AC55"/>
  <c r="AJ55" i="5"/>
  <c r="C55" i="11"/>
  <c r="AN55" i="8"/>
  <c r="V55" i="10"/>
  <c r="BK55" i="1"/>
  <c r="C54" i="8" l="1"/>
  <c r="AS55"/>
  <c r="AO55" i="1"/>
  <c r="BL55"/>
  <c r="Y54" i="2"/>
  <c r="X54" s="1"/>
  <c r="L55" l="1"/>
  <c r="E55"/>
  <c r="H55" i="11"/>
  <c r="AB55" i="7"/>
  <c r="BD55" i="8"/>
  <c r="B55"/>
  <c r="D55" i="2" s="1"/>
  <c r="U55" l="1"/>
  <c r="W54" s="1"/>
  <c r="C55" s="1"/>
  <c r="R55" i="8" l="1"/>
  <c r="S55" s="1"/>
  <c r="H55" i="2" l="1"/>
  <c r="I55"/>
  <c r="O55" i="7" s="1"/>
  <c r="F55" i="2"/>
  <c r="AP55" i="1" s="1"/>
  <c r="T55" s="1"/>
  <c r="F55"/>
  <c r="V55" i="8"/>
  <c r="U55"/>
  <c r="J55" i="11" l="1"/>
  <c r="F55" i="9" s="1"/>
  <c r="G55" i="2"/>
  <c r="Z55" s="1"/>
  <c r="Z56" i="8" s="1"/>
  <c r="I55" i="11"/>
  <c r="AA55" i="1"/>
  <c r="S55" s="1"/>
  <c r="H56" s="1"/>
  <c r="V56" i="10" s="1"/>
  <c r="I56" i="1"/>
  <c r="P55" i="7" l="1"/>
  <c r="C55" i="8"/>
  <c r="AC56" i="7"/>
  <c r="BK56" i="1"/>
  <c r="AJ56" i="5"/>
  <c r="AN56" i="8"/>
  <c r="C56" i="11"/>
  <c r="AS56" i="8"/>
  <c r="AO56" i="1"/>
  <c r="BL56"/>
  <c r="Y55" i="2"/>
  <c r="X55" s="1"/>
  <c r="E56" l="1"/>
  <c r="AB56" i="7"/>
  <c r="L56" i="2"/>
  <c r="H56" i="11"/>
  <c r="BD56" i="8"/>
  <c r="B56"/>
  <c r="D56" i="2" s="1"/>
  <c r="U56" l="1"/>
  <c r="W55" s="1"/>
  <c r="C56" s="1"/>
  <c r="R56" i="8" l="1"/>
  <c r="S56" s="1"/>
  <c r="H56" i="2" l="1"/>
  <c r="F56"/>
  <c r="G56" s="1"/>
  <c r="Z56" s="1"/>
  <c r="Z57" i="8" s="1"/>
  <c r="I56" i="2"/>
  <c r="O56" i="7" s="1"/>
  <c r="F56" i="1"/>
  <c r="U56" i="8"/>
  <c r="V56"/>
  <c r="AP56" i="1" l="1"/>
  <c r="T56" s="1"/>
  <c r="I57" s="1"/>
  <c r="AO57" s="1"/>
  <c r="I56" i="11"/>
  <c r="J56"/>
  <c r="P56" i="7" s="1"/>
  <c r="AA56" i="1"/>
  <c r="S56" s="1"/>
  <c r="H57" s="1"/>
  <c r="AC57" i="7" s="1"/>
  <c r="C56" i="8"/>
  <c r="F56" i="9" l="1"/>
  <c r="BK57" i="1"/>
  <c r="C57" i="11"/>
  <c r="V57" i="10"/>
  <c r="AJ57" i="5"/>
  <c r="AN57" i="8"/>
  <c r="AS57"/>
  <c r="BL57" i="1"/>
  <c r="Y56" i="2"/>
  <c r="X56" s="1"/>
  <c r="L57" l="1"/>
  <c r="E57"/>
  <c r="H57" i="11"/>
  <c r="BD57" i="8"/>
  <c r="AB57" i="7"/>
  <c r="B57" i="8"/>
  <c r="D57" i="2" s="1"/>
  <c r="U57" l="1"/>
  <c r="W56" s="1"/>
  <c r="C57" s="1"/>
  <c r="R57" i="8" l="1"/>
  <c r="S57" s="1"/>
  <c r="H57" i="2" l="1"/>
  <c r="F57"/>
  <c r="G57" s="1"/>
  <c r="Z57" s="1"/>
  <c r="Z58" i="8" s="1"/>
  <c r="I57" i="2"/>
  <c r="AA57" i="1" s="1"/>
  <c r="S57" s="1"/>
  <c r="H58" s="1"/>
  <c r="V58" i="10" s="1"/>
  <c r="F57" i="1"/>
  <c r="V57" i="8"/>
  <c r="U57"/>
  <c r="I57" i="11" l="1"/>
  <c r="O57" i="7"/>
  <c r="AJ58" i="5"/>
  <c r="AN58" i="8"/>
  <c r="BK58" i="1"/>
  <c r="C58" i="11"/>
  <c r="AC58" i="7"/>
  <c r="J57" i="11"/>
  <c r="P57" i="7" s="1"/>
  <c r="AP57" i="1"/>
  <c r="T57" s="1"/>
  <c r="I58" s="1"/>
  <c r="C57" i="8"/>
  <c r="F57" i="9" l="1"/>
  <c r="AS58" i="8"/>
  <c r="AO58" i="1"/>
  <c r="BL58"/>
  <c r="Y57" i="2"/>
  <c r="X57" s="1"/>
  <c r="B58" i="8" l="1"/>
  <c r="D58" i="2" s="1"/>
  <c r="E58"/>
  <c r="BD58" i="8"/>
  <c r="L58" i="2"/>
  <c r="AB58" i="7"/>
  <c r="H58" i="11"/>
  <c r="U58" i="2" l="1"/>
  <c r="W57" s="1"/>
  <c r="C58" s="1"/>
  <c r="R58" i="8" l="1"/>
  <c r="S58" s="1"/>
  <c r="F58" i="2"/>
  <c r="F58" i="1" l="1"/>
  <c r="H58" i="2"/>
  <c r="I58"/>
  <c r="I58" i="11" s="1"/>
  <c r="V58" i="8"/>
  <c r="U58"/>
  <c r="AP58" i="1"/>
  <c r="T58" s="1"/>
  <c r="J58" i="11"/>
  <c r="G58" i="2"/>
  <c r="Z58" s="1"/>
  <c r="Z59" i="8" s="1"/>
  <c r="AA58" i="1" l="1"/>
  <c r="S58" s="1"/>
  <c r="H59" s="1"/>
  <c r="BK59" s="1"/>
  <c r="O58" i="7"/>
  <c r="I59" i="1"/>
  <c r="F58" i="9"/>
  <c r="P58" i="7"/>
  <c r="C58" i="8"/>
  <c r="V59" i="10" l="1"/>
  <c r="AC59" i="7"/>
  <c r="AJ59" i="5"/>
  <c r="AN59" i="8"/>
  <c r="C59" i="11"/>
  <c r="AS59" i="8"/>
  <c r="AO59" i="1"/>
  <c r="BL59"/>
  <c r="Y58" i="2"/>
  <c r="X58" s="1"/>
  <c r="E59" l="1"/>
  <c r="H59" i="11"/>
  <c r="B59" i="8"/>
  <c r="D59" i="2" s="1"/>
  <c r="L59"/>
  <c r="BD59" i="8"/>
  <c r="AB59" i="7"/>
  <c r="U59" i="2" l="1"/>
  <c r="W58" s="1"/>
  <c r="C59" s="1"/>
  <c r="R59" i="8" l="1"/>
  <c r="S59" s="1"/>
  <c r="I59" i="2"/>
  <c r="F59" l="1"/>
  <c r="AP59" i="1" s="1"/>
  <c r="T59" s="1"/>
  <c r="F59"/>
  <c r="H59" i="2"/>
  <c r="I59" i="11"/>
  <c r="O59" i="7"/>
  <c r="V59" i="8"/>
  <c r="U59"/>
  <c r="AA59" i="1"/>
  <c r="S59" s="1"/>
  <c r="H60" s="1"/>
  <c r="J59" i="11" l="1"/>
  <c r="P59" i="7" s="1"/>
  <c r="G59" i="2"/>
  <c r="Z59" s="1"/>
  <c r="Z60" i="8" s="1"/>
  <c r="I60" i="1"/>
  <c r="AO60" s="1"/>
  <c r="AC60" i="7"/>
  <c r="V60" i="10"/>
  <c r="AN60" i="8"/>
  <c r="C60" i="11"/>
  <c r="AJ60" i="5"/>
  <c r="BK60" i="1"/>
  <c r="F59" i="9" l="1"/>
  <c r="C59" i="8"/>
  <c r="AS60"/>
  <c r="BL60" i="1"/>
  <c r="Y59" i="2"/>
  <c r="X59" s="1"/>
  <c r="H60" i="11" l="1"/>
  <c r="B60" i="8"/>
  <c r="D60" i="2" s="1"/>
  <c r="AB60" i="7"/>
  <c r="L60" i="2"/>
  <c r="BD60" i="8"/>
  <c r="E60" i="2"/>
  <c r="U60" l="1"/>
  <c r="W59" s="1"/>
  <c r="C60" s="1"/>
  <c r="R60" i="8" l="1"/>
  <c r="S60" s="1"/>
  <c r="F60" i="1"/>
  <c r="F60" i="2" l="1"/>
  <c r="J60" i="11" s="1"/>
  <c r="H60" i="2"/>
  <c r="I60"/>
  <c r="O60" i="7" s="1"/>
  <c r="V60" i="8"/>
  <c r="U60"/>
  <c r="AA60" i="1" l="1"/>
  <c r="S60" s="1"/>
  <c r="H61" s="1"/>
  <c r="AJ61" i="5" s="1"/>
  <c r="G60" i="2"/>
  <c r="Z60" s="1"/>
  <c r="Z61" i="8" s="1"/>
  <c r="I60" i="11"/>
  <c r="AP60" i="1"/>
  <c r="T60" s="1"/>
  <c r="I61" s="1"/>
  <c r="P60" i="7"/>
  <c r="F60" i="9"/>
  <c r="V61" i="10" l="1"/>
  <c r="AC61" i="7"/>
  <c r="AN61" i="8"/>
  <c r="BK61" i="1"/>
  <c r="C61" i="11"/>
  <c r="C60" i="8"/>
  <c r="AS61"/>
  <c r="AO61" i="1"/>
  <c r="BL61"/>
  <c r="Y60" i="2"/>
  <c r="X60" s="1"/>
  <c r="B61" i="8" l="1"/>
  <c r="D61" i="2" s="1"/>
  <c r="L61"/>
  <c r="H61" i="11"/>
  <c r="BD61" i="8"/>
  <c r="E61" i="2"/>
  <c r="AB61" i="7"/>
  <c r="U61" i="2" l="1"/>
  <c r="W60" s="1"/>
  <c r="C61" s="1"/>
  <c r="R61" i="8" l="1"/>
  <c r="S61" s="1"/>
  <c r="H61" i="2" l="1"/>
  <c r="F61" i="1"/>
  <c r="I61" i="2"/>
  <c r="AA61" i="1" s="1"/>
  <c r="S61" s="1"/>
  <c r="H62" s="1"/>
  <c r="C62" i="11" s="1"/>
  <c r="F61" i="2"/>
  <c r="G61" s="1"/>
  <c r="Z61" s="1"/>
  <c r="Z62" i="8" s="1"/>
  <c r="U61"/>
  <c r="V61"/>
  <c r="O61" i="7" l="1"/>
  <c r="AP61" i="1"/>
  <c r="T61" s="1"/>
  <c r="I62" s="1"/>
  <c r="I61" i="11"/>
  <c r="V62" i="10"/>
  <c r="BK62" i="1"/>
  <c r="AJ62" i="5"/>
  <c r="AC62" i="7"/>
  <c r="J61" i="11"/>
  <c r="F61" i="9" s="1"/>
  <c r="AN62" i="8"/>
  <c r="C61"/>
  <c r="P61" i="7" l="1"/>
  <c r="AS62" i="8"/>
  <c r="AO62" i="1"/>
  <c r="BL62"/>
  <c r="Y61" i="2"/>
  <c r="X61" s="1"/>
  <c r="BD62" i="8" l="1"/>
  <c r="B62"/>
  <c r="D62" i="2" s="1"/>
  <c r="H62" i="11"/>
  <c r="E62" i="2"/>
  <c r="L62"/>
  <c r="AB62" i="7"/>
  <c r="U62" i="2" l="1"/>
  <c r="W61" s="1"/>
  <c r="C62" s="1"/>
  <c r="R62" i="8" l="1"/>
  <c r="S62" s="1"/>
  <c r="F62" i="2"/>
  <c r="F62" i="1" l="1"/>
  <c r="I62" i="2"/>
  <c r="AA62" i="1" s="1"/>
  <c r="S62" s="1"/>
  <c r="H63" s="1"/>
  <c r="J53" i="4" s="1"/>
  <c r="H62" i="2"/>
  <c r="U62" i="8"/>
  <c r="V62"/>
  <c r="J62" i="11"/>
  <c r="AP62" i="1"/>
  <c r="T62" s="1"/>
  <c r="G62" i="2"/>
  <c r="Z62" s="1"/>
  <c r="Z63" i="8" s="1"/>
  <c r="I62" i="11" l="1"/>
  <c r="O62" i="7"/>
  <c r="AJ63" i="5"/>
  <c r="I53" i="4"/>
  <c r="C63" i="11"/>
  <c r="AC63" i="7"/>
  <c r="BK63" i="1"/>
  <c r="V63" i="10"/>
  <c r="AN63" i="8"/>
  <c r="I63" i="1"/>
  <c r="P62" i="7"/>
  <c r="F62" i="9"/>
  <c r="C62" i="8"/>
  <c r="BL63" i="1" l="1"/>
  <c r="AO63"/>
  <c r="AS63" i="8"/>
  <c r="Y62" i="2"/>
  <c r="X62" s="1"/>
  <c r="H63" i="11" l="1"/>
  <c r="L63" i="2"/>
  <c r="M27" i="7"/>
  <c r="E63" i="2"/>
  <c r="AB63" i="7"/>
  <c r="BD63" i="8"/>
  <c r="B63"/>
  <c r="D63" i="2" s="1"/>
  <c r="U63" l="1"/>
  <c r="W62" s="1"/>
  <c r="C63" s="1"/>
  <c r="R63" i="8" l="1"/>
  <c r="S63" s="1"/>
  <c r="H63" i="2" l="1"/>
  <c r="F63" i="1"/>
  <c r="F63" i="2"/>
  <c r="J63" i="11" s="1"/>
  <c r="I63" i="2"/>
  <c r="I63" i="11" s="1"/>
  <c r="V63" i="8"/>
  <c r="U63"/>
  <c r="AA63" i="1" l="1"/>
  <c r="S63" s="1"/>
  <c r="H64" s="1"/>
  <c r="BK64" s="1"/>
  <c r="O63" i="7"/>
  <c r="AP63" i="1"/>
  <c r="T63" s="1"/>
  <c r="I64" s="1"/>
  <c r="G63" i="2"/>
  <c r="Z63" s="1"/>
  <c r="Z64" i="8" s="1"/>
  <c r="P63" i="7"/>
  <c r="F63" i="9"/>
  <c r="AC64" i="7" l="1"/>
  <c r="AN64" i="8"/>
  <c r="C64" i="11"/>
  <c r="V64" i="10"/>
  <c r="AJ64" i="5"/>
  <c r="C63" i="8"/>
  <c r="BL64" i="1"/>
  <c r="AO64"/>
  <c r="AS64" i="8"/>
  <c r="Y63" i="2"/>
  <c r="X63" s="1"/>
  <c r="B64" i="8" l="1"/>
  <c r="D64" i="2" s="1"/>
  <c r="H64" i="11"/>
  <c r="E64" i="2"/>
  <c r="BD64" i="8"/>
  <c r="L64" i="2"/>
  <c r="AB64" i="7"/>
  <c r="U64" i="2" l="1"/>
  <c r="W63" s="1"/>
  <c r="C64" s="1"/>
  <c r="R64" i="8" l="1"/>
  <c r="S64" s="1"/>
  <c r="F64" i="1"/>
  <c r="I64" i="2" l="1"/>
  <c r="AA64" i="1" s="1"/>
  <c r="S64" s="1"/>
  <c r="H65" s="1"/>
  <c r="F64" i="2"/>
  <c r="AP64" i="1" s="1"/>
  <c r="T64" s="1"/>
  <c r="H64" i="2"/>
  <c r="U64" i="8"/>
  <c r="V64"/>
  <c r="J64" i="11" l="1"/>
  <c r="P64" i="7" s="1"/>
  <c r="G64" i="2"/>
  <c r="Z64" s="1"/>
  <c r="Z65" i="8" s="1"/>
  <c r="I64" i="11"/>
  <c r="O64" i="7"/>
  <c r="I65" i="1"/>
  <c r="AO65" s="1"/>
  <c r="AN65" i="8"/>
  <c r="BK65" i="1"/>
  <c r="C65" i="11"/>
  <c r="AC65" i="7"/>
  <c r="V65" i="10"/>
  <c r="AJ65" i="5"/>
  <c r="F64" i="9" l="1"/>
  <c r="C64" i="8"/>
  <c r="BL65" i="1"/>
  <c r="AS65" i="8"/>
  <c r="Y64" i="2"/>
  <c r="X64" s="1"/>
  <c r="L65" l="1"/>
  <c r="E65"/>
  <c r="AB65" i="7"/>
  <c r="B65" i="8"/>
  <c r="D65" i="2" s="1"/>
  <c r="BD65" i="8"/>
  <c r="H65" i="11"/>
  <c r="U65" i="2" l="1"/>
  <c r="W64" s="1"/>
  <c r="C65" s="1"/>
  <c r="R65" i="8" l="1"/>
  <c r="S65" s="1"/>
  <c r="I65" i="2" l="1"/>
  <c r="I65" i="11" s="1"/>
  <c r="F65" i="2"/>
  <c r="AP65" i="1" s="1"/>
  <c r="T65" s="1"/>
  <c r="H65" i="2"/>
  <c r="F65" i="1"/>
  <c r="U65" i="8"/>
  <c r="V65"/>
  <c r="G65" i="2" l="1"/>
  <c r="Z65" s="1"/>
  <c r="Z66" i="8" s="1"/>
  <c r="J65" i="11"/>
  <c r="F65" i="9" s="1"/>
  <c r="AA65" i="1"/>
  <c r="S65" s="1"/>
  <c r="H66" s="1"/>
  <c r="V66" i="10" s="1"/>
  <c r="O65" i="7"/>
  <c r="I66" i="1"/>
  <c r="AO66" s="1"/>
  <c r="C65" i="8" l="1"/>
  <c r="P65" i="7"/>
  <c r="AN66" i="8"/>
  <c r="M25" i="7" s="1"/>
  <c r="J54" i="4"/>
  <c r="AJ66" i="5"/>
  <c r="BK66" i="1"/>
  <c r="AC66" i="7"/>
  <c r="I54" i="4"/>
  <c r="C66" i="11"/>
  <c r="BL66" i="1"/>
  <c r="AS66" i="8"/>
  <c r="Y65" i="2"/>
  <c r="X65" s="1"/>
  <c r="E66" l="1"/>
  <c r="BD66" i="8"/>
  <c r="B66"/>
  <c r="D66" i="2" s="1"/>
  <c r="L66"/>
  <c r="H66" i="11"/>
  <c r="AB66" i="7"/>
  <c r="U66" i="2" l="1"/>
  <c r="W65" s="1"/>
  <c r="C66" s="1"/>
  <c r="R66" i="8" l="1"/>
  <c r="S66" s="1"/>
  <c r="F66" i="1"/>
  <c r="H66" i="2" l="1"/>
  <c r="I66"/>
  <c r="O66" i="7" s="1"/>
  <c r="F66" i="2"/>
  <c r="AP66" i="1" s="1"/>
  <c r="T66" s="1"/>
  <c r="V66" i="8"/>
  <c r="U66"/>
  <c r="G66" i="2" l="1"/>
  <c r="Z66" s="1"/>
  <c r="Z67" i="8" s="1"/>
  <c r="AA66" i="1"/>
  <c r="S66" s="1"/>
  <c r="H67" s="1"/>
  <c r="AC67" i="7" s="1"/>
  <c r="I66" i="11"/>
  <c r="J66"/>
  <c r="F66" i="9" s="1"/>
  <c r="I67" i="1"/>
  <c r="C66" i="8" l="1"/>
  <c r="V67" i="10"/>
  <c r="AJ67" i="5"/>
  <c r="AN67" i="8"/>
  <c r="BK67" i="1"/>
  <c r="C67" i="11"/>
  <c r="P66" i="7"/>
  <c r="AS67" i="8"/>
  <c r="AO67" i="1"/>
  <c r="BL67"/>
  <c r="Y66" i="2"/>
  <c r="X66" s="1"/>
  <c r="L67" l="1"/>
  <c r="B67" i="8"/>
  <c r="D67" i="2" s="1"/>
  <c r="BD67" i="8"/>
  <c r="E67" i="2"/>
  <c r="H67" i="11"/>
  <c r="AB67" i="7"/>
  <c r="U67" i="2" l="1"/>
  <c r="W66" s="1"/>
  <c r="C67" s="1"/>
  <c r="R67" i="8" l="1"/>
  <c r="S67" s="1"/>
  <c r="F67" i="2"/>
  <c r="H67" l="1"/>
  <c r="F67" i="1"/>
  <c r="I67" i="2"/>
  <c r="I67" i="11" s="1"/>
  <c r="U67" i="8"/>
  <c r="V67"/>
  <c r="J67" i="11"/>
  <c r="AP67" i="1"/>
  <c r="T67" s="1"/>
  <c r="G67" i="2"/>
  <c r="Z67" s="1"/>
  <c r="Z68" i="8" s="1"/>
  <c r="AA67" i="1" l="1"/>
  <c r="S67" s="1"/>
  <c r="H68" s="1"/>
  <c r="BK68" s="1"/>
  <c r="O67" i="7"/>
  <c r="I68" i="1"/>
  <c r="P67" i="7"/>
  <c r="F67" i="9"/>
  <c r="C67" i="8"/>
  <c r="AC68" i="7" l="1"/>
  <c r="C68" i="11"/>
  <c r="AJ68" i="5"/>
  <c r="V68" i="10"/>
  <c r="AN68" i="8"/>
  <c r="AS68"/>
  <c r="AO68" i="1"/>
  <c r="BL68"/>
  <c r="Y67" i="2"/>
  <c r="X67" s="1"/>
  <c r="AB68" i="7" l="1"/>
  <c r="L68" i="2"/>
  <c r="BD68" i="8"/>
  <c r="E68" i="2"/>
  <c r="H68" i="11"/>
  <c r="B68" i="8"/>
  <c r="D68" i="2" s="1"/>
  <c r="U68" l="1"/>
  <c r="W67" s="1"/>
  <c r="C68" s="1"/>
  <c r="R68" i="8" l="1"/>
  <c r="S68" s="1"/>
  <c r="F68" i="2"/>
  <c r="F68" i="1" l="1"/>
  <c r="I68" i="2"/>
  <c r="AA68" i="1" s="1"/>
  <c r="S68" s="1"/>
  <c r="H69" s="1"/>
  <c r="AC69" i="7" s="1"/>
  <c r="H68" i="2"/>
  <c r="AP68" i="1"/>
  <c r="T68" s="1"/>
  <c r="J68" i="11"/>
  <c r="G68" i="2"/>
  <c r="Z68" s="1"/>
  <c r="Z69" i="8" s="1"/>
  <c r="U68"/>
  <c r="V68"/>
  <c r="I68" i="11" l="1"/>
  <c r="BK69" i="1"/>
  <c r="AN69" i="8"/>
  <c r="V69" i="10"/>
  <c r="C69" i="11"/>
  <c r="AJ69" i="5"/>
  <c r="O68" i="7"/>
  <c r="I69" i="1"/>
  <c r="F68" i="9"/>
  <c r="P68" i="7"/>
  <c r="C68" i="8"/>
  <c r="BL69" i="1" l="1"/>
  <c r="AO69"/>
  <c r="AS69" i="8"/>
  <c r="Y68" i="2"/>
  <c r="X68" s="1"/>
  <c r="H69" i="11" l="1"/>
  <c r="E69" i="2"/>
  <c r="BD69" i="8"/>
  <c r="AB69" i="7"/>
  <c r="L69" i="2"/>
  <c r="B69" i="8"/>
  <c r="D69" i="2" s="1"/>
  <c r="U69" l="1"/>
  <c r="W68" s="1"/>
  <c r="C69" s="1"/>
  <c r="R69" i="8" l="1"/>
  <c r="S69" s="1"/>
  <c r="F69" i="2" l="1"/>
  <c r="J69" i="11" s="1"/>
  <c r="I69" i="2"/>
  <c r="AA69" i="1" s="1"/>
  <c r="S69" s="1"/>
  <c r="H70" s="1"/>
  <c r="V70" i="10" s="1"/>
  <c r="F69" i="1"/>
  <c r="H69" i="2"/>
  <c r="U69" i="8"/>
  <c r="V69"/>
  <c r="AP69" i="1" l="1"/>
  <c r="T69" s="1"/>
  <c r="I70" s="1"/>
  <c r="G69" i="2"/>
  <c r="Z69" s="1"/>
  <c r="Z70" i="8" s="1"/>
  <c r="AC70" i="7"/>
  <c r="AN70" i="8"/>
  <c r="BK70" i="1"/>
  <c r="AJ70" i="5"/>
  <c r="C70" i="11"/>
  <c r="I69"/>
  <c r="O69" i="7"/>
  <c r="F69" i="9"/>
  <c r="P69" i="7"/>
  <c r="C69" i="8" l="1"/>
  <c r="AS70"/>
  <c r="AO70" i="1"/>
  <c r="BL70"/>
  <c r="Y69" i="2"/>
  <c r="X69" s="1"/>
  <c r="B70" i="8" l="1"/>
  <c r="D70" i="2" s="1"/>
  <c r="E70"/>
  <c r="AB70" i="7"/>
  <c r="L70" i="2"/>
  <c r="H70" i="11"/>
  <c r="BD70" i="8"/>
  <c r="U70" i="2" l="1"/>
  <c r="W69" s="1"/>
  <c r="C70" s="1"/>
  <c r="R70" i="8" l="1"/>
  <c r="S70" s="1"/>
  <c r="I70" i="2"/>
  <c r="F70" i="1" l="1"/>
  <c r="H70" i="2"/>
  <c r="F70"/>
  <c r="AP70" i="1" s="1"/>
  <c r="T70" s="1"/>
  <c r="U70" i="8"/>
  <c r="V70"/>
  <c r="O70" i="7"/>
  <c r="I70" i="11"/>
  <c r="AA70" i="1"/>
  <c r="S70" s="1"/>
  <c r="H71" s="1"/>
  <c r="G70" i="2" l="1"/>
  <c r="Z70" s="1"/>
  <c r="Z71" i="8" s="1"/>
  <c r="J70" i="11"/>
  <c r="F70" i="9" s="1"/>
  <c r="I71" i="1"/>
  <c r="AC71" i="7"/>
  <c r="BK71" i="1"/>
  <c r="AJ71" i="5"/>
  <c r="C71" i="11"/>
  <c r="AN71" i="8"/>
  <c r="V71" i="10"/>
  <c r="C70" i="8" l="1"/>
  <c r="P70" i="7"/>
  <c r="AS71" i="8"/>
  <c r="AO71" i="1"/>
  <c r="BL71"/>
  <c r="Y70" i="2"/>
  <c r="X70" s="1"/>
  <c r="B71" i="8" l="1"/>
  <c r="D71" i="2" s="1"/>
  <c r="H71" i="11"/>
  <c r="BD71" i="8"/>
  <c r="E71" i="2"/>
  <c r="AB71" i="7"/>
  <c r="L71" i="2"/>
  <c r="U71" l="1"/>
  <c r="W70" s="1"/>
  <c r="C71" s="1"/>
  <c r="R71" i="8" l="1"/>
  <c r="S71" s="1"/>
  <c r="I71" i="2" l="1"/>
  <c r="O71" i="7" s="1"/>
  <c r="F71" i="2"/>
  <c r="G71" s="1"/>
  <c r="Z71" s="1"/>
  <c r="Z72" i="8" s="1"/>
  <c r="F71" i="1"/>
  <c r="H71" i="2"/>
  <c r="U71" i="8"/>
  <c r="V71"/>
  <c r="AP71" i="1" l="1"/>
  <c r="T71" s="1"/>
  <c r="I72" s="1"/>
  <c r="AA71"/>
  <c r="S71" s="1"/>
  <c r="H72" s="1"/>
  <c r="C72" i="11" s="1"/>
  <c r="J71"/>
  <c r="P71" i="7" s="1"/>
  <c r="I71" i="11"/>
  <c r="C71" i="8"/>
  <c r="V72" i="10" l="1"/>
  <c r="BK72" i="1"/>
  <c r="AN72" i="8"/>
  <c r="F71" i="9"/>
  <c r="AC72" i="7"/>
  <c r="AJ72" i="5"/>
  <c r="AS72" i="8"/>
  <c r="AO72" i="1"/>
  <c r="BL72"/>
  <c r="Y71" i="2"/>
  <c r="X71" s="1"/>
  <c r="E72" l="1"/>
  <c r="L72"/>
  <c r="BD72" i="8"/>
  <c r="B72"/>
  <c r="D72" i="2" s="1"/>
  <c r="H72" i="11"/>
  <c r="AB72" i="7"/>
  <c r="U72" i="2" l="1"/>
  <c r="W71" s="1"/>
  <c r="C72" s="1"/>
  <c r="R72" i="8" l="1"/>
  <c r="S72" s="1"/>
  <c r="F72" i="2"/>
  <c r="F72" i="1" l="1"/>
  <c r="H72" i="2"/>
  <c r="I72"/>
  <c r="I72" i="11" s="1"/>
  <c r="U72" i="8"/>
  <c r="V72"/>
  <c r="AP72" i="1"/>
  <c r="T72" s="1"/>
  <c r="J72" i="11"/>
  <c r="G72" i="2"/>
  <c r="Z72" s="1"/>
  <c r="Z73" i="8" s="1"/>
  <c r="AA72" i="1" l="1"/>
  <c r="S72" s="1"/>
  <c r="H73" s="1"/>
  <c r="BK73" s="1"/>
  <c r="O72" i="7"/>
  <c r="I73" i="1"/>
  <c r="P72" i="7"/>
  <c r="F72" i="9"/>
  <c r="C72" i="8"/>
  <c r="V73" i="10" l="1"/>
  <c r="AC73" i="7"/>
  <c r="AJ73" i="5"/>
  <c r="C73" i="11"/>
  <c r="AN73" i="8"/>
  <c r="BL73" i="1"/>
  <c r="AO73"/>
  <c r="AS73" i="8"/>
  <c r="Y72" i="2"/>
  <c r="X72" s="1"/>
  <c r="L73" l="1"/>
  <c r="E73"/>
  <c r="H73" i="11"/>
  <c r="B73" i="8"/>
  <c r="D73" i="2" s="1"/>
  <c r="BD73" i="8"/>
  <c r="AB73" i="7"/>
  <c r="U73" i="2" l="1"/>
  <c r="W72" s="1"/>
  <c r="C73" s="1"/>
  <c r="R73" i="8" l="1"/>
  <c r="S73" s="1"/>
  <c r="I73" i="2" l="1"/>
  <c r="I73" i="11" s="1"/>
  <c r="F73" i="1"/>
  <c r="H73" i="2"/>
  <c r="F73"/>
  <c r="AP73" i="1" s="1"/>
  <c r="T73" s="1"/>
  <c r="V73" i="8"/>
  <c r="U73"/>
  <c r="G73" i="2" l="1"/>
  <c r="Z73" s="1"/>
  <c r="Z74" i="8" s="1"/>
  <c r="J73" i="11"/>
  <c r="F73" i="9" s="1"/>
  <c r="AA73" i="1"/>
  <c r="S73" s="1"/>
  <c r="H74" s="1"/>
  <c r="AJ74" i="5" s="1"/>
  <c r="O73" i="7"/>
  <c r="I74" i="1"/>
  <c r="C73" i="8" l="1"/>
  <c r="P73" i="7"/>
  <c r="AC74"/>
  <c r="C74" i="11"/>
  <c r="AN74" i="8"/>
  <c r="V74" i="10"/>
  <c r="BK74" i="1"/>
  <c r="AS74" i="8"/>
  <c r="AO74" i="1"/>
  <c r="BL74"/>
  <c r="Y73" i="2"/>
  <c r="X73" s="1"/>
  <c r="B74" i="8" l="1"/>
  <c r="D74" i="2" s="1"/>
  <c r="L74"/>
  <c r="AB74" i="7"/>
  <c r="E74" i="2"/>
  <c r="BD74" i="8"/>
  <c r="H74" i="11"/>
  <c r="U74" i="2" l="1"/>
  <c r="W73" s="1"/>
  <c r="C74" s="1"/>
  <c r="R74" i="8" l="1"/>
  <c r="S74" s="1"/>
  <c r="F74" i="1"/>
  <c r="H74" i="2" l="1"/>
  <c r="I74"/>
  <c r="AA74" i="1" s="1"/>
  <c r="S74" s="1"/>
  <c r="H75" s="1"/>
  <c r="V75" i="10" s="1"/>
  <c r="F74" i="2"/>
  <c r="J74" i="11" s="1"/>
  <c r="V74" i="8"/>
  <c r="U74"/>
  <c r="G74" i="2" l="1"/>
  <c r="Z74" s="1"/>
  <c r="Z75" i="8" s="1"/>
  <c r="I74" i="11"/>
  <c r="AP74" i="1"/>
  <c r="T74" s="1"/>
  <c r="I75" s="1"/>
  <c r="AO75" s="1"/>
  <c r="BK75"/>
  <c r="AJ75" i="5"/>
  <c r="C75" i="11"/>
  <c r="B57" i="4"/>
  <c r="AC75" i="7"/>
  <c r="I55" i="4"/>
  <c r="AN75" i="8"/>
  <c r="J55" i="4"/>
  <c r="O74" i="7"/>
  <c r="F74" i="9"/>
  <c r="P74" i="7"/>
  <c r="C74" i="8" l="1"/>
  <c r="AS75"/>
  <c r="B58" i="4"/>
  <c r="BL75" i="1"/>
  <c r="Y74" i="2"/>
  <c r="X74" s="1"/>
  <c r="AB75" i="7" l="1"/>
  <c r="H75" i="11"/>
  <c r="F39" i="4"/>
  <c r="E75" i="2"/>
  <c r="L75"/>
  <c r="B75" i="8"/>
  <c r="D75" i="2" s="1"/>
  <c r="BD75" i="8"/>
  <c r="H39" i="4" l="1"/>
  <c r="B39"/>
  <c r="B52" s="1"/>
  <c r="U75" i="2"/>
  <c r="W74" s="1"/>
  <c r="C75" s="1"/>
  <c r="R75" i="8" l="1"/>
  <c r="S75" s="1"/>
  <c r="F75" i="2"/>
  <c r="F40" i="4" l="1"/>
  <c r="F41" s="1"/>
  <c r="H75" i="2"/>
  <c r="I75"/>
  <c r="AA75" i="1" s="1"/>
  <c r="S75" s="1"/>
  <c r="B51" i="4"/>
  <c r="F75" i="1"/>
  <c r="J75" i="11"/>
  <c r="AP75" i="1"/>
  <c r="T75" s="1"/>
  <c r="G75" i="2"/>
  <c r="Z75" s="1"/>
  <c r="Z76" i="8" s="1"/>
  <c r="V75"/>
  <c r="U75"/>
  <c r="O75" i="7" l="1"/>
  <c r="I75" i="11"/>
  <c r="H40" i="4"/>
  <c r="H41" s="1"/>
  <c r="I76" i="1"/>
  <c r="AO76" s="1"/>
  <c r="C75" i="8"/>
  <c r="F75" i="9"/>
  <c r="P75" i="7"/>
  <c r="M26"/>
  <c r="B56" i="4"/>
  <c r="H76" i="1"/>
  <c r="AS76" i="8" l="1"/>
  <c r="BL76" i="1"/>
  <c r="AN76" i="8"/>
  <c r="V76" i="10"/>
  <c r="AJ76" i="5"/>
  <c r="C76" i="11"/>
  <c r="BK76" i="1"/>
  <c r="AC76" i="7"/>
  <c r="Y75" i="2"/>
  <c r="X75" s="1"/>
  <c r="BD76" i="8" l="1"/>
  <c r="H76" i="11"/>
  <c r="AB76" i="7"/>
  <c r="L76" i="2"/>
  <c r="E76"/>
  <c r="B76" i="8"/>
  <c r="D76" i="2" s="1"/>
  <c r="U76" l="1"/>
  <c r="W75" s="1"/>
  <c r="C76" s="1"/>
  <c r="R76" i="8" l="1"/>
  <c r="S76" s="1"/>
  <c r="H76" i="2" l="1"/>
  <c r="F76"/>
  <c r="G76" s="1"/>
  <c r="Z76" s="1"/>
  <c r="Z77" i="8" s="1"/>
  <c r="F76" i="1"/>
  <c r="I76" i="2"/>
  <c r="I76" i="11" s="1"/>
  <c r="V76" i="8"/>
  <c r="U76"/>
  <c r="AA76" i="1" l="1"/>
  <c r="S76" s="1"/>
  <c r="H77" s="1"/>
  <c r="AN77" i="8" s="1"/>
  <c r="O76" i="7"/>
  <c r="AP76" i="1"/>
  <c r="T76" s="1"/>
  <c r="I77" s="1"/>
  <c r="J76" i="11"/>
  <c r="P76" i="7" s="1"/>
  <c r="C76" i="8"/>
  <c r="C77" i="11" l="1"/>
  <c r="V77" i="10"/>
  <c r="AJ77" i="5"/>
  <c r="AC77" i="7"/>
  <c r="BK77" i="1"/>
  <c r="F76" i="9"/>
  <c r="AS77" i="8"/>
  <c r="AO77" i="1"/>
  <c r="BL77"/>
  <c r="Y76" i="2"/>
  <c r="X76" s="1"/>
  <c r="H77" i="11" l="1"/>
  <c r="E77" i="2"/>
  <c r="L77"/>
  <c r="BD77" i="8"/>
  <c r="AB77" i="7"/>
  <c r="B77" i="8"/>
  <c r="D77" i="2" s="1"/>
  <c r="U77" l="1"/>
  <c r="W76" s="1"/>
  <c r="C77" s="1"/>
  <c r="R77" i="8" l="1"/>
  <c r="S77" s="1"/>
  <c r="F77" i="1" l="1"/>
  <c r="I77" i="2"/>
  <c r="O77" i="7" s="1"/>
  <c r="H77" i="2"/>
  <c r="F77"/>
  <c r="AP77" i="1" s="1"/>
  <c r="T77" s="1"/>
  <c r="U77" i="8"/>
  <c r="V77"/>
  <c r="G77" i="2" l="1"/>
  <c r="Z77" s="1"/>
  <c r="Z78" i="8" s="1"/>
  <c r="J77" i="11"/>
  <c r="P77" i="7" s="1"/>
  <c r="AA77" i="1"/>
  <c r="S77" s="1"/>
  <c r="H78" s="1"/>
  <c r="V78" i="10" s="1"/>
  <c r="I77" i="11"/>
  <c r="I78" i="1"/>
  <c r="C77" i="8" l="1"/>
  <c r="F77" i="9"/>
  <c r="AJ78" i="5"/>
  <c r="AN78" i="8"/>
  <c r="AC78" i="7"/>
  <c r="BK78" i="1"/>
  <c r="C78" i="11"/>
  <c r="AS78" i="8"/>
  <c r="AO78" i="1"/>
  <c r="BL78"/>
  <c r="Y77" i="2"/>
  <c r="X77" s="1"/>
  <c r="E78" l="1"/>
  <c r="B78" i="8"/>
  <c r="D78" i="2" s="1"/>
  <c r="H78" i="11"/>
  <c r="L78" i="2"/>
  <c r="BD78" i="8"/>
  <c r="AB78" i="7"/>
  <c r="U78" i="2" l="1"/>
  <c r="W77" s="1"/>
  <c r="C78" s="1"/>
  <c r="R78" i="8" l="1"/>
  <c r="S78" s="1"/>
  <c r="F78" i="2"/>
  <c r="I78" l="1"/>
  <c r="I78" i="11" s="1"/>
  <c r="F78" i="1"/>
  <c r="H78" i="2"/>
  <c r="AP78" i="1"/>
  <c r="T78" s="1"/>
  <c r="J78" i="11"/>
  <c r="G78" i="2"/>
  <c r="Z78" s="1"/>
  <c r="Z79" i="8" s="1"/>
  <c r="U78"/>
  <c r="V78"/>
  <c r="O78" i="7" l="1"/>
  <c r="AA78" i="1"/>
  <c r="S78" s="1"/>
  <c r="H79" s="1"/>
  <c r="AJ79" i="5" s="1"/>
  <c r="I79" i="1"/>
  <c r="AO79" s="1"/>
  <c r="P78" i="7"/>
  <c r="F78" i="9"/>
  <c r="C78" i="8"/>
  <c r="AC79" i="7" l="1"/>
  <c r="V79" i="10"/>
  <c r="AN79" i="8"/>
  <c r="BK79" i="1"/>
  <c r="C79" i="11"/>
  <c r="AS79" i="8"/>
  <c r="BL79" i="1"/>
  <c r="Y78" i="2"/>
  <c r="X78" s="1"/>
  <c r="BD79" i="8" l="1"/>
  <c r="L79" i="2"/>
  <c r="B79" i="8"/>
  <c r="D79" i="2" s="1"/>
  <c r="E79"/>
  <c r="H79" i="11"/>
  <c r="AB79" i="7"/>
  <c r="U79" i="2" l="1"/>
  <c r="W78" s="1"/>
  <c r="C79" s="1"/>
  <c r="R79" i="8" l="1"/>
  <c r="S79" s="1"/>
  <c r="I79" i="2"/>
  <c r="F79" l="1"/>
  <c r="G79" s="1"/>
  <c r="Z79" s="1"/>
  <c r="Z80" i="8" s="1"/>
  <c r="H79" i="2"/>
  <c r="F79" i="1"/>
  <c r="O79" i="7"/>
  <c r="I79" i="11"/>
  <c r="V79" i="8"/>
  <c r="U79"/>
  <c r="AA79" i="1"/>
  <c r="S79" s="1"/>
  <c r="H80" s="1"/>
  <c r="AP79" l="1"/>
  <c r="T79" s="1"/>
  <c r="I80" s="1"/>
  <c r="J79" i="11"/>
  <c r="F79" i="9" s="1"/>
  <c r="C79" i="8"/>
  <c r="V80" i="10"/>
  <c r="AN80" i="8"/>
  <c r="AJ80" i="5"/>
  <c r="AC80" i="7"/>
  <c r="C80" i="11"/>
  <c r="BK80" i="1"/>
  <c r="P79" i="7" l="1"/>
  <c r="AS80" i="8"/>
  <c r="AO80" i="1"/>
  <c r="BL80"/>
  <c r="Y79" i="2"/>
  <c r="X79" s="1"/>
  <c r="E80" l="1"/>
  <c r="L80"/>
  <c r="H80" i="11"/>
  <c r="B80" i="8"/>
  <c r="D80" i="2" s="1"/>
  <c r="BD80" i="8"/>
  <c r="AB80" i="7"/>
  <c r="U80" i="2" l="1"/>
  <c r="W79" s="1"/>
  <c r="C80" s="1"/>
  <c r="R80" i="8" l="1"/>
  <c r="S80" s="1"/>
  <c r="H80" i="2" l="1"/>
  <c r="F80"/>
  <c r="J80" i="11" s="1"/>
  <c r="I80" i="2"/>
  <c r="O80" i="7" s="1"/>
  <c r="F80" i="1"/>
  <c r="V80" i="8"/>
  <c r="U80"/>
  <c r="AA80" i="1" l="1"/>
  <c r="S80" s="1"/>
  <c r="H81" s="1"/>
  <c r="C81" i="11" s="1"/>
  <c r="AP80" i="1"/>
  <c r="T80" s="1"/>
  <c r="I81" s="1"/>
  <c r="G80" i="2"/>
  <c r="Z80" s="1"/>
  <c r="Z81" i="8" s="1"/>
  <c r="I80" i="11"/>
  <c r="F80" i="9"/>
  <c r="P80" i="7"/>
  <c r="AJ81" i="5" l="1"/>
  <c r="BK81" i="1"/>
  <c r="V81" i="10"/>
  <c r="AC81" i="7"/>
  <c r="AN81" i="8"/>
  <c r="C80"/>
  <c r="AS81"/>
  <c r="AO81" i="1"/>
  <c r="BL81"/>
  <c r="Y80" i="2"/>
  <c r="X80" s="1"/>
  <c r="AB81" i="7" l="1"/>
  <c r="BD81" i="8"/>
  <c r="B81"/>
  <c r="D81" i="2" s="1"/>
  <c r="L81"/>
  <c r="E81"/>
  <c r="H81" i="11"/>
  <c r="U81" i="2" l="1"/>
  <c r="W80" s="1"/>
  <c r="C81" s="1"/>
  <c r="R81" i="8" l="1"/>
  <c r="S81" s="1"/>
  <c r="I81" i="2" l="1"/>
  <c r="I81" i="11" s="1"/>
  <c r="H81" i="2"/>
  <c r="F81"/>
  <c r="AP81" i="1" s="1"/>
  <c r="T81" s="1"/>
  <c r="F81"/>
  <c r="V81" i="8"/>
  <c r="U81"/>
  <c r="G81" i="2" l="1"/>
  <c r="Z81" s="1"/>
  <c r="Z82" i="8" s="1"/>
  <c r="J81" i="11"/>
  <c r="P81" i="7" s="1"/>
  <c r="AA81" i="1"/>
  <c r="S81" s="1"/>
  <c r="H82" s="1"/>
  <c r="C82" i="11" s="1"/>
  <c r="O81" i="7"/>
  <c r="I82" i="1"/>
  <c r="C81" i="8" l="1"/>
  <c r="F81" i="9"/>
  <c r="BK82" i="1"/>
  <c r="V82" i="10"/>
  <c r="AC82" i="7"/>
  <c r="AN82" i="8"/>
  <c r="AJ82" i="5"/>
  <c r="AS82" i="8"/>
  <c r="AO82" i="1"/>
  <c r="BL82"/>
  <c r="Y81" i="2"/>
  <c r="X81" s="1"/>
  <c r="AB82" i="7" l="1"/>
  <c r="BD82" i="8"/>
  <c r="H82" i="11"/>
  <c r="L82" i="2"/>
  <c r="E82"/>
  <c r="B82" i="8"/>
  <c r="D82" i="2" s="1"/>
  <c r="U82" l="1"/>
  <c r="W81" s="1"/>
  <c r="C82" s="1"/>
  <c r="R82" i="8" l="1"/>
  <c r="S82" s="1"/>
  <c r="F82" i="1" l="1"/>
  <c r="H82" i="2"/>
  <c r="I82"/>
  <c r="I82" i="11" s="1"/>
  <c r="F82" i="2"/>
  <c r="AP82" i="1" s="1"/>
  <c r="T82" s="1"/>
  <c r="U82" i="8"/>
  <c r="V82"/>
  <c r="AA82" i="1" l="1"/>
  <c r="S82" s="1"/>
  <c r="H83" s="1"/>
  <c r="BK83" s="1"/>
  <c r="J82" i="11"/>
  <c r="P82" i="7" s="1"/>
  <c r="G82" i="2"/>
  <c r="Z82" s="1"/>
  <c r="Z83" i="8" s="1"/>
  <c r="O82" i="7"/>
  <c r="I83" i="1"/>
  <c r="AC83" i="7" l="1"/>
  <c r="V83" i="10"/>
  <c r="C83" i="11"/>
  <c r="AJ83" i="5"/>
  <c r="AN83" i="8"/>
  <c r="F82" i="9"/>
  <c r="C82" i="8"/>
  <c r="AS83"/>
  <c r="AO83" i="1"/>
  <c r="BL83"/>
  <c r="Y82" i="2"/>
  <c r="X82" s="1"/>
  <c r="B83" i="8" l="1"/>
  <c r="D83" i="2" s="1"/>
  <c r="H83" i="11"/>
  <c r="E83" i="2"/>
  <c r="BD83" i="8"/>
  <c r="L83" i="2"/>
  <c r="AB83" i="7"/>
  <c r="U83" i="2" l="1"/>
  <c r="W82" s="1"/>
  <c r="C83" s="1"/>
  <c r="R83" i="8" l="1"/>
  <c r="S83" s="1"/>
  <c r="I83" i="2"/>
  <c r="F83" i="1" l="1"/>
  <c r="H83" i="2"/>
  <c r="F83"/>
  <c r="G83" s="1"/>
  <c r="Z83" s="1"/>
  <c r="Z84" i="8" s="1"/>
  <c r="AA83" i="1"/>
  <c r="S83" s="1"/>
  <c r="H84" s="1"/>
  <c r="I83" i="11"/>
  <c r="O83" i="7"/>
  <c r="U83" i="8"/>
  <c r="V83"/>
  <c r="AP83" i="1" l="1"/>
  <c r="T83" s="1"/>
  <c r="I84" s="1"/>
  <c r="AO84" s="1"/>
  <c r="J83" i="11"/>
  <c r="F83" i="9" s="1"/>
  <c r="AN84" i="8"/>
  <c r="V84" i="10"/>
  <c r="BK84" i="1"/>
  <c r="AC84" i="7"/>
  <c r="C84" i="11"/>
  <c r="AJ84" i="5"/>
  <c r="C83" i="8"/>
  <c r="P83" i="7" l="1"/>
  <c r="AS84" i="8"/>
  <c r="BL84" i="1"/>
  <c r="Y83" i="2"/>
  <c r="X83" s="1"/>
  <c r="L84" l="1"/>
  <c r="B84" i="8"/>
  <c r="D84" i="2" s="1"/>
  <c r="BD84" i="8"/>
  <c r="H84" i="11"/>
  <c r="AB84" i="7"/>
  <c r="E84" i="2"/>
  <c r="U84" l="1"/>
  <c r="W83" s="1"/>
  <c r="C84" s="1"/>
  <c r="R84" i="8" l="1"/>
  <c r="S84" s="1"/>
  <c r="H84" i="2"/>
  <c r="F84" i="1" l="1"/>
  <c r="I84" i="2"/>
  <c r="O84" i="7" s="1"/>
  <c r="F84" i="2"/>
  <c r="G84" s="1"/>
  <c r="Z84" s="1"/>
  <c r="Z85" i="8" s="1"/>
  <c r="V84"/>
  <c r="U84"/>
  <c r="AA84" i="1" l="1"/>
  <c r="S84" s="1"/>
  <c r="H85" s="1"/>
  <c r="AN85" i="8" s="1"/>
  <c r="J84" i="11"/>
  <c r="F84" i="9" s="1"/>
  <c r="AP84" i="1"/>
  <c r="T84" s="1"/>
  <c r="I85" s="1"/>
  <c r="I84" i="11"/>
  <c r="C84" i="8"/>
  <c r="BK85" i="1" l="1"/>
  <c r="AC85" i="7"/>
  <c r="AJ85" i="5"/>
  <c r="C85" i="11"/>
  <c r="V85" i="10"/>
  <c r="P84" i="7"/>
  <c r="AS85" i="8"/>
  <c r="AO85" i="1"/>
  <c r="BL85"/>
  <c r="Y84" i="2"/>
  <c r="X84" s="1"/>
  <c r="AB85" i="7" l="1"/>
  <c r="B85" i="8"/>
  <c r="D85" i="2" s="1"/>
  <c r="H85" i="11"/>
  <c r="BD85" i="8"/>
  <c r="L85" i="2"/>
  <c r="E85"/>
  <c r="U85" l="1"/>
  <c r="W84" s="1"/>
  <c r="C85" s="1"/>
  <c r="R85" i="8" l="1"/>
  <c r="S85" s="1"/>
  <c r="I85" i="2" l="1"/>
  <c r="I85" i="11" s="1"/>
  <c r="H85" i="2"/>
  <c r="F85" i="1"/>
  <c r="F85" i="2"/>
  <c r="J85" i="11" s="1"/>
  <c r="U85" i="8"/>
  <c r="V85"/>
  <c r="AP85" i="1" l="1"/>
  <c r="T85" s="1"/>
  <c r="I86" s="1"/>
  <c r="G85" i="2"/>
  <c r="Z85" s="1"/>
  <c r="Z86" i="8" s="1"/>
  <c r="AA85" i="1"/>
  <c r="S85" s="1"/>
  <c r="H86" s="1"/>
  <c r="AC86" i="7" s="1"/>
  <c r="O85"/>
  <c r="F85" i="9"/>
  <c r="P85" i="7"/>
  <c r="C85" i="8" l="1"/>
  <c r="BK86" i="1"/>
  <c r="AN86" i="8"/>
  <c r="V86" i="10"/>
  <c r="AJ86" i="5"/>
  <c r="C86" i="11"/>
  <c r="AS86" i="8"/>
  <c r="AO86" i="1"/>
  <c r="BL86"/>
  <c r="Y85" i="2"/>
  <c r="X85" s="1"/>
  <c r="BD86" i="8" l="1"/>
  <c r="AB86" i="7"/>
  <c r="H86" i="11"/>
  <c r="E86" i="2"/>
  <c r="L86"/>
  <c r="B86" i="8"/>
  <c r="D86" i="2" s="1"/>
  <c r="U86" l="1"/>
  <c r="W85" s="1"/>
  <c r="C86" s="1"/>
  <c r="R86" i="8" l="1"/>
  <c r="S86" s="1"/>
  <c r="F86" i="1" l="1"/>
  <c r="F86" i="2"/>
  <c r="G86" s="1"/>
  <c r="Z86" s="1"/>
  <c r="Z87" i="8" s="1"/>
  <c r="I86" i="2"/>
  <c r="I86" i="11" s="1"/>
  <c r="H86" i="2"/>
  <c r="U86" i="8"/>
  <c r="V86"/>
  <c r="J86" i="11" l="1"/>
  <c r="P86" i="7" s="1"/>
  <c r="AA86" i="1"/>
  <c r="S86" s="1"/>
  <c r="H87" s="1"/>
  <c r="AJ87" i="5" s="1"/>
  <c r="O86" i="7"/>
  <c r="AP86" i="1"/>
  <c r="T86" s="1"/>
  <c r="I87" s="1"/>
  <c r="C86" i="8"/>
  <c r="C87" i="11" l="1"/>
  <c r="V87" i="10"/>
  <c r="AN87" i="8"/>
  <c r="BK87" i="1"/>
  <c r="AC87" i="7"/>
  <c r="F86" i="9"/>
  <c r="AS87" i="8"/>
  <c r="AO87" i="1"/>
  <c r="BL87"/>
  <c r="Y86" i="2"/>
  <c r="X86" s="1"/>
  <c r="H87" i="11" l="1"/>
  <c r="E87" i="2"/>
  <c r="AB87" i="7"/>
  <c r="L87" i="2"/>
  <c r="BD87" i="8"/>
  <c r="B87"/>
  <c r="D87" i="2" s="1"/>
  <c r="U87" l="1"/>
  <c r="W86" s="1"/>
  <c r="C87" s="1"/>
  <c r="R87" i="8" l="1"/>
  <c r="S87" s="1"/>
  <c r="I87" i="2"/>
  <c r="F87" l="1"/>
  <c r="G87" s="1"/>
  <c r="Z87" s="1"/>
  <c r="Z88" i="8" s="1"/>
  <c r="F87" i="1"/>
  <c r="H87" i="2"/>
  <c r="O87" i="7"/>
  <c r="I87" i="11"/>
  <c r="AA87" i="1"/>
  <c r="S87" s="1"/>
  <c r="H88" s="1"/>
  <c r="V87" i="8"/>
  <c r="U87"/>
  <c r="J87" i="11" l="1"/>
  <c r="P87" i="7" s="1"/>
  <c r="AP87" i="1"/>
  <c r="T87" s="1"/>
  <c r="I88" s="1"/>
  <c r="AO88" s="1"/>
  <c r="AJ88" i="5"/>
  <c r="BK88" i="1"/>
  <c r="V88" i="10"/>
  <c r="AN88" i="8"/>
  <c r="C88" i="11"/>
  <c r="AC88" i="7"/>
  <c r="C87" i="8"/>
  <c r="F87" i="9" l="1"/>
  <c r="AS88" i="8"/>
  <c r="BL88" i="1"/>
  <c r="Y87" i="2"/>
  <c r="X87" s="1"/>
  <c r="E88" l="1"/>
  <c r="BD88" i="8"/>
  <c r="B88"/>
  <c r="D88" i="2" s="1"/>
  <c r="H88" i="11"/>
  <c r="AB88" i="7"/>
  <c r="L88" i="2"/>
  <c r="U88" l="1"/>
  <c r="W87" s="1"/>
  <c r="C88" s="1"/>
  <c r="R88" i="8" l="1"/>
  <c r="S88" s="1"/>
  <c r="I88" i="2"/>
  <c r="F88" i="1" l="1"/>
  <c r="F88" i="2"/>
  <c r="J88" i="11" s="1"/>
  <c r="H88" i="2"/>
  <c r="U88" i="8"/>
  <c r="V88"/>
  <c r="O88" i="7"/>
  <c r="I88" i="11"/>
  <c r="AA88" i="1"/>
  <c r="S88" s="1"/>
  <c r="H89" s="1"/>
  <c r="G88" i="2" l="1"/>
  <c r="Z88" s="1"/>
  <c r="Z89" i="8" s="1"/>
  <c r="AP88" i="1"/>
  <c r="T88" s="1"/>
  <c r="I89" s="1"/>
  <c r="AO89" s="1"/>
  <c r="F88" i="9"/>
  <c r="P88" i="7"/>
  <c r="V89" i="10"/>
  <c r="AJ89" i="5"/>
  <c r="BK89" i="1"/>
  <c r="AN89" i="8"/>
  <c r="AC89" i="7"/>
  <c r="C89" i="11"/>
  <c r="C88" i="8" l="1"/>
  <c r="AS89"/>
  <c r="BL89" i="1"/>
  <c r="Y88" i="2"/>
  <c r="X88" s="1"/>
  <c r="H89" i="11" l="1"/>
  <c r="L89" i="2"/>
  <c r="E89"/>
  <c r="AB89" i="7"/>
  <c r="BD89" i="8"/>
  <c r="B89"/>
  <c r="D89" i="2" s="1"/>
  <c r="U89" l="1"/>
  <c r="W88" s="1"/>
  <c r="C89" s="1"/>
  <c r="R89" i="8" l="1"/>
  <c r="S89" s="1"/>
  <c r="H89" i="2" l="1"/>
  <c r="F89" i="1"/>
  <c r="F89" i="2"/>
  <c r="G89" s="1"/>
  <c r="Z89" s="1"/>
  <c r="Z90" i="8" s="1"/>
  <c r="I89" i="2"/>
  <c r="AA89" i="1" s="1"/>
  <c r="S89" s="1"/>
  <c r="H90" s="1"/>
  <c r="C90" i="11" s="1"/>
  <c r="V89" i="8"/>
  <c r="U89"/>
  <c r="I89" i="11" l="1"/>
  <c r="AP89" i="1"/>
  <c r="T89" s="1"/>
  <c r="I90" s="1"/>
  <c r="O89" i="7"/>
  <c r="V90" i="10"/>
  <c r="AN90" i="8"/>
  <c r="AJ90" i="5"/>
  <c r="J89" i="11"/>
  <c r="P89" i="7" s="1"/>
  <c r="AC90"/>
  <c r="BK90" i="1"/>
  <c r="C89" i="8"/>
  <c r="F89" i="9" l="1"/>
  <c r="AS90" i="8"/>
  <c r="AO90" i="1"/>
  <c r="BL90"/>
  <c r="Y89" i="2"/>
  <c r="X89" s="1"/>
  <c r="L90" l="1"/>
  <c r="E90"/>
  <c r="H90" i="11"/>
  <c r="B90" i="8"/>
  <c r="D90" i="2" s="1"/>
  <c r="AB90" i="7"/>
  <c r="BD90" i="8"/>
  <c r="U90" i="2" l="1"/>
  <c r="W89" s="1"/>
  <c r="C90" s="1"/>
  <c r="R90" i="8" l="1"/>
  <c r="S90" s="1"/>
  <c r="F90" i="1"/>
  <c r="I90" i="2" l="1"/>
  <c r="I90" i="11" s="1"/>
  <c r="H90" i="2"/>
  <c r="F90"/>
  <c r="G90" s="1"/>
  <c r="Z90" s="1"/>
  <c r="Z91" i="8" s="1"/>
  <c r="U90"/>
  <c r="V90"/>
  <c r="AP90" i="1" l="1"/>
  <c r="T90" s="1"/>
  <c r="I91" s="1"/>
  <c r="J90" i="11"/>
  <c r="F90" i="9" s="1"/>
  <c r="AA90" i="1"/>
  <c r="S90" s="1"/>
  <c r="H91" s="1"/>
  <c r="AN91" i="8" s="1"/>
  <c r="O90" i="7"/>
  <c r="C90" i="8"/>
  <c r="P90" i="7" l="1"/>
  <c r="AJ91" i="5"/>
  <c r="C91" i="11"/>
  <c r="V91" i="10"/>
  <c r="AC91" i="7"/>
  <c r="BK91" i="1"/>
  <c r="BL91"/>
  <c r="AO91"/>
  <c r="AS91" i="8"/>
  <c r="Y90" i="2"/>
  <c r="X90" s="1"/>
  <c r="L91" l="1"/>
  <c r="E91"/>
  <c r="AB91" i="7"/>
  <c r="BD91" i="8"/>
  <c r="H91" i="11"/>
  <c r="B91" i="8"/>
  <c r="D91" i="2" s="1"/>
  <c r="U91" l="1"/>
  <c r="W90" s="1"/>
  <c r="C91" s="1"/>
  <c r="R91" i="8" l="1"/>
  <c r="S91" s="1"/>
  <c r="F91" i="1" l="1"/>
  <c r="I91" i="2"/>
  <c r="AA91" i="1" s="1"/>
  <c r="S91" s="1"/>
  <c r="H92" s="1"/>
  <c r="H91" i="2"/>
  <c r="F91"/>
  <c r="J91" i="11" s="1"/>
  <c r="V91" i="8"/>
  <c r="U91"/>
  <c r="AP91" i="1" l="1"/>
  <c r="T91" s="1"/>
  <c r="I92" s="1"/>
  <c r="G91" i="2"/>
  <c r="Z91" s="1"/>
  <c r="Z92" i="8" s="1"/>
  <c r="O91" i="7"/>
  <c r="I91" i="11"/>
  <c r="F91" i="9"/>
  <c r="P91" i="7"/>
  <c r="AN92" i="8"/>
  <c r="C92" i="11"/>
  <c r="BK92" i="1"/>
  <c r="AJ92" i="5"/>
  <c r="AC92" i="7"/>
  <c r="V92" i="10"/>
  <c r="C91" i="8" l="1"/>
  <c r="AS92"/>
  <c r="AO92" i="1"/>
  <c r="BL92"/>
  <c r="Y91" i="2"/>
  <c r="X91" s="1"/>
  <c r="B92" i="8" l="1"/>
  <c r="D92" i="2" s="1"/>
  <c r="L92"/>
  <c r="E92"/>
  <c r="BD92" i="8"/>
  <c r="H92" i="11"/>
  <c r="AB92" i="7"/>
  <c r="U92" i="2" l="1"/>
  <c r="W91" s="1"/>
  <c r="C92" s="1"/>
  <c r="R92" i="8" l="1"/>
  <c r="S92" s="1"/>
  <c r="I92" i="2" l="1"/>
  <c r="AA92" i="1" s="1"/>
  <c r="S92" s="1"/>
  <c r="H93" s="1"/>
  <c r="V93" i="10" s="1"/>
  <c r="F92" i="2"/>
  <c r="J92" i="11" s="1"/>
  <c r="H92" i="2"/>
  <c r="F92" i="1"/>
  <c r="U92" i="8"/>
  <c r="V92"/>
  <c r="AP92" i="1" l="1"/>
  <c r="T92" s="1"/>
  <c r="I93" s="1"/>
  <c r="AO93" s="1"/>
  <c r="G92" i="2"/>
  <c r="Z92" s="1"/>
  <c r="Z93" i="8" s="1"/>
  <c r="AC93" i="7"/>
  <c r="AN93" i="8"/>
  <c r="C93" i="11"/>
  <c r="AJ93" i="5"/>
  <c r="O92" i="7"/>
  <c r="BK93" i="1"/>
  <c r="I92" i="11"/>
  <c r="F92" i="9"/>
  <c r="P92" i="7"/>
  <c r="C92" i="8" l="1"/>
  <c r="AS93"/>
  <c r="BL93" i="1"/>
  <c r="Y92" i="2"/>
  <c r="X92" s="1"/>
  <c r="AB93" i="7" l="1"/>
  <c r="B93" i="8"/>
  <c r="D93" i="2" s="1"/>
  <c r="BD93" i="8"/>
  <c r="E93" i="2"/>
  <c r="L93"/>
  <c r="H93" i="11"/>
  <c r="U93" i="2" l="1"/>
  <c r="W92" s="1"/>
  <c r="C93" s="1"/>
  <c r="R93" i="8" l="1"/>
  <c r="S93" s="1"/>
  <c r="F93" i="2"/>
  <c r="H93" l="1"/>
  <c r="F93" i="1"/>
  <c r="I93" i="2"/>
  <c r="AA93" i="1" s="1"/>
  <c r="S93" s="1"/>
  <c r="H94" s="1"/>
  <c r="BK94" s="1"/>
  <c r="J93" i="11"/>
  <c r="AP93" i="1"/>
  <c r="T93" s="1"/>
  <c r="G93" i="2"/>
  <c r="Z93" s="1"/>
  <c r="Z94" i="8" s="1"/>
  <c r="V93"/>
  <c r="U93"/>
  <c r="V94" i="10" l="1"/>
  <c r="AJ94" i="5"/>
  <c r="AN94" i="8"/>
  <c r="C94" i="11"/>
  <c r="O93" i="7"/>
  <c r="AC94"/>
  <c r="I93" i="11"/>
  <c r="I94" i="1"/>
  <c r="AO94" s="1"/>
  <c r="C93" i="8"/>
  <c r="F93" i="9"/>
  <c r="P93" i="7"/>
  <c r="AS94" i="8" l="1"/>
  <c r="BL94" i="1"/>
  <c r="Y93" i="2"/>
  <c r="X93" s="1"/>
  <c r="AB94" i="7" l="1"/>
  <c r="BD94" i="8"/>
  <c r="L94" i="2"/>
  <c r="H94" i="11"/>
  <c r="B94" i="8"/>
  <c r="D94" i="2" s="1"/>
  <c r="E94"/>
  <c r="U94" l="1"/>
  <c r="W93" s="1"/>
  <c r="C94" s="1"/>
  <c r="R94" i="8" l="1"/>
  <c r="S94" s="1"/>
  <c r="I94" i="2" l="1"/>
  <c r="I94" i="11" s="1"/>
  <c r="H94" i="2"/>
  <c r="F94"/>
  <c r="J94" i="11" s="1"/>
  <c r="F94" i="1"/>
  <c r="U94" i="8"/>
  <c r="V94"/>
  <c r="G94" i="2" l="1"/>
  <c r="Z94" s="1"/>
  <c r="Z95" i="8" s="1"/>
  <c r="AP94" i="1"/>
  <c r="T94" s="1"/>
  <c r="I95" s="1"/>
  <c r="AA94"/>
  <c r="S94" s="1"/>
  <c r="H95" s="1"/>
  <c r="V95" i="10" s="1"/>
  <c r="O94" i="7"/>
  <c r="P94"/>
  <c r="F94" i="9"/>
  <c r="C94" i="8" l="1"/>
  <c r="AC95" i="7"/>
  <c r="BK95" i="1"/>
  <c r="C95" i="11"/>
  <c r="AN95" i="8"/>
  <c r="AJ95" i="5"/>
  <c r="AS95" i="8"/>
  <c r="AO95" i="1"/>
  <c r="BL95"/>
  <c r="Y94" i="2"/>
  <c r="X94" s="1"/>
  <c r="L95" l="1"/>
  <c r="E95"/>
  <c r="H95" i="11"/>
  <c r="AB95" i="7"/>
  <c r="B95" i="8"/>
  <c r="D95" i="2" s="1"/>
  <c r="BD95" i="8"/>
  <c r="U95" i="2" l="1"/>
  <c r="W94" s="1"/>
  <c r="C95" s="1"/>
  <c r="R95" i="8" l="1"/>
  <c r="S95" s="1"/>
  <c r="F95" i="2"/>
  <c r="F95" i="1" l="1"/>
  <c r="I95" i="2"/>
  <c r="AA95" i="1" s="1"/>
  <c r="S95" s="1"/>
  <c r="H96" s="1"/>
  <c r="AC96" i="7" s="1"/>
  <c r="H95" i="2"/>
  <c r="U95" i="8"/>
  <c r="V95"/>
  <c r="AP95" i="1"/>
  <c r="T95" s="1"/>
  <c r="J95" i="11"/>
  <c r="G95" i="2"/>
  <c r="Z95" s="1"/>
  <c r="Z96" i="8" s="1"/>
  <c r="O95" i="7" l="1"/>
  <c r="AN96" i="8"/>
  <c r="I95" i="11"/>
  <c r="AJ96" i="5"/>
  <c r="BK96" i="1"/>
  <c r="V96" i="10"/>
  <c r="C96" i="11"/>
  <c r="I96" i="1"/>
  <c r="P95" i="7"/>
  <c r="F95" i="9"/>
  <c r="C95" i="8"/>
  <c r="AS96" l="1"/>
  <c r="AO96" i="1"/>
  <c r="BL96"/>
  <c r="Y95" i="2"/>
  <c r="X95" s="1"/>
  <c r="B96" i="8" l="1"/>
  <c r="D96" i="2" s="1"/>
  <c r="BD96" i="8"/>
  <c r="E96" i="2"/>
  <c r="L96"/>
  <c r="H96" i="11"/>
  <c r="AB96" i="7"/>
  <c r="U96" i="2" l="1"/>
  <c r="W95" s="1"/>
  <c r="C96" s="1"/>
  <c r="R96" i="8" l="1"/>
  <c r="S96" s="1"/>
  <c r="H96" i="2" l="1"/>
  <c r="F96"/>
  <c r="J96" i="11" s="1"/>
  <c r="I96" i="2"/>
  <c r="AA96" i="1" s="1"/>
  <c r="S96" s="1"/>
  <c r="H97" s="1"/>
  <c r="AC97" i="7" s="1"/>
  <c r="F96" i="1"/>
  <c r="U96" i="8"/>
  <c r="V96"/>
  <c r="AP96" i="1" l="1"/>
  <c r="T96" s="1"/>
  <c r="I97" s="1"/>
  <c r="AO97" s="1"/>
  <c r="G96" i="2"/>
  <c r="Z96" s="1"/>
  <c r="Z97" i="8" s="1"/>
  <c r="AJ97" i="5"/>
  <c r="O96" i="7"/>
  <c r="V97" i="10"/>
  <c r="C97" i="11"/>
  <c r="I96"/>
  <c r="AN97" i="8"/>
  <c r="BK97" i="1"/>
  <c r="P96" i="7"/>
  <c r="F96" i="9"/>
  <c r="C96" i="8" l="1"/>
  <c r="BL97" i="1"/>
  <c r="AS97" i="8"/>
  <c r="Y96" i="2"/>
  <c r="X96" s="1"/>
  <c r="B97" i="8" l="1"/>
  <c r="D97" i="2" s="1"/>
  <c r="AB97" i="7"/>
  <c r="L97" i="2"/>
  <c r="H97" i="11"/>
  <c r="BD97" i="8"/>
  <c r="E97" i="2"/>
  <c r="U97" l="1"/>
  <c r="W96" s="1"/>
  <c r="C97" s="1"/>
  <c r="R97" i="8" l="1"/>
  <c r="S97" s="1"/>
  <c r="I97" i="2" l="1"/>
  <c r="O97" i="7" s="1"/>
  <c r="F97" i="2"/>
  <c r="J97" i="11" s="1"/>
  <c r="F97" i="1"/>
  <c r="H97" i="2"/>
  <c r="V97" i="8"/>
  <c r="U97"/>
  <c r="AP97" i="1" l="1"/>
  <c r="T97" s="1"/>
  <c r="I98" s="1"/>
  <c r="G97" i="2"/>
  <c r="Z97" s="1"/>
  <c r="Z98" i="8" s="1"/>
  <c r="AA97" i="1"/>
  <c r="S97" s="1"/>
  <c r="H98" s="1"/>
  <c r="AC98" i="7" s="1"/>
  <c r="I97" i="11"/>
  <c r="F97" i="9"/>
  <c r="P97" i="7"/>
  <c r="C97" i="8" l="1"/>
  <c r="AJ98" i="5"/>
  <c r="BK98" i="1"/>
  <c r="C98" i="11"/>
  <c r="V98" i="10"/>
  <c r="AN98" i="8"/>
  <c r="AS98"/>
  <c r="AO98" i="1"/>
  <c r="BL98"/>
  <c r="Y97" i="2"/>
  <c r="X97" s="1"/>
  <c r="H98" i="11" l="1"/>
  <c r="B98" i="8"/>
  <c r="D98" i="2" s="1"/>
  <c r="AB98" i="7"/>
  <c r="BD98" i="8"/>
  <c r="L98" i="2"/>
  <c r="E98"/>
  <c r="U98" l="1"/>
  <c r="W97" s="1"/>
  <c r="C98" s="1"/>
  <c r="R98" i="8" l="1"/>
  <c r="S98" s="1"/>
  <c r="F98" i="1" l="1"/>
  <c r="I98" i="2"/>
  <c r="O98" i="7" s="1"/>
  <c r="H98" i="2"/>
  <c r="F98"/>
  <c r="J98" i="11" s="1"/>
  <c r="V98" i="8"/>
  <c r="U98"/>
  <c r="G98" i="2" l="1"/>
  <c r="Z98" s="1"/>
  <c r="Z99" i="8" s="1"/>
  <c r="AP98" i="1"/>
  <c r="T98" s="1"/>
  <c r="I99" s="1"/>
  <c r="AO99" s="1"/>
  <c r="AA98"/>
  <c r="S98" s="1"/>
  <c r="H99" s="1"/>
  <c r="AC99" i="7" s="1"/>
  <c r="I98" i="11"/>
  <c r="F98" i="9"/>
  <c r="P98" i="7"/>
  <c r="C98" i="8" l="1"/>
  <c r="C99" i="11"/>
  <c r="AJ99" i="5"/>
  <c r="V99" i="10"/>
  <c r="BK99" i="1"/>
  <c r="AN99" i="8"/>
  <c r="AS99"/>
  <c r="BL99" i="1"/>
  <c r="Y98" i="2"/>
  <c r="X98" s="1"/>
  <c r="E99" l="1"/>
  <c r="H99" i="11"/>
  <c r="AB99" i="7"/>
  <c r="B99" i="8"/>
  <c r="D99" i="2" s="1"/>
  <c r="L99"/>
  <c r="BD99" i="8"/>
  <c r="U99" i="2" l="1"/>
  <c r="W98" s="1"/>
  <c r="C99" s="1"/>
  <c r="R99" i="8" l="1"/>
  <c r="S99" s="1"/>
  <c r="F99" i="1" l="1"/>
  <c r="F99" i="2"/>
  <c r="AP99" i="1" s="1"/>
  <c r="T99" s="1"/>
  <c r="H99" i="2"/>
  <c r="I99"/>
  <c r="I99" i="11" s="1"/>
  <c r="V99" i="8"/>
  <c r="U99"/>
  <c r="O99" i="7" l="1"/>
  <c r="AA99" i="1"/>
  <c r="S99" s="1"/>
  <c r="H100" s="1"/>
  <c r="AC100" i="7" s="1"/>
  <c r="J99" i="11"/>
  <c r="F99" i="9" s="1"/>
  <c r="G99" i="2"/>
  <c r="Z99" s="1"/>
  <c r="Z100" i="8" s="1"/>
  <c r="I100" i="1"/>
  <c r="AO100" s="1"/>
  <c r="BK100" l="1"/>
  <c r="AJ100" i="5"/>
  <c r="AN100" i="8"/>
  <c r="V100" i="10"/>
  <c r="C100" i="11"/>
  <c r="P99" i="7"/>
  <c r="C99" i="8"/>
  <c r="AS100"/>
  <c r="BL100" i="1"/>
  <c r="Y99" i="2"/>
  <c r="X99" s="1"/>
  <c r="BD100" i="8" l="1"/>
  <c r="L100" i="2"/>
  <c r="E100"/>
  <c r="AB100" i="7"/>
  <c r="H100" i="11"/>
  <c r="B100" i="8"/>
  <c r="D100" i="2" s="1"/>
  <c r="U100" l="1"/>
  <c r="W99" s="1"/>
  <c r="C100" s="1"/>
  <c r="R100" i="8" l="1"/>
  <c r="S100" s="1"/>
  <c r="F100" i="1"/>
  <c r="I100" i="2" l="1"/>
  <c r="O100" i="7" s="1"/>
  <c r="H100" i="2"/>
  <c r="F100"/>
  <c r="J100" i="11" s="1"/>
  <c r="V100" i="8"/>
  <c r="U100"/>
  <c r="G100" i="2" l="1"/>
  <c r="Z100" s="1"/>
  <c r="Z101" i="8" s="1"/>
  <c r="AA100" i="1"/>
  <c r="S100" s="1"/>
  <c r="H101" s="1"/>
  <c r="AJ101" i="5" s="1"/>
  <c r="AP100" i="1"/>
  <c r="T100" s="1"/>
  <c r="I101" s="1"/>
  <c r="I100" i="11"/>
  <c r="F100" i="9"/>
  <c r="P100" i="7"/>
  <c r="C100" i="8" l="1"/>
  <c r="V101" i="10"/>
  <c r="AC101" i="7"/>
  <c r="C101" i="11"/>
  <c r="AN101" i="8"/>
  <c r="BK101" i="1"/>
  <c r="AS101" i="8"/>
  <c r="AO101" i="1"/>
  <c r="BL101"/>
  <c r="Y100" i="2"/>
  <c r="X100" s="1"/>
  <c r="BD101" i="8" l="1"/>
  <c r="B101"/>
  <c r="D101" i="2" s="1"/>
  <c r="E101"/>
  <c r="AB101" i="7"/>
  <c r="H101" i="11"/>
  <c r="L101" i="2"/>
  <c r="U101" l="1"/>
  <c r="W100" s="1"/>
  <c r="C101" s="1"/>
  <c r="R101" i="8" l="1"/>
  <c r="S101" s="1"/>
  <c r="I101" i="2" l="1"/>
  <c r="O101" i="7" s="1"/>
  <c r="F101" i="2"/>
  <c r="AP101" i="1" s="1"/>
  <c r="T101" s="1"/>
  <c r="H101" i="2"/>
  <c r="F101" i="1"/>
  <c r="V101" i="8"/>
  <c r="U101"/>
  <c r="AA101" i="1" l="1"/>
  <c r="S101" s="1"/>
  <c r="H102" s="1"/>
  <c r="BK102" s="1"/>
  <c r="J101" i="11"/>
  <c r="F101" i="9" s="1"/>
  <c r="G101" i="2"/>
  <c r="Z101" s="1"/>
  <c r="Z102" i="8" s="1"/>
  <c r="I101" i="11"/>
  <c r="I102" i="1"/>
  <c r="AO102" s="1"/>
  <c r="AJ102" i="5" l="1"/>
  <c r="AN102" i="8"/>
  <c r="V102" i="10"/>
  <c r="AC102" i="7"/>
  <c r="C102" i="11"/>
  <c r="P101" i="7"/>
  <c r="C101" i="8"/>
  <c r="AS102"/>
  <c r="BL102" i="1"/>
  <c r="Y101" i="2"/>
  <c r="X101" s="1"/>
  <c r="AB102" i="7" l="1"/>
  <c r="B102" i="8"/>
  <c r="D102" i="2" s="1"/>
  <c r="BD102" i="8"/>
  <c r="H102" i="11"/>
  <c r="E102" i="2"/>
  <c r="L102"/>
  <c r="U102" l="1"/>
  <c r="W101" s="1"/>
  <c r="C102" s="1"/>
  <c r="R102" i="8" l="1"/>
  <c r="S102" s="1"/>
  <c r="H102" i="2" l="1"/>
  <c r="F102"/>
  <c r="G102" s="1"/>
  <c r="Z102" s="1"/>
  <c r="Z103" i="8" s="1"/>
  <c r="F102" i="1"/>
  <c r="I102" i="2"/>
  <c r="AA102" i="1" s="1"/>
  <c r="S102" s="1"/>
  <c r="H103" s="1"/>
  <c r="BK103" s="1"/>
  <c r="U102" i="8"/>
  <c r="V102"/>
  <c r="I102" i="11" l="1"/>
  <c r="O102" i="7"/>
  <c r="AN103" i="8"/>
  <c r="C103" i="11"/>
  <c r="AJ103" i="5"/>
  <c r="AC103" i="7"/>
  <c r="J102" i="11"/>
  <c r="F102" i="9" s="1"/>
  <c r="AP102" i="1"/>
  <c r="T102" s="1"/>
  <c r="I103" s="1"/>
  <c r="AO103" s="1"/>
  <c r="V103" i="10"/>
  <c r="C102" i="8"/>
  <c r="P102" i="7" l="1"/>
  <c r="AS103" i="8"/>
  <c r="BL103" i="1"/>
  <c r="Y102" i="2"/>
  <c r="X102" s="1"/>
  <c r="H103" i="11" l="1"/>
  <c r="AB103" i="7"/>
  <c r="B103" i="8"/>
  <c r="D103" i="2" s="1"/>
  <c r="L103"/>
  <c r="E103"/>
  <c r="BD103" i="8"/>
  <c r="U103" i="2" l="1"/>
  <c r="W102" s="1"/>
  <c r="C103" s="1"/>
  <c r="R103" i="8" l="1"/>
  <c r="S103" s="1"/>
  <c r="I103" i="2" l="1"/>
  <c r="O103" i="7" s="1"/>
  <c r="H103" i="2"/>
  <c r="F103"/>
  <c r="J103" i="11" s="1"/>
  <c r="F103" i="1"/>
  <c r="U103" i="8"/>
  <c r="V103"/>
  <c r="G103" i="2" l="1"/>
  <c r="Z103" s="1"/>
  <c r="Z104" i="8" s="1"/>
  <c r="AP103" i="1"/>
  <c r="T103" s="1"/>
  <c r="I104" s="1"/>
  <c r="AA103"/>
  <c r="S103" s="1"/>
  <c r="H104" s="1"/>
  <c r="AJ104" i="5" s="1"/>
  <c r="I103" i="11"/>
  <c r="P103" i="7"/>
  <c r="F103" i="9"/>
  <c r="C103" i="8" l="1"/>
  <c r="AC104" i="7"/>
  <c r="V104" i="10"/>
  <c r="C104" i="11"/>
  <c r="AN104" i="8"/>
  <c r="BK104" i="1"/>
  <c r="AS104" i="8"/>
  <c r="AO104" i="1"/>
  <c r="BL104"/>
  <c r="Y103" i="2"/>
  <c r="X103" s="1"/>
  <c r="BD104" i="8" l="1"/>
  <c r="L104" i="2"/>
  <c r="H104" i="11"/>
  <c r="B104" i="8"/>
  <c r="D104" i="2" s="1"/>
  <c r="E104"/>
  <c r="AB104" i="7"/>
  <c r="U104" i="2" l="1"/>
  <c r="W103" s="1"/>
  <c r="C104" s="1"/>
  <c r="R104" i="8" l="1"/>
  <c r="S104" s="1"/>
  <c r="F104" i="2" l="1"/>
  <c r="G104" s="1"/>
  <c r="Z104" s="1"/>
  <c r="Z105" i="8" s="1"/>
  <c r="F104" i="1"/>
  <c r="I104" i="2"/>
  <c r="AA104" i="1" s="1"/>
  <c r="S104" s="1"/>
  <c r="H105" s="1"/>
  <c r="H104" i="2"/>
  <c r="V104" i="8"/>
  <c r="U104"/>
  <c r="I104" i="11" l="1"/>
  <c r="O104" i="7"/>
  <c r="AP104" i="1"/>
  <c r="T104" s="1"/>
  <c r="I105" s="1"/>
  <c r="J104" i="11"/>
  <c r="F104" i="9" s="1"/>
  <c r="C104" i="8"/>
  <c r="AJ105" i="5"/>
  <c r="BK105" i="1"/>
  <c r="AN105" i="8"/>
  <c r="AC105" i="7"/>
  <c r="C105" i="11"/>
  <c r="V105" i="10"/>
  <c r="P104" i="7" l="1"/>
  <c r="AS105" i="8"/>
  <c r="AO105" i="1"/>
  <c r="BL105"/>
  <c r="Y104" i="2"/>
  <c r="X104" s="1"/>
  <c r="L105" l="1"/>
  <c r="BD105" i="8"/>
  <c r="H105" i="11"/>
  <c r="AB105" i="7"/>
  <c r="E105" i="2"/>
  <c r="B105" i="8"/>
  <c r="D105" i="2" s="1"/>
  <c r="U105" l="1"/>
  <c r="W104" s="1"/>
  <c r="C105" s="1"/>
  <c r="R105" i="8" l="1"/>
  <c r="S105" s="1"/>
  <c r="F105" i="1"/>
  <c r="H105" i="2" l="1"/>
  <c r="I105"/>
  <c r="O105" i="7" s="1"/>
  <c r="F105" i="2"/>
  <c r="AP105" i="1" s="1"/>
  <c r="T105" s="1"/>
  <c r="U105" i="8"/>
  <c r="V105"/>
  <c r="G105" i="2" l="1"/>
  <c r="Z105" s="1"/>
  <c r="Z106" i="8" s="1"/>
  <c r="J105" i="11"/>
  <c r="P105" i="7" s="1"/>
  <c r="AA105" i="1"/>
  <c r="S105" s="1"/>
  <c r="H106" s="1"/>
  <c r="AJ106" i="5" s="1"/>
  <c r="I105" i="11"/>
  <c r="I106" i="1"/>
  <c r="C105" i="8" l="1"/>
  <c r="AN106"/>
  <c r="C106" i="11"/>
  <c r="F105" i="9"/>
  <c r="V106" i="10"/>
  <c r="AC106" i="7"/>
  <c r="BK106" i="1"/>
  <c r="AS106" i="8"/>
  <c r="AO106" i="1"/>
  <c r="BL106"/>
  <c r="Y105" i="2"/>
  <c r="X105" s="1"/>
  <c r="L106" l="1"/>
  <c r="H106" i="11"/>
  <c r="E106" i="2"/>
  <c r="B106" i="8"/>
  <c r="D106" i="2" s="1"/>
  <c r="AB106" i="7"/>
  <c r="BD106" i="8"/>
  <c r="U106" i="2" l="1"/>
  <c r="W105" s="1"/>
  <c r="C106" s="1"/>
  <c r="R106" i="8" l="1"/>
  <c r="S106" s="1"/>
  <c r="F106" i="1" l="1"/>
  <c r="F106" i="2"/>
  <c r="J106" i="11" s="1"/>
  <c r="H106" i="2"/>
  <c r="I106"/>
  <c r="O106" i="7" s="1"/>
  <c r="V106" i="8"/>
  <c r="U106"/>
  <c r="AA106" i="1" l="1"/>
  <c r="S106" s="1"/>
  <c r="H107" s="1"/>
  <c r="C107" i="11" s="1"/>
  <c r="I106"/>
  <c r="AP106" i="1"/>
  <c r="T106" s="1"/>
  <c r="I107" s="1"/>
  <c r="G106" i="2"/>
  <c r="Z106" s="1"/>
  <c r="Z107" i="8" s="1"/>
  <c r="P106" i="7"/>
  <c r="F106" i="9"/>
  <c r="AC107" i="7" l="1"/>
  <c r="AJ107" i="5"/>
  <c r="AN107" i="8"/>
  <c r="V107" i="10"/>
  <c r="BK107" i="1"/>
  <c r="C106" i="8"/>
  <c r="AS107"/>
  <c r="AO107" i="1"/>
  <c r="BL107"/>
  <c r="Y106" i="2"/>
  <c r="X106" s="1"/>
  <c r="L107" l="1"/>
  <c r="AB107" i="7"/>
  <c r="E107" i="2"/>
  <c r="B107" i="8"/>
  <c r="D107" i="2" s="1"/>
  <c r="BD107" i="8"/>
  <c r="H107" i="11"/>
  <c r="U107" i="2" l="1"/>
  <c r="W106" s="1"/>
  <c r="C107" s="1"/>
  <c r="R107" i="8" l="1"/>
  <c r="S107" s="1"/>
  <c r="F107" i="1" l="1"/>
  <c r="I107" i="2"/>
  <c r="AA107" i="1" s="1"/>
  <c r="S107" s="1"/>
  <c r="H108" s="1"/>
  <c r="AN108" i="8" s="1"/>
  <c r="H107" i="2"/>
  <c r="F107"/>
  <c r="G107" s="1"/>
  <c r="Z107" s="1"/>
  <c r="Z108" i="8" s="1"/>
  <c r="U107"/>
  <c r="V107"/>
  <c r="AP107" i="1" l="1"/>
  <c r="T107" s="1"/>
  <c r="I108" s="1"/>
  <c r="AO108" s="1"/>
  <c r="O107" i="7"/>
  <c r="AC108"/>
  <c r="J107" i="11"/>
  <c r="F107" i="9" s="1"/>
  <c r="AJ108" i="5"/>
  <c r="V108" i="10"/>
  <c r="I107" i="11"/>
  <c r="BK108" i="1"/>
  <c r="C108" i="11"/>
  <c r="C107" i="8"/>
  <c r="P107" i="7" l="1"/>
  <c r="AS108" i="8"/>
  <c r="BL108" i="1"/>
  <c r="Y107" i="2"/>
  <c r="X107" s="1"/>
  <c r="L108" l="1"/>
  <c r="E108"/>
  <c r="H108" i="11"/>
  <c r="AB108" i="7"/>
  <c r="B108" i="8"/>
  <c r="D108" i="2" s="1"/>
  <c r="BD108" i="8"/>
  <c r="U108" i="2" l="1"/>
  <c r="W107" s="1"/>
  <c r="C108" s="1"/>
  <c r="R108" i="8" l="1"/>
  <c r="S108" s="1"/>
  <c r="I108" i="2"/>
  <c r="F108" i="1" l="1"/>
  <c r="F108" i="2"/>
  <c r="AP108" i="1" s="1"/>
  <c r="T108" s="1"/>
  <c r="H108" i="2"/>
  <c r="V108" i="8"/>
  <c r="U108"/>
  <c r="I108" i="11"/>
  <c r="O108" i="7"/>
  <c r="AA108" i="1"/>
  <c r="S108" s="1"/>
  <c r="H109" s="1"/>
  <c r="G108" i="2" l="1"/>
  <c r="Z108" s="1"/>
  <c r="Z109" i="8" s="1"/>
  <c r="J108" i="11"/>
  <c r="F108" i="9" s="1"/>
  <c r="I109" i="1"/>
  <c r="AO109" s="1"/>
  <c r="AN109" i="8"/>
  <c r="AC109" i="7"/>
  <c r="BK109" i="1"/>
  <c r="C109" i="11"/>
  <c r="V109" i="10"/>
  <c r="AJ109" i="5"/>
  <c r="C108" i="8" l="1"/>
  <c r="P108" i="7"/>
  <c r="AS109" i="8"/>
  <c r="BL109" i="1"/>
  <c r="Y108" i="2"/>
  <c r="X108" s="1"/>
  <c r="H109" i="11" l="1"/>
  <c r="L109" i="2"/>
  <c r="E109"/>
  <c r="AB109" i="7"/>
  <c r="BD109" i="8"/>
  <c r="B109"/>
  <c r="D109" i="2" s="1"/>
  <c r="U109" l="1"/>
  <c r="W108" s="1"/>
  <c r="C109" s="1"/>
  <c r="R109" i="8" l="1"/>
  <c r="S109" s="1"/>
  <c r="F109" i="1" l="1"/>
  <c r="F109" i="2"/>
  <c r="G109" s="1"/>
  <c r="Z109" s="1"/>
  <c r="Z110" i="8" s="1"/>
  <c r="I109" i="2"/>
  <c r="AA109" i="1" s="1"/>
  <c r="S109" s="1"/>
  <c r="H110" s="1"/>
  <c r="C110" i="11" s="1"/>
  <c r="H109" i="2"/>
  <c r="U109" i="8"/>
  <c r="V109"/>
  <c r="I109" i="11" l="1"/>
  <c r="AP109" i="1"/>
  <c r="T109" s="1"/>
  <c r="I110" s="1"/>
  <c r="AO110" s="1"/>
  <c r="O109" i="7"/>
  <c r="V110" i="10"/>
  <c r="J109" i="11"/>
  <c r="P109" i="7" s="1"/>
  <c r="AC110"/>
  <c r="AN110" i="8"/>
  <c r="AJ110" i="5"/>
  <c r="BK110" i="1"/>
  <c r="C109" i="8"/>
  <c r="F109" i="9" l="1"/>
  <c r="AS110" i="8"/>
  <c r="BL110" i="1"/>
  <c r="Y109" i="2"/>
  <c r="X109" s="1"/>
  <c r="E110" l="1"/>
  <c r="B110" i="8"/>
  <c r="D110" i="2" s="1"/>
  <c r="BD110" i="8"/>
  <c r="AB110" i="7"/>
  <c r="H110" i="11"/>
  <c r="L110" i="2"/>
  <c r="U110" l="1"/>
  <c r="W109" s="1"/>
  <c r="C110" s="1"/>
  <c r="R110" i="8" l="1"/>
  <c r="S110" s="1"/>
  <c r="F110" i="1" l="1"/>
  <c r="H110" i="2"/>
  <c r="I110"/>
  <c r="I110" i="11" s="1"/>
  <c r="F110" i="2"/>
  <c r="AP110" i="1" s="1"/>
  <c r="T110" s="1"/>
  <c r="V110" i="8"/>
  <c r="U110"/>
  <c r="G110" i="2" l="1"/>
  <c r="Z110" s="1"/>
  <c r="Z111" i="8" s="1"/>
  <c r="J110" i="11"/>
  <c r="P110" i="7" s="1"/>
  <c r="AA110" i="1"/>
  <c r="S110" s="1"/>
  <c r="H111" s="1"/>
  <c r="AJ111" i="5" s="1"/>
  <c r="O110" i="7"/>
  <c r="I111" i="1"/>
  <c r="V111" i="10" l="1"/>
  <c r="AN111" i="8"/>
  <c r="BK111" i="1"/>
  <c r="C111" i="11"/>
  <c r="AC111" i="7"/>
  <c r="F110" i="9"/>
  <c r="C110" i="8"/>
  <c r="AS111"/>
  <c r="AO111" i="1"/>
  <c r="BL111"/>
  <c r="Y110" i="2"/>
  <c r="X110" s="1"/>
  <c r="H111" i="11" l="1"/>
  <c r="AB111" i="7"/>
  <c r="B111" i="8"/>
  <c r="D111" i="2" s="1"/>
  <c r="BD111" i="8"/>
  <c r="L111" i="2"/>
  <c r="E111"/>
  <c r="U111" l="1"/>
  <c r="W110" s="1"/>
  <c r="C111" s="1"/>
  <c r="R111" i="8" l="1"/>
  <c r="S111" s="1"/>
  <c r="I111" i="2" l="1"/>
  <c r="AA111" i="1" s="1"/>
  <c r="S111" s="1"/>
  <c r="H112" s="1"/>
  <c r="AN112" i="8" s="1"/>
  <c r="H111" i="2"/>
  <c r="F111" i="1"/>
  <c r="F111" i="2"/>
  <c r="G111" s="1"/>
  <c r="Z111" s="1"/>
  <c r="Z112" i="8" s="1"/>
  <c r="U111"/>
  <c r="V111"/>
  <c r="O111" i="7" l="1"/>
  <c r="I111" i="11"/>
  <c r="V112" i="10"/>
  <c r="AC112" i="7"/>
  <c r="J111" i="11"/>
  <c r="P111" i="7" s="1"/>
  <c r="AJ112" i="5"/>
  <c r="AP111" i="1"/>
  <c r="T111" s="1"/>
  <c r="I112" s="1"/>
  <c r="AO112" s="1"/>
  <c r="BK112"/>
  <c r="C112" i="11"/>
  <c r="C111" i="8"/>
  <c r="F111" i="9" l="1"/>
  <c r="AS112" i="8"/>
  <c r="BL112" i="1"/>
  <c r="Y111" i="2"/>
  <c r="X111" s="1"/>
  <c r="H112" i="11" l="1"/>
  <c r="BD112" i="8"/>
  <c r="AB112" i="7"/>
  <c r="B112" i="8"/>
  <c r="D112" i="2" s="1"/>
  <c r="E112"/>
  <c r="L112"/>
  <c r="U112" l="1"/>
  <c r="W111" s="1"/>
  <c r="C112" s="1"/>
  <c r="R112" i="8" l="1"/>
  <c r="S112" s="1"/>
  <c r="I112" i="2" l="1"/>
  <c r="O112" i="7" s="1"/>
  <c r="H112" i="2"/>
  <c r="F112" i="1"/>
  <c r="F112" i="2"/>
  <c r="G112" s="1"/>
  <c r="Z112" s="1"/>
  <c r="Z113" i="8" s="1"/>
  <c r="U112"/>
  <c r="V112"/>
  <c r="AP112" i="1" l="1"/>
  <c r="T112" s="1"/>
  <c r="I113" s="1"/>
  <c r="AO113" s="1"/>
  <c r="J112" i="11"/>
  <c r="F112" i="9" s="1"/>
  <c r="AA112" i="1"/>
  <c r="S112" s="1"/>
  <c r="H113" s="1"/>
  <c r="V113" i="10" s="1"/>
  <c r="I112" i="11"/>
  <c r="C112" i="8"/>
  <c r="P112" i="7" l="1"/>
  <c r="BK113" i="1"/>
  <c r="C113" i="11"/>
  <c r="AJ113" i="5"/>
  <c r="AC113" i="7"/>
  <c r="AN113" i="8"/>
  <c r="AS113"/>
  <c r="BL113" i="1"/>
  <c r="Y112" i="2"/>
  <c r="X112" s="1"/>
  <c r="E113" l="1"/>
  <c r="BD113" i="8"/>
  <c r="AB113" i="7"/>
  <c r="H113" i="11"/>
  <c r="L113" i="2"/>
  <c r="B113" i="8"/>
  <c r="D113" i="2" s="1"/>
  <c r="U113" l="1"/>
  <c r="W112" s="1"/>
  <c r="C113" s="1"/>
  <c r="R113" i="8" l="1"/>
  <c r="S113" s="1"/>
  <c r="F113" i="1"/>
  <c r="I113" i="2" l="1"/>
  <c r="I113" i="11" s="1"/>
  <c r="H113" i="2"/>
  <c r="F113"/>
  <c r="G113" s="1"/>
  <c r="Z113" s="1"/>
  <c r="Z114" i="8" s="1"/>
  <c r="V113"/>
  <c r="U113"/>
  <c r="J113" i="11" l="1"/>
  <c r="P113" i="7" s="1"/>
  <c r="AP113" i="1"/>
  <c r="T113" s="1"/>
  <c r="I114" s="1"/>
  <c r="AO114" s="1"/>
  <c r="AA113"/>
  <c r="S113" s="1"/>
  <c r="H114" s="1"/>
  <c r="AN114" i="8" s="1"/>
  <c r="O113" i="7"/>
  <c r="C113" i="8"/>
  <c r="F113" i="9" l="1"/>
  <c r="V114" i="10"/>
  <c r="C114" i="11"/>
  <c r="AC114" i="7"/>
  <c r="BK114" i="1"/>
  <c r="AJ114" i="5"/>
  <c r="AS114" i="8"/>
  <c r="BL114" i="1"/>
  <c r="Y113" i="2"/>
  <c r="X113" s="1"/>
  <c r="AB114" i="7" l="1"/>
  <c r="H114" i="11"/>
  <c r="E114" i="2"/>
  <c r="BD114" i="8"/>
  <c r="L114" i="2"/>
  <c r="B114" i="8"/>
  <c r="D114" i="2" s="1"/>
  <c r="U114" l="1"/>
  <c r="W113" s="1"/>
  <c r="C114" s="1"/>
  <c r="R114" i="8" l="1"/>
  <c r="S114" s="1"/>
  <c r="F114" i="2"/>
  <c r="F114" i="1" l="1"/>
  <c r="I114" i="2"/>
  <c r="AA114" i="1" s="1"/>
  <c r="S114" s="1"/>
  <c r="H115" s="1"/>
  <c r="H114" i="2"/>
  <c r="U114" i="8"/>
  <c r="V114"/>
  <c r="AP114" i="1"/>
  <c r="T114" s="1"/>
  <c r="J114" i="11"/>
  <c r="G114" i="2"/>
  <c r="Z114" s="1"/>
  <c r="Z115" i="8" s="1"/>
  <c r="I114" i="11" l="1"/>
  <c r="O114" i="7"/>
  <c r="I115" i="1"/>
  <c r="AN115" i="8"/>
  <c r="C115" i="11"/>
  <c r="AC115" i="7"/>
  <c r="BK115" i="1"/>
  <c r="AJ115" i="5"/>
  <c r="V115" i="10"/>
  <c r="P114" i="7"/>
  <c r="F114" i="9"/>
  <c r="C114" i="8"/>
  <c r="BL115" i="1" l="1"/>
  <c r="AO115"/>
  <c r="AS115" i="8"/>
  <c r="Y114" i="2"/>
  <c r="X114" s="1"/>
  <c r="H115" i="11" l="1"/>
  <c r="AB115" i="7"/>
  <c r="L115" i="2"/>
  <c r="BD115" i="8"/>
  <c r="E115" i="2"/>
  <c r="B115" i="8"/>
  <c r="D115" i="2" s="1"/>
  <c r="U115" l="1"/>
  <c r="W114" s="1"/>
  <c r="C115" s="1"/>
  <c r="R115" i="8" l="1"/>
  <c r="S115" s="1"/>
  <c r="I115" i="2" l="1"/>
  <c r="AA115" i="1" s="1"/>
  <c r="S115" s="1"/>
  <c r="H116" s="1"/>
  <c r="C116" i="11" s="1"/>
  <c r="F115" i="2"/>
  <c r="G115" s="1"/>
  <c r="Z115" s="1"/>
  <c r="Z116" i="8" s="1"/>
  <c r="F115" i="1"/>
  <c r="H115" i="2"/>
  <c r="V115" i="8"/>
  <c r="U115"/>
  <c r="O115" i="7" l="1"/>
  <c r="AP115" i="1"/>
  <c r="T115" s="1"/>
  <c r="I116" s="1"/>
  <c r="I115" i="11"/>
  <c r="AC116" i="7"/>
  <c r="BK116" i="1"/>
  <c r="J115" i="11"/>
  <c r="F115" i="9" s="1"/>
  <c r="AJ116" i="5"/>
  <c r="V116" i="10"/>
  <c r="AN116" i="8"/>
  <c r="C115"/>
  <c r="P115" i="7" l="1"/>
  <c r="AS116" i="8"/>
  <c r="AO116" i="1"/>
  <c r="BL116"/>
  <c r="Y115" i="2"/>
  <c r="X115" s="1"/>
  <c r="AB116" i="7" l="1"/>
  <c r="BD116" i="8"/>
  <c r="H116" i="11"/>
  <c r="E116" i="2"/>
  <c r="L116"/>
  <c r="B116" i="8"/>
  <c r="D116" i="2" s="1"/>
  <c r="U116" l="1"/>
  <c r="W115" s="1"/>
  <c r="C116" s="1"/>
  <c r="R116" i="8" l="1"/>
  <c r="S116" s="1"/>
  <c r="I116" i="2"/>
  <c r="F116" i="1" l="1"/>
  <c r="H116" i="2"/>
  <c r="F116"/>
  <c r="G116" s="1"/>
  <c r="Z116" s="1"/>
  <c r="Z117" i="8" s="1"/>
  <c r="I116" i="11"/>
  <c r="O116" i="7"/>
  <c r="AA116" i="1"/>
  <c r="S116" s="1"/>
  <c r="H117" s="1"/>
  <c r="V116" i="8"/>
  <c r="U116"/>
  <c r="AP116" i="1"/>
  <c r="T116" s="1"/>
  <c r="J116" i="11" l="1"/>
  <c r="P116" i="7" s="1"/>
  <c r="I117" i="1"/>
  <c r="AC117" i="7"/>
  <c r="C117" i="11"/>
  <c r="AN117" i="8"/>
  <c r="V117" i="10"/>
  <c r="AJ117" i="5"/>
  <c r="BK117" i="1"/>
  <c r="C116" i="8"/>
  <c r="F116" i="9" l="1"/>
  <c r="AS117" i="8"/>
  <c r="AO117" i="1"/>
  <c r="BL117"/>
  <c r="Y116" i="2"/>
  <c r="X116" s="1"/>
  <c r="E117" l="1"/>
  <c r="BD117" i="8"/>
  <c r="L117" i="2"/>
  <c r="AB117" i="7"/>
  <c r="B117" i="8"/>
  <c r="D117" i="2" s="1"/>
  <c r="H117" i="11"/>
  <c r="U117" i="2" l="1"/>
  <c r="W116" s="1"/>
  <c r="C117" s="1"/>
  <c r="R117" i="8" l="1"/>
  <c r="S117" s="1"/>
  <c r="F117" i="2"/>
  <c r="I117" l="1"/>
  <c r="I117" i="11" s="1"/>
  <c r="F117" i="1"/>
  <c r="H117" i="2"/>
  <c r="U117" i="8"/>
  <c r="V117"/>
  <c r="J117" i="11"/>
  <c r="AP117" i="1"/>
  <c r="T117" s="1"/>
  <c r="G117" i="2"/>
  <c r="Z117" s="1"/>
  <c r="Z118" i="8" s="1"/>
  <c r="AA117" i="1" l="1"/>
  <c r="S117" s="1"/>
  <c r="H118" s="1"/>
  <c r="AC118" i="7" s="1"/>
  <c r="O117"/>
  <c r="I118" i="1"/>
  <c r="P117" i="7"/>
  <c r="F117" i="9"/>
  <c r="C117" i="8"/>
  <c r="BK118" i="1" l="1"/>
  <c r="AN118" i="8"/>
  <c r="AJ118" i="5"/>
  <c r="C118" i="11"/>
  <c r="V118" i="10"/>
  <c r="AS118" i="8"/>
  <c r="AO118" i="1"/>
  <c r="BL118"/>
  <c r="Y117" i="2"/>
  <c r="X117" s="1"/>
  <c r="AB118" i="7" l="1"/>
  <c r="E118" i="2"/>
  <c r="BD118" i="8"/>
  <c r="B118"/>
  <c r="D118" i="2" s="1"/>
  <c r="L118"/>
  <c r="H118" i="11"/>
  <c r="U118" i="2" l="1"/>
  <c r="W117" s="1"/>
  <c r="C118" s="1"/>
  <c r="R118" i="8" l="1"/>
  <c r="S118" s="1"/>
  <c r="F118" i="2" l="1"/>
  <c r="G118" s="1"/>
  <c r="Z118" s="1"/>
  <c r="Z119" i="8" s="1"/>
  <c r="F118" i="1"/>
  <c r="I118" i="2"/>
  <c r="AA118" i="1" s="1"/>
  <c r="S118" s="1"/>
  <c r="H119" s="1"/>
  <c r="BK119" s="1"/>
  <c r="H118" i="2"/>
  <c r="U118" i="8"/>
  <c r="V118"/>
  <c r="I118" i="11" l="1"/>
  <c r="O118" i="7"/>
  <c r="J118" i="11"/>
  <c r="P118" i="7" s="1"/>
  <c r="AJ119" i="5"/>
  <c r="AC119" i="7"/>
  <c r="AN119" i="8"/>
  <c r="C119" i="11"/>
  <c r="V119" i="10"/>
  <c r="AP118" i="1"/>
  <c r="T118" s="1"/>
  <c r="I119" s="1"/>
  <c r="C118" i="8"/>
  <c r="F118" i="9" l="1"/>
  <c r="AS119" i="8"/>
  <c r="AO119" i="1"/>
  <c r="BL119"/>
  <c r="Y118" i="2"/>
  <c r="X118" s="1"/>
  <c r="AB119" i="7" l="1"/>
  <c r="L119" i="2"/>
  <c r="BD119" i="8"/>
  <c r="H119" i="11"/>
  <c r="B119" i="8"/>
  <c r="D119" i="2" s="1"/>
  <c r="E119"/>
  <c r="U119" l="1"/>
  <c r="W118" s="1"/>
  <c r="C119" s="1"/>
  <c r="R119" i="8" l="1"/>
  <c r="S119" s="1"/>
  <c r="F119" i="1" l="1"/>
  <c r="H119" i="2"/>
  <c r="I119"/>
  <c r="I119" i="11" s="1"/>
  <c r="F119" i="2"/>
  <c r="AP119" i="1" s="1"/>
  <c r="T119" s="1"/>
  <c r="U119" i="8"/>
  <c r="V119"/>
  <c r="J119" i="11" l="1"/>
  <c r="P119" i="7" s="1"/>
  <c r="G119" i="2"/>
  <c r="Z119" s="1"/>
  <c r="Z120" i="8" s="1"/>
  <c r="O119" i="7"/>
  <c r="AA119" i="1"/>
  <c r="S119" s="1"/>
  <c r="H120" s="1"/>
  <c r="V120" i="10" s="1"/>
  <c r="I120" i="1"/>
  <c r="AO120" s="1"/>
  <c r="F119" i="9" l="1"/>
  <c r="C119" i="8"/>
  <c r="BK120" i="1"/>
  <c r="AN120" i="8"/>
  <c r="AC120" i="7"/>
  <c r="C120" i="11"/>
  <c r="AJ120" i="5"/>
  <c r="BL120" i="1"/>
  <c r="AS120" i="8"/>
  <c r="Y119" i="2"/>
  <c r="X119" s="1"/>
  <c r="AB120" i="7" l="1"/>
  <c r="BD120" i="8"/>
  <c r="E120" i="2"/>
  <c r="B120" i="8"/>
  <c r="D120" i="2" s="1"/>
  <c r="H120" i="11"/>
  <c r="L120" i="2"/>
  <c r="U120" l="1"/>
  <c r="W119" s="1"/>
  <c r="C120" s="1"/>
  <c r="R120" i="8" l="1"/>
  <c r="S120" s="1"/>
  <c r="H120" i="2" l="1"/>
  <c r="F120"/>
  <c r="G120" s="1"/>
  <c r="Z120" s="1"/>
  <c r="Z121" i="8" s="1"/>
  <c r="F120" i="1"/>
  <c r="I120" i="2"/>
  <c r="I120" i="11" s="1"/>
  <c r="V120" i="8"/>
  <c r="U120"/>
  <c r="AA120" i="1" l="1"/>
  <c r="S120" s="1"/>
  <c r="H121" s="1"/>
  <c r="C121" i="11" s="1"/>
  <c r="O120" i="7"/>
  <c r="AP120" i="1"/>
  <c r="T120" s="1"/>
  <c r="I121" s="1"/>
  <c r="AO121" s="1"/>
  <c r="J120" i="11"/>
  <c r="P120" i="7" s="1"/>
  <c r="C120" i="8"/>
  <c r="AC121" i="7" l="1"/>
  <c r="BK121" i="1"/>
  <c r="AJ121" i="5"/>
  <c r="V121" i="10"/>
  <c r="AN121" i="8"/>
  <c r="F120" i="9"/>
  <c r="AS121" i="8"/>
  <c r="BL121" i="1"/>
  <c r="Y120" i="2"/>
  <c r="X120" s="1"/>
  <c r="BD121" i="8" l="1"/>
  <c r="AB121" i="7"/>
  <c r="H121" i="11"/>
  <c r="B121" i="8"/>
  <c r="D121" i="2" s="1"/>
  <c r="L121"/>
  <c r="E121"/>
  <c r="U121" l="1"/>
  <c r="W120" s="1"/>
  <c r="C121" s="1"/>
  <c r="R121" i="8" l="1"/>
  <c r="S121" s="1"/>
  <c r="F121" i="2" l="1"/>
  <c r="G121" s="1"/>
  <c r="Z121" s="1"/>
  <c r="Z122" i="8" s="1"/>
  <c r="I121" i="2"/>
  <c r="I121" i="11" s="1"/>
  <c r="H121" i="2"/>
  <c r="F121" i="1"/>
  <c r="U121" i="8"/>
  <c r="V121"/>
  <c r="AP121" i="1" l="1"/>
  <c r="T121" s="1"/>
  <c r="I122" s="1"/>
  <c r="O121" i="7"/>
  <c r="J121" i="11"/>
  <c r="F121" i="9" s="1"/>
  <c r="AA121" i="1"/>
  <c r="S121" s="1"/>
  <c r="H122" s="1"/>
  <c r="AC122" i="7" s="1"/>
  <c r="C121" i="8"/>
  <c r="AJ122" i="5" l="1"/>
  <c r="V122" i="10"/>
  <c r="BK122" i="1"/>
  <c r="C122" i="11"/>
  <c r="AN122" i="8"/>
  <c r="P121" i="7"/>
  <c r="AS122" i="8"/>
  <c r="AO122" i="1"/>
  <c r="BL122"/>
  <c r="Y121" i="2"/>
  <c r="X121" s="1"/>
  <c r="AB122" i="7" l="1"/>
  <c r="B122" i="8"/>
  <c r="D122" i="2" s="1"/>
  <c r="H122" i="11"/>
  <c r="L122" i="2"/>
  <c r="BD122" i="8"/>
  <c r="E122" i="2"/>
  <c r="U122" l="1"/>
  <c r="W121" s="1"/>
  <c r="C122" s="1"/>
  <c r="R122" i="8" l="1"/>
  <c r="S122" s="1"/>
  <c r="F122" i="2"/>
  <c r="H122" l="1"/>
  <c r="I122"/>
  <c r="O122" i="7" s="1"/>
  <c r="F122" i="1"/>
  <c r="U122" i="8"/>
  <c r="V122"/>
  <c r="AP122" i="1"/>
  <c r="T122" s="1"/>
  <c r="J122" i="11"/>
  <c r="G122" i="2"/>
  <c r="Z122" s="1"/>
  <c r="Z123" i="8" s="1"/>
  <c r="AA122" i="1" l="1"/>
  <c r="S122" s="1"/>
  <c r="H123" s="1"/>
  <c r="AC123" i="7" s="1"/>
  <c r="I122" i="11"/>
  <c r="I123" i="1"/>
  <c r="F122" i="9"/>
  <c r="P122" i="7"/>
  <c r="C122" i="8"/>
  <c r="BK123" i="1" l="1"/>
  <c r="AJ123" i="5"/>
  <c r="V123" i="10"/>
  <c r="AN123" i="8"/>
  <c r="C123" i="11"/>
  <c r="AS123" i="8"/>
  <c r="AO123" i="1"/>
  <c r="BL123"/>
  <c r="Y122" i="2"/>
  <c r="X122" s="1"/>
  <c r="AB123" i="7" l="1"/>
  <c r="H123" i="11"/>
  <c r="B123" i="8"/>
  <c r="D123" i="2" s="1"/>
  <c r="L123"/>
  <c r="E123"/>
  <c r="BD123" i="8"/>
  <c r="U123" i="2" l="1"/>
  <c r="W122" s="1"/>
  <c r="C123" s="1"/>
  <c r="R123" i="8" l="1"/>
  <c r="S123" s="1"/>
  <c r="I123" i="2" l="1"/>
  <c r="I123" i="11" s="1"/>
  <c r="F123" i="2"/>
  <c r="J123" i="11" s="1"/>
  <c r="H123" i="2"/>
  <c r="F123" i="1"/>
  <c r="U123" i="8"/>
  <c r="V123"/>
  <c r="AP123" i="1" l="1"/>
  <c r="T123" s="1"/>
  <c r="I124" s="1"/>
  <c r="AO124" s="1"/>
  <c r="O123" i="7"/>
  <c r="G123" i="2"/>
  <c r="Z123" s="1"/>
  <c r="Z124" i="8" s="1"/>
  <c r="AA123" i="1"/>
  <c r="S123" s="1"/>
  <c r="H124" s="1"/>
  <c r="AC124" i="7" s="1"/>
  <c r="F123" i="9"/>
  <c r="P123" i="7"/>
  <c r="C124" i="11" l="1"/>
  <c r="AN124" i="8"/>
  <c r="BK124" i="1"/>
  <c r="AJ124" i="5"/>
  <c r="V124" i="10"/>
  <c r="C123" i="8"/>
  <c r="AS124"/>
  <c r="BL124" i="1"/>
  <c r="Y123" i="2"/>
  <c r="X123" s="1"/>
  <c r="E124" l="1"/>
  <c r="BD124" i="8"/>
  <c r="AB124" i="7"/>
  <c r="H124" i="11"/>
  <c r="L124" i="2"/>
  <c r="B124" i="8"/>
  <c r="D124" i="2" s="1"/>
  <c r="U124" l="1"/>
  <c r="W123" s="1"/>
  <c r="C124" s="1"/>
  <c r="R124" i="8" l="1"/>
  <c r="S124" s="1"/>
  <c r="H124" i="2" l="1"/>
  <c r="I124"/>
  <c r="O124" i="7" s="1"/>
  <c r="F124" i="2"/>
  <c r="AP124" i="1" s="1"/>
  <c r="T124" s="1"/>
  <c r="F124"/>
  <c r="U124" i="8"/>
  <c r="V124"/>
  <c r="AA124" i="1" l="1"/>
  <c r="S124" s="1"/>
  <c r="H125" s="1"/>
  <c r="C125" i="11" s="1"/>
  <c r="J124"/>
  <c r="F124" i="9" s="1"/>
  <c r="G124" i="2"/>
  <c r="Z124" s="1"/>
  <c r="Z125" i="8" s="1"/>
  <c r="I124" i="11"/>
  <c r="I125" i="1"/>
  <c r="V125" i="10" l="1"/>
  <c r="AJ125" i="5"/>
  <c r="AC125" i="7"/>
  <c r="AN125" i="8"/>
  <c r="BK125" i="1"/>
  <c r="P124" i="7"/>
  <c r="C124" i="8"/>
  <c r="AS125"/>
  <c r="AO125" i="1"/>
  <c r="BL125"/>
  <c r="Y124" i="2"/>
  <c r="X124" s="1"/>
  <c r="B125" i="8" l="1"/>
  <c r="D125" i="2" s="1"/>
  <c r="E125"/>
  <c r="H125" i="11"/>
  <c r="BD125" i="8"/>
  <c r="L125" i="2"/>
  <c r="AB125" i="7"/>
  <c r="U125" i="2" l="1"/>
  <c r="W124" s="1"/>
  <c r="C125" s="1"/>
  <c r="R125" i="8" l="1"/>
  <c r="S125" s="1"/>
  <c r="I125" i="2"/>
  <c r="F125" i="1" l="1"/>
  <c r="F125" i="2"/>
  <c r="G125" s="1"/>
  <c r="Z125" s="1"/>
  <c r="Z126" i="8" s="1"/>
  <c r="H125" i="2"/>
  <c r="O125" i="7"/>
  <c r="I125" i="11"/>
  <c r="V125" i="8"/>
  <c r="U125"/>
  <c r="AA125" i="1"/>
  <c r="S125" s="1"/>
  <c r="H126" s="1"/>
  <c r="AP125" l="1"/>
  <c r="T125" s="1"/>
  <c r="I126" s="1"/>
  <c r="J125" i="11"/>
  <c r="F125" i="9" s="1"/>
  <c r="C125" i="8"/>
  <c r="AJ126" i="5"/>
  <c r="C126" i="11"/>
  <c r="V126" i="10"/>
  <c r="BK126" i="1"/>
  <c r="AC126" i="7"/>
  <c r="AN126" i="8"/>
  <c r="P125" i="7" l="1"/>
  <c r="AS126" i="8"/>
  <c r="AO126" i="1"/>
  <c r="BL126"/>
  <c r="Y125" i="2"/>
  <c r="X125" s="1"/>
  <c r="AB126" i="7" l="1"/>
  <c r="B126" i="8"/>
  <c r="D126" i="2" s="1"/>
  <c r="BD126" i="8"/>
  <c r="E126" i="2"/>
  <c r="H126" i="11"/>
  <c r="L126" i="2"/>
  <c r="U126" l="1"/>
  <c r="W125" s="1"/>
  <c r="C126" s="1"/>
  <c r="R126" i="8" l="1"/>
  <c r="S126" s="1"/>
  <c r="F126" i="2"/>
  <c r="F126" i="1" l="1"/>
  <c r="I126" i="2"/>
  <c r="AA126" i="1" s="1"/>
  <c r="S126" s="1"/>
  <c r="H127" s="1"/>
  <c r="H126" i="2"/>
  <c r="V126" i="8"/>
  <c r="U126"/>
  <c r="J126" i="11"/>
  <c r="AP126" i="1"/>
  <c r="T126" s="1"/>
  <c r="G126" i="2"/>
  <c r="Z126" s="1"/>
  <c r="Z127" i="8" s="1"/>
  <c r="O126" i="7" l="1"/>
  <c r="I126" i="11"/>
  <c r="I127" i="1"/>
  <c r="C126" i="8"/>
  <c r="P126" i="7"/>
  <c r="F126" i="9"/>
  <c r="C127" i="11"/>
  <c r="AC127" i="7"/>
  <c r="AN127" i="8"/>
  <c r="BK127" i="1"/>
  <c r="V127" i="10"/>
  <c r="AJ127" i="5"/>
  <c r="AS127" i="8" l="1"/>
  <c r="AO127" i="1"/>
  <c r="BL127"/>
  <c r="Y126" i="2"/>
  <c r="X126" s="1"/>
  <c r="AB127" i="7" l="1"/>
  <c r="B127" i="8"/>
  <c r="D127" i="2" s="1"/>
  <c r="L127"/>
  <c r="BD127" i="8"/>
  <c r="H127" i="11"/>
  <c r="E127" i="2"/>
  <c r="U127" l="1"/>
  <c r="W126" s="1"/>
  <c r="C127" s="1"/>
  <c r="R127" i="8" l="1"/>
  <c r="S127" s="1"/>
  <c r="I127" i="2" l="1"/>
  <c r="I127" i="11" s="1"/>
  <c r="F127" i="1"/>
  <c r="F127" i="2"/>
  <c r="G127" s="1"/>
  <c r="Z127" s="1"/>
  <c r="Z128" i="8" s="1"/>
  <c r="H127" i="2"/>
  <c r="V127" i="8"/>
  <c r="U127"/>
  <c r="AP127" i="1" l="1"/>
  <c r="T127" s="1"/>
  <c r="I128" s="1"/>
  <c r="J127" i="11"/>
  <c r="P127" i="7" s="1"/>
  <c r="AA127" i="1"/>
  <c r="S127" s="1"/>
  <c r="H128" s="1"/>
  <c r="AJ128" i="5" s="1"/>
  <c r="O127" i="7"/>
  <c r="C127" i="8"/>
  <c r="F127" i="9" l="1"/>
  <c r="AN128" i="8"/>
  <c r="C128" i="11"/>
  <c r="V128" i="10"/>
  <c r="AC128" i="7"/>
  <c r="BK128" i="1"/>
  <c r="AS128" i="8"/>
  <c r="AO128" i="1"/>
  <c r="BL128"/>
  <c r="Y127" i="2"/>
  <c r="X127" s="1"/>
  <c r="BD128" i="8" l="1"/>
  <c r="E128" i="2"/>
  <c r="AB128" i="7"/>
  <c r="H128" i="11"/>
  <c r="L128" i="2"/>
  <c r="B128" i="8"/>
  <c r="D128" i="2" s="1"/>
  <c r="U128" l="1"/>
  <c r="W127" s="1"/>
  <c r="C128" s="1"/>
  <c r="R128" i="8" l="1"/>
  <c r="S128" s="1"/>
  <c r="I128" i="2" l="1"/>
  <c r="AA128" i="1" s="1"/>
  <c r="S128" s="1"/>
  <c r="H129" s="1"/>
  <c r="F128" i="2"/>
  <c r="G128" s="1"/>
  <c r="Z128" s="1"/>
  <c r="Z129" i="8" s="1"/>
  <c r="F128" i="1"/>
  <c r="H128" i="2"/>
  <c r="U128" i="8"/>
  <c r="V128"/>
  <c r="AP128" i="1" l="1"/>
  <c r="T128" s="1"/>
  <c r="I129" s="1"/>
  <c r="AO129" s="1"/>
  <c r="I128" i="11"/>
  <c r="J128"/>
  <c r="F128" i="9" s="1"/>
  <c r="O128" i="7"/>
  <c r="AC129"/>
  <c r="C129" i="11"/>
  <c r="BK129" i="1"/>
  <c r="AN129" i="8"/>
  <c r="AJ129" i="5"/>
  <c r="V129" i="10"/>
  <c r="C128" i="8"/>
  <c r="P128" i="7" l="1"/>
  <c r="AS129" i="8"/>
  <c r="BL129" i="1"/>
  <c r="Y128" i="2"/>
  <c r="X128" s="1"/>
  <c r="H129" i="11" l="1"/>
  <c r="E129" i="2"/>
  <c r="L129"/>
  <c r="BD129" i="8"/>
  <c r="B129"/>
  <c r="D129" i="2" s="1"/>
  <c r="AB129" i="7"/>
  <c r="U129" i="2" l="1"/>
  <c r="W128" s="1"/>
  <c r="C129" s="1"/>
  <c r="R129" i="8" l="1"/>
  <c r="S129" s="1"/>
  <c r="F129" i="2"/>
  <c r="F129" i="1" l="1"/>
  <c r="I129" i="2"/>
  <c r="AA129" i="1" s="1"/>
  <c r="S129" s="1"/>
  <c r="H130" s="1"/>
  <c r="H129" i="2"/>
  <c r="U129" i="8"/>
  <c r="V129"/>
  <c r="AP129" i="1"/>
  <c r="T129" s="1"/>
  <c r="J129" i="11"/>
  <c r="G129" i="2"/>
  <c r="Z129" s="1"/>
  <c r="Z130" i="8" s="1"/>
  <c r="I129" i="11" l="1"/>
  <c r="O129" i="7"/>
  <c r="I130" i="1"/>
  <c r="AO130" s="1"/>
  <c r="F129" i="9"/>
  <c r="P129" i="7"/>
  <c r="C129" i="8"/>
  <c r="C130" i="11"/>
  <c r="BK130" i="1"/>
  <c r="AJ130" i="5"/>
  <c r="AC130" i="7"/>
  <c r="V130" i="10"/>
  <c r="AN130" i="8"/>
  <c r="AS130" l="1"/>
  <c r="BL130" i="1"/>
  <c r="Y129" i="2"/>
  <c r="X129" s="1"/>
  <c r="BD130" i="8" l="1"/>
  <c r="AB130" i="7"/>
  <c r="E130" i="2"/>
  <c r="B130" i="8"/>
  <c r="D130" i="2" s="1"/>
  <c r="H130" i="11"/>
  <c r="L130" i="2"/>
  <c r="U130" l="1"/>
  <c r="W129" s="1"/>
  <c r="C130" s="1"/>
  <c r="R130" i="8" l="1"/>
  <c r="S130" s="1"/>
  <c r="I130" i="2" l="1"/>
  <c r="AA130" i="1" s="1"/>
  <c r="S130" s="1"/>
  <c r="H131" s="1"/>
  <c r="AC131" i="7" s="1"/>
  <c r="H130" i="2"/>
  <c r="F130" i="1"/>
  <c r="F130" i="2"/>
  <c r="J130" i="11" s="1"/>
  <c r="U130" i="8"/>
  <c r="V130"/>
  <c r="AP130" i="1" l="1"/>
  <c r="T130" s="1"/>
  <c r="I131" s="1"/>
  <c r="G130" i="2"/>
  <c r="Z130" s="1"/>
  <c r="Z131" i="8" s="1"/>
  <c r="AN131"/>
  <c r="V131" i="10"/>
  <c r="I130" i="11"/>
  <c r="BK131" i="1"/>
  <c r="O130" i="7"/>
  <c r="AJ131" i="5"/>
  <c r="C131" i="11"/>
  <c r="P130" i="7"/>
  <c r="F130" i="9"/>
  <c r="C130" i="8" l="1"/>
  <c r="AS131"/>
  <c r="AO131" i="1"/>
  <c r="BL131"/>
  <c r="Y130" i="2"/>
  <c r="X130" s="1"/>
  <c r="AB131" i="7" l="1"/>
  <c r="H131" i="11"/>
  <c r="B131" i="8"/>
  <c r="D131" i="2" s="1"/>
  <c r="L131"/>
  <c r="BD131" i="8"/>
  <c r="E131" i="2"/>
  <c r="U131" l="1"/>
  <c r="W130" s="1"/>
  <c r="C131" s="1"/>
  <c r="R131" i="8" l="1"/>
  <c r="S131" s="1"/>
  <c r="H131" i="2" l="1"/>
  <c r="I131"/>
  <c r="I131" i="11" s="1"/>
  <c r="F131" i="1"/>
  <c r="F131" i="2"/>
  <c r="AP131" i="1" s="1"/>
  <c r="T131" s="1"/>
  <c r="V131" i="8"/>
  <c r="U131"/>
  <c r="J131" i="11" l="1"/>
  <c r="F131" i="9" s="1"/>
  <c r="G131" i="2"/>
  <c r="Z131" s="1"/>
  <c r="Z132" i="8" s="1"/>
  <c r="O131" i="7"/>
  <c r="AA131" i="1"/>
  <c r="S131" s="1"/>
  <c r="H132" s="1"/>
  <c r="V132" i="10" s="1"/>
  <c r="I132" i="1"/>
  <c r="AO132" s="1"/>
  <c r="P131" i="7" l="1"/>
  <c r="C131" i="8"/>
  <c r="AN132"/>
  <c r="BK132" i="1"/>
  <c r="AC132" i="7"/>
  <c r="C132" i="11"/>
  <c r="AJ132" i="5"/>
  <c r="AS132" i="8"/>
  <c r="BL132" i="1"/>
  <c r="Y131" i="2"/>
  <c r="X131" s="1"/>
  <c r="E132" l="1"/>
  <c r="BD132" i="8"/>
  <c r="AB132" i="7"/>
  <c r="L132" i="2"/>
  <c r="B132" i="8"/>
  <c r="D132" i="2" s="1"/>
  <c r="H132" i="11"/>
  <c r="U132" i="2" l="1"/>
  <c r="W131" s="1"/>
  <c r="C132" s="1"/>
  <c r="R132" i="8" l="1"/>
  <c r="S132" s="1"/>
  <c r="F132" i="1" l="1"/>
  <c r="H132" i="2"/>
  <c r="F132"/>
  <c r="J132" i="11" s="1"/>
  <c r="I132" i="2"/>
  <c r="I132" i="11" s="1"/>
  <c r="V132" i="8"/>
  <c r="U132"/>
  <c r="AA132" i="1" l="1"/>
  <c r="S132" s="1"/>
  <c r="H133" s="1"/>
  <c r="C133" i="11" s="1"/>
  <c r="O132" i="7"/>
  <c r="AP132" i="1"/>
  <c r="T132" s="1"/>
  <c r="I133" s="1"/>
  <c r="AO133" s="1"/>
  <c r="G132" i="2"/>
  <c r="Z132" s="1"/>
  <c r="Z133" i="8" s="1"/>
  <c r="P132" i="7"/>
  <c r="F132" i="9"/>
  <c r="AC133" i="7" l="1"/>
  <c r="AN133" i="8"/>
  <c r="V133" i="10"/>
  <c r="AJ133" i="5"/>
  <c r="BK133" i="1"/>
  <c r="C132" i="8"/>
  <c r="AS133"/>
  <c r="BL133" i="1"/>
  <c r="Y132" i="2"/>
  <c r="X132" s="1"/>
  <c r="L133" l="1"/>
  <c r="AB133" i="7"/>
  <c r="B133" i="8"/>
  <c r="D133" i="2" s="1"/>
  <c r="E133"/>
  <c r="BD133" i="8"/>
  <c r="H133" i="11"/>
  <c r="U133" i="2" l="1"/>
  <c r="W132" s="1"/>
  <c r="C133" s="1"/>
  <c r="R133" i="8" l="1"/>
  <c r="S133" s="1"/>
  <c r="H133" i="2" l="1"/>
  <c r="F133" i="1"/>
  <c r="I133" i="2"/>
  <c r="O133" i="7" s="1"/>
  <c r="F133" i="2"/>
  <c r="AP133" i="1" s="1"/>
  <c r="T133" s="1"/>
  <c r="V133" i="8"/>
  <c r="U133"/>
  <c r="G133" i="2" l="1"/>
  <c r="Z133" s="1"/>
  <c r="Z134" i="8" s="1"/>
  <c r="AA133" i="1"/>
  <c r="S133" s="1"/>
  <c r="H134" s="1"/>
  <c r="AJ134" i="5" s="1"/>
  <c r="J133" i="11"/>
  <c r="F133" i="9" s="1"/>
  <c r="I133" i="11"/>
  <c r="I134" i="1"/>
  <c r="V134" i="10" l="1"/>
  <c r="AN134" i="8"/>
  <c r="AC134" i="7"/>
  <c r="C134" i="11"/>
  <c r="C133" i="8"/>
  <c r="BK134" i="1"/>
  <c r="P133" i="7"/>
  <c r="BL134" i="1"/>
  <c r="AO134"/>
  <c r="AS134" i="8"/>
  <c r="Y133" i="2"/>
  <c r="X133" s="1"/>
  <c r="BD134" i="8" l="1"/>
  <c r="L134" i="2"/>
  <c r="E134"/>
  <c r="B134" i="8"/>
  <c r="D134" i="2" s="1"/>
  <c r="H134" i="11"/>
  <c r="AB134" i="7"/>
  <c r="U134" i="2" l="1"/>
  <c r="W133" s="1"/>
  <c r="C134" s="1"/>
  <c r="R134" i="8" l="1"/>
  <c r="S134" s="1"/>
  <c r="I134" i="2" l="1"/>
  <c r="O134" i="7" s="1"/>
  <c r="F134" i="2"/>
  <c r="G134" s="1"/>
  <c r="Z134" s="1"/>
  <c r="Z135" i="8" s="1"/>
  <c r="H134" i="2"/>
  <c r="F134" i="1"/>
  <c r="V134" i="8"/>
  <c r="U134"/>
  <c r="J134" i="11" l="1"/>
  <c r="F134" i="9" s="1"/>
  <c r="AP134" i="1"/>
  <c r="T134" s="1"/>
  <c r="I135" s="1"/>
  <c r="AO135" s="1"/>
  <c r="AA134"/>
  <c r="S134" s="1"/>
  <c r="H135" s="1"/>
  <c r="BK135" s="1"/>
  <c r="I134" i="11"/>
  <c r="C134" i="8"/>
  <c r="P134" i="7" l="1"/>
  <c r="AJ135" i="5"/>
  <c r="C135" i="11"/>
  <c r="AN135" i="8"/>
  <c r="AC135" i="7"/>
  <c r="V135" i="10"/>
  <c r="AS135" i="8"/>
  <c r="BL135" i="1"/>
  <c r="Y134" i="2"/>
  <c r="X134" s="1"/>
  <c r="B135" i="8" l="1"/>
  <c r="D135" i="2" s="1"/>
  <c r="E135"/>
  <c r="AB135" i="7"/>
  <c r="L135" i="2"/>
  <c r="BD135" i="8"/>
  <c r="H135" i="11"/>
  <c r="U135" i="2" l="1"/>
  <c r="W134" s="1"/>
  <c r="C135" s="1"/>
  <c r="R135" i="8" l="1"/>
  <c r="S135" s="1"/>
  <c r="F135" i="1"/>
  <c r="H135" i="2" l="1"/>
  <c r="F135"/>
  <c r="G135" s="1"/>
  <c r="Z135" s="1"/>
  <c r="I135"/>
  <c r="O135" i="7" s="1"/>
  <c r="U135" i="8"/>
  <c r="V135"/>
  <c r="AA135" i="1" l="1"/>
  <c r="S135" s="1"/>
  <c r="AP135"/>
  <c r="T135" s="1"/>
  <c r="J135" i="11"/>
  <c r="F135" i="9" s="1"/>
  <c r="I135" i="11"/>
  <c r="C135" i="8"/>
  <c r="Y135" i="2"/>
  <c r="X135" s="1"/>
  <c r="W135" s="1"/>
  <c r="P135" i="7" l="1"/>
</calcChain>
</file>

<file path=xl/comments1.xml><?xml version="1.0" encoding="utf-8"?>
<comments xmlns="http://schemas.openxmlformats.org/spreadsheetml/2006/main">
  <authors>
    <author>B. Reign</author>
    <author>Blackreign</author>
  </authors>
  <commentList>
    <comment ref="J8" authorId="0">
      <text>
        <r>
          <rPr>
            <b/>
            <sz val="8"/>
            <color indexed="81"/>
            <rFont val="Tahoma"/>
            <family val="2"/>
          </rPr>
          <t>First set of changes applied. Not tested for bugs yet.</t>
        </r>
      </text>
    </comment>
    <comment ref="B15" authorId="1">
      <text>
        <r>
          <rPr>
            <b/>
            <sz val="8"/>
            <color indexed="81"/>
            <rFont val="Tahoma"/>
            <family val="2"/>
          </rPr>
          <t>Set the date when the round starts. 
See the date below for the inputstyle.</t>
        </r>
      </text>
    </comment>
    <comment ref="B16" authorId="1">
      <text>
        <r>
          <rPr>
            <b/>
            <sz val="8"/>
            <color indexed="81"/>
            <rFont val="Tahoma"/>
            <family val="2"/>
          </rPr>
          <t>E.g. most of Europe is GMT(+1:00). Just fill in 1 for that.</t>
        </r>
      </text>
    </comment>
    <comment ref="B18" authorId="0">
      <text>
        <r>
          <rPr>
            <b/>
            <sz val="8"/>
            <color indexed="81"/>
            <rFont val="Tahoma"/>
            <family val="2"/>
          </rPr>
          <t>Only use this if you start after the round begins.</t>
        </r>
      </text>
    </comment>
  </commentList>
</comments>
</file>

<file path=xl/comments2.xml><?xml version="1.0" encoding="utf-8"?>
<comments xmlns="http://schemas.openxmlformats.org/spreadsheetml/2006/main">
  <authors>
    <author>Blackreign</author>
  </authors>
  <commentList>
    <comment ref="C2" authorId="0">
      <text>
        <r>
          <rPr>
            <b/>
            <sz val="8"/>
            <color indexed="81"/>
            <rFont val="Tahoma"/>
            <family val="2"/>
          </rPr>
          <t>Taking these bonusses can only be done once per day before 11.59 PM SERVER TIME. But you can just cheat and take plat bonus every hour if you really want to</t>
        </r>
      </text>
    </comment>
  </commentList>
</comments>
</file>

<file path=xl/comments3.xml><?xml version="1.0" encoding="utf-8"?>
<comments xmlns="http://schemas.openxmlformats.org/spreadsheetml/2006/main">
  <authors>
    <author>Timmer</author>
  </authors>
  <commentList>
    <comment ref="L15" authorId="0">
      <text>
        <r>
          <rPr>
            <b/>
            <sz val="8"/>
            <color indexed="81"/>
            <rFont val="Tahoma"/>
            <family val="2"/>
          </rPr>
          <t>Use this area to save values, in order to determine if a change you make results in better values. (Tip: You can make custom formula's to compare different stats)</t>
        </r>
      </text>
    </comment>
  </commentList>
</comments>
</file>

<file path=xl/comments4.xml><?xml version="1.0" encoding="utf-8"?>
<comments xmlns="http://schemas.openxmlformats.org/spreadsheetml/2006/main">
  <authors>
    <author>Timmer</author>
  </authors>
  <commentList>
    <comment ref="L1" authorId="0">
      <text>
        <r>
          <rPr>
            <b/>
            <sz val="8"/>
            <color indexed="81"/>
            <rFont val="Tahoma"/>
            <family val="2"/>
          </rPr>
          <t>see below for an example</t>
        </r>
      </text>
    </comment>
  </commentList>
</comments>
</file>

<file path=xl/comments5.xml><?xml version="1.0" encoding="utf-8"?>
<comments xmlns="http://schemas.openxmlformats.org/spreadsheetml/2006/main">
  <authors>
    <author>Blackreign</author>
  </authors>
  <commentList>
    <comment ref="O1" authorId="0">
      <text>
        <r>
          <rPr>
            <b/>
            <sz val="8"/>
            <color indexed="81"/>
            <rFont val="Tahoma"/>
            <family val="2"/>
          </rPr>
          <t>Note: In the Resource column, type the resource which you want to invest In the Part column, type which castle part you want to improve. Make sure your spelling is correct.</t>
        </r>
      </text>
    </comment>
    <comment ref="M2" authorId="0">
      <text>
        <r>
          <rPr>
            <sz val="8"/>
            <color indexed="81"/>
            <rFont val="Tahoma"/>
            <family val="2"/>
          </rPr>
          <t xml:space="preserve">"1" means you have to login "0" means you can sleep
</t>
        </r>
      </text>
    </comment>
  </commentList>
</comments>
</file>

<file path=xl/comments6.xml><?xml version="1.0" encoding="utf-8"?>
<comments xmlns="http://schemas.openxmlformats.org/spreadsheetml/2006/main">
  <authors>
    <author xml:space="preserve"> </author>
  </authors>
  <commentList>
    <comment ref="I28" authorId="0">
      <text>
        <r>
          <rPr>
            <b/>
            <sz val="10"/>
            <color indexed="81"/>
            <rFont val="Tahoma"/>
            <family val="2"/>
          </rPr>
          <t>Leave blank or enter 72 for the OOP hour. Enter any other number between 0 and 132 to see that hour's Clearsight and Survey.</t>
        </r>
      </text>
    </comment>
  </commentList>
</comments>
</file>

<file path=xl/comments7.xml><?xml version="1.0" encoding="utf-8"?>
<comments xmlns="http://schemas.openxmlformats.org/spreadsheetml/2006/main">
  <authors>
    <author>Blackreign</author>
  </authors>
  <commentList>
    <comment ref="N4" authorId="0">
      <text>
        <r>
          <rPr>
            <b/>
            <sz val="8"/>
            <color indexed="81"/>
            <rFont val="Tahoma"/>
            <family val="2"/>
          </rPr>
          <t>Don't think they are accurate anymore</t>
        </r>
      </text>
    </comment>
  </commentList>
</comments>
</file>

<file path=xl/comments8.xml><?xml version="1.0" encoding="utf-8"?>
<comments xmlns="http://schemas.openxmlformats.org/spreadsheetml/2006/main">
  <authors>
    <author>Timmer</author>
  </authors>
  <commentList>
    <comment ref="B3" authorId="0">
      <text>
        <r>
          <rPr>
            <b/>
            <sz val="8"/>
            <color indexed="81"/>
            <rFont val="Tahoma"/>
            <family val="2"/>
          </rPr>
          <t>works less accurate as size increases</t>
        </r>
      </text>
    </comment>
  </commentList>
</comments>
</file>

<file path=xl/sharedStrings.xml><?xml version="1.0" encoding="utf-8"?>
<sst xmlns="http://schemas.openxmlformats.org/spreadsheetml/2006/main" count="2601" uniqueCount="763">
  <si>
    <t>Hour</t>
  </si>
  <si>
    <t>Land</t>
  </si>
  <si>
    <t>Platinum</t>
  </si>
  <si>
    <t>Ore</t>
  </si>
  <si>
    <t>Gems</t>
  </si>
  <si>
    <t>Food</t>
  </si>
  <si>
    <t>Plat/hr</t>
  </si>
  <si>
    <t>Lumber</t>
  </si>
  <si>
    <t>Lumber/hr</t>
  </si>
  <si>
    <t>Food/hr</t>
  </si>
  <si>
    <t>Ore/hr</t>
  </si>
  <si>
    <t>Gems/hr</t>
  </si>
  <si>
    <t>Mana</t>
  </si>
  <si>
    <t>Mana/hr</t>
  </si>
  <si>
    <t>Food decay</t>
  </si>
  <si>
    <t>Mana drain</t>
  </si>
  <si>
    <t>Lumber rot</t>
  </si>
  <si>
    <t>Status</t>
  </si>
  <si>
    <t>Changes</t>
  </si>
  <si>
    <t>Factors</t>
  </si>
  <si>
    <t>Food eaten</t>
  </si>
  <si>
    <t>Peasants</t>
  </si>
  <si>
    <t>Military</t>
  </si>
  <si>
    <t>Population</t>
  </si>
  <si>
    <t>Draftees</t>
  </si>
  <si>
    <t>Spies</t>
  </si>
  <si>
    <t>Wizards</t>
  </si>
  <si>
    <t>Archmages</t>
  </si>
  <si>
    <t>Race</t>
  </si>
  <si>
    <t>Troll</t>
  </si>
  <si>
    <t>Evil</t>
  </si>
  <si>
    <t>Offense</t>
  </si>
  <si>
    <t>Defense</t>
  </si>
  <si>
    <t>Cost</t>
  </si>
  <si>
    <t>Name</t>
  </si>
  <si>
    <t>Alignment</t>
  </si>
  <si>
    <t>Identification</t>
  </si>
  <si>
    <t>Bonuses</t>
  </si>
  <si>
    <t>Military Units</t>
  </si>
  <si>
    <t>Plat</t>
  </si>
  <si>
    <t>Brute</t>
  </si>
  <si>
    <t>Ogre</t>
  </si>
  <si>
    <t>Basher</t>
  </si>
  <si>
    <t>Smasher</t>
  </si>
  <si>
    <t>Production Constants</t>
  </si>
  <si>
    <t>Alchemy</t>
  </si>
  <si>
    <t>Lumberyard</t>
  </si>
  <si>
    <t>Dock</t>
  </si>
  <si>
    <t>Oremine</t>
  </si>
  <si>
    <t>Diamondmine</t>
  </si>
  <si>
    <t>Building</t>
  </si>
  <si>
    <t>Boats/hr</t>
  </si>
  <si>
    <t>Farm</t>
  </si>
  <si>
    <t>Tower</t>
  </si>
  <si>
    <t>Buildings</t>
  </si>
  <si>
    <t>In Construction</t>
  </si>
  <si>
    <t>Barren</t>
  </si>
  <si>
    <t>Plains</t>
  </si>
  <si>
    <t>Construct</t>
  </si>
  <si>
    <t>Plat/acre</t>
  </si>
  <si>
    <t>Forest</t>
  </si>
  <si>
    <t>Mountians</t>
  </si>
  <si>
    <t>Hills</t>
  </si>
  <si>
    <t>Swamp</t>
  </si>
  <si>
    <t>Caverns</t>
  </si>
  <si>
    <t>Water</t>
  </si>
  <si>
    <t>Ly</t>
  </si>
  <si>
    <t>OM</t>
  </si>
  <si>
    <t>GN</t>
  </si>
  <si>
    <t>Fac</t>
  </si>
  <si>
    <t>GT</t>
  </si>
  <si>
    <t>Mas</t>
  </si>
  <si>
    <t>Smi</t>
  </si>
  <si>
    <t>Far</t>
  </si>
  <si>
    <t>Alc</t>
  </si>
  <si>
    <t>Hom</t>
  </si>
  <si>
    <t>Spy</t>
  </si>
  <si>
    <t>Tow</t>
  </si>
  <si>
    <t>DM</t>
  </si>
  <si>
    <t>Doc</t>
  </si>
  <si>
    <t>Resources</t>
  </si>
  <si>
    <t>Starting Resources</t>
  </si>
  <si>
    <t>Starting Barren Land</t>
  </si>
  <si>
    <t>Starting Buildings</t>
  </si>
  <si>
    <t xml:space="preserve">Lumber  </t>
  </si>
  <si>
    <t>Boats</t>
  </si>
  <si>
    <t>Starting Population</t>
  </si>
  <si>
    <t>Destroy</t>
  </si>
  <si>
    <t>Raw production</t>
  </si>
  <si>
    <t>Growth Factors</t>
  </si>
  <si>
    <t>Food Consumption</t>
  </si>
  <si>
    <t>Food/person</t>
  </si>
  <si>
    <t>Human</t>
  </si>
  <si>
    <t>Nomad</t>
  </si>
  <si>
    <t>Dwarf</t>
  </si>
  <si>
    <t>Wood Elf</t>
  </si>
  <si>
    <t>Halfling</t>
  </si>
  <si>
    <t>Gnome</t>
  </si>
  <si>
    <t>Merfolk</t>
  </si>
  <si>
    <t>Sylvan</t>
  </si>
  <si>
    <t>Goblin</t>
  </si>
  <si>
    <t>Good</t>
  </si>
  <si>
    <t>Dark Elf</t>
  </si>
  <si>
    <t>Undead</t>
  </si>
  <si>
    <t>Spirit</t>
  </si>
  <si>
    <t>Lycanthrope</t>
  </si>
  <si>
    <t>Kobold</t>
  </si>
  <si>
    <t>Lizardfolk</t>
  </si>
  <si>
    <t>Max Pop</t>
  </si>
  <si>
    <t>Pop growth</t>
  </si>
  <si>
    <t>Plat prod</t>
  </si>
  <si>
    <t>Food prod</t>
  </si>
  <si>
    <t>Lumber prod</t>
  </si>
  <si>
    <t>Mana prod</t>
  </si>
  <si>
    <t>Ore prod</t>
  </si>
  <si>
    <t>Gem prod</t>
  </si>
  <si>
    <t>Food cons</t>
  </si>
  <si>
    <t>Spystr</t>
  </si>
  <si>
    <t>Wizardstr</t>
  </si>
  <si>
    <t>Spearman</t>
  </si>
  <si>
    <t>Archer</t>
  </si>
  <si>
    <t>Knight</t>
  </si>
  <si>
    <t>Cavalry</t>
  </si>
  <si>
    <t>Fighter</t>
  </si>
  <si>
    <t>Soldier</t>
  </si>
  <si>
    <t>Miner</t>
  </si>
  <si>
    <t>Cleric</t>
  </si>
  <si>
    <t>Warrior</t>
  </si>
  <si>
    <t>Ranger</t>
  </si>
  <si>
    <t>Longbowman</t>
  </si>
  <si>
    <t>Mystic</t>
  </si>
  <si>
    <t>Druid</t>
  </si>
  <si>
    <t>Slinger</t>
  </si>
  <si>
    <t>Defender</t>
  </si>
  <si>
    <t>Staff Master</t>
  </si>
  <si>
    <t>Master Thief</t>
  </si>
  <si>
    <t>Suicide Squad</t>
  </si>
  <si>
    <t>Tinker</t>
  </si>
  <si>
    <t>Rockapult</t>
  </si>
  <si>
    <t>Juggernaut</t>
  </si>
  <si>
    <t>Mermen</t>
  </si>
  <si>
    <t>Kraken</t>
  </si>
  <si>
    <t>Sirens</t>
  </si>
  <si>
    <t>Leviathan</t>
  </si>
  <si>
    <t>Satyr</t>
  </si>
  <si>
    <t>Sprite</t>
  </si>
  <si>
    <t>Dryad</t>
  </si>
  <si>
    <t>Centaur</t>
  </si>
  <si>
    <t>Raider</t>
  </si>
  <si>
    <t>Shaman</t>
  </si>
  <si>
    <t>Orc</t>
  </si>
  <si>
    <t>Wolf Rider</t>
  </si>
  <si>
    <t>Swordsman</t>
  </si>
  <si>
    <t>Gargoyle</t>
  </si>
  <si>
    <t>Adept</t>
  </si>
  <si>
    <t>Spirit Warrior</t>
  </si>
  <si>
    <t>Skeleton</t>
  </si>
  <si>
    <t>Ghoul</t>
  </si>
  <si>
    <t>Phantom</t>
  </si>
  <si>
    <t>Banshee</t>
  </si>
  <si>
    <t>Spectre</t>
  </si>
  <si>
    <t>Scavenger</t>
  </si>
  <si>
    <t>Ratman</t>
  </si>
  <si>
    <t>Werewolf</t>
  </si>
  <si>
    <t>Garou</t>
  </si>
  <si>
    <t>Grunt</t>
  </si>
  <si>
    <t>Underling</t>
  </si>
  <si>
    <t>Beast</t>
  </si>
  <si>
    <t>Overlord</t>
  </si>
  <si>
    <t>Reptile</t>
  </si>
  <si>
    <t>Serpent</t>
  </si>
  <si>
    <t>Chameleon</t>
  </si>
  <si>
    <t>Lizardman</t>
  </si>
  <si>
    <t>Platinum prod</t>
  </si>
  <si>
    <t>Spy strength</t>
  </si>
  <si>
    <t>Wizard strength</t>
  </si>
  <si>
    <t>Max population</t>
  </si>
  <si>
    <t>Production Bonuses</t>
  </si>
  <si>
    <t>Tax</t>
  </si>
  <si>
    <t>Plat/person</t>
  </si>
  <si>
    <t>Growth</t>
  </si>
  <si>
    <t>Housing</t>
  </si>
  <si>
    <t>Non-Home</t>
  </si>
  <si>
    <t>Home</t>
  </si>
  <si>
    <t>Max pop</t>
  </si>
  <si>
    <t>Population bonuses</t>
  </si>
  <si>
    <t>Net Peasant</t>
  </si>
  <si>
    <t>Raw max</t>
  </si>
  <si>
    <t>Explore</t>
  </si>
  <si>
    <t>Mountains</t>
  </si>
  <si>
    <t>Draftees/acre</t>
  </si>
  <si>
    <t>Draftrate</t>
  </si>
  <si>
    <t>Set</t>
  </si>
  <si>
    <t>Train</t>
  </si>
  <si>
    <t>Wizard</t>
  </si>
  <si>
    <t>Archmage</t>
  </si>
  <si>
    <t>Smithies</t>
  </si>
  <si>
    <t>Expenses</t>
  </si>
  <si>
    <t>Release</t>
  </si>
  <si>
    <t>Total</t>
  </si>
  <si>
    <t>Military%</t>
  </si>
  <si>
    <t>Raw</t>
  </si>
  <si>
    <t>Facs</t>
  </si>
  <si>
    <t>Rezone</t>
  </si>
  <si>
    <t>RawCost</t>
  </si>
  <si>
    <t>Recources</t>
  </si>
  <si>
    <t>Ok?</t>
  </si>
  <si>
    <t>Wiz str</t>
  </si>
  <si>
    <t>Cast</t>
  </si>
  <si>
    <t>Gaia's Watch</t>
  </si>
  <si>
    <t>Mining Strength</t>
  </si>
  <si>
    <t>Ares Call</t>
  </si>
  <si>
    <t>Midas Touch</t>
  </si>
  <si>
    <t>Harmony</t>
  </si>
  <si>
    <t>Spell</t>
  </si>
  <si>
    <t>* Landsize</t>
  </si>
  <si>
    <t>Ares' Call</t>
  </si>
  <si>
    <t>Midas' Touch</t>
  </si>
  <si>
    <t>Active Spells</t>
  </si>
  <si>
    <t>Bonus</t>
  </si>
  <si>
    <t>Popgrowth</t>
  </si>
  <si>
    <t>Science</t>
  </si>
  <si>
    <t>Invested points</t>
  </si>
  <si>
    <t>Keep</t>
  </si>
  <si>
    <t>Towers</t>
  </si>
  <si>
    <t>Forges</t>
  </si>
  <si>
    <t>Walls</t>
  </si>
  <si>
    <t>Irrigation</t>
  </si>
  <si>
    <t>Invest</t>
  </si>
  <si>
    <t>Amount</t>
  </si>
  <si>
    <t>Investing</t>
  </si>
  <si>
    <t>Points to Science</t>
  </si>
  <si>
    <t>Points to Keep</t>
  </si>
  <si>
    <t>Points to Towers</t>
  </si>
  <si>
    <t>Points to Forges</t>
  </si>
  <si>
    <t>Points to Walls</t>
  </si>
  <si>
    <t>Points to Irrigation</t>
  </si>
  <si>
    <t>Employed</t>
  </si>
  <si>
    <t>Raw Birth</t>
  </si>
  <si>
    <t>Net max</t>
  </si>
  <si>
    <t>Modded</t>
  </si>
  <si>
    <t>LandBonus</t>
  </si>
  <si>
    <t>Take</t>
  </si>
  <si>
    <t>OOP</t>
  </si>
  <si>
    <t>Networth</t>
  </si>
  <si>
    <t>Wizzies</t>
  </si>
  <si>
    <t>WG's</t>
  </si>
  <si>
    <t>Modded Birth</t>
  </si>
  <si>
    <t>Waves</t>
  </si>
  <si>
    <t>Grabs</t>
  </si>
  <si>
    <t>Opponent</t>
  </si>
  <si>
    <t>Grab%</t>
  </si>
  <si>
    <t>Land Gain</t>
  </si>
  <si>
    <t>Min. networth*</t>
  </si>
  <si>
    <t>Troops</t>
  </si>
  <si>
    <t>estimation of</t>
  </si>
  <si>
    <t>land grabs</t>
  </si>
  <si>
    <t>Land Type</t>
  </si>
  <si>
    <t>Cavern</t>
  </si>
  <si>
    <t>Plain</t>
  </si>
  <si>
    <t>Hill</t>
  </si>
  <si>
    <t>Mountain</t>
  </si>
  <si>
    <t>(Replaces Mining Strength)</t>
  </si>
  <si>
    <t>Net production</t>
  </si>
  <si>
    <t>+ 1 wizard</t>
  </si>
  <si>
    <t>OPA</t>
  </si>
  <si>
    <t>DPA</t>
  </si>
  <si>
    <t>SPA</t>
  </si>
  <si>
    <t>Acres</t>
  </si>
  <si>
    <t>WPA</t>
  </si>
  <si>
    <t>Ratios</t>
  </si>
  <si>
    <t>Type</t>
  </si>
  <si>
    <t>Stats</t>
  </si>
  <si>
    <t>Home Land</t>
  </si>
  <si>
    <t>(Replaces Ares' Call)</t>
  </si>
  <si>
    <t>Plat/acre*</t>
  </si>
  <si>
    <t>Frenzy</t>
  </si>
  <si>
    <t>Miner's Sight</t>
  </si>
  <si>
    <t>Employment</t>
  </si>
  <si>
    <t>OP</t>
  </si>
  <si>
    <t>DP</t>
  </si>
  <si>
    <t>Boats will carry</t>
  </si>
  <si>
    <t>Carry</t>
  </si>
  <si>
    <t>peasants</t>
  </si>
  <si>
    <t>Barren*</t>
  </si>
  <si>
    <t>*Note: Barren Land for Halflings, Dwarves, Goblins, Kobolds and Gnomes house 10 people, while the other race's Barren Land house only 5.</t>
  </si>
  <si>
    <t>Manacost</t>
  </si>
  <si>
    <t>Drafees</t>
  </si>
  <si>
    <t>incoming land</t>
  </si>
  <si>
    <t>incoming buildings</t>
  </si>
  <si>
    <t>Plat Expense</t>
  </si>
  <si>
    <t>Category</t>
  </si>
  <si>
    <t>Construction</t>
  </si>
  <si>
    <t>Exploration</t>
  </si>
  <si>
    <t>Improvements</t>
  </si>
  <si>
    <t>Info</t>
  </si>
  <si>
    <t>Races</t>
  </si>
  <si>
    <t>EG Range</t>
  </si>
  <si>
    <t>RG Range</t>
  </si>
  <si>
    <t>Attacker</t>
  </si>
  <si>
    <t>Target</t>
  </si>
  <si>
    <t>Special Bonuses</t>
  </si>
  <si>
    <t>Land related</t>
  </si>
  <si>
    <t>Unit related</t>
  </si>
  <si>
    <t>race</t>
  </si>
  <si>
    <t>unit</t>
  </si>
  <si>
    <t>defense</t>
  </si>
  <si>
    <t>offense</t>
  </si>
  <si>
    <t>Total Land (ex homes)</t>
  </si>
  <si>
    <t>Homes</t>
  </si>
  <si>
    <t>Column</t>
  </si>
  <si>
    <t>Row</t>
  </si>
  <si>
    <t>WG</t>
  </si>
  <si>
    <t>Special race bonuses</t>
  </si>
  <si>
    <t>Mods</t>
  </si>
  <si>
    <t>Gaia's Blessing</t>
  </si>
  <si>
    <t>Explore Draftee Cost</t>
  </si>
  <si>
    <t>Some stats to keep track of</t>
  </si>
  <si>
    <t>Total acres</t>
  </si>
  <si>
    <t>Max Acres</t>
  </si>
  <si>
    <t>Rezone*</t>
  </si>
  <si>
    <t>Rezones 10 acres of mountain into forest</t>
  </si>
  <si>
    <t>*e.g.:</t>
  </si>
  <si>
    <t>Login</t>
  </si>
  <si>
    <t>Logins</t>
  </si>
  <si>
    <t>algorithm</t>
  </si>
  <si>
    <t>Servertime</t>
  </si>
  <si>
    <t>Time</t>
  </si>
  <si>
    <t>Special bonus networth</t>
  </si>
  <si>
    <t>Jobs</t>
  </si>
  <si>
    <t>Resource</t>
  </si>
  <si>
    <t>Part</t>
  </si>
  <si>
    <t>Current Hour</t>
  </si>
  <si>
    <t>Time:</t>
  </si>
  <si>
    <t>Login?</t>
  </si>
  <si>
    <t>Unit Names</t>
  </si>
  <si>
    <t>TimeZone</t>
  </si>
  <si>
    <t>(GMT)</t>
  </si>
  <si>
    <t>Today</t>
  </si>
  <si>
    <t>Plat Bonus</t>
  </si>
  <si>
    <t>Date&amp;Time</t>
  </si>
  <si>
    <t>Hour 1:</t>
  </si>
  <si>
    <t>Pop</t>
  </si>
  <si>
    <t>Guard</t>
  </si>
  <si>
    <t>Set Guard</t>
  </si>
  <si>
    <t>Beasts</t>
  </si>
  <si>
    <t>Overlords</t>
  </si>
  <si>
    <t>Icekin</t>
  </si>
  <si>
    <t>Ice Beast</t>
  </si>
  <si>
    <t>Snow Witch</t>
  </si>
  <si>
    <t>Frost Mage</t>
  </si>
  <si>
    <t>Ice Elemental</t>
  </si>
  <si>
    <t>Blizzard</t>
  </si>
  <si>
    <t>Howling</t>
  </si>
  <si>
    <t>(replaces Ares' Call)</t>
  </si>
  <si>
    <t>Fire Spirit</t>
  </si>
  <si>
    <t>Flamewolf</t>
  </si>
  <si>
    <t>Phoenix</t>
  </si>
  <si>
    <t>Salamander</t>
  </si>
  <si>
    <t>Alchemists Flame</t>
  </si>
  <si>
    <t>platinum per alchemy</t>
  </si>
  <si>
    <t>Firewalker</t>
  </si>
  <si>
    <t>Barracks</t>
  </si>
  <si>
    <t>troops</t>
  </si>
  <si>
    <t>(don’t count as raw pop but as modded pop)</t>
  </si>
  <si>
    <t>Hav</t>
  </si>
  <si>
    <t>Forest Haven</t>
  </si>
  <si>
    <t>Bar</t>
  </si>
  <si>
    <t>Tem</t>
  </si>
  <si>
    <t>Prestige</t>
  </si>
  <si>
    <t>Shr</t>
  </si>
  <si>
    <t>FH's</t>
  </si>
  <si>
    <t xml:space="preserve"> </t>
  </si>
  <si>
    <t>Hobgoblin</t>
  </si>
  <si>
    <t>Savage</t>
  </si>
  <si>
    <t>Bone Breaker</t>
  </si>
  <si>
    <t>barren</t>
  </si>
  <si>
    <t>incoming</t>
  </si>
  <si>
    <t>waves:</t>
  </si>
  <si>
    <t>time</t>
  </si>
  <si>
    <t>Popul.</t>
  </si>
  <si>
    <t>Employm.</t>
  </si>
  <si>
    <t>Draftees 61</t>
  </si>
  <si>
    <t>acres OOP</t>
  </si>
  <si>
    <t>Income OOP</t>
  </si>
  <si>
    <t>Plat 63</t>
  </si>
  <si>
    <t>Old:</t>
  </si>
  <si>
    <t>Sch</t>
  </si>
  <si>
    <t>Techpoints</t>
  </si>
  <si>
    <t>Required</t>
  </si>
  <si>
    <t>Rough</t>
  </si>
  <si>
    <t>Voodoo Magi</t>
  </si>
  <si>
    <t>Number of Logins</t>
  </si>
  <si>
    <t>OOP Results</t>
  </si>
  <si>
    <t>Haven dp</t>
  </si>
  <si>
    <t>Homeland:</t>
  </si>
  <si>
    <t>Alignment:</t>
  </si>
  <si>
    <t>old info</t>
  </si>
  <si>
    <t>actual info</t>
  </si>
  <si>
    <t>Relative</t>
  </si>
  <si>
    <t>Without Training</t>
  </si>
  <si>
    <t>Acknowledgement</t>
  </si>
  <si>
    <t>Production</t>
  </si>
  <si>
    <t>Master of Frugality</t>
  </si>
  <si>
    <t>Fruits of Labor</t>
  </si>
  <si>
    <t>Urban Mastery</t>
  </si>
  <si>
    <t>Treasure Hunt</t>
  </si>
  <si>
    <t>Conqueror's Crafts</t>
  </si>
  <si>
    <t>Enchanted Lands</t>
  </si>
  <si>
    <t>Tactical Battle</t>
  </si>
  <si>
    <t>Magical Weaponry</t>
  </si>
  <si>
    <t>Dark Artistry</t>
  </si>
  <si>
    <t>+10% food production</t>
  </si>
  <si>
    <t>+5% gem production</t>
  </si>
  <si>
    <t>+5% platinum production</t>
  </si>
  <si>
    <t>-5% exploring platinum cost</t>
  </si>
  <si>
    <t>-1 draftee cost</t>
  </si>
  <si>
    <t>-10% explore cost, -2 draftee cost</t>
  </si>
  <si>
    <t>-10% construction plat cost</t>
  </si>
  <si>
    <t>-10% rezoning cost</t>
  </si>
  <si>
    <t>+2% population maximum</t>
  </si>
  <si>
    <t>-10% offensive casualties</t>
  </si>
  <si>
    <t>-10% defensive casualties</t>
  </si>
  <si>
    <t xml:space="preserve">+5% attack power </t>
  </si>
  <si>
    <t>-10% spy losses</t>
  </si>
  <si>
    <t>+1 spy strength recovery</t>
  </si>
  <si>
    <t>-10% cost of spells</t>
  </si>
  <si>
    <t xml:space="preserve"> +1 wizard str/hour</t>
  </si>
  <si>
    <t>-25% off/def loss</t>
  </si>
  <si>
    <t>Techs</t>
  </si>
  <si>
    <t>Explorer</t>
  </si>
  <si>
    <t>Master of Resources</t>
  </si>
  <si>
    <t>-20% explore cost, +15% mana</t>
  </si>
  <si>
    <t>Magic</t>
  </si>
  <si>
    <t>+3 recovery wiz/spy str</t>
  </si>
  <si>
    <t>+10% fd</t>
  </si>
  <si>
    <t>+5% gem</t>
  </si>
  <si>
    <t>+5% plat</t>
  </si>
  <si>
    <t>-5% exp</t>
  </si>
  <si>
    <t>-1 drft</t>
  </si>
  <si>
    <t>-10% exp, -2 drft</t>
  </si>
  <si>
    <t>-10% constr</t>
  </si>
  <si>
    <t>-10% rez</t>
  </si>
  <si>
    <t>+2% pop</t>
  </si>
  <si>
    <t>-10% offcas</t>
  </si>
  <si>
    <t>-10% defcas</t>
  </si>
  <si>
    <t>+5% op</t>
  </si>
  <si>
    <t>-10% spycas</t>
  </si>
  <si>
    <t>-10% spycost</t>
  </si>
  <si>
    <t>+1 spystr</t>
  </si>
  <si>
    <t>-10% spellcost</t>
  </si>
  <si>
    <t>-10% wizcost</t>
  </si>
  <si>
    <t xml:space="preserve"> +1 wizstr</t>
  </si>
  <si>
    <t>-15% milcost</t>
  </si>
  <si>
    <t>30% lmb/ore 15% gems</t>
  </si>
  <si>
    <t>+7.5% pop</t>
  </si>
  <si>
    <t>+15% plat</t>
  </si>
  <si>
    <t>-30% constr/rez</t>
  </si>
  <si>
    <t>-20% exp, +15% mana</t>
  </si>
  <si>
    <t>-25% off/defcas</t>
  </si>
  <si>
    <t>+15% op, +15% wizstr</t>
  </si>
  <si>
    <t>+3 spy/wizstr</t>
  </si>
  <si>
    <t>hour</t>
  </si>
  <si>
    <t>food</t>
  </si>
  <si>
    <t>gems</t>
  </si>
  <si>
    <t>plat</t>
  </si>
  <si>
    <t>explore cost</t>
  </si>
  <si>
    <t>drafteecost</t>
  </si>
  <si>
    <t>construction cost</t>
  </si>
  <si>
    <t>rezoning cost</t>
  </si>
  <si>
    <t>population</t>
  </si>
  <si>
    <t>offensive casualties</t>
  </si>
  <si>
    <t>defensive casualties</t>
  </si>
  <si>
    <t>spylosses</t>
  </si>
  <si>
    <t>spycost</t>
  </si>
  <si>
    <t>spystr regen</t>
  </si>
  <si>
    <t>manacost</t>
  </si>
  <si>
    <t>wizard cost</t>
  </si>
  <si>
    <t>wizardstr regen</t>
  </si>
  <si>
    <t>training costs</t>
  </si>
  <si>
    <t>lumber/ore</t>
  </si>
  <si>
    <t>constr/rez cost</t>
  </si>
  <si>
    <t>mana</t>
  </si>
  <si>
    <t>casulaties</t>
  </si>
  <si>
    <t>wizardstr</t>
  </si>
  <si>
    <t>regen</t>
  </si>
  <si>
    <t>Forest Havens</t>
  </si>
  <si>
    <t>Draftee dp</t>
  </si>
  <si>
    <t>National Bank</t>
  </si>
  <si>
    <t>Imp</t>
  </si>
  <si>
    <t>Fiend</t>
  </si>
  <si>
    <t>Nightshade</t>
  </si>
  <si>
    <t>Lich</t>
  </si>
  <si>
    <t>Nightfall</t>
  </si>
  <si>
    <t>Select the hour of which you want to manage your techs with the Buttons in the first column (A).</t>
  </si>
  <si>
    <t>Issues:</t>
  </si>
  <si>
    <t>Assumptions:</t>
  </si>
  <si>
    <t>The explore cost function assumes you first explore, then take daily land bonus, when applicable.</t>
  </si>
  <si>
    <t>land</t>
  </si>
  <si>
    <t>spies</t>
  </si>
  <si>
    <t>dp mods</t>
  </si>
  <si>
    <t>number</t>
  </si>
  <si>
    <t>nw</t>
  </si>
  <si>
    <t>dp</t>
  </si>
  <si>
    <t>New:</t>
  </si>
  <si>
    <t>max</t>
  </si>
  <si>
    <t>% cost red</t>
  </si>
  <si>
    <t>Invest bonus</t>
  </si>
  <si>
    <t>*Min. networth = all land built, no military.</t>
  </si>
  <si>
    <t>Late dom creation: +resources per day</t>
  </si>
  <si>
    <t>def specs</t>
  </si>
  <si>
    <t>draftees</t>
  </si>
  <si>
    <t>opmods</t>
  </si>
  <si>
    <t>spy+wiz</t>
  </si>
  <si>
    <t>op</t>
  </si>
  <si>
    <t>Also, the sim assumes you dont cheat. That is: take platbonus twice a day, expend more plat than you have, etc.</t>
  </si>
  <si>
    <t>Start of the round</t>
  </si>
  <si>
    <t>The sim assumes your construction minus 20 land occurs before you take the landbonus.</t>
  </si>
  <si>
    <r>
      <t xml:space="preserve">Hello and welcome to my simulator. Input your desired race in the black-outlined </t>
    </r>
    <r>
      <rPr>
        <sz val="10"/>
        <color indexed="52"/>
        <rFont val="Arial"/>
        <family val="2"/>
      </rPr>
      <t>orange</t>
    </r>
    <r>
      <rPr>
        <sz val="10"/>
        <color indexed="8"/>
        <rFont val="Arial"/>
        <family val="2"/>
      </rPr>
      <t xml:space="preserve"> box below. Make sure you spell it correctly, or just select it by using the arrow that appears next to the cell.You can change your race at any time later on, but it will affect all the numbers and such instantly. Next, input the wavenumber in which you start. There are 6 waves and they are described on the constants page. On all the sheets there are orange boxes like the one you see below. Try filling in some numbers. </t>
    </r>
    <r>
      <rPr>
        <b/>
        <sz val="10"/>
        <color indexed="8"/>
        <rFont val="Arial"/>
        <family val="2"/>
      </rPr>
      <t>Don't mess with non-orange cells</t>
    </r>
    <r>
      <rPr>
        <sz val="10"/>
        <color indexed="8"/>
        <rFont val="Arial"/>
        <family val="2"/>
      </rPr>
      <t>. Check out all the sheets. Row 3 represents hour 1, row 4 is hour 2 etc. Oh, one more thing. When you want to 'Take' or 'Cast' something, fill in a "1" in the appropriate field. A hint to lazy people. If you want to copy stuff, DON’T USE CUT or CTRL-X. Use copy/ctrl-c and special paste-formulas or -values. Btw, there is nothing wrong with being lazy. Greetz, Blackreign.</t>
    </r>
  </si>
  <si>
    <t>Getting started</t>
  </si>
  <si>
    <t>Welcome</t>
  </si>
  <si>
    <t>Go to the construction sheettab by press the Construction tab on the bottom of the screen. Don't be alarmed by all the numbers, everything will become clear shortly. Above you can see columns, and on your left you see the rownumbers. Click on cell O3. Now fill in 40 and press enter. Now you have modified the sim to construct 40 alchemies on hour one. The row below the number you just entered belongs to hour 2. Try out some stuff for yourself now. Good luck.</t>
  </si>
  <si>
    <t>Destroying factories and building the acres the same hour does not use the right cost. It assumes old factory percentage for construction, people may want to destroy and rebuild them a few at a time.</t>
  </si>
  <si>
    <t xml:space="preserve">+12.5% plat production </t>
  </si>
  <si>
    <t xml:space="preserve">+6% population maximum  </t>
  </si>
  <si>
    <t>-20% cost of mages</t>
  </si>
  <si>
    <t>-20% cost of spies</t>
  </si>
  <si>
    <t>20% lumber/ore 10% gems</t>
  </si>
  <si>
    <t>-30% construction/rezone costs</t>
  </si>
  <si>
    <t>-10% mil. Cost</t>
  </si>
  <si>
    <t>Research</t>
  </si>
  <si>
    <t>Masonries</t>
  </si>
  <si>
    <t>Factories</t>
  </si>
  <si>
    <t>% building red</t>
  </si>
  <si>
    <t>% rezone red</t>
  </si>
  <si>
    <t>Imps</t>
  </si>
  <si>
    <t>Maxima</t>
  </si>
  <si>
    <t>Walls/Forges</t>
  </si>
  <si>
    <t>Irrigation/Towers</t>
  </si>
  <si>
    <t>Modifier</t>
  </si>
  <si>
    <t>+10% offense +15% wiz str</t>
  </si>
  <si>
    <t>Variable Unit Powers</t>
  </si>
  <si>
    <t>Frostmage</t>
  </si>
  <si>
    <t>Max</t>
  </si>
  <si>
    <t>* raw WPA</t>
  </si>
  <si>
    <t>* prestige</t>
  </si>
  <si>
    <t>1 /</t>
  </si>
  <si>
    <t>none</t>
  </si>
  <si>
    <t>forest</t>
  </si>
  <si>
    <t>mountain</t>
  </si>
  <si>
    <t>Minimum Cost</t>
  </si>
  <si>
    <t>per acre</t>
  </si>
  <si>
    <t>Log Hour:</t>
  </si>
  <si>
    <t>Draft</t>
  </si>
  <si>
    <t>Raw Defense</t>
  </si>
  <si>
    <t>Mod Defense</t>
  </si>
  <si>
    <t>Non Draft</t>
  </si>
  <si>
    <t>Wizard Guilds</t>
  </si>
  <si>
    <t>WGs</t>
  </si>
  <si>
    <t>additional</t>
  </si>
  <si>
    <t>Non-HomeRax</t>
  </si>
  <si>
    <t>FHs</t>
  </si>
  <si>
    <t>DP per peas</t>
  </si>
  <si>
    <t>% spy cost red</t>
  </si>
  <si>
    <t>% wiz cost red</t>
  </si>
  <si>
    <t>% spell cost red</t>
  </si>
  <si>
    <t>% imp bonus</t>
  </si>
  <si>
    <t>Const</t>
  </si>
  <si>
    <t>Race Bonuses</t>
  </si>
  <si>
    <t>Rezone Cost</t>
  </si>
  <si>
    <t>Construction Cost</t>
  </si>
  <si>
    <t>Troop Costs</t>
  </si>
  <si>
    <t>E1 Plat</t>
  </si>
  <si>
    <t>E1 Ore</t>
  </si>
  <si>
    <t>E2 Plat</t>
  </si>
  <si>
    <t>E2 Ore</t>
  </si>
  <si>
    <t>AMs</t>
  </si>
  <si>
    <t>Dwarf/Gnome</t>
  </si>
  <si>
    <t>swamp</t>
  </si>
  <si>
    <t>Nox</t>
  </si>
  <si>
    <t>?</t>
  </si>
  <si>
    <t>Starting days late</t>
  </si>
  <si>
    <t>Other</t>
  </si>
  <si>
    <t>Start prestige</t>
  </si>
  <si>
    <t>food bonus</t>
  </si>
  <si>
    <t>pop multiplier</t>
  </si>
  <si>
    <t>offense bonus</t>
  </si>
  <si>
    <t>parameter</t>
  </si>
  <si>
    <t>Wg</t>
  </si>
  <si>
    <t>Land-DB</t>
  </si>
  <si>
    <t>% dp bonus</t>
  </si>
  <si>
    <t>% op bonus</t>
  </si>
  <si>
    <t>Raw cost per acre</t>
  </si>
  <si>
    <t>Total Cost</t>
  </si>
  <si>
    <t>-DB</t>
  </si>
  <si>
    <t>Cost per acre -DB</t>
  </si>
  <si>
    <t>Cost per acre DB</t>
  </si>
  <si>
    <t>DB</t>
  </si>
  <si>
    <t>build -db</t>
  </si>
  <si>
    <t>build db</t>
  </si>
  <si>
    <t>Lumb</t>
  </si>
  <si>
    <t>Gem</t>
  </si>
  <si>
    <t>Boat</t>
  </si>
  <si>
    <t>Exchange</t>
  </si>
  <si>
    <t>Ants</t>
  </si>
  <si>
    <t>Soldier Ant</t>
  </si>
  <si>
    <t>Worker Ant</t>
  </si>
  <si>
    <t>Giant Ant</t>
  </si>
  <si>
    <t>Flying Ant</t>
  </si>
  <si>
    <t>Armada</t>
  </si>
  <si>
    <t>Ensign</t>
  </si>
  <si>
    <t>Commodore</t>
  </si>
  <si>
    <t>Oreclad</t>
  </si>
  <si>
    <t>Siege Ship</t>
  </si>
  <si>
    <t>Beastfolk</t>
  </si>
  <si>
    <t>Boarman</t>
  </si>
  <si>
    <t>Ram</t>
  </si>
  <si>
    <t>Goat Witch</t>
  </si>
  <si>
    <t>Minotaur</t>
  </si>
  <si>
    <t>Lux</t>
  </si>
  <si>
    <t>Essence</t>
  </si>
  <si>
    <t>Hex</t>
  </si>
  <si>
    <t>Vex</t>
  </si>
  <si>
    <t>Pax</t>
  </si>
  <si>
    <t>Norse</t>
  </si>
  <si>
    <t>Berserk</t>
  </si>
  <si>
    <t>Norn</t>
  </si>
  <si>
    <t>Valkyrja</t>
  </si>
  <si>
    <t>Einherjar</t>
  </si>
  <si>
    <t>Sacred Order</t>
  </si>
  <si>
    <t>Martyr</t>
  </si>
  <si>
    <t>Monk</t>
  </si>
  <si>
    <t>Fanatic</t>
  </si>
  <si>
    <t>Holy Warrior</t>
  </si>
  <si>
    <t>Wisp</t>
  </si>
  <si>
    <t>Templars</t>
  </si>
  <si>
    <t>Crusader</t>
  </si>
  <si>
    <t>Follower</t>
  </si>
  <si>
    <t>Pikeman</t>
  </si>
  <si>
    <t>Paladin</t>
  </si>
  <si>
    <t>Afflicted</t>
  </si>
  <si>
    <t>Zombie</t>
  </si>
  <si>
    <t>Pest Rat</t>
  </si>
  <si>
    <t>Necromancer</t>
  </si>
  <si>
    <t>Reaper</t>
  </si>
  <si>
    <t>Black Orc</t>
  </si>
  <si>
    <t>Shieldbearer</t>
  </si>
  <si>
    <t>Warlock</t>
  </si>
  <si>
    <t>Warboss</t>
  </si>
  <si>
    <t>Demon</t>
  </si>
  <si>
    <t>Hellhound</t>
  </si>
  <si>
    <t>Tormentor</t>
  </si>
  <si>
    <t>Abomination</t>
  </si>
  <si>
    <t>Archdemon</t>
  </si>
  <si>
    <t>Dragon</t>
  </si>
  <si>
    <t>Wyrm</t>
  </si>
  <si>
    <t>Drake</t>
  </si>
  <si>
    <t>Wyvern</t>
  </si>
  <si>
    <t>Lesser Dragon</t>
  </si>
  <si>
    <t>Abscess</t>
  </si>
  <si>
    <t>Blister</t>
  </si>
  <si>
    <t>Cyst</t>
  </si>
  <si>
    <t>Ulcer</t>
  </si>
  <si>
    <t>Imperial Gnome</t>
  </si>
  <si>
    <t>Hammer Troop</t>
  </si>
  <si>
    <t>Automaton</t>
  </si>
  <si>
    <t>Catapult</t>
  </si>
  <si>
    <t>Airship</t>
  </si>
  <si>
    <t>Kharash</t>
  </si>
  <si>
    <t>Kheshig</t>
  </si>
  <si>
    <t>Horse Archer</t>
  </si>
  <si>
    <t>Revenant</t>
  </si>
  <si>
    <t>Wraith</t>
  </si>
  <si>
    <t>Void</t>
  </si>
  <si>
    <t>Fallen</t>
  </si>
  <si>
    <t>Shadow</t>
  </si>
  <si>
    <t>Vision</t>
  </si>
  <si>
    <t>Nightmare</t>
  </si>
  <si>
    <t>All tools herein were created by Blackreign, Mickles and whoever else was amazing enough to keep this running.</t>
  </si>
  <si>
    <t>Snow Elf</t>
  </si>
  <si>
    <t>Ant Explore Penalty:</t>
  </si>
  <si>
    <t>FH</t>
  </si>
  <si>
    <t>temple</t>
  </si>
  <si>
    <t>shrine</t>
  </si>
  <si>
    <t>alchemy</t>
  </si>
  <si>
    <t>IE</t>
  </si>
  <si>
    <t>GW</t>
  </si>
  <si>
    <t>Min</t>
  </si>
  <si>
    <t>HolW</t>
  </si>
  <si>
    <t>Ban</t>
  </si>
  <si>
    <t>Phan</t>
  </si>
  <si>
    <t>Wrai</t>
  </si>
  <si>
    <t>Temp</t>
  </si>
  <si>
    <t>Shrine</t>
  </si>
  <si>
    <t>Alchs</t>
  </si>
  <si>
    <t>Fana</t>
  </si>
  <si>
    <t>S1 Plat</t>
  </si>
  <si>
    <t>S1 Ore</t>
  </si>
  <si>
    <t>S2 Plat</t>
  </si>
  <si>
    <t>S2 Ore</t>
  </si>
  <si>
    <t>Souls</t>
  </si>
  <si>
    <t>S2 Man</t>
  </si>
  <si>
    <t>S2 Gem</t>
  </si>
  <si>
    <t>S2 Food</t>
  </si>
  <si>
    <t>New imps</t>
  </si>
  <si>
    <t>E1 Lum</t>
  </si>
  <si>
    <t>E1 Gem</t>
  </si>
  <si>
    <t>E1 Mana</t>
  </si>
  <si>
    <t>E1 Food</t>
  </si>
  <si>
    <t>E1 Boat</t>
  </si>
  <si>
    <t>E2 Lum</t>
  </si>
  <si>
    <t>E2 Gem</t>
  </si>
  <si>
    <t>E2 Mana</t>
  </si>
  <si>
    <t>E2 Food</t>
  </si>
  <si>
    <t>E2 Boat</t>
  </si>
  <si>
    <t>S1 Mana</t>
  </si>
  <si>
    <t>S1 Food</t>
  </si>
  <si>
    <t>Unique unit costs: prestige, souls, essence, other units</t>
  </si>
  <si>
    <t>Swarming</t>
  </si>
  <si>
    <t>Coastal Cannons</t>
  </si>
  <si>
    <t>Aurora</t>
  </si>
  <si>
    <t>Metabolism</t>
  </si>
  <si>
    <t>Spiral Architecture</t>
  </si>
  <si>
    <t>Peasant draftrate</t>
  </si>
  <si>
    <t>Defense per 1% water, max 20 (replaces Ares' Call)</t>
  </si>
  <si>
    <t>Food rot</t>
  </si>
  <si>
    <t>Castle investment</t>
  </si>
  <si>
    <t>Crusade</t>
  </si>
  <si>
    <t>Killing Rage</t>
  </si>
  <si>
    <t>Bloodrage</t>
  </si>
  <si>
    <t>Unholy Ghost</t>
  </si>
  <si>
    <t>Warsong</t>
  </si>
  <si>
    <t>Campaign</t>
  </si>
  <si>
    <t>Ambush</t>
  </si>
  <si>
    <t>Fimbulwinter</t>
  </si>
  <si>
    <t>Infernal Fury</t>
  </si>
  <si>
    <t>Duration</t>
  </si>
  <si>
    <t>Desecration</t>
  </si>
  <si>
    <t>No sim impact</t>
  </si>
  <si>
    <t>Defensive Frenzy</t>
  </si>
  <si>
    <t>Unknown</t>
  </si>
  <si>
    <t>Charybdis' Gape</t>
  </si>
  <si>
    <t>Human / Sacred Order</t>
  </si>
  <si>
    <t>Orc / Black Orc</t>
  </si>
  <si>
    <t>Sylvan / Templars</t>
  </si>
  <si>
    <t>Firewalker / Spirit</t>
  </si>
  <si>
    <t>Regeneration</t>
  </si>
  <si>
    <t>Parasitic Hunger</t>
  </si>
  <si>
    <t>Useless Spell</t>
  </si>
  <si>
    <t>Daily land bonus changed to 25 acres to simulate random 10-40 average.</t>
  </si>
  <si>
    <t>National bank exchange bonuses</t>
  </si>
  <si>
    <t>* raw SPA</t>
  </si>
  <si>
    <t>StafM</t>
  </si>
  <si>
    <t>BlOrc</t>
  </si>
  <si>
    <t>Not yet implemented:</t>
  </si>
  <si>
    <t>water</t>
  </si>
  <si>
    <t>Liz</t>
  </si>
  <si>
    <t>Unit pairing bonuses not yet added</t>
  </si>
  <si>
    <t>Snow Elves not yet implemented</t>
  </si>
  <si>
    <t>ODA Round 6</t>
  </si>
  <si>
    <t>Networth values not accurate</t>
  </si>
  <si>
    <t>Lux spell and training - In Progress</t>
  </si>
  <si>
    <t>Impaler</t>
  </si>
</sst>
</file>

<file path=xl/styles.xml><?xml version="1.0" encoding="utf-8"?>
<styleSheet xmlns="http://schemas.openxmlformats.org/spreadsheetml/2006/main">
  <numFmts count="9">
    <numFmt numFmtId="164" formatCode="_-* #,##0.00_-;_-* #,##0.00\-;_-* &quot;-&quot;??_-;_-@_-"/>
    <numFmt numFmtId="165" formatCode="00000"/>
    <numFmt numFmtId="166" formatCode="0.0%"/>
    <numFmt numFmtId="167" formatCode="0.0"/>
    <numFmt numFmtId="168" formatCode="mm/dd/yy"/>
    <numFmt numFmtId="169" formatCode="0.000"/>
    <numFmt numFmtId="170" formatCode="m/d;@"/>
    <numFmt numFmtId="171" formatCode="dddd"/>
    <numFmt numFmtId="172" formatCode="_-* #,##0_-;_-* #,##0\-;_-* &quot;-&quot;??_-;_-@_-"/>
  </numFmts>
  <fonts count="30">
    <font>
      <sz val="10"/>
      <name val="Arial"/>
    </font>
    <font>
      <sz val="10"/>
      <color theme="1"/>
      <name val="Arial"/>
      <family val="2"/>
    </font>
    <font>
      <sz val="10"/>
      <name val="Arial"/>
      <family val="2"/>
    </font>
    <font>
      <sz val="10"/>
      <name val="Arial"/>
      <family val="2"/>
    </font>
    <font>
      <b/>
      <sz val="10"/>
      <name val="Arial"/>
      <family val="2"/>
    </font>
    <font>
      <b/>
      <u/>
      <sz val="12"/>
      <name val="Arial"/>
      <family val="2"/>
    </font>
    <font>
      <u/>
      <sz val="10"/>
      <name val="Arial"/>
      <family val="2"/>
    </font>
    <font>
      <i/>
      <sz val="10"/>
      <name val="Arial"/>
      <family val="2"/>
    </font>
    <font>
      <b/>
      <i/>
      <sz val="10"/>
      <name val="Arial"/>
      <family val="2"/>
    </font>
    <font>
      <sz val="8"/>
      <color indexed="81"/>
      <name val="Tahoma"/>
      <family val="2"/>
    </font>
    <font>
      <b/>
      <sz val="8"/>
      <color indexed="81"/>
      <name val="Tahoma"/>
      <family val="2"/>
    </font>
    <font>
      <b/>
      <sz val="10"/>
      <color indexed="22"/>
      <name val="Arial"/>
      <family val="2"/>
    </font>
    <font>
      <sz val="10"/>
      <color indexed="22"/>
      <name val="Arial"/>
      <family val="2"/>
    </font>
    <font>
      <i/>
      <u/>
      <sz val="10"/>
      <color indexed="22"/>
      <name val="Arial"/>
      <family val="2"/>
    </font>
    <font>
      <u/>
      <sz val="10"/>
      <color indexed="22"/>
      <name val="Arial"/>
      <family val="2"/>
    </font>
    <font>
      <sz val="14"/>
      <name val="Arial"/>
      <family val="2"/>
    </font>
    <font>
      <b/>
      <sz val="14"/>
      <name val="Arial"/>
      <family val="2"/>
    </font>
    <font>
      <sz val="10"/>
      <color indexed="8"/>
      <name val="Arial"/>
      <family val="2"/>
    </font>
    <font>
      <sz val="10"/>
      <color indexed="47"/>
      <name val="Arial"/>
      <family val="2"/>
    </font>
    <font>
      <b/>
      <sz val="10"/>
      <name val="Bookman Old Style"/>
      <family val="1"/>
    </font>
    <font>
      <sz val="10"/>
      <color indexed="42"/>
      <name val="Arial"/>
      <family val="2"/>
    </font>
    <font>
      <b/>
      <sz val="10"/>
      <color indexed="9"/>
      <name val="Bookman Old Style"/>
      <family val="1"/>
    </font>
    <font>
      <sz val="10"/>
      <color indexed="52"/>
      <name val="Arial"/>
      <family val="2"/>
    </font>
    <font>
      <b/>
      <sz val="10"/>
      <color indexed="8"/>
      <name val="Arial"/>
      <family val="2"/>
    </font>
    <font>
      <b/>
      <sz val="12"/>
      <color indexed="8"/>
      <name val="Arial"/>
      <family val="2"/>
    </font>
    <font>
      <b/>
      <sz val="12"/>
      <name val="Arial"/>
      <family val="2"/>
    </font>
    <font>
      <b/>
      <sz val="10"/>
      <color indexed="81"/>
      <name val="Tahoma"/>
      <family val="2"/>
    </font>
    <font>
      <sz val="10"/>
      <color indexed="9"/>
      <name val="Arial"/>
      <family val="2"/>
    </font>
    <font>
      <b/>
      <sz val="18"/>
      <color indexed="8"/>
      <name val="Arial"/>
      <family val="2"/>
    </font>
    <font>
      <sz val="10"/>
      <color theme="0" tint="-0.249977111117893"/>
      <name val="Arial"/>
      <family val="2"/>
    </font>
  </fonts>
  <fills count="15">
    <fill>
      <patternFill patternType="none"/>
    </fill>
    <fill>
      <patternFill patternType="gray125"/>
    </fill>
    <fill>
      <patternFill patternType="solid">
        <fgColor indexed="42"/>
        <bgColor indexed="64"/>
      </patternFill>
    </fill>
    <fill>
      <patternFill patternType="solid">
        <fgColor indexed="17"/>
        <bgColor indexed="64"/>
      </patternFill>
    </fill>
    <fill>
      <patternFill patternType="solid">
        <fgColor indexed="22"/>
        <bgColor indexed="64"/>
      </patternFill>
    </fill>
    <fill>
      <patternFill patternType="solid">
        <fgColor indexed="60"/>
        <bgColor indexed="64"/>
      </patternFill>
    </fill>
    <fill>
      <patternFill patternType="solid">
        <fgColor indexed="21"/>
        <bgColor indexed="64"/>
      </patternFill>
    </fill>
    <fill>
      <patternFill patternType="solid">
        <fgColor indexed="45"/>
        <bgColor indexed="64"/>
      </patternFill>
    </fill>
    <fill>
      <patternFill patternType="solid">
        <fgColor indexed="40"/>
        <bgColor indexed="64"/>
      </patternFill>
    </fill>
    <fill>
      <patternFill patternType="solid">
        <fgColor indexed="43"/>
        <bgColor indexed="64"/>
      </patternFill>
    </fill>
    <fill>
      <patternFill patternType="solid">
        <fgColor indexed="47"/>
        <bgColor indexed="64"/>
      </patternFill>
    </fill>
    <fill>
      <patternFill patternType="solid">
        <fgColor indexed="11"/>
        <bgColor indexed="64"/>
      </patternFill>
    </fill>
    <fill>
      <patternFill patternType="solid">
        <fgColor indexed="9"/>
        <bgColor indexed="64"/>
      </patternFill>
    </fill>
    <fill>
      <patternFill patternType="solid">
        <fgColor indexed="44"/>
        <bgColor indexed="64"/>
      </patternFill>
    </fill>
    <fill>
      <patternFill patternType="solid">
        <fgColor rgb="FF00FF00"/>
        <bgColor indexed="64"/>
      </patternFill>
    </fill>
  </fills>
  <borders count="112">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top style="double">
        <color indexed="64"/>
      </top>
      <bottom style="double">
        <color indexed="64"/>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double">
        <color indexed="64"/>
      </top>
      <bottom style="double">
        <color indexed="64"/>
      </bottom>
      <diagonal/>
    </border>
    <border>
      <left/>
      <right/>
      <top style="mediumDashed">
        <color indexed="64"/>
      </top>
      <bottom style="mediumDashed">
        <color indexed="64"/>
      </bottom>
      <diagonal/>
    </border>
    <border>
      <left style="thin">
        <color indexed="64"/>
      </left>
      <right/>
      <top style="mediumDashed">
        <color indexed="64"/>
      </top>
      <bottom style="mediumDashed">
        <color indexed="64"/>
      </bottom>
      <diagonal/>
    </border>
    <border>
      <left/>
      <right style="thin">
        <color indexed="64"/>
      </right>
      <top style="mediumDashed">
        <color indexed="64"/>
      </top>
      <bottom style="mediumDashed">
        <color indexed="64"/>
      </bottom>
      <diagonal/>
    </border>
    <border>
      <left style="thin">
        <color indexed="64"/>
      </left>
      <right style="thin">
        <color indexed="64"/>
      </right>
      <top style="mediumDashed">
        <color indexed="64"/>
      </top>
      <bottom style="mediumDashed">
        <color indexed="64"/>
      </bottom>
      <diagonal/>
    </border>
    <border>
      <left style="medium">
        <color indexed="64"/>
      </left>
      <right/>
      <top style="mediumDashed">
        <color indexed="64"/>
      </top>
      <bottom style="mediumDashed">
        <color indexed="64"/>
      </bottom>
      <diagonal/>
    </border>
    <border>
      <left style="thin">
        <color indexed="64"/>
      </left>
      <right style="medium">
        <color indexed="64"/>
      </right>
      <top style="mediumDashed">
        <color indexed="64"/>
      </top>
      <bottom style="mediumDashed">
        <color indexed="64"/>
      </bottom>
      <diagonal/>
    </border>
    <border>
      <left style="thin">
        <color indexed="64"/>
      </left>
      <right style="thin">
        <color indexed="64"/>
      </right>
      <top style="thin">
        <color indexed="64"/>
      </top>
      <bottom/>
      <diagonal/>
    </border>
    <border>
      <left/>
      <right/>
      <top style="medium">
        <color indexed="64"/>
      </top>
      <bottom/>
      <diagonal/>
    </border>
    <border>
      <left style="thick">
        <color indexed="64"/>
      </left>
      <right/>
      <top/>
      <bottom/>
      <diagonal/>
    </border>
    <border>
      <left style="thick">
        <color indexed="64"/>
      </left>
      <right/>
      <top/>
      <bottom style="thin">
        <color indexed="64"/>
      </bottom>
      <diagonal/>
    </border>
    <border>
      <left style="thick">
        <color indexed="64"/>
      </left>
      <right/>
      <top style="thin">
        <color indexed="64"/>
      </top>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style="mediumDashed">
        <color indexed="64"/>
      </top>
      <bottom style="mediumDashed">
        <color indexed="64"/>
      </bottom>
      <diagonal/>
    </border>
    <border>
      <left/>
      <right style="medium">
        <color indexed="64"/>
      </right>
      <top style="double">
        <color indexed="64"/>
      </top>
      <bottom style="double">
        <color indexed="64"/>
      </bottom>
      <diagonal/>
    </border>
    <border>
      <left style="medium">
        <color indexed="64"/>
      </left>
      <right style="thin">
        <color indexed="64"/>
      </right>
      <top/>
      <bottom/>
      <diagonal/>
    </border>
    <border>
      <left style="medium">
        <color indexed="64"/>
      </left>
      <right style="thin">
        <color indexed="64"/>
      </right>
      <top style="mediumDashed">
        <color indexed="64"/>
      </top>
      <bottom style="mediumDashed">
        <color indexed="64"/>
      </bottom>
      <diagonal/>
    </border>
    <border>
      <left style="medium">
        <color indexed="64"/>
      </left>
      <right style="thin">
        <color indexed="64"/>
      </right>
      <top style="double">
        <color indexed="64"/>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Dashed">
        <color indexed="64"/>
      </top>
      <bottom style="mediumDashed">
        <color indexed="64"/>
      </bottom>
      <diagonal/>
    </border>
    <border>
      <left style="medium">
        <color indexed="64"/>
      </left>
      <right style="medium">
        <color indexed="64"/>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Dashed">
        <color indexed="64"/>
      </top>
      <bottom/>
      <diagonal/>
    </border>
    <border>
      <left/>
      <right/>
      <top style="mediumDashed">
        <color indexed="64"/>
      </top>
      <bottom/>
      <diagonal/>
    </border>
    <border>
      <left/>
      <right style="medium">
        <color indexed="64"/>
      </right>
      <top style="mediumDashed">
        <color indexed="64"/>
      </top>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diagonal/>
    </border>
    <border>
      <left style="thick">
        <color indexed="64"/>
      </left>
      <right style="thin">
        <color indexed="64"/>
      </right>
      <top style="thin">
        <color indexed="64"/>
      </top>
      <bottom/>
      <diagonal/>
    </border>
    <border>
      <left style="thick">
        <color indexed="64"/>
      </left>
      <right style="thin">
        <color indexed="64"/>
      </right>
      <top style="mediumDashed">
        <color indexed="64"/>
      </top>
      <bottom style="mediumDashed">
        <color indexed="64"/>
      </bottom>
      <diagonal/>
    </border>
    <border>
      <left style="thick">
        <color indexed="64"/>
      </left>
      <right style="thin">
        <color indexed="64"/>
      </right>
      <top/>
      <bottom style="thin">
        <color indexed="64"/>
      </bottom>
      <diagonal/>
    </border>
    <border>
      <left style="thick">
        <color indexed="64"/>
      </left>
      <right style="thin">
        <color indexed="64"/>
      </right>
      <top style="double">
        <color indexed="64"/>
      </top>
      <bottom style="double">
        <color indexed="64"/>
      </bottom>
      <diagonal/>
    </border>
    <border>
      <left style="medium">
        <color indexed="64"/>
      </left>
      <right style="thin">
        <color indexed="64"/>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medium">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medium">
        <color indexed="64"/>
      </right>
      <top style="thick">
        <color indexed="64"/>
      </top>
      <bottom style="thick">
        <color indexed="64"/>
      </bottom>
      <diagonal/>
    </border>
    <border>
      <left style="medium">
        <color indexed="64"/>
      </left>
      <right style="medium">
        <color indexed="64"/>
      </right>
      <top style="thick">
        <color indexed="64"/>
      </top>
      <bottom style="thick">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ck">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bottom style="thick">
        <color indexed="64"/>
      </bottom>
      <diagonal/>
    </border>
    <border>
      <left style="thick">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bottom style="thick">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right/>
      <top style="thick">
        <color indexed="64"/>
      </top>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style="thick">
        <color indexed="64"/>
      </left>
      <right style="thin">
        <color indexed="64"/>
      </right>
      <top/>
      <bottom style="medium">
        <color indexed="64"/>
      </bottom>
      <diagonal/>
    </border>
    <border>
      <left style="thick">
        <color indexed="64"/>
      </left>
      <right/>
      <top style="medium">
        <color indexed="64"/>
      </top>
      <bottom/>
      <diagonal/>
    </border>
    <border>
      <left style="medium">
        <color indexed="64"/>
      </left>
      <right/>
      <top style="thick">
        <color indexed="64"/>
      </top>
      <bottom/>
      <diagonal/>
    </border>
    <border>
      <left/>
      <right style="medium">
        <color indexed="64"/>
      </right>
      <top style="thick">
        <color indexed="64"/>
      </top>
      <bottom/>
      <diagonal/>
    </border>
    <border>
      <left style="mediumDashed">
        <color indexed="64"/>
      </left>
      <right style="thin">
        <color indexed="64"/>
      </right>
      <top style="mediumDashed">
        <color indexed="64"/>
      </top>
      <bottom style="mediumDashed">
        <color indexed="64"/>
      </bottom>
      <diagonal/>
    </border>
    <border>
      <left style="mediumDashed">
        <color auto="1"/>
      </left>
      <right/>
      <top style="mediumDashed">
        <color auto="1"/>
      </top>
      <bottom style="mediumDashed">
        <color auto="1"/>
      </bottom>
      <diagonal/>
    </border>
  </borders>
  <cellStyleXfs count="8">
    <xf numFmtId="0" fontId="0" fillId="0" borderId="0"/>
    <xf numFmtId="164" fontId="2" fillId="0" borderId="0" applyFont="0" applyFill="0" applyBorder="0" applyAlignment="0" applyProtection="0"/>
    <xf numFmtId="9" fontId="2" fillId="0" borderId="0" applyFont="0" applyFill="0" applyBorder="0" applyAlignment="0" applyProtection="0"/>
    <xf numFmtId="0" fontId="1" fillId="0" borderId="0"/>
    <xf numFmtId="0" fontId="2" fillId="0" borderId="0"/>
    <xf numFmtId="164" fontId="2" fillId="0" borderId="0" applyFont="0" applyFill="0" applyBorder="0" applyAlignment="0" applyProtection="0"/>
    <xf numFmtId="9" fontId="2" fillId="0" borderId="0" applyFont="0" applyFill="0" applyBorder="0" applyAlignment="0" applyProtection="0"/>
    <xf numFmtId="0" fontId="2" fillId="0" borderId="0"/>
  </cellStyleXfs>
  <cellXfs count="1506">
    <xf numFmtId="0" fontId="0" fillId="0" borderId="0" xfId="0"/>
    <xf numFmtId="0" fontId="0" fillId="0" borderId="0" xfId="0" applyAlignment="1">
      <alignment horizontal="right"/>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3" fontId="0" fillId="0" borderId="0" xfId="0" applyNumberFormat="1"/>
    <xf numFmtId="9" fontId="0" fillId="0" borderId="0" xfId="2" applyFont="1"/>
    <xf numFmtId="9" fontId="0" fillId="0" borderId="0" xfId="0" applyNumberFormat="1"/>
    <xf numFmtId="0" fontId="0" fillId="0" borderId="1" xfId="0" applyBorder="1"/>
    <xf numFmtId="3" fontId="0" fillId="0" borderId="1" xfId="0" applyNumberFormat="1" applyBorder="1"/>
    <xf numFmtId="10" fontId="0" fillId="0" borderId="1" xfId="2" applyNumberFormat="1" applyFont="1" applyBorder="1"/>
    <xf numFmtId="0" fontId="0" fillId="0" borderId="2" xfId="0" applyBorder="1"/>
    <xf numFmtId="0" fontId="0" fillId="0" borderId="0" xfId="0" applyBorder="1"/>
    <xf numFmtId="9" fontId="0" fillId="0" borderId="0" xfId="2" applyFont="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3" fontId="0" fillId="0" borderId="2" xfId="0" applyNumberFormat="1" applyBorder="1"/>
    <xf numFmtId="3" fontId="0" fillId="0" borderId="3" xfId="0" applyNumberFormat="1" applyBorder="1"/>
    <xf numFmtId="0" fontId="0" fillId="0" borderId="3" xfId="0" applyBorder="1"/>
    <xf numFmtId="3" fontId="0" fillId="0" borderId="0" xfId="0" applyNumberFormat="1" applyBorder="1"/>
    <xf numFmtId="10" fontId="0" fillId="0" borderId="0" xfId="2" applyNumberFormat="1" applyFont="1" applyBorder="1"/>
    <xf numFmtId="0" fontId="0" fillId="2" borderId="0" xfId="0" applyFill="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4" fillId="0" borderId="0" xfId="0" applyFont="1"/>
    <xf numFmtId="0" fontId="0" fillId="0" borderId="0" xfId="0" applyFill="1"/>
    <xf numFmtId="0" fontId="0" fillId="0" borderId="0" xfId="0" applyBorder="1" applyAlignment="1">
      <alignment horizontal="right"/>
    </xf>
    <xf numFmtId="3" fontId="0" fillId="3" borderId="0" xfId="0" applyNumberFormat="1" applyFill="1" applyBorder="1"/>
    <xf numFmtId="3" fontId="0" fillId="5" borderId="0" xfId="0" applyNumberFormat="1" applyFill="1" applyBorder="1"/>
    <xf numFmtId="3" fontId="0" fillId="6" borderId="0" xfId="0" applyNumberFormat="1" applyFill="1" applyBorder="1"/>
    <xf numFmtId="3" fontId="0" fillId="7" borderId="0" xfId="0" applyNumberFormat="1"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3" borderId="3" xfId="0" applyFill="1" applyBorder="1"/>
    <xf numFmtId="0" fontId="0" fillId="4" borderId="3" xfId="0" applyFill="1" applyBorder="1"/>
    <xf numFmtId="0" fontId="0" fillId="5" borderId="3" xfId="0" applyFill="1" applyBorder="1"/>
    <xf numFmtId="0" fontId="0" fillId="6" borderId="3" xfId="0" applyFill="1" applyBorder="1"/>
    <xf numFmtId="0" fontId="4" fillId="0" borderId="0" xfId="0" applyFont="1" applyAlignment="1"/>
    <xf numFmtId="0" fontId="0" fillId="0" borderId="4" xfId="0" applyBorder="1"/>
    <xf numFmtId="0" fontId="0" fillId="0" borderId="5" xfId="0" applyBorder="1"/>
    <xf numFmtId="0" fontId="0" fillId="0" borderId="6" xfId="0" applyBorder="1"/>
    <xf numFmtId="0" fontId="0" fillId="0" borderId="7" xfId="0" applyBorder="1"/>
    <xf numFmtId="3" fontId="0" fillId="0" borderId="4" xfId="0" applyNumberFormat="1" applyBorder="1"/>
    <xf numFmtId="3" fontId="0" fillId="0" borderId="5" xfId="0" applyNumberFormat="1" applyBorder="1"/>
    <xf numFmtId="3" fontId="0" fillId="0" borderId="6" xfId="0" applyNumberFormat="1" applyBorder="1"/>
    <xf numFmtId="3" fontId="0" fillId="0" borderId="7" xfId="0" applyNumberFormat="1" applyBorder="1"/>
    <xf numFmtId="10" fontId="0" fillId="0" borderId="4" xfId="2" applyNumberFormat="1" applyFont="1" applyBorder="1"/>
    <xf numFmtId="10" fontId="0" fillId="0" borderId="6" xfId="2" applyNumberFormat="1" applyFont="1" applyBorder="1"/>
    <xf numFmtId="10" fontId="0" fillId="0" borderId="7" xfId="2" applyNumberFormat="1" applyFont="1" applyBorder="1"/>
    <xf numFmtId="9" fontId="0" fillId="0" borderId="5" xfId="0" applyNumberFormat="1" applyBorder="1"/>
    <xf numFmtId="9" fontId="0" fillId="0" borderId="7" xfId="0" applyNumberFormat="1" applyBorder="1"/>
    <xf numFmtId="0" fontId="0" fillId="0" borderId="8" xfId="0" applyBorder="1"/>
    <xf numFmtId="3" fontId="0" fillId="0" borderId="8" xfId="0" applyNumberFormat="1" applyBorder="1"/>
    <xf numFmtId="9" fontId="0" fillId="0" borderId="0" xfId="0" applyNumberFormat="1" applyBorder="1"/>
    <xf numFmtId="0" fontId="0" fillId="2" borderId="4" xfId="0" applyFill="1" applyBorder="1"/>
    <xf numFmtId="0" fontId="0" fillId="8" borderId="5" xfId="0" applyFill="1" applyBorder="1"/>
    <xf numFmtId="0" fontId="0" fillId="2" borderId="6" xfId="0" applyFill="1" applyBorder="1"/>
    <xf numFmtId="0" fontId="0" fillId="8" borderId="7" xfId="0" applyFill="1" applyBorder="1"/>
    <xf numFmtId="0" fontId="0" fillId="0" borderId="9" xfId="0" applyBorder="1"/>
    <xf numFmtId="3" fontId="0" fillId="0" borderId="10" xfId="0" applyNumberFormat="1" applyBorder="1"/>
    <xf numFmtId="0" fontId="0" fillId="0" borderId="11" xfId="0" applyBorder="1"/>
    <xf numFmtId="3" fontId="0" fillId="0" borderId="12" xfId="0" applyNumberFormat="1" applyBorder="1"/>
    <xf numFmtId="0" fontId="0" fillId="0" borderId="10" xfId="0" applyBorder="1"/>
    <xf numFmtId="0" fontId="0" fillId="0" borderId="12" xfId="0" applyBorder="1"/>
    <xf numFmtId="0" fontId="4" fillId="2" borderId="0" xfId="0" applyFont="1" applyFill="1"/>
    <xf numFmtId="0" fontId="4" fillId="3" borderId="0" xfId="0" applyFont="1" applyFill="1"/>
    <xf numFmtId="0" fontId="4" fillId="4" borderId="0" xfId="0" applyFont="1" applyFill="1"/>
    <xf numFmtId="0" fontId="4" fillId="5" borderId="0" xfId="0" applyFont="1" applyFill="1"/>
    <xf numFmtId="0" fontId="4" fillId="6" borderId="0" xfId="0" applyFont="1" applyFill="1"/>
    <xf numFmtId="0" fontId="4" fillId="7" borderId="0" xfId="0" applyFont="1" applyFill="1"/>
    <xf numFmtId="0" fontId="4" fillId="8" borderId="0" xfId="0" applyFont="1" applyFill="1"/>
    <xf numFmtId="0" fontId="0" fillId="0" borderId="7" xfId="0" applyBorder="1" applyAlignment="1">
      <alignment horizontal="right"/>
    </xf>
    <xf numFmtId="0" fontId="0" fillId="2" borderId="9" xfId="0" applyFill="1" applyBorder="1"/>
    <xf numFmtId="0" fontId="0" fillId="8" borderId="10" xfId="0" applyFill="1" applyBorder="1"/>
    <xf numFmtId="3" fontId="0" fillId="2" borderId="6" xfId="0" applyNumberFormat="1" applyFill="1" applyBorder="1"/>
    <xf numFmtId="0" fontId="0" fillId="2" borderId="11" xfId="0" applyFill="1" applyBorder="1"/>
    <xf numFmtId="0" fontId="0" fillId="8" borderId="12" xfId="0" applyFill="1" applyBorder="1"/>
    <xf numFmtId="3" fontId="0" fillId="0" borderId="9" xfId="0" applyNumberFormat="1" applyBorder="1"/>
    <xf numFmtId="3" fontId="0" fillId="0" borderId="11" xfId="0" applyNumberFormat="1" applyBorder="1"/>
    <xf numFmtId="10" fontId="0" fillId="0" borderId="8" xfId="2" applyNumberFormat="1" applyFont="1" applyBorder="1"/>
    <xf numFmtId="10" fontId="0" fillId="0" borderId="13" xfId="2" applyNumberFormat="1" applyFont="1" applyBorder="1"/>
    <xf numFmtId="3" fontId="0" fillId="0" borderId="14" xfId="0" applyNumberFormat="1" applyBorder="1"/>
    <xf numFmtId="10" fontId="0" fillId="0" borderId="14" xfId="0" applyNumberFormat="1" applyBorder="1"/>
    <xf numFmtId="10" fontId="0" fillId="0" borderId="8" xfId="0" applyNumberFormat="1" applyBorder="1"/>
    <xf numFmtId="10" fontId="0" fillId="0" borderId="5" xfId="0" applyNumberFormat="1" applyBorder="1"/>
    <xf numFmtId="10" fontId="0" fillId="0" borderId="7" xfId="0" applyNumberFormat="1" applyBorder="1"/>
    <xf numFmtId="0" fontId="3" fillId="0" borderId="0" xfId="0" applyFont="1"/>
    <xf numFmtId="0" fontId="3" fillId="0" borderId="0" xfId="0" applyFont="1" applyAlignment="1">
      <alignment horizontal="right"/>
    </xf>
    <xf numFmtId="9" fontId="0" fillId="0" borderId="2" xfId="0" applyNumberFormat="1" applyBorder="1"/>
    <xf numFmtId="9" fontId="0" fillId="0" borderId="10" xfId="0" applyNumberFormat="1" applyBorder="1"/>
    <xf numFmtId="9" fontId="0" fillId="0" borderId="3" xfId="0" applyNumberFormat="1" applyBorder="1"/>
    <xf numFmtId="9" fontId="0" fillId="0" borderId="10" xfId="2" applyFont="1" applyBorder="1"/>
    <xf numFmtId="10" fontId="0" fillId="0" borderId="9" xfId="2" applyNumberFormat="1" applyFont="1" applyBorder="1"/>
    <xf numFmtId="10" fontId="0" fillId="0" borderId="11" xfId="2" applyNumberFormat="1" applyFont="1" applyBorder="1"/>
    <xf numFmtId="0" fontId="4" fillId="0" borderId="0" xfId="0" applyFont="1" applyFill="1"/>
    <xf numFmtId="0" fontId="0" fillId="0" borderId="0" xfId="0" applyFill="1" applyBorder="1"/>
    <xf numFmtId="3" fontId="0" fillId="0" borderId="15" xfId="0" applyNumberFormat="1" applyBorder="1"/>
    <xf numFmtId="3" fontId="0" fillId="0" borderId="16" xfId="0" applyNumberFormat="1" applyBorder="1"/>
    <xf numFmtId="3" fontId="0" fillId="0" borderId="17" xfId="0" applyNumberFormat="1" applyBorder="1"/>
    <xf numFmtId="0" fontId="0" fillId="0" borderId="15" xfId="0" applyBorder="1"/>
    <xf numFmtId="9" fontId="0" fillId="0" borderId="16" xfId="0" applyNumberFormat="1" applyBorder="1"/>
    <xf numFmtId="0" fontId="0" fillId="0" borderId="17" xfId="0" applyBorder="1"/>
    <xf numFmtId="10" fontId="0" fillId="0" borderId="15" xfId="2" applyNumberFormat="1" applyFont="1" applyBorder="1"/>
    <xf numFmtId="0" fontId="0" fillId="0" borderId="16" xfId="0" applyBorder="1"/>
    <xf numFmtId="0" fontId="0" fillId="0" borderId="18" xfId="0" applyBorder="1"/>
    <xf numFmtId="3" fontId="0" fillId="0" borderId="18" xfId="0" applyNumberFormat="1" applyBorder="1"/>
    <xf numFmtId="0" fontId="0" fillId="2" borderId="17" xfId="0" applyFill="1" applyBorder="1"/>
    <xf numFmtId="0" fontId="0" fillId="3" borderId="15" xfId="0" applyFill="1" applyBorder="1"/>
    <xf numFmtId="0" fontId="0" fillId="4" borderId="15" xfId="0" applyFill="1" applyBorder="1"/>
    <xf numFmtId="0" fontId="0" fillId="5" borderId="15" xfId="0" applyFill="1" applyBorder="1"/>
    <xf numFmtId="0" fontId="0" fillId="6" borderId="15" xfId="0" applyFill="1" applyBorder="1"/>
    <xf numFmtId="0" fontId="0" fillId="7" borderId="15" xfId="0" applyFill="1" applyBorder="1"/>
    <xf numFmtId="0" fontId="0" fillId="8" borderId="16" xfId="0" applyFill="1" applyBorder="1"/>
    <xf numFmtId="0" fontId="0" fillId="0" borderId="15" xfId="0" applyBorder="1" applyAlignment="1">
      <alignment horizontal="right"/>
    </xf>
    <xf numFmtId="0" fontId="0" fillId="0" borderId="16" xfId="0" applyBorder="1" applyAlignment="1">
      <alignment horizontal="right"/>
    </xf>
    <xf numFmtId="3" fontId="0" fillId="2" borderId="17" xfId="0" applyNumberFormat="1" applyFill="1" applyBorder="1"/>
    <xf numFmtId="3" fontId="0" fillId="3" borderId="15" xfId="0" applyNumberFormat="1" applyFill="1" applyBorder="1"/>
    <xf numFmtId="3" fontId="0" fillId="5" borderId="15" xfId="0" applyNumberFormat="1" applyFill="1" applyBorder="1"/>
    <xf numFmtId="3" fontId="0" fillId="6" borderId="15" xfId="0" applyNumberFormat="1" applyFill="1" applyBorder="1"/>
    <xf numFmtId="3" fontId="0" fillId="7" borderId="15" xfId="0" applyNumberFormat="1" applyFill="1" applyBorder="1"/>
    <xf numFmtId="0" fontId="0" fillId="2" borderId="15" xfId="0" applyFill="1" applyBorder="1"/>
    <xf numFmtId="10" fontId="0" fillId="0" borderId="18" xfId="2" applyNumberFormat="1" applyFont="1" applyBorder="1"/>
    <xf numFmtId="10" fontId="0" fillId="0" borderId="18" xfId="0" applyNumberFormat="1" applyBorder="1"/>
    <xf numFmtId="10" fontId="0" fillId="0" borderId="16" xfId="0" applyNumberFormat="1" applyBorder="1"/>
    <xf numFmtId="10" fontId="0" fillId="0" borderId="17" xfId="2" applyNumberFormat="1" applyFont="1" applyBorder="1"/>
    <xf numFmtId="0" fontId="4" fillId="0" borderId="0" xfId="0" applyFont="1" applyFill="1" applyAlignment="1">
      <alignment horizontal="right"/>
    </xf>
    <xf numFmtId="3" fontId="0" fillId="0" borderId="19" xfId="0" applyNumberFormat="1" applyBorder="1"/>
    <xf numFmtId="3" fontId="0" fillId="0" borderId="20" xfId="0" applyNumberFormat="1" applyBorder="1"/>
    <xf numFmtId="3" fontId="0" fillId="0" borderId="21" xfId="0" applyNumberFormat="1" applyBorder="1"/>
    <xf numFmtId="1" fontId="0" fillId="0" borderId="4" xfId="0" applyNumberFormat="1" applyBorder="1"/>
    <xf numFmtId="1" fontId="0" fillId="0" borderId="6" xfId="0" applyNumberFormat="1" applyBorder="1"/>
    <xf numFmtId="1" fontId="0" fillId="0" borderId="0" xfId="0" applyNumberFormat="1" applyBorder="1"/>
    <xf numFmtId="1" fontId="0" fillId="0" borderId="17" xfId="0" applyNumberFormat="1" applyBorder="1"/>
    <xf numFmtId="9" fontId="0" fillId="0" borderId="22" xfId="2" applyFont="1" applyBorder="1"/>
    <xf numFmtId="9" fontId="0" fillId="0" borderId="23" xfId="2" applyFont="1" applyBorder="1"/>
    <xf numFmtId="9" fontId="0" fillId="0" borderId="24" xfId="2" applyFont="1" applyBorder="1"/>
    <xf numFmtId="3" fontId="0" fillId="0" borderId="25" xfId="0" applyNumberFormat="1" applyBorder="1"/>
    <xf numFmtId="3" fontId="0" fillId="0" borderId="26" xfId="0" applyNumberFormat="1" applyBorder="1"/>
    <xf numFmtId="3" fontId="0" fillId="0" borderId="27" xfId="0" applyNumberFormat="1" applyBorder="1"/>
    <xf numFmtId="3" fontId="3" fillId="0" borderId="4" xfId="0" applyNumberFormat="1" applyFont="1" applyBorder="1"/>
    <xf numFmtId="3" fontId="3" fillId="0" borderId="6" xfId="0" applyNumberFormat="1" applyFont="1" applyBorder="1"/>
    <xf numFmtId="3" fontId="3" fillId="0" borderId="1" xfId="0" applyNumberFormat="1" applyFont="1" applyBorder="1"/>
    <xf numFmtId="10" fontId="3" fillId="0" borderId="1" xfId="2" applyNumberFormat="1" applyFont="1" applyBorder="1"/>
    <xf numFmtId="10" fontId="3" fillId="0" borderId="5" xfId="2" applyNumberFormat="1" applyFont="1" applyBorder="1"/>
    <xf numFmtId="0" fontId="3" fillId="0" borderId="6" xfId="0" applyFont="1" applyBorder="1"/>
    <xf numFmtId="0" fontId="3" fillId="0" borderId="7" xfId="0" applyFont="1" applyBorder="1"/>
    <xf numFmtId="3" fontId="3" fillId="0" borderId="5" xfId="0" applyNumberFormat="1" applyFont="1" applyBorder="1"/>
    <xf numFmtId="0" fontId="3" fillId="0" borderId="8" xfId="0" applyFont="1" applyBorder="1"/>
    <xf numFmtId="3" fontId="3" fillId="0" borderId="8" xfId="0" applyNumberFormat="1" applyFont="1" applyBorder="1"/>
    <xf numFmtId="9" fontId="3" fillId="0" borderId="4" xfId="2" applyFont="1" applyBorder="1"/>
    <xf numFmtId="10" fontId="3" fillId="0" borderId="5" xfId="0" applyNumberFormat="1" applyFont="1" applyBorder="1"/>
    <xf numFmtId="0" fontId="3" fillId="0" borderId="1" xfId="0" applyFont="1" applyBorder="1"/>
    <xf numFmtId="3" fontId="3" fillId="0" borderId="0" xfId="0" applyNumberFormat="1" applyFont="1" applyBorder="1"/>
    <xf numFmtId="10" fontId="3" fillId="0" borderId="0" xfId="2" applyNumberFormat="1" applyFont="1" applyBorder="1"/>
    <xf numFmtId="3" fontId="3" fillId="0" borderId="7" xfId="0" applyNumberFormat="1" applyFont="1" applyBorder="1"/>
    <xf numFmtId="3" fontId="3" fillId="0" borderId="10" xfId="0" applyNumberFormat="1" applyFont="1" applyBorder="1"/>
    <xf numFmtId="3" fontId="3" fillId="0" borderId="2" xfId="0" applyNumberFormat="1" applyFont="1" applyBorder="1"/>
    <xf numFmtId="9" fontId="3" fillId="0" borderId="6" xfId="2" applyFont="1" applyBorder="1"/>
    <xf numFmtId="0" fontId="3" fillId="0" borderId="0" xfId="0" applyFont="1" applyBorder="1"/>
    <xf numFmtId="10" fontId="3" fillId="0" borderId="7" xfId="0" applyNumberFormat="1" applyFont="1" applyBorder="1"/>
    <xf numFmtId="3" fontId="3" fillId="0" borderId="9" xfId="0" applyNumberFormat="1" applyFont="1" applyBorder="1"/>
    <xf numFmtId="0" fontId="3" fillId="0" borderId="28" xfId="0" applyFont="1" applyBorder="1"/>
    <xf numFmtId="3" fontId="3" fillId="0" borderId="28" xfId="0" applyNumberFormat="1" applyFont="1" applyBorder="1"/>
    <xf numFmtId="3" fontId="3" fillId="0" borderId="29" xfId="0" applyNumberFormat="1" applyFont="1" applyBorder="1"/>
    <xf numFmtId="10" fontId="3" fillId="0" borderId="28" xfId="2" applyNumberFormat="1" applyFont="1" applyBorder="1"/>
    <xf numFmtId="0" fontId="3" fillId="0" borderId="29" xfId="0" applyFont="1" applyBorder="1"/>
    <xf numFmtId="0" fontId="3" fillId="0" borderId="30" xfId="0" applyFont="1" applyBorder="1"/>
    <xf numFmtId="3" fontId="3" fillId="0" borderId="30" xfId="0" applyNumberFormat="1" applyFont="1" applyBorder="1"/>
    <xf numFmtId="0" fontId="3" fillId="0" borderId="31" xfId="0" applyFont="1" applyBorder="1"/>
    <xf numFmtId="3" fontId="3" fillId="0" borderId="31" xfId="0" applyNumberFormat="1" applyFont="1" applyBorder="1"/>
    <xf numFmtId="9" fontId="3" fillId="0" borderId="29" xfId="2" applyFont="1" applyBorder="1"/>
    <xf numFmtId="10" fontId="3" fillId="0" borderId="30" xfId="0" applyNumberFormat="1" applyFont="1" applyBorder="1"/>
    <xf numFmtId="0" fontId="3" fillId="0" borderId="4" xfId="0" applyFont="1" applyBorder="1"/>
    <xf numFmtId="0" fontId="3" fillId="0" borderId="5" xfId="0" applyFont="1" applyBorder="1"/>
    <xf numFmtId="10" fontId="3" fillId="0" borderId="4" xfId="2" applyNumberFormat="1" applyFont="1" applyBorder="1"/>
    <xf numFmtId="10" fontId="3" fillId="0" borderId="6" xfId="2" applyNumberFormat="1" applyFont="1" applyBorder="1"/>
    <xf numFmtId="0" fontId="3" fillId="0" borderId="9" xfId="0" applyFont="1" applyBorder="1"/>
    <xf numFmtId="0" fontId="3" fillId="0" borderId="10" xfId="0" applyFont="1" applyBorder="1"/>
    <xf numFmtId="10" fontId="3" fillId="0" borderId="9" xfId="2" applyNumberFormat="1" applyFont="1" applyBorder="1"/>
    <xf numFmtId="0" fontId="3" fillId="0" borderId="2" xfId="0" applyFont="1" applyBorder="1"/>
    <xf numFmtId="10" fontId="3" fillId="0" borderId="29" xfId="2" applyNumberFormat="1" applyFont="1" applyBorder="1"/>
    <xf numFmtId="9" fontId="3" fillId="0" borderId="7" xfId="0" applyNumberFormat="1" applyFont="1" applyBorder="1"/>
    <xf numFmtId="9" fontId="3" fillId="0" borderId="5" xfId="0" applyNumberFormat="1" applyFont="1" applyBorder="1"/>
    <xf numFmtId="9" fontId="3" fillId="0" borderId="30" xfId="0" applyNumberFormat="1" applyFont="1" applyBorder="1"/>
    <xf numFmtId="0" fontId="3" fillId="2" borderId="4" xfId="0" applyFont="1" applyFill="1" applyBorder="1"/>
    <xf numFmtId="0" fontId="3" fillId="3" borderId="1" xfId="0" applyFont="1" applyFill="1" applyBorder="1"/>
    <xf numFmtId="0" fontId="3" fillId="4" borderId="1" xfId="0" applyFont="1" applyFill="1" applyBorder="1"/>
    <xf numFmtId="0" fontId="3" fillId="5" borderId="1" xfId="0" applyFont="1" applyFill="1" applyBorder="1"/>
    <xf numFmtId="0" fontId="3" fillId="6" borderId="1" xfId="0" applyFont="1" applyFill="1" applyBorder="1"/>
    <xf numFmtId="0" fontId="3" fillId="7" borderId="1" xfId="0" applyFont="1" applyFill="1" applyBorder="1"/>
    <xf numFmtId="0" fontId="3" fillId="8" borderId="5" xfId="0" applyFont="1" applyFill="1" applyBorder="1"/>
    <xf numFmtId="3" fontId="3" fillId="0" borderId="14" xfId="0" applyNumberFormat="1" applyFont="1" applyBorder="1"/>
    <xf numFmtId="10" fontId="3" fillId="0" borderId="14" xfId="0" applyNumberFormat="1" applyFont="1" applyBorder="1"/>
    <xf numFmtId="0" fontId="3" fillId="2" borderId="6" xfId="0" applyFont="1" applyFill="1" applyBorder="1"/>
    <xf numFmtId="0" fontId="3" fillId="3" borderId="0" xfId="0" applyFont="1" applyFill="1" applyBorder="1"/>
    <xf numFmtId="0" fontId="3" fillId="4" borderId="0" xfId="0" applyFont="1" applyFill="1" applyBorder="1"/>
    <xf numFmtId="0" fontId="3" fillId="5" borderId="0" xfId="0" applyFont="1" applyFill="1" applyBorder="1"/>
    <xf numFmtId="0" fontId="3" fillId="6" borderId="0" xfId="0" applyFont="1" applyFill="1" applyBorder="1"/>
    <xf numFmtId="0" fontId="3" fillId="7" borderId="0" xfId="0" applyFont="1" applyFill="1" applyBorder="1"/>
    <xf numFmtId="0" fontId="3" fillId="8" borderId="7" xfId="0" applyFont="1" applyFill="1" applyBorder="1"/>
    <xf numFmtId="10" fontId="3" fillId="0" borderId="8" xfId="0" applyNumberFormat="1" applyFont="1" applyBorder="1"/>
    <xf numFmtId="0" fontId="3" fillId="2" borderId="9" xfId="0" applyFont="1" applyFill="1" applyBorder="1"/>
    <xf numFmtId="0" fontId="3" fillId="3" borderId="2" xfId="0" applyFont="1" applyFill="1" applyBorder="1"/>
    <xf numFmtId="0" fontId="3" fillId="4" borderId="2" xfId="0" applyFont="1" applyFill="1" applyBorder="1"/>
    <xf numFmtId="0" fontId="3" fillId="5" borderId="2" xfId="0" applyFont="1" applyFill="1" applyBorder="1"/>
    <xf numFmtId="0" fontId="3" fillId="6" borderId="2" xfId="0" applyFont="1" applyFill="1" applyBorder="1"/>
    <xf numFmtId="0" fontId="3" fillId="8" borderId="10" xfId="0" applyFont="1" applyFill="1" applyBorder="1"/>
    <xf numFmtId="0" fontId="3" fillId="2" borderId="29" xfId="0" applyFont="1" applyFill="1" applyBorder="1"/>
    <xf numFmtId="0" fontId="3" fillId="3" borderId="28" xfId="0" applyFont="1" applyFill="1" applyBorder="1"/>
    <xf numFmtId="0" fontId="3" fillId="4" borderId="28" xfId="0" applyFont="1" applyFill="1" applyBorder="1"/>
    <xf numFmtId="0" fontId="3" fillId="5" borderId="28" xfId="0" applyFont="1" applyFill="1" applyBorder="1"/>
    <xf numFmtId="0" fontId="3" fillId="6" borderId="28" xfId="0" applyFont="1" applyFill="1" applyBorder="1"/>
    <xf numFmtId="0" fontId="3" fillId="7" borderId="28" xfId="0" applyFont="1" applyFill="1" applyBorder="1"/>
    <xf numFmtId="0" fontId="3" fillId="8" borderId="30" xfId="0" applyFont="1" applyFill="1" applyBorder="1"/>
    <xf numFmtId="10" fontId="3" fillId="0" borderId="31" xfId="0" applyNumberFormat="1" applyFont="1" applyBorder="1"/>
    <xf numFmtId="1" fontId="3" fillId="0" borderId="4" xfId="0" applyNumberFormat="1" applyFont="1" applyBorder="1"/>
    <xf numFmtId="1" fontId="3" fillId="0" borderId="5" xfId="0" applyNumberFormat="1" applyFont="1" applyBorder="1"/>
    <xf numFmtId="1" fontId="3" fillId="0" borderId="1" xfId="0" applyNumberFormat="1" applyFont="1" applyBorder="1"/>
    <xf numFmtId="9" fontId="3" fillId="0" borderId="22" xfId="2" applyFont="1" applyBorder="1"/>
    <xf numFmtId="3" fontId="3" fillId="0" borderId="26" xfId="0" applyNumberFormat="1" applyFont="1" applyBorder="1"/>
    <xf numFmtId="9" fontId="3" fillId="0" borderId="23" xfId="2" applyFont="1" applyBorder="1"/>
    <xf numFmtId="3" fontId="3" fillId="0" borderId="25" xfId="0" applyNumberFormat="1" applyFont="1" applyBorder="1"/>
    <xf numFmtId="1" fontId="3" fillId="0" borderId="6" xfId="0" applyNumberFormat="1" applyFont="1" applyBorder="1"/>
    <xf numFmtId="1" fontId="3" fillId="0" borderId="0" xfId="0" applyNumberFormat="1" applyFont="1" applyBorder="1"/>
    <xf numFmtId="3" fontId="3" fillId="0" borderId="12" xfId="0" applyNumberFormat="1" applyFont="1" applyBorder="1"/>
    <xf numFmtId="1" fontId="3" fillId="0" borderId="29" xfId="0" applyNumberFormat="1" applyFont="1" applyBorder="1"/>
    <xf numFmtId="1" fontId="3" fillId="0" borderId="28" xfId="0" applyNumberFormat="1" applyFont="1" applyBorder="1"/>
    <xf numFmtId="9" fontId="3" fillId="0" borderId="32" xfId="2" applyFont="1" applyBorder="1"/>
    <xf numFmtId="3" fontId="3" fillId="0" borderId="33" xfId="0" applyNumberFormat="1" applyFont="1" applyBorder="1"/>
    <xf numFmtId="10" fontId="3" fillId="0" borderId="34" xfId="2" applyNumberFormat="1" applyFont="1" applyBorder="1"/>
    <xf numFmtId="0" fontId="3" fillId="0" borderId="0" xfId="0" applyFont="1" applyBorder="1" applyAlignment="1">
      <alignment horizontal="right"/>
    </xf>
    <xf numFmtId="0" fontId="3" fillId="0" borderId="7" xfId="0" applyFont="1" applyBorder="1" applyAlignment="1">
      <alignment horizontal="right"/>
    </xf>
    <xf numFmtId="0" fontId="3" fillId="2" borderId="0" xfId="0" applyFont="1" applyFill="1" applyBorder="1"/>
    <xf numFmtId="3" fontId="3" fillId="2" borderId="6" xfId="0" applyNumberFormat="1" applyFont="1" applyFill="1" applyBorder="1"/>
    <xf numFmtId="3" fontId="3" fillId="3" borderId="0" xfId="0" applyNumberFormat="1" applyFont="1" applyFill="1" applyBorder="1"/>
    <xf numFmtId="3" fontId="3" fillId="4" borderId="0" xfId="0" applyNumberFormat="1" applyFont="1" applyFill="1" applyBorder="1"/>
    <xf numFmtId="3" fontId="3" fillId="5" borderId="0" xfId="0" applyNumberFormat="1" applyFont="1" applyFill="1" applyBorder="1"/>
    <xf numFmtId="3" fontId="3" fillId="6" borderId="0" xfId="0" applyNumberFormat="1" applyFont="1" applyFill="1" applyBorder="1"/>
    <xf numFmtId="3" fontId="3" fillId="7" borderId="0" xfId="0" applyNumberFormat="1" applyFont="1" applyFill="1" applyBorder="1"/>
    <xf numFmtId="10" fontId="3" fillId="0" borderId="8" xfId="2" applyNumberFormat="1" applyFont="1" applyBorder="1"/>
    <xf numFmtId="0" fontId="3" fillId="0" borderId="28" xfId="0" applyFont="1" applyBorder="1" applyAlignment="1">
      <alignment horizontal="right"/>
    </xf>
    <xf numFmtId="0" fontId="3" fillId="0" borderId="30" xfId="0" applyFont="1" applyBorder="1" applyAlignment="1">
      <alignment horizontal="right"/>
    </xf>
    <xf numFmtId="0" fontId="3" fillId="2" borderId="28" xfId="0" applyFont="1" applyFill="1" applyBorder="1"/>
    <xf numFmtId="3" fontId="3" fillId="2" borderId="29" xfId="0" applyNumberFormat="1" applyFont="1" applyFill="1" applyBorder="1"/>
    <xf numFmtId="3" fontId="3" fillId="3" borderId="28" xfId="0" applyNumberFormat="1" applyFont="1" applyFill="1" applyBorder="1"/>
    <xf numFmtId="3" fontId="3" fillId="4" borderId="28" xfId="0" applyNumberFormat="1" applyFont="1" applyFill="1" applyBorder="1"/>
    <xf numFmtId="3" fontId="3" fillId="5" borderId="28" xfId="0" applyNumberFormat="1" applyFont="1" applyFill="1" applyBorder="1"/>
    <xf numFmtId="3" fontId="3" fillId="6" borderId="28" xfId="0" applyNumberFormat="1" applyFont="1" applyFill="1" applyBorder="1"/>
    <xf numFmtId="3" fontId="3" fillId="7" borderId="28" xfId="0" applyNumberFormat="1" applyFont="1" applyFill="1" applyBorder="1"/>
    <xf numFmtId="10" fontId="3" fillId="0" borderId="31" xfId="2" applyNumberFormat="1" applyFont="1" applyBorder="1"/>
    <xf numFmtId="4" fontId="3" fillId="0" borderId="5" xfId="0" applyNumberFormat="1" applyFont="1" applyBorder="1"/>
    <xf numFmtId="9" fontId="3" fillId="0" borderId="4" xfId="0" applyNumberFormat="1" applyFont="1" applyBorder="1"/>
    <xf numFmtId="9" fontId="3" fillId="0" borderId="1" xfId="0" applyNumberFormat="1" applyFont="1" applyBorder="1"/>
    <xf numFmtId="4" fontId="3" fillId="0" borderId="7" xfId="0" applyNumberFormat="1" applyFont="1" applyBorder="1"/>
    <xf numFmtId="9" fontId="3" fillId="0" borderId="6" xfId="0" applyNumberFormat="1" applyFont="1" applyBorder="1"/>
    <xf numFmtId="9" fontId="3" fillId="0" borderId="0" xfId="0" applyNumberFormat="1" applyFont="1" applyBorder="1"/>
    <xf numFmtId="9" fontId="3" fillId="0" borderId="10" xfId="0" applyNumberFormat="1" applyFont="1" applyBorder="1"/>
    <xf numFmtId="4" fontId="3" fillId="0" borderId="30" xfId="0" applyNumberFormat="1" applyFont="1" applyBorder="1"/>
    <xf numFmtId="9" fontId="3" fillId="0" borderId="29" xfId="0" applyNumberFormat="1" applyFont="1" applyBorder="1"/>
    <xf numFmtId="9" fontId="3" fillId="0" borderId="28" xfId="0" applyNumberFormat="1" applyFont="1" applyBorder="1"/>
    <xf numFmtId="3" fontId="3" fillId="4" borderId="1" xfId="0" applyNumberFormat="1" applyFont="1" applyFill="1" applyBorder="1"/>
    <xf numFmtId="3" fontId="3" fillId="0" borderId="17" xfId="0" applyNumberFormat="1" applyFont="1" applyBorder="1"/>
    <xf numFmtId="3" fontId="3" fillId="0" borderId="16" xfId="0" applyNumberFormat="1" applyFont="1" applyBorder="1"/>
    <xf numFmtId="0" fontId="3" fillId="0" borderId="17" xfId="0" applyFont="1" applyBorder="1"/>
    <xf numFmtId="3" fontId="3" fillId="4" borderId="15" xfId="0" applyNumberFormat="1" applyFont="1" applyFill="1" applyBorder="1"/>
    <xf numFmtId="3" fontId="3" fillId="0" borderId="15" xfId="0" applyNumberFormat="1" applyFont="1" applyBorder="1"/>
    <xf numFmtId="4" fontId="3" fillId="0" borderId="16" xfId="0" applyNumberFormat="1" applyFont="1" applyBorder="1"/>
    <xf numFmtId="3" fontId="0" fillId="0" borderId="28" xfId="0" applyNumberFormat="1" applyBorder="1"/>
    <xf numFmtId="0" fontId="4" fillId="0" borderId="9" xfId="0" applyFont="1" applyBorder="1"/>
    <xf numFmtId="166" fontId="0" fillId="0" borderId="0" xfId="2" applyNumberFormat="1" applyFont="1" applyBorder="1"/>
    <xf numFmtId="0" fontId="0" fillId="0" borderId="6" xfId="0" applyBorder="1" applyAlignment="1">
      <alignment horizontal="left"/>
    </xf>
    <xf numFmtId="0" fontId="0" fillId="0" borderId="2" xfId="0" applyBorder="1" applyAlignment="1">
      <alignment horizontal="left"/>
    </xf>
    <xf numFmtId="10" fontId="0" fillId="0" borderId="0" xfId="0" applyNumberFormat="1" applyBorder="1"/>
    <xf numFmtId="0" fontId="0" fillId="0" borderId="35" xfId="0" applyBorder="1"/>
    <xf numFmtId="0" fontId="0" fillId="0" borderId="14" xfId="0" applyBorder="1"/>
    <xf numFmtId="0" fontId="3" fillId="0" borderId="14" xfId="0" applyFont="1" applyBorder="1"/>
    <xf numFmtId="0" fontId="3" fillId="2" borderId="1" xfId="0" applyFont="1" applyFill="1" applyBorder="1"/>
    <xf numFmtId="0" fontId="0" fillId="2" borderId="1" xfId="0" applyFill="1" applyBorder="1"/>
    <xf numFmtId="0" fontId="3" fillId="0" borderId="18" xfId="0" applyFont="1" applyBorder="1"/>
    <xf numFmtId="9" fontId="3" fillId="0" borderId="15" xfId="0" applyNumberFormat="1" applyFont="1" applyBorder="1"/>
    <xf numFmtId="0" fontId="0" fillId="0" borderId="0" xfId="0" quotePrefix="1"/>
    <xf numFmtId="0" fontId="3" fillId="9" borderId="6" xfId="0" applyFont="1" applyFill="1" applyBorder="1"/>
    <xf numFmtId="0" fontId="3" fillId="9" borderId="29" xfId="0" applyFont="1" applyFill="1" applyBorder="1"/>
    <xf numFmtId="0" fontId="0" fillId="9" borderId="6" xfId="0" applyFill="1" applyBorder="1"/>
    <xf numFmtId="0" fontId="0" fillId="9" borderId="17" xfId="0" applyFill="1" applyBorder="1"/>
    <xf numFmtId="0" fontId="0" fillId="9" borderId="0" xfId="0" applyFill="1"/>
    <xf numFmtId="0" fontId="0" fillId="0" borderId="13" xfId="0" applyBorder="1"/>
    <xf numFmtId="0" fontId="0" fillId="0" borderId="9" xfId="0" applyBorder="1" applyAlignment="1">
      <alignment horizontal="left"/>
    </xf>
    <xf numFmtId="0" fontId="0" fillId="0" borderId="10" xfId="0" applyBorder="1" applyAlignment="1">
      <alignment horizontal="left"/>
    </xf>
    <xf numFmtId="0" fontId="0" fillId="0" borderId="34" xfId="0" applyBorder="1"/>
    <xf numFmtId="0" fontId="0" fillId="0" borderId="11" xfId="0" applyBorder="1" applyAlignment="1">
      <alignment horizontal="left"/>
    </xf>
    <xf numFmtId="166" fontId="0" fillId="0" borderId="7" xfId="2" applyNumberFormat="1" applyFont="1" applyBorder="1"/>
    <xf numFmtId="166" fontId="0" fillId="0" borderId="12" xfId="2" applyNumberFormat="1" applyFont="1" applyBorder="1"/>
    <xf numFmtId="10" fontId="3" fillId="0" borderId="14" xfId="2" applyNumberFormat="1" applyFont="1" applyBorder="1"/>
    <xf numFmtId="10" fontId="0" fillId="0" borderId="14" xfId="2" applyNumberFormat="1" applyFont="1" applyBorder="1"/>
    <xf numFmtId="10" fontId="0" fillId="0" borderId="34" xfId="2" applyNumberFormat="1" applyFont="1" applyBorder="1"/>
    <xf numFmtId="1" fontId="3" fillId="0" borderId="7" xfId="0" applyNumberFormat="1" applyFont="1" applyBorder="1"/>
    <xf numFmtId="1" fontId="3" fillId="0" borderId="30" xfId="0" applyNumberFormat="1" applyFont="1" applyBorder="1"/>
    <xf numFmtId="1" fontId="0" fillId="0" borderId="7" xfId="0" applyNumberFormat="1" applyBorder="1"/>
    <xf numFmtId="1" fontId="0" fillId="0" borderId="5" xfId="0" applyNumberFormat="1" applyBorder="1"/>
    <xf numFmtId="1" fontId="0" fillId="0" borderId="16" xfId="0" applyNumberFormat="1" applyBorder="1"/>
    <xf numFmtId="49" fontId="3" fillId="0" borderId="0" xfId="0" applyNumberFormat="1" applyFont="1" applyBorder="1" applyAlignment="1">
      <alignment horizontal="center"/>
    </xf>
    <xf numFmtId="0" fontId="4" fillId="0" borderId="6" xfId="0" applyFont="1" applyBorder="1"/>
    <xf numFmtId="0" fontId="0" fillId="0" borderId="0" xfId="0" applyAlignment="1"/>
    <xf numFmtId="3" fontId="0" fillId="0" borderId="6" xfId="0" applyNumberFormat="1" applyBorder="1" applyAlignment="1">
      <alignment horizontal="center"/>
    </xf>
    <xf numFmtId="3" fontId="0" fillId="0" borderId="11" xfId="0" applyNumberForma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0" fillId="0" borderId="0" xfId="0" applyAlignment="1">
      <alignment horizontal="center"/>
    </xf>
    <xf numFmtId="0" fontId="4" fillId="0" borderId="36" xfId="0" applyFont="1" applyBorder="1"/>
    <xf numFmtId="0" fontId="3" fillId="0" borderId="36" xfId="0" applyFont="1" applyBorder="1"/>
    <xf numFmtId="0" fontId="0" fillId="0" borderId="36" xfId="0" applyBorder="1"/>
    <xf numFmtId="0" fontId="0" fillId="0" borderId="37" xfId="0" applyBorder="1"/>
    <xf numFmtId="0" fontId="0" fillId="0" borderId="38" xfId="0" applyBorder="1"/>
    <xf numFmtId="0" fontId="0" fillId="2" borderId="36" xfId="0" applyFill="1" applyBorder="1"/>
    <xf numFmtId="49" fontId="0" fillId="0" borderId="36" xfId="0" applyNumberFormat="1" applyBorder="1"/>
    <xf numFmtId="0" fontId="4" fillId="0" borderId="36" xfId="0" applyFont="1" applyFill="1" applyBorder="1"/>
    <xf numFmtId="3" fontId="3" fillId="10" borderId="23" xfId="0" applyNumberFormat="1" applyFont="1" applyFill="1" applyBorder="1"/>
    <xf numFmtId="3" fontId="3" fillId="10" borderId="22" xfId="0" applyNumberFormat="1" applyFont="1" applyFill="1" applyBorder="1"/>
    <xf numFmtId="3" fontId="3" fillId="10" borderId="32" xfId="0" applyNumberFormat="1" applyFont="1" applyFill="1" applyBorder="1"/>
    <xf numFmtId="3" fontId="0" fillId="10" borderId="23" xfId="0" applyNumberFormat="1" applyFill="1" applyBorder="1"/>
    <xf numFmtId="3" fontId="0" fillId="10" borderId="22" xfId="0" applyNumberFormat="1" applyFill="1" applyBorder="1"/>
    <xf numFmtId="3" fontId="0" fillId="10" borderId="24" xfId="0" applyNumberFormat="1" applyFill="1" applyBorder="1"/>
    <xf numFmtId="0" fontId="3" fillId="10" borderId="23" xfId="0" applyFont="1" applyFill="1" applyBorder="1"/>
    <xf numFmtId="0" fontId="3" fillId="10" borderId="39" xfId="0" applyFont="1" applyFill="1" applyBorder="1"/>
    <xf numFmtId="0" fontId="3" fillId="10" borderId="40" xfId="0" applyFont="1" applyFill="1" applyBorder="1"/>
    <xf numFmtId="0" fontId="3" fillId="10" borderId="32" xfId="0" applyFont="1" applyFill="1" applyBorder="1"/>
    <xf numFmtId="0" fontId="3" fillId="10" borderId="41" xfId="0" applyFont="1" applyFill="1" applyBorder="1"/>
    <xf numFmtId="0" fontId="0" fillId="10" borderId="23" xfId="0" applyFill="1" applyBorder="1"/>
    <xf numFmtId="0" fontId="0" fillId="10" borderId="24" xfId="0" applyFill="1" applyBorder="1"/>
    <xf numFmtId="0" fontId="3" fillId="10" borderId="42" xfId="0" applyFont="1" applyFill="1" applyBorder="1"/>
    <xf numFmtId="0" fontId="0" fillId="10" borderId="39" xfId="0" applyFill="1" applyBorder="1"/>
    <xf numFmtId="0" fontId="3" fillId="10" borderId="34" xfId="0" applyFont="1" applyFill="1" applyBorder="1"/>
    <xf numFmtId="0" fontId="3" fillId="10" borderId="8" xfId="0" applyFont="1" applyFill="1" applyBorder="1"/>
    <xf numFmtId="0" fontId="3" fillId="10" borderId="14" xfId="0" applyFont="1" applyFill="1" applyBorder="1"/>
    <xf numFmtId="0" fontId="3" fillId="10" borderId="31" xfId="0" applyFont="1" applyFill="1" applyBorder="1"/>
    <xf numFmtId="0" fontId="0" fillId="10" borderId="8" xfId="0" applyFill="1" applyBorder="1"/>
    <xf numFmtId="0" fontId="0" fillId="10" borderId="14" xfId="0" applyFill="1" applyBorder="1"/>
    <xf numFmtId="0" fontId="0" fillId="10" borderId="18" xfId="0" applyFill="1" applyBorder="1"/>
    <xf numFmtId="0" fontId="3" fillId="10" borderId="18" xfId="0" applyFont="1" applyFill="1" applyBorder="1"/>
    <xf numFmtId="0" fontId="3" fillId="10" borderId="43" xfId="0" applyFont="1" applyFill="1" applyBorder="1"/>
    <xf numFmtId="0" fontId="3" fillId="10" borderId="25" xfId="0" applyFont="1" applyFill="1" applyBorder="1"/>
    <xf numFmtId="0" fontId="3" fillId="10" borderId="44" xfId="0" applyFont="1" applyFill="1" applyBorder="1"/>
    <xf numFmtId="0" fontId="3" fillId="10" borderId="33" xfId="0" applyFont="1" applyFill="1" applyBorder="1"/>
    <xf numFmtId="0" fontId="0" fillId="10" borderId="43" xfId="0" applyFill="1" applyBorder="1"/>
    <xf numFmtId="0" fontId="0" fillId="10" borderId="25" xfId="0" applyFill="1" applyBorder="1"/>
    <xf numFmtId="0" fontId="0" fillId="10" borderId="45" xfId="0" applyFill="1" applyBorder="1"/>
    <xf numFmtId="0" fontId="0" fillId="10" borderId="27" xfId="0" applyFill="1" applyBorder="1"/>
    <xf numFmtId="0" fontId="0" fillId="10" borderId="6" xfId="0" applyFill="1" applyBorder="1"/>
    <xf numFmtId="0" fontId="0" fillId="10" borderId="46" xfId="0" applyFill="1" applyBorder="1"/>
    <xf numFmtId="0" fontId="0" fillId="10" borderId="17" xfId="0" applyFill="1" applyBorder="1"/>
    <xf numFmtId="3" fontId="3" fillId="10" borderId="8" xfId="0" applyNumberFormat="1" applyFont="1" applyFill="1" applyBorder="1"/>
    <xf numFmtId="9" fontId="3" fillId="10" borderId="47" xfId="0" applyNumberFormat="1" applyFont="1" applyFill="1" applyBorder="1"/>
    <xf numFmtId="9" fontId="3" fillId="10" borderId="48" xfId="0" applyNumberFormat="1" applyFont="1" applyFill="1" applyBorder="1"/>
    <xf numFmtId="9" fontId="3" fillId="10" borderId="49" xfId="0" applyNumberFormat="1" applyFont="1" applyFill="1" applyBorder="1"/>
    <xf numFmtId="9" fontId="0" fillId="10" borderId="47" xfId="0" applyNumberFormat="1" applyFill="1" applyBorder="1"/>
    <xf numFmtId="9" fontId="0" fillId="10" borderId="48" xfId="0" applyNumberFormat="1" applyFill="1" applyBorder="1"/>
    <xf numFmtId="9" fontId="0" fillId="10" borderId="50" xfId="0" applyNumberFormat="1" applyFill="1" applyBorder="1"/>
    <xf numFmtId="3" fontId="0" fillId="10" borderId="0" xfId="0" applyNumberFormat="1" applyFill="1" applyBorder="1"/>
    <xf numFmtId="0" fontId="3" fillId="10" borderId="51" xfId="0" applyFont="1" applyFill="1" applyBorder="1"/>
    <xf numFmtId="0" fontId="3" fillId="10" borderId="26" xfId="0" applyFont="1" applyFill="1" applyBorder="1"/>
    <xf numFmtId="0" fontId="0" fillId="10" borderId="51" xfId="0" applyFill="1" applyBorder="1"/>
    <xf numFmtId="0" fontId="0" fillId="10" borderId="26" xfId="0" applyFill="1" applyBorder="1"/>
    <xf numFmtId="3" fontId="0" fillId="10" borderId="43" xfId="0" applyNumberFormat="1" applyFill="1" applyBorder="1"/>
    <xf numFmtId="3" fontId="0" fillId="10" borderId="8" xfId="0" applyNumberFormat="1" applyFill="1" applyBorder="1"/>
    <xf numFmtId="0" fontId="3" fillId="10" borderId="6" xfId="0" applyFont="1" applyFill="1" applyBorder="1" applyAlignment="1">
      <alignment horizontal="center"/>
    </xf>
    <xf numFmtId="0" fontId="3" fillId="10" borderId="4" xfId="0" applyFont="1" applyFill="1" applyBorder="1" applyAlignment="1">
      <alignment horizontal="center"/>
    </xf>
    <xf numFmtId="0" fontId="3" fillId="10" borderId="29" xfId="0" applyFont="1" applyFill="1" applyBorder="1" applyAlignment="1">
      <alignment horizontal="center"/>
    </xf>
    <xf numFmtId="0" fontId="0" fillId="10" borderId="6" xfId="0" applyFill="1" applyBorder="1" applyAlignment="1">
      <alignment horizontal="center"/>
    </xf>
    <xf numFmtId="0" fontId="0" fillId="10" borderId="17" xfId="0" applyFill="1" applyBorder="1" applyAlignment="1">
      <alignment horizontal="center"/>
    </xf>
    <xf numFmtId="0" fontId="0" fillId="10" borderId="4" xfId="0" applyFill="1" applyBorder="1" applyAlignment="1">
      <alignment horizontal="center"/>
    </xf>
    <xf numFmtId="0" fontId="0" fillId="10" borderId="9" xfId="0" applyFill="1" applyBorder="1" applyAlignment="1">
      <alignment horizontal="center"/>
    </xf>
    <xf numFmtId="0" fontId="3" fillId="10" borderId="43" xfId="0" applyFont="1" applyFill="1" applyBorder="1" applyAlignment="1">
      <alignment horizontal="center"/>
    </xf>
    <xf numFmtId="0" fontId="3" fillId="10" borderId="8" xfId="0" applyFont="1" applyFill="1" applyBorder="1" applyAlignment="1">
      <alignment horizontal="center"/>
    </xf>
    <xf numFmtId="0" fontId="3" fillId="10" borderId="25" xfId="0" applyFont="1" applyFill="1" applyBorder="1" applyAlignment="1">
      <alignment horizontal="center"/>
    </xf>
    <xf numFmtId="0" fontId="3" fillId="10" borderId="51" xfId="0" applyFont="1" applyFill="1" applyBorder="1" applyAlignment="1">
      <alignment horizontal="center"/>
    </xf>
    <xf numFmtId="0" fontId="3" fillId="10" borderId="14" xfId="0" applyFont="1" applyFill="1" applyBorder="1" applyAlignment="1">
      <alignment horizontal="center"/>
    </xf>
    <xf numFmtId="0" fontId="3" fillId="10" borderId="26" xfId="0" applyFont="1" applyFill="1" applyBorder="1" applyAlignment="1">
      <alignment horizontal="center"/>
    </xf>
    <xf numFmtId="0" fontId="3" fillId="10" borderId="44" xfId="0" applyFont="1" applyFill="1" applyBorder="1" applyAlignment="1">
      <alignment horizontal="center"/>
    </xf>
    <xf numFmtId="0" fontId="3" fillId="10" borderId="31" xfId="0" applyFont="1" applyFill="1" applyBorder="1" applyAlignment="1">
      <alignment horizontal="center"/>
    </xf>
    <xf numFmtId="0" fontId="3" fillId="10" borderId="33" xfId="0" applyFont="1" applyFill="1" applyBorder="1" applyAlignment="1">
      <alignment horizontal="center"/>
    </xf>
    <xf numFmtId="0" fontId="0" fillId="10" borderId="43" xfId="0" applyFill="1" applyBorder="1" applyAlignment="1">
      <alignment horizontal="center"/>
    </xf>
    <xf numFmtId="0" fontId="0" fillId="10" borderId="8" xfId="0" applyFill="1" applyBorder="1" applyAlignment="1">
      <alignment horizontal="center"/>
    </xf>
    <xf numFmtId="0" fontId="0" fillId="10" borderId="25" xfId="0" applyFill="1" applyBorder="1" applyAlignment="1">
      <alignment horizontal="center"/>
    </xf>
    <xf numFmtId="0" fontId="3" fillId="10" borderId="13" xfId="0" applyFont="1" applyFill="1" applyBorder="1" applyAlignment="1">
      <alignment horizontal="center"/>
    </xf>
    <xf numFmtId="0" fontId="0" fillId="10" borderId="45" xfId="0" applyFill="1" applyBorder="1" applyAlignment="1">
      <alignment horizontal="center"/>
    </xf>
    <xf numFmtId="0" fontId="0" fillId="10" borderId="18" xfId="0" applyFill="1" applyBorder="1" applyAlignment="1">
      <alignment horizontal="center"/>
    </xf>
    <xf numFmtId="0" fontId="0" fillId="10" borderId="27" xfId="0" applyFill="1" applyBorder="1" applyAlignment="1">
      <alignment horizontal="center"/>
    </xf>
    <xf numFmtId="0" fontId="0" fillId="10" borderId="51" xfId="0" applyFill="1" applyBorder="1" applyAlignment="1">
      <alignment horizontal="center"/>
    </xf>
    <xf numFmtId="0" fontId="0" fillId="10" borderId="14" xfId="0" applyFill="1" applyBorder="1" applyAlignment="1">
      <alignment horizontal="center"/>
    </xf>
    <xf numFmtId="0" fontId="0" fillId="10" borderId="26" xfId="0" applyFill="1" applyBorder="1" applyAlignment="1">
      <alignment horizontal="center"/>
    </xf>
    <xf numFmtId="0" fontId="0" fillId="10" borderId="52" xfId="0" applyFill="1" applyBorder="1" applyAlignment="1">
      <alignment horizontal="center"/>
    </xf>
    <xf numFmtId="0" fontId="0" fillId="10" borderId="34" xfId="0" applyFill="1" applyBorder="1" applyAlignment="1">
      <alignment horizontal="center"/>
    </xf>
    <xf numFmtId="0" fontId="0" fillId="10" borderId="53" xfId="0" applyFill="1" applyBorder="1" applyAlignment="1">
      <alignment horizontal="center"/>
    </xf>
    <xf numFmtId="49" fontId="3" fillId="10" borderId="23" xfId="0" applyNumberFormat="1" applyFont="1" applyFill="1" applyBorder="1"/>
    <xf numFmtId="3" fontId="3" fillId="10" borderId="0" xfId="0" applyNumberFormat="1" applyFont="1" applyFill="1" applyBorder="1"/>
    <xf numFmtId="49" fontId="3" fillId="10" borderId="0" xfId="0" applyNumberFormat="1" applyFont="1" applyFill="1" applyBorder="1"/>
    <xf numFmtId="49" fontId="3" fillId="10" borderId="39" xfId="0" applyNumberFormat="1" applyFont="1" applyFill="1" applyBorder="1"/>
    <xf numFmtId="3" fontId="3" fillId="10" borderId="1" xfId="0" applyNumberFormat="1" applyFont="1" applyFill="1" applyBorder="1"/>
    <xf numFmtId="49" fontId="3" fillId="10" borderId="1" xfId="0" applyNumberFormat="1" applyFont="1" applyFill="1" applyBorder="1"/>
    <xf numFmtId="49" fontId="3" fillId="10" borderId="40" xfId="0" applyNumberFormat="1" applyFont="1" applyFill="1" applyBorder="1"/>
    <xf numFmtId="49" fontId="3" fillId="10" borderId="54" xfId="0" applyNumberFormat="1" applyFont="1" applyFill="1" applyBorder="1"/>
    <xf numFmtId="3" fontId="3" fillId="10" borderId="2" xfId="0" applyNumberFormat="1" applyFont="1" applyFill="1" applyBorder="1"/>
    <xf numFmtId="49" fontId="3" fillId="10" borderId="55" xfId="0" applyNumberFormat="1" applyFont="1" applyFill="1" applyBorder="1"/>
    <xf numFmtId="49" fontId="3" fillId="10" borderId="32" xfId="0" applyNumberFormat="1" applyFont="1" applyFill="1" applyBorder="1"/>
    <xf numFmtId="3" fontId="3" fillId="10" borderId="28" xfId="0" applyNumberFormat="1" applyFont="1" applyFill="1" applyBorder="1"/>
    <xf numFmtId="49" fontId="3" fillId="10" borderId="28" xfId="0" applyNumberFormat="1" applyFont="1" applyFill="1" applyBorder="1"/>
    <xf numFmtId="49" fontId="3" fillId="10" borderId="41" xfId="0" applyNumberFormat="1" applyFont="1" applyFill="1" applyBorder="1"/>
    <xf numFmtId="49" fontId="3" fillId="10" borderId="56" xfId="0" applyNumberFormat="1" applyFont="1" applyFill="1" applyBorder="1"/>
    <xf numFmtId="3" fontId="3" fillId="10" borderId="57" xfId="0" applyNumberFormat="1" applyFont="1" applyFill="1" applyBorder="1"/>
    <xf numFmtId="49" fontId="3" fillId="10" borderId="58" xfId="0" applyNumberFormat="1" applyFont="1" applyFill="1" applyBorder="1"/>
    <xf numFmtId="49" fontId="0" fillId="10" borderId="23" xfId="0" applyNumberFormat="1" applyFill="1" applyBorder="1"/>
    <xf numFmtId="49" fontId="0" fillId="10" borderId="0" xfId="0" applyNumberFormat="1" applyFill="1" applyBorder="1"/>
    <xf numFmtId="49" fontId="0" fillId="10" borderId="39" xfId="0" applyNumberFormat="1" applyFill="1" applyBorder="1"/>
    <xf numFmtId="3" fontId="3" fillId="10" borderId="3" xfId="0" applyNumberFormat="1" applyFont="1" applyFill="1" applyBorder="1"/>
    <xf numFmtId="49" fontId="3" fillId="10" borderId="59" xfId="0" applyNumberFormat="1" applyFont="1" applyFill="1" applyBorder="1"/>
    <xf numFmtId="49" fontId="0" fillId="10" borderId="22" xfId="0" applyNumberFormat="1" applyFill="1" applyBorder="1"/>
    <xf numFmtId="3" fontId="0" fillId="10" borderId="1" xfId="0" applyNumberFormat="1" applyFill="1" applyBorder="1"/>
    <xf numFmtId="49" fontId="0" fillId="10" borderId="1" xfId="0" applyNumberFormat="1" applyFill="1" applyBorder="1"/>
    <xf numFmtId="49" fontId="0" fillId="10" borderId="40" xfId="0" applyNumberFormat="1" applyFill="1" applyBorder="1"/>
    <xf numFmtId="49" fontId="0" fillId="10" borderId="24" xfId="0" applyNumberFormat="1" applyFill="1" applyBorder="1"/>
    <xf numFmtId="3" fontId="0" fillId="10" borderId="15" xfId="0" applyNumberFormat="1" applyFill="1" applyBorder="1"/>
    <xf numFmtId="49" fontId="0" fillId="10" borderId="15" xfId="0" applyNumberFormat="1" applyFill="1" applyBorder="1"/>
    <xf numFmtId="49" fontId="0" fillId="10" borderId="42" xfId="0" applyNumberFormat="1" applyFill="1" applyBorder="1"/>
    <xf numFmtId="0" fontId="0" fillId="10" borderId="60" xfId="0" applyFill="1" applyBorder="1"/>
    <xf numFmtId="0" fontId="0" fillId="10" borderId="61" xfId="0" applyFill="1" applyBorder="1"/>
    <xf numFmtId="0" fontId="0" fillId="10" borderId="62" xfId="0" applyFill="1" applyBorder="1"/>
    <xf numFmtId="3" fontId="0" fillId="10" borderId="47" xfId="0" applyNumberFormat="1" applyFill="1" applyBorder="1"/>
    <xf numFmtId="3" fontId="3" fillId="0" borderId="0" xfId="0" applyNumberFormat="1" applyFont="1" applyFill="1" applyBorder="1"/>
    <xf numFmtId="3" fontId="3" fillId="0" borderId="28" xfId="0" applyNumberFormat="1" applyFont="1" applyFill="1" applyBorder="1"/>
    <xf numFmtId="3" fontId="0" fillId="0" borderId="0" xfId="0" applyNumberFormat="1" applyFill="1" applyBorder="1"/>
    <xf numFmtId="3" fontId="0" fillId="0" borderId="15" xfId="0" applyNumberFormat="1" applyFill="1" applyBorder="1"/>
    <xf numFmtId="0" fontId="4" fillId="0" borderId="0" xfId="0" applyFont="1" applyFill="1" applyBorder="1"/>
    <xf numFmtId="166" fontId="0" fillId="0" borderId="9" xfId="0" applyNumberFormat="1" applyBorder="1"/>
    <xf numFmtId="0" fontId="4" fillId="0" borderId="0" xfId="0" applyFont="1" applyAlignment="1">
      <alignment horizontal="center"/>
    </xf>
    <xf numFmtId="10" fontId="3" fillId="0" borderId="1" xfId="0" applyNumberFormat="1" applyFont="1" applyBorder="1"/>
    <xf numFmtId="0" fontId="3" fillId="0" borderId="5" xfId="0" applyFont="1" applyFill="1" applyBorder="1"/>
    <xf numFmtId="0" fontId="3" fillId="0" borderId="0" xfId="0" applyFont="1" applyFill="1" applyBorder="1"/>
    <xf numFmtId="0" fontId="3" fillId="0" borderId="7" xfId="0" applyFont="1" applyFill="1" applyBorder="1"/>
    <xf numFmtId="0" fontId="3" fillId="0" borderId="30" xfId="0" applyFont="1" applyFill="1" applyBorder="1"/>
    <xf numFmtId="0" fontId="0" fillId="0" borderId="7" xfId="0" applyFill="1" applyBorder="1"/>
    <xf numFmtId="0" fontId="0" fillId="0" borderId="5" xfId="0" applyFill="1" applyBorder="1"/>
    <xf numFmtId="0" fontId="0" fillId="0" borderId="16" xfId="0" applyFill="1" applyBorder="1"/>
    <xf numFmtId="10" fontId="3" fillId="0" borderId="0" xfId="0" applyNumberFormat="1" applyFont="1" applyBorder="1"/>
    <xf numFmtId="10" fontId="3" fillId="0" borderId="28" xfId="0" applyNumberFormat="1" applyFont="1" applyBorder="1"/>
    <xf numFmtId="10" fontId="0" fillId="0" borderId="1" xfId="0" applyNumberFormat="1" applyBorder="1"/>
    <xf numFmtId="10" fontId="0" fillId="0" borderId="15" xfId="0" applyNumberFormat="1" applyBorder="1"/>
    <xf numFmtId="10" fontId="3" fillId="0" borderId="4" xfId="0" applyNumberFormat="1" applyFont="1" applyFill="1" applyBorder="1"/>
    <xf numFmtId="10" fontId="3" fillId="0" borderId="1" xfId="0" applyNumberFormat="1" applyFont="1" applyFill="1" applyBorder="1"/>
    <xf numFmtId="10" fontId="3" fillId="0" borderId="6" xfId="0" applyNumberFormat="1" applyFont="1" applyFill="1" applyBorder="1"/>
    <xf numFmtId="10" fontId="3" fillId="0" borderId="0" xfId="0" applyNumberFormat="1" applyFont="1" applyFill="1" applyBorder="1"/>
    <xf numFmtId="10" fontId="3" fillId="0" borderId="29" xfId="0" applyNumberFormat="1" applyFont="1" applyFill="1" applyBorder="1"/>
    <xf numFmtId="10" fontId="3" fillId="0" borderId="28" xfId="0" applyNumberFormat="1" applyFont="1" applyFill="1" applyBorder="1"/>
    <xf numFmtId="10" fontId="0" fillId="0" borderId="6" xfId="0" applyNumberFormat="1" applyFill="1" applyBorder="1"/>
    <xf numFmtId="10" fontId="0" fillId="0" borderId="0" xfId="0" applyNumberFormat="1" applyFill="1" applyBorder="1"/>
    <xf numFmtId="10" fontId="0" fillId="0" borderId="4" xfId="0" applyNumberFormat="1" applyFill="1" applyBorder="1"/>
    <xf numFmtId="10" fontId="0" fillId="0" borderId="1" xfId="0" applyNumberFormat="1" applyFill="1" applyBorder="1"/>
    <xf numFmtId="10" fontId="0" fillId="0" borderId="17" xfId="0" applyNumberFormat="1" applyFill="1" applyBorder="1"/>
    <xf numFmtId="10" fontId="0" fillId="0" borderId="15" xfId="0" applyNumberFormat="1" applyFill="1" applyBorder="1"/>
    <xf numFmtId="2" fontId="0" fillId="0" borderId="9" xfId="0" applyNumberFormat="1" applyBorder="1" applyAlignment="1">
      <alignment horizontal="center"/>
    </xf>
    <xf numFmtId="2" fontId="0" fillId="0" borderId="10" xfId="0" applyNumberFormat="1" applyBorder="1" applyAlignment="1">
      <alignment horizontal="center"/>
    </xf>
    <xf numFmtId="2" fontId="0" fillId="0" borderId="6" xfId="0" applyNumberFormat="1" applyBorder="1" applyAlignment="1">
      <alignment horizontal="center"/>
    </xf>
    <xf numFmtId="2" fontId="0" fillId="0" borderId="7" xfId="0" applyNumberFormat="1" applyBorder="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12" xfId="0" applyNumberFormat="1" applyBorder="1" applyAlignment="1">
      <alignment horizontal="center"/>
    </xf>
    <xf numFmtId="2" fontId="3" fillId="0" borderId="4" xfId="0" applyNumberFormat="1" applyFont="1" applyFill="1" applyBorder="1"/>
    <xf numFmtId="2" fontId="3" fillId="0" borderId="1" xfId="0" applyNumberFormat="1" applyFont="1" applyFill="1" applyBorder="1"/>
    <xf numFmtId="2" fontId="3" fillId="0" borderId="14" xfId="0" applyNumberFormat="1" applyFont="1" applyFill="1" applyBorder="1"/>
    <xf numFmtId="2" fontId="3" fillId="0" borderId="6" xfId="0" applyNumberFormat="1" applyFont="1" applyFill="1" applyBorder="1"/>
    <xf numFmtId="2" fontId="3" fillId="0" borderId="0" xfId="0" applyNumberFormat="1" applyFont="1" applyFill="1" applyBorder="1"/>
    <xf numFmtId="2" fontId="3" fillId="0" borderId="8" xfId="0" applyNumberFormat="1" applyFont="1" applyFill="1" applyBorder="1"/>
    <xf numFmtId="2" fontId="3" fillId="0" borderId="29" xfId="0" applyNumberFormat="1" applyFont="1" applyFill="1" applyBorder="1"/>
    <xf numFmtId="2" fontId="3" fillId="0" borderId="28" xfId="0" applyNumberFormat="1" applyFont="1" applyFill="1" applyBorder="1"/>
    <xf numFmtId="2" fontId="3" fillId="0" borderId="31" xfId="0" applyNumberFormat="1" applyFont="1" applyFill="1" applyBorder="1"/>
    <xf numFmtId="2" fontId="0" fillId="0" borderId="6" xfId="0" applyNumberFormat="1" applyFill="1" applyBorder="1"/>
    <xf numFmtId="2" fontId="0" fillId="0" borderId="0" xfId="0" applyNumberFormat="1" applyFill="1" applyBorder="1"/>
    <xf numFmtId="2" fontId="0" fillId="0" borderId="8" xfId="0" applyNumberFormat="1" applyFill="1" applyBorder="1"/>
    <xf numFmtId="2" fontId="0" fillId="0" borderId="4" xfId="0" applyNumberFormat="1" applyFill="1" applyBorder="1"/>
    <xf numFmtId="2" fontId="0" fillId="0" borderId="1" xfId="0" applyNumberFormat="1" applyFill="1" applyBorder="1"/>
    <xf numFmtId="2" fontId="0" fillId="0" borderId="14" xfId="0" applyNumberFormat="1" applyFill="1" applyBorder="1"/>
    <xf numFmtId="2" fontId="0" fillId="0" borderId="17" xfId="0" applyNumberFormat="1" applyFill="1" applyBorder="1"/>
    <xf numFmtId="2" fontId="0" fillId="0" borderId="15" xfId="0" applyNumberFormat="1" applyFill="1" applyBorder="1"/>
    <xf numFmtId="2" fontId="0" fillId="0" borderId="18" xfId="0" applyNumberFormat="1" applyFill="1" applyBorder="1"/>
    <xf numFmtId="0" fontId="4" fillId="0" borderId="0" xfId="0" applyFont="1" applyBorder="1"/>
    <xf numFmtId="49" fontId="3" fillId="10" borderId="3" xfId="0" applyNumberFormat="1" applyFont="1" applyFill="1" applyBorder="1"/>
    <xf numFmtId="3" fontId="3" fillId="8" borderId="0" xfId="0" applyNumberFormat="1" applyFont="1" applyFill="1" applyBorder="1"/>
    <xf numFmtId="3" fontId="3" fillId="8" borderId="28" xfId="0" applyNumberFormat="1" applyFont="1" applyFill="1" applyBorder="1"/>
    <xf numFmtId="3" fontId="0" fillId="8" borderId="0" xfId="0" applyNumberFormat="1" applyFill="1" applyBorder="1"/>
    <xf numFmtId="3" fontId="0" fillId="8" borderId="15" xfId="0" applyNumberFormat="1" applyFill="1" applyBorder="1"/>
    <xf numFmtId="10" fontId="3" fillId="0" borderId="4" xfId="0" applyNumberFormat="1" applyFont="1" applyBorder="1"/>
    <xf numFmtId="10" fontId="3" fillId="0" borderId="6" xfId="0" applyNumberFormat="1" applyFont="1" applyBorder="1"/>
    <xf numFmtId="10" fontId="3" fillId="0" borderId="29" xfId="0" applyNumberFormat="1" applyFont="1" applyBorder="1"/>
    <xf numFmtId="10" fontId="3" fillId="0" borderId="16" xfId="0" applyNumberFormat="1" applyFont="1" applyBorder="1"/>
    <xf numFmtId="3" fontId="3" fillId="0" borderId="18" xfId="0" applyNumberFormat="1" applyFont="1" applyBorder="1"/>
    <xf numFmtId="0" fontId="0" fillId="0" borderId="0" xfId="0" quotePrefix="1" applyAlignment="1">
      <alignment horizontal="left"/>
    </xf>
    <xf numFmtId="3" fontId="0" fillId="10" borderId="28" xfId="0" applyNumberFormat="1" applyFill="1" applyBorder="1"/>
    <xf numFmtId="0" fontId="3" fillId="0" borderId="63" xfId="0" applyFont="1" applyBorder="1"/>
    <xf numFmtId="0" fontId="3" fillId="0" borderId="64" xfId="0" applyFont="1" applyBorder="1"/>
    <xf numFmtId="0" fontId="3" fillId="0" borderId="65" xfId="0" applyFont="1" applyBorder="1"/>
    <xf numFmtId="0" fontId="3" fillId="0" borderId="66" xfId="0" applyFont="1" applyBorder="1"/>
    <xf numFmtId="0" fontId="0" fillId="0" borderId="64" xfId="0" applyBorder="1"/>
    <xf numFmtId="0" fontId="0" fillId="0" borderId="67" xfId="0" applyBorder="1"/>
    <xf numFmtId="0" fontId="0" fillId="0" borderId="63" xfId="0" applyBorder="1"/>
    <xf numFmtId="0" fontId="0" fillId="0" borderId="65" xfId="0" applyBorder="1"/>
    <xf numFmtId="0" fontId="0" fillId="0" borderId="68" xfId="0" applyBorder="1"/>
    <xf numFmtId="0" fontId="3" fillId="10" borderId="22" xfId="0" applyFont="1" applyFill="1" applyBorder="1"/>
    <xf numFmtId="3" fontId="0" fillId="10" borderId="14" xfId="0" applyNumberFormat="1" applyFill="1" applyBorder="1"/>
    <xf numFmtId="0" fontId="0" fillId="10" borderId="22" xfId="0" applyFill="1" applyBorder="1"/>
    <xf numFmtId="0" fontId="4" fillId="0" borderId="0" xfId="0" quotePrefix="1" applyFont="1" applyAlignment="1">
      <alignment horizontal="left"/>
    </xf>
    <xf numFmtId="0" fontId="0" fillId="10" borderId="0" xfId="0" applyFill="1"/>
    <xf numFmtId="49" fontId="0" fillId="0" borderId="0" xfId="0" applyNumberFormat="1" applyAlignment="1">
      <alignment horizontal="center"/>
    </xf>
    <xf numFmtId="10" fontId="0" fillId="0" borderId="6" xfId="0" applyNumberFormat="1" applyBorder="1"/>
    <xf numFmtId="10" fontId="0" fillId="0" borderId="4" xfId="0" applyNumberFormat="1" applyBorder="1"/>
    <xf numFmtId="10" fontId="0" fillId="0" borderId="17" xfId="0" applyNumberFormat="1" applyBorder="1"/>
    <xf numFmtId="0" fontId="0" fillId="0" borderId="7" xfId="0"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3" fillId="0" borderId="53" xfId="0" applyFont="1" applyBorder="1"/>
    <xf numFmtId="0" fontId="3" fillId="0" borderId="25" xfId="0" applyFont="1" applyBorder="1"/>
    <xf numFmtId="20" fontId="3" fillId="0" borderId="0" xfId="0" applyNumberFormat="1" applyFont="1" applyBorder="1"/>
    <xf numFmtId="20" fontId="3" fillId="0" borderId="4" xfId="0" applyNumberFormat="1" applyFont="1" applyBorder="1"/>
    <xf numFmtId="20" fontId="3" fillId="0" borderId="6" xfId="0" applyNumberFormat="1" applyFont="1" applyBorder="1"/>
    <xf numFmtId="20" fontId="3" fillId="0" borderId="9" xfId="0" applyNumberFormat="1" applyFont="1" applyBorder="1"/>
    <xf numFmtId="20" fontId="3" fillId="0" borderId="29" xfId="0" applyNumberFormat="1" applyFont="1" applyBorder="1"/>
    <xf numFmtId="20" fontId="0" fillId="0" borderId="6" xfId="0" applyNumberFormat="1" applyBorder="1"/>
    <xf numFmtId="0" fontId="3" fillId="0" borderId="11" xfId="0" applyFont="1" applyBorder="1"/>
    <xf numFmtId="0" fontId="0" fillId="10" borderId="31" xfId="0" applyFill="1" applyBorder="1"/>
    <xf numFmtId="10" fontId="3" fillId="0" borderId="7" xfId="2" applyNumberFormat="1" applyFont="1" applyBorder="1"/>
    <xf numFmtId="10" fontId="3" fillId="0" borderId="30" xfId="2" applyNumberFormat="1" applyFont="1" applyBorder="1"/>
    <xf numFmtId="10" fontId="3" fillId="0" borderId="15" xfId="2" applyNumberFormat="1" applyFont="1" applyBorder="1"/>
    <xf numFmtId="10" fontId="3" fillId="0" borderId="16" xfId="2" applyNumberFormat="1" applyFont="1" applyBorder="1"/>
    <xf numFmtId="10" fontId="3" fillId="0" borderId="3" xfId="2" applyNumberFormat="1" applyFont="1" applyBorder="1"/>
    <xf numFmtId="10" fontId="3" fillId="0" borderId="12" xfId="2" applyNumberFormat="1" applyFont="1" applyBorder="1"/>
    <xf numFmtId="49" fontId="0" fillId="0" borderId="36" xfId="0" applyNumberFormat="1" applyBorder="1" applyAlignment="1">
      <alignment horizontal="center"/>
    </xf>
    <xf numFmtId="49" fontId="0" fillId="0" borderId="0" xfId="0" applyNumberFormat="1" applyBorder="1" applyAlignment="1">
      <alignment horizontal="center"/>
    </xf>
    <xf numFmtId="0" fontId="3" fillId="0" borderId="7" xfId="0" applyFont="1" applyBorder="1" applyAlignment="1">
      <alignment horizontal="center"/>
    </xf>
    <xf numFmtId="0" fontId="3" fillId="0" borderId="10" xfId="0" applyFont="1" applyBorder="1" applyAlignment="1">
      <alignment horizontal="center"/>
    </xf>
    <xf numFmtId="0" fontId="3" fillId="0" borderId="30" xfId="0" applyFont="1" applyBorder="1" applyAlignment="1">
      <alignment horizontal="center"/>
    </xf>
    <xf numFmtId="0" fontId="0" fillId="0" borderId="5" xfId="0" applyBorder="1" applyAlignment="1">
      <alignment horizontal="center"/>
    </xf>
    <xf numFmtId="0" fontId="0" fillId="0" borderId="16" xfId="0" applyBorder="1" applyAlignment="1">
      <alignment horizontal="center"/>
    </xf>
    <xf numFmtId="20" fontId="3" fillId="0" borderId="5" xfId="0" applyNumberFormat="1" applyFont="1" applyBorder="1" applyAlignment="1">
      <alignment horizontal="right"/>
    </xf>
    <xf numFmtId="20" fontId="3" fillId="0" borderId="7" xfId="0" applyNumberFormat="1" applyFont="1" applyBorder="1" applyAlignment="1">
      <alignment horizontal="right"/>
    </xf>
    <xf numFmtId="20" fontId="3" fillId="0" borderId="10" xfId="0" applyNumberFormat="1" applyFont="1" applyBorder="1" applyAlignment="1">
      <alignment horizontal="right"/>
    </xf>
    <xf numFmtId="20" fontId="3" fillId="0" borderId="30" xfId="0" applyNumberFormat="1" applyFont="1" applyBorder="1" applyAlignment="1">
      <alignment horizontal="right"/>
    </xf>
    <xf numFmtId="20" fontId="0" fillId="0" borderId="7" xfId="0" applyNumberFormat="1" applyBorder="1" applyAlignment="1">
      <alignment horizontal="right"/>
    </xf>
    <xf numFmtId="20" fontId="0" fillId="0" borderId="5" xfId="0" applyNumberFormat="1" applyBorder="1" applyAlignment="1">
      <alignment horizontal="right"/>
    </xf>
    <xf numFmtId="20" fontId="0" fillId="0" borderId="10" xfId="0" applyNumberFormat="1" applyBorder="1" applyAlignment="1">
      <alignment horizontal="right"/>
    </xf>
    <xf numFmtId="20" fontId="0" fillId="0" borderId="16" xfId="0" applyNumberFormat="1" applyBorder="1" applyAlignment="1">
      <alignment horizontal="right"/>
    </xf>
    <xf numFmtId="18" fontId="3" fillId="0" borderId="5" xfId="0" applyNumberFormat="1" applyFont="1" applyBorder="1" applyAlignment="1">
      <alignment horizontal="right"/>
    </xf>
    <xf numFmtId="18" fontId="3" fillId="0" borderId="7" xfId="0" applyNumberFormat="1" applyFont="1" applyBorder="1" applyAlignment="1">
      <alignment horizontal="right"/>
    </xf>
    <xf numFmtId="18" fontId="3" fillId="0" borderId="10" xfId="0" applyNumberFormat="1" applyFont="1" applyBorder="1" applyAlignment="1">
      <alignment horizontal="right"/>
    </xf>
    <xf numFmtId="18" fontId="3" fillId="0" borderId="30" xfId="0" applyNumberFormat="1" applyFont="1" applyBorder="1" applyAlignment="1">
      <alignment horizontal="right"/>
    </xf>
    <xf numFmtId="18" fontId="0" fillId="0" borderId="7" xfId="0" applyNumberFormat="1" applyBorder="1" applyAlignment="1">
      <alignment horizontal="right"/>
    </xf>
    <xf numFmtId="18" fontId="0" fillId="0" borderId="5" xfId="0" applyNumberFormat="1" applyBorder="1" applyAlignment="1">
      <alignment horizontal="right"/>
    </xf>
    <xf numFmtId="18" fontId="0" fillId="0" borderId="10" xfId="0" applyNumberFormat="1" applyBorder="1" applyAlignment="1">
      <alignment horizontal="right"/>
    </xf>
    <xf numFmtId="18" fontId="0" fillId="0" borderId="16" xfId="0" applyNumberFormat="1" applyBorder="1" applyAlignment="1">
      <alignment horizontal="right"/>
    </xf>
    <xf numFmtId="20" fontId="0" fillId="0" borderId="11" xfId="0" applyNumberFormat="1" applyBorder="1"/>
    <xf numFmtId="20" fontId="0" fillId="0" borderId="4" xfId="0" applyNumberFormat="1" applyBorder="1"/>
    <xf numFmtId="20" fontId="0" fillId="0" borderId="9" xfId="0" applyNumberFormat="1" applyBorder="1"/>
    <xf numFmtId="20" fontId="0" fillId="0" borderId="17" xfId="0" applyNumberFormat="1" applyBorder="1"/>
    <xf numFmtId="20" fontId="3" fillId="0" borderId="28" xfId="0" applyNumberFormat="1" applyFont="1" applyBorder="1"/>
    <xf numFmtId="20" fontId="0" fillId="0" borderId="0" xfId="0" applyNumberFormat="1" applyBorder="1"/>
    <xf numFmtId="20" fontId="0" fillId="0" borderId="15" xfId="0" applyNumberFormat="1" applyBorder="1"/>
    <xf numFmtId="18" fontId="0" fillId="0" borderId="0" xfId="0" applyNumberFormat="1"/>
    <xf numFmtId="0" fontId="0" fillId="0" borderId="0" xfId="0" quotePrefix="1" applyAlignment="1">
      <alignment horizontal="center"/>
    </xf>
    <xf numFmtId="0" fontId="0" fillId="0" borderId="0" xfId="0" quotePrefix="1" applyAlignment="1">
      <alignment horizontal="left" vertical="top"/>
    </xf>
    <xf numFmtId="3" fontId="3" fillId="0" borderId="7" xfId="2" applyNumberFormat="1" applyFont="1" applyFill="1" applyBorder="1"/>
    <xf numFmtId="3" fontId="3" fillId="0" borderId="7" xfId="0" applyNumberFormat="1" applyFont="1" applyFill="1" applyBorder="1"/>
    <xf numFmtId="0" fontId="3" fillId="0" borderId="40" xfId="0" applyFont="1" applyBorder="1"/>
    <xf numFmtId="0" fontId="4" fillId="0" borderId="0" xfId="0" applyFont="1" applyFill="1" applyAlignment="1">
      <alignment horizontal="center"/>
    </xf>
    <xf numFmtId="20" fontId="3" fillId="0" borderId="1" xfId="2" applyNumberFormat="1" applyFont="1" applyBorder="1"/>
    <xf numFmtId="20" fontId="3" fillId="0" borderId="0" xfId="2" applyNumberFormat="1" applyFont="1" applyBorder="1"/>
    <xf numFmtId="20" fontId="3" fillId="0" borderId="28" xfId="2" applyNumberFormat="1" applyFont="1" applyBorder="1"/>
    <xf numFmtId="20" fontId="3" fillId="0" borderId="15" xfId="2" applyNumberFormat="1" applyFont="1" applyBorder="1"/>
    <xf numFmtId="20" fontId="3" fillId="0" borderId="3" xfId="2" applyNumberFormat="1" applyFont="1" applyBorder="1"/>
    <xf numFmtId="20" fontId="3" fillId="0" borderId="5" xfId="0" applyNumberFormat="1" applyFont="1" applyBorder="1"/>
    <xf numFmtId="20" fontId="3" fillId="0" borderId="7" xfId="0" applyNumberFormat="1" applyFont="1" applyBorder="1"/>
    <xf numFmtId="20" fontId="3" fillId="0" borderId="30" xfId="0" applyNumberFormat="1" applyFont="1" applyBorder="1"/>
    <xf numFmtId="20" fontId="3" fillId="0" borderId="16" xfId="0" applyNumberFormat="1" applyFont="1" applyBorder="1"/>
    <xf numFmtId="3" fontId="3" fillId="0" borderId="4" xfId="2" applyNumberFormat="1" applyFont="1" applyBorder="1"/>
    <xf numFmtId="3" fontId="3" fillId="0" borderId="6" xfId="2" applyNumberFormat="1" applyFont="1" applyBorder="1"/>
    <xf numFmtId="3" fontId="0" fillId="0" borderId="6" xfId="2" applyNumberFormat="1" applyFont="1" applyBorder="1"/>
    <xf numFmtId="3" fontId="3" fillId="0" borderId="29" xfId="2" applyNumberFormat="1" applyFont="1" applyBorder="1"/>
    <xf numFmtId="3" fontId="0" fillId="0" borderId="4" xfId="2" applyNumberFormat="1" applyFont="1" applyBorder="1"/>
    <xf numFmtId="3" fontId="0" fillId="0" borderId="17" xfId="2" applyNumberFormat="1" applyFont="1" applyBorder="1"/>
    <xf numFmtId="3" fontId="4" fillId="11" borderId="70" xfId="0" applyNumberFormat="1" applyFont="1" applyFill="1" applyBorder="1"/>
    <xf numFmtId="3" fontId="4" fillId="11" borderId="71" xfId="0" applyNumberFormat="1" applyFont="1" applyFill="1" applyBorder="1"/>
    <xf numFmtId="3" fontId="4" fillId="11" borderId="72" xfId="0" applyNumberFormat="1" applyFont="1" applyFill="1" applyBorder="1"/>
    <xf numFmtId="0" fontId="4" fillId="11" borderId="72" xfId="0" applyFont="1" applyFill="1" applyBorder="1"/>
    <xf numFmtId="4" fontId="4" fillId="11" borderId="70" xfId="0" applyNumberFormat="1" applyFont="1" applyFill="1" applyBorder="1"/>
    <xf numFmtId="9" fontId="4" fillId="11" borderId="71" xfId="0" applyNumberFormat="1" applyFont="1" applyFill="1" applyBorder="1"/>
    <xf numFmtId="9" fontId="4" fillId="11" borderId="72" xfId="0" applyNumberFormat="1" applyFont="1" applyFill="1" applyBorder="1"/>
    <xf numFmtId="9" fontId="4" fillId="11" borderId="70" xfId="0" applyNumberFormat="1" applyFont="1" applyFill="1" applyBorder="1"/>
    <xf numFmtId="0" fontId="4" fillId="11" borderId="73" xfId="0" applyFont="1" applyFill="1" applyBorder="1"/>
    <xf numFmtId="10" fontId="4" fillId="11" borderId="72" xfId="2" applyNumberFormat="1" applyFont="1" applyFill="1" applyBorder="1"/>
    <xf numFmtId="10" fontId="4" fillId="11" borderId="72" xfId="0" applyNumberFormat="1" applyFont="1" applyFill="1" applyBorder="1"/>
    <xf numFmtId="0" fontId="4" fillId="11" borderId="71" xfId="0" applyFont="1" applyFill="1" applyBorder="1"/>
    <xf numFmtId="0" fontId="4" fillId="11" borderId="70" xfId="0" applyFont="1" applyFill="1" applyBorder="1"/>
    <xf numFmtId="0" fontId="4" fillId="11" borderId="71" xfId="0" applyFont="1" applyFill="1" applyBorder="1" applyAlignment="1">
      <alignment horizontal="center"/>
    </xf>
    <xf numFmtId="0" fontId="4" fillId="11" borderId="69" xfId="0" applyFont="1" applyFill="1" applyBorder="1"/>
    <xf numFmtId="0" fontId="4" fillId="11" borderId="76" xfId="0" applyFont="1" applyFill="1" applyBorder="1"/>
    <xf numFmtId="0" fontId="4" fillId="11" borderId="77" xfId="0" applyFont="1" applyFill="1" applyBorder="1"/>
    <xf numFmtId="3" fontId="4" fillId="11" borderId="76" xfId="0" applyNumberFormat="1" applyFont="1" applyFill="1" applyBorder="1"/>
    <xf numFmtId="10" fontId="4" fillId="11" borderId="76" xfId="2" applyNumberFormat="1" applyFont="1" applyFill="1" applyBorder="1"/>
    <xf numFmtId="20" fontId="4" fillId="11" borderId="70" xfId="0" applyNumberFormat="1" applyFont="1" applyFill="1" applyBorder="1"/>
    <xf numFmtId="10" fontId="4" fillId="11" borderId="71" xfId="2" applyNumberFormat="1" applyFont="1" applyFill="1" applyBorder="1"/>
    <xf numFmtId="0" fontId="4" fillId="11" borderId="74" xfId="0" applyFont="1" applyFill="1" applyBorder="1"/>
    <xf numFmtId="20" fontId="4" fillId="11" borderId="71" xfId="0" applyNumberFormat="1" applyFont="1" applyFill="1" applyBorder="1"/>
    <xf numFmtId="0" fontId="4" fillId="11" borderId="72" xfId="0" applyFont="1" applyFill="1" applyBorder="1" applyAlignment="1">
      <alignment horizontal="right"/>
    </xf>
    <xf numFmtId="0" fontId="4" fillId="11" borderId="70" xfId="0" applyFont="1" applyFill="1" applyBorder="1" applyAlignment="1">
      <alignment horizontal="right"/>
    </xf>
    <xf numFmtId="20" fontId="4" fillId="11" borderId="72" xfId="0" applyNumberFormat="1" applyFont="1" applyFill="1" applyBorder="1"/>
    <xf numFmtId="0" fontId="4" fillId="11" borderId="75" xfId="0" applyFont="1" applyFill="1" applyBorder="1"/>
    <xf numFmtId="3" fontId="4" fillId="11" borderId="71" xfId="2" applyNumberFormat="1" applyFont="1" applyFill="1" applyBorder="1"/>
    <xf numFmtId="9" fontId="4" fillId="11" borderId="71" xfId="2" applyFont="1" applyFill="1" applyBorder="1"/>
    <xf numFmtId="0" fontId="3" fillId="0" borderId="1" xfId="0" applyFont="1" applyBorder="1" applyAlignment="1">
      <alignment horizontal="center"/>
    </xf>
    <xf numFmtId="0" fontId="3" fillId="0" borderId="2" xfId="0" applyFont="1" applyBorder="1" applyAlignment="1">
      <alignment horizontal="center"/>
    </xf>
    <xf numFmtId="0" fontId="3" fillId="0" borderId="0" xfId="0" applyFont="1" applyBorder="1" applyAlignment="1">
      <alignment horizontal="center"/>
    </xf>
    <xf numFmtId="0" fontId="3" fillId="0" borderId="28" xfId="0" applyFon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15" xfId="0" applyBorder="1" applyAlignment="1">
      <alignment horizontal="center"/>
    </xf>
    <xf numFmtId="0" fontId="3" fillId="0" borderId="6" xfId="0" applyFont="1" applyBorder="1" applyAlignment="1">
      <alignment horizontal="center"/>
    </xf>
    <xf numFmtId="0" fontId="0" fillId="0" borderId="6" xfId="0" applyBorder="1" applyAlignment="1">
      <alignment horizontal="center"/>
    </xf>
    <xf numFmtId="0" fontId="3" fillId="0" borderId="29" xfId="0" applyFont="1" applyBorder="1" applyAlignment="1">
      <alignment horizontal="center"/>
    </xf>
    <xf numFmtId="0" fontId="0" fillId="0" borderId="17" xfId="0" applyBorder="1" applyAlignment="1">
      <alignment horizontal="center"/>
    </xf>
    <xf numFmtId="0" fontId="0" fillId="0" borderId="15" xfId="0" quotePrefix="1" applyBorder="1" applyAlignment="1">
      <alignment horizontal="center"/>
    </xf>
    <xf numFmtId="3" fontId="0" fillId="0" borderId="9" xfId="0" applyNumberFormat="1" applyBorder="1" applyAlignment="1">
      <alignment horizontal="center"/>
    </xf>
    <xf numFmtId="0" fontId="3" fillId="0" borderId="26" xfId="0" applyFont="1" applyBorder="1"/>
    <xf numFmtId="0" fontId="0" fillId="0" borderId="25" xfId="0" applyBorder="1"/>
    <xf numFmtId="0" fontId="3" fillId="0" borderId="33" xfId="0" applyFont="1" applyBorder="1"/>
    <xf numFmtId="0" fontId="0" fillId="0" borderId="79" xfId="0" applyBorder="1"/>
    <xf numFmtId="0" fontId="0" fillId="0" borderId="26" xfId="0" applyBorder="1"/>
    <xf numFmtId="0" fontId="0" fillId="0" borderId="53" xfId="0" applyBorder="1"/>
    <xf numFmtId="0" fontId="0" fillId="0" borderId="27" xfId="0" applyBorder="1"/>
    <xf numFmtId="3" fontId="3" fillId="0" borderId="4" xfId="0" applyNumberFormat="1" applyFont="1" applyBorder="1" applyAlignment="1">
      <alignment horizontal="center"/>
    </xf>
    <xf numFmtId="3" fontId="3" fillId="0" borderId="9" xfId="0" applyNumberFormat="1" applyFont="1" applyBorder="1" applyAlignment="1">
      <alignment horizontal="center"/>
    </xf>
    <xf numFmtId="3" fontId="3" fillId="0" borderId="6" xfId="0" applyNumberFormat="1" applyFont="1" applyBorder="1" applyAlignment="1">
      <alignment horizontal="center"/>
    </xf>
    <xf numFmtId="3" fontId="3" fillId="0" borderId="29" xfId="0" applyNumberFormat="1" applyFont="1" applyBorder="1" applyAlignment="1">
      <alignment horizontal="center"/>
    </xf>
    <xf numFmtId="3" fontId="0" fillId="0" borderId="4" xfId="0" applyNumberFormat="1" applyBorder="1" applyAlignment="1">
      <alignment horizontal="center"/>
    </xf>
    <xf numFmtId="3" fontId="0" fillId="0" borderId="17" xfId="0" applyNumberFormat="1" applyBorder="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49" fontId="0" fillId="4" borderId="0" xfId="0" applyNumberFormat="1" applyFill="1" applyAlignment="1">
      <alignment horizontal="center"/>
    </xf>
    <xf numFmtId="49" fontId="0" fillId="5" borderId="0" xfId="0" applyNumberFormat="1" applyFill="1" applyAlignment="1">
      <alignment horizontal="center"/>
    </xf>
    <xf numFmtId="49" fontId="0" fillId="6" borderId="0" xfId="0" applyNumberFormat="1" applyFill="1" applyAlignment="1">
      <alignment horizontal="center"/>
    </xf>
    <xf numFmtId="49" fontId="0" fillId="7" borderId="0" xfId="0" applyNumberFormat="1" applyFill="1" applyAlignment="1">
      <alignment horizontal="center"/>
    </xf>
    <xf numFmtId="49" fontId="0" fillId="8" borderId="0" xfId="0" applyNumberFormat="1" applyFill="1" applyAlignment="1">
      <alignment horizontal="center"/>
    </xf>
    <xf numFmtId="49" fontId="0" fillId="0" borderId="0" xfId="0" applyNumberFormat="1" applyFill="1" applyAlignment="1">
      <alignment horizontal="center"/>
    </xf>
    <xf numFmtId="49" fontId="7" fillId="0" borderId="0" xfId="0" applyNumberFormat="1" applyFont="1" applyAlignment="1">
      <alignment horizontal="center"/>
    </xf>
    <xf numFmtId="49" fontId="0" fillId="9" borderId="0" xfId="0" applyNumberFormat="1" applyFill="1" applyAlignment="1">
      <alignment horizontal="center"/>
    </xf>
    <xf numFmtId="49" fontId="0" fillId="0" borderId="7" xfId="0" applyNumberFormat="1" applyBorder="1" applyAlignment="1">
      <alignment horizontal="center"/>
    </xf>
    <xf numFmtId="4" fontId="3" fillId="0" borderId="1" xfId="0" applyNumberFormat="1" applyFont="1" applyBorder="1"/>
    <xf numFmtId="4" fontId="3" fillId="0" borderId="0" xfId="0" applyNumberFormat="1" applyFont="1" applyBorder="1"/>
    <xf numFmtId="4" fontId="0" fillId="0" borderId="0" xfId="0" applyNumberFormat="1" applyBorder="1"/>
    <xf numFmtId="4" fontId="3" fillId="0" borderId="28" xfId="0" applyNumberFormat="1" applyFont="1" applyBorder="1"/>
    <xf numFmtId="4" fontId="0" fillId="0" borderId="1" xfId="0" applyNumberFormat="1" applyBorder="1"/>
    <xf numFmtId="4" fontId="0" fillId="0" borderId="15" xfId="0" applyNumberFormat="1" applyBorder="1"/>
    <xf numFmtId="14" fontId="0" fillId="10" borderId="47" xfId="0" applyNumberFormat="1" applyFill="1" applyBorder="1" applyAlignment="1">
      <alignment horizontal="center"/>
    </xf>
    <xf numFmtId="1" fontId="0" fillId="10" borderId="80" xfId="0" applyNumberFormat="1" applyFill="1" applyBorder="1" applyAlignment="1">
      <alignment horizontal="center"/>
    </xf>
    <xf numFmtId="0" fontId="4" fillId="0" borderId="0" xfId="0" applyFont="1" applyFill="1" applyBorder="1" applyAlignment="1">
      <alignment horizontal="center"/>
    </xf>
    <xf numFmtId="14" fontId="3" fillId="0" borderId="0" xfId="0" applyNumberFormat="1" applyFont="1" applyBorder="1"/>
    <xf numFmtId="168" fontId="0" fillId="0" borderId="0" xfId="0" applyNumberFormat="1" applyBorder="1"/>
    <xf numFmtId="14" fontId="0" fillId="0" borderId="0" xfId="0" applyNumberFormat="1" applyBorder="1"/>
    <xf numFmtId="3" fontId="3" fillId="0" borderId="0" xfId="2" applyNumberFormat="1" applyFont="1" applyBorder="1"/>
    <xf numFmtId="20" fontId="3" fillId="0" borderId="1" xfId="0" applyNumberFormat="1" applyFont="1" applyBorder="1"/>
    <xf numFmtId="20" fontId="3" fillId="0" borderId="2" xfId="0" applyNumberFormat="1" applyFont="1" applyBorder="1"/>
    <xf numFmtId="20" fontId="0" fillId="0" borderId="1" xfId="0" applyNumberFormat="1" applyBorder="1"/>
    <xf numFmtId="3" fontId="4" fillId="11" borderId="72" xfId="0" applyNumberFormat="1" applyFont="1" applyFill="1" applyBorder="1" applyAlignment="1">
      <alignment horizontal="right"/>
    </xf>
    <xf numFmtId="0" fontId="0" fillId="0" borderId="3" xfId="0" applyFill="1" applyBorder="1"/>
    <xf numFmtId="49" fontId="0" fillId="0" borderId="6" xfId="0" applyNumberFormat="1" applyBorder="1" applyAlignment="1">
      <alignment horizontal="center"/>
    </xf>
    <xf numFmtId="0" fontId="3" fillId="0" borderId="81" xfId="0" applyFont="1" applyBorder="1"/>
    <xf numFmtId="0" fontId="3" fillId="0" borderId="35" xfId="0" applyFont="1" applyBorder="1"/>
    <xf numFmtId="3" fontId="3" fillId="0" borderId="82" xfId="0" applyNumberFormat="1" applyFont="1" applyBorder="1"/>
    <xf numFmtId="3" fontId="3" fillId="0" borderId="83" xfId="0" applyNumberFormat="1" applyFont="1" applyBorder="1"/>
    <xf numFmtId="3" fontId="3" fillId="0" borderId="84" xfId="0" applyNumberFormat="1" applyFont="1" applyBorder="1"/>
    <xf numFmtId="0" fontId="3" fillId="0" borderId="82" xfId="0" applyFont="1" applyBorder="1"/>
    <xf numFmtId="0" fontId="3" fillId="0" borderId="83" xfId="0" applyFont="1" applyBorder="1"/>
    <xf numFmtId="0" fontId="3" fillId="0" borderId="84" xfId="0" applyFont="1" applyBorder="1"/>
    <xf numFmtId="0" fontId="3" fillId="0" borderId="83" xfId="0" applyFont="1" applyBorder="1" applyAlignment="1">
      <alignment horizontal="center"/>
    </xf>
    <xf numFmtId="0" fontId="3" fillId="2" borderId="82" xfId="0" applyFont="1" applyFill="1" applyBorder="1"/>
    <xf numFmtId="0" fontId="3" fillId="3" borderId="83" xfId="0" applyFont="1" applyFill="1" applyBorder="1"/>
    <xf numFmtId="0" fontId="3" fillId="4" borderId="83" xfId="0" applyFont="1" applyFill="1" applyBorder="1"/>
    <xf numFmtId="0" fontId="3" fillId="5" borderId="83" xfId="0" applyFont="1" applyFill="1" applyBorder="1"/>
    <xf numFmtId="0" fontId="3" fillId="6" borderId="83" xfId="0" applyFont="1" applyFill="1" applyBorder="1"/>
    <xf numFmtId="0" fontId="3" fillId="7" borderId="83" xfId="0" applyFont="1" applyFill="1" applyBorder="1"/>
    <xf numFmtId="0" fontId="3" fillId="8" borderId="84" xfId="0" applyFont="1" applyFill="1" applyBorder="1"/>
    <xf numFmtId="0" fontId="3" fillId="10" borderId="85" xfId="0" applyFont="1" applyFill="1" applyBorder="1"/>
    <xf numFmtId="0" fontId="3" fillId="10" borderId="86" xfId="0" applyFont="1" applyFill="1" applyBorder="1"/>
    <xf numFmtId="3" fontId="3" fillId="0" borderId="85" xfId="0" applyNumberFormat="1" applyFont="1" applyBorder="1"/>
    <xf numFmtId="10" fontId="3" fillId="0" borderId="85" xfId="0" applyNumberFormat="1" applyFont="1" applyBorder="1"/>
    <xf numFmtId="10" fontId="3" fillId="0" borderId="85" xfId="2" applyNumberFormat="1" applyFont="1" applyBorder="1"/>
    <xf numFmtId="20" fontId="3" fillId="0" borderId="83" xfId="0" applyNumberFormat="1" applyFont="1" applyBorder="1"/>
    <xf numFmtId="0" fontId="3" fillId="0" borderId="87" xfId="0" applyFont="1" applyBorder="1"/>
    <xf numFmtId="10" fontId="3" fillId="0" borderId="82" xfId="2" applyNumberFormat="1" applyFont="1" applyBorder="1"/>
    <xf numFmtId="0" fontId="3" fillId="10" borderId="88" xfId="0" applyFont="1" applyFill="1" applyBorder="1"/>
    <xf numFmtId="20" fontId="3" fillId="0" borderId="82" xfId="0" applyNumberFormat="1" applyFont="1" applyBorder="1"/>
    <xf numFmtId="49" fontId="3" fillId="10" borderId="22" xfId="0" applyNumberFormat="1" applyFont="1" applyFill="1" applyBorder="1"/>
    <xf numFmtId="3" fontId="3" fillId="0" borderId="1" xfId="0" applyNumberFormat="1" applyFont="1" applyBorder="1" applyAlignment="1">
      <alignment horizontal="center"/>
    </xf>
    <xf numFmtId="0" fontId="3" fillId="0" borderId="1" xfId="0" applyFont="1" applyBorder="1" applyAlignment="1">
      <alignment horizontal="right"/>
    </xf>
    <xf numFmtId="0" fontId="3" fillId="0" borderId="5" xfId="0" applyFont="1" applyBorder="1" applyAlignment="1">
      <alignment horizontal="right"/>
    </xf>
    <xf numFmtId="3" fontId="3" fillId="2" borderId="4" xfId="0" applyNumberFormat="1" applyFont="1" applyFill="1" applyBorder="1"/>
    <xf numFmtId="3" fontId="3" fillId="3" borderId="1" xfId="0" applyNumberFormat="1" applyFont="1" applyFill="1" applyBorder="1"/>
    <xf numFmtId="3" fontId="3" fillId="5" borderId="1" xfId="0" applyNumberFormat="1" applyFont="1" applyFill="1" applyBorder="1"/>
    <xf numFmtId="3" fontId="3" fillId="6" borderId="1" xfId="0" applyNumberFormat="1" applyFont="1" applyFill="1" applyBorder="1"/>
    <xf numFmtId="3" fontId="3" fillId="7" borderId="1" xfId="0" applyNumberFormat="1" applyFont="1" applyFill="1" applyBorder="1"/>
    <xf numFmtId="3" fontId="3" fillId="8" borderId="1" xfId="0" applyNumberFormat="1" applyFont="1" applyFill="1" applyBorder="1"/>
    <xf numFmtId="0" fontId="3" fillId="9" borderId="4" xfId="0" applyFont="1" applyFill="1" applyBorder="1"/>
    <xf numFmtId="3" fontId="3" fillId="0" borderId="5" xfId="0" applyNumberFormat="1" applyFont="1" applyFill="1" applyBorder="1"/>
    <xf numFmtId="0" fontId="3" fillId="0" borderId="34" xfId="0" applyFont="1" applyBorder="1"/>
    <xf numFmtId="3" fontId="3" fillId="2" borderId="9" xfId="0" applyNumberFormat="1" applyFont="1" applyFill="1" applyBorder="1"/>
    <xf numFmtId="3" fontId="3" fillId="3" borderId="2" xfId="0" applyNumberFormat="1" applyFont="1" applyFill="1" applyBorder="1"/>
    <xf numFmtId="3" fontId="3" fillId="4" borderId="2" xfId="0" applyNumberFormat="1" applyFont="1" applyFill="1" applyBorder="1"/>
    <xf numFmtId="3" fontId="3" fillId="5" borderId="2" xfId="0" applyNumberFormat="1" applyFont="1" applyFill="1" applyBorder="1"/>
    <xf numFmtId="3" fontId="3" fillId="6" borderId="2" xfId="0" applyNumberFormat="1" applyFont="1" applyFill="1" applyBorder="1"/>
    <xf numFmtId="3" fontId="3" fillId="7" borderId="2" xfId="0" applyNumberFormat="1" applyFont="1" applyFill="1" applyBorder="1"/>
    <xf numFmtId="3" fontId="3" fillId="8" borderId="10" xfId="0" applyNumberFormat="1" applyFont="1" applyFill="1" applyBorder="1"/>
    <xf numFmtId="3" fontId="3" fillId="8" borderId="7" xfId="0" applyNumberFormat="1" applyFont="1" applyFill="1" applyBorder="1"/>
    <xf numFmtId="3" fontId="3" fillId="0" borderId="3" xfId="2" applyNumberFormat="1" applyFont="1" applyFill="1" applyBorder="1"/>
    <xf numFmtId="3" fontId="3" fillId="0" borderId="1" xfId="0" applyNumberFormat="1" applyFont="1" applyFill="1" applyBorder="1"/>
    <xf numFmtId="3" fontId="0" fillId="0" borderId="1" xfId="0" applyNumberFormat="1" applyFill="1" applyBorder="1"/>
    <xf numFmtId="0" fontId="0" fillId="0" borderId="6" xfId="0" applyFill="1" applyBorder="1"/>
    <xf numFmtId="169" fontId="3" fillId="0" borderId="7" xfId="0" applyNumberFormat="1" applyFont="1" applyBorder="1"/>
    <xf numFmtId="169" fontId="3" fillId="0" borderId="5" xfId="0" applyNumberFormat="1" applyFont="1" applyBorder="1"/>
    <xf numFmtId="169" fontId="3" fillId="0" borderId="30" xfId="0" applyNumberFormat="1" applyFont="1" applyBorder="1"/>
    <xf numFmtId="169" fontId="3" fillId="0" borderId="6" xfId="0" applyNumberFormat="1" applyFont="1" applyBorder="1"/>
    <xf numFmtId="169" fontId="0" fillId="0" borderId="6" xfId="0" applyNumberFormat="1" applyBorder="1"/>
    <xf numFmtId="169" fontId="3" fillId="0" borderId="4" xfId="0" applyNumberFormat="1" applyFont="1" applyBorder="1"/>
    <xf numFmtId="169" fontId="3" fillId="0" borderId="29" xfId="0" applyNumberFormat="1" applyFont="1" applyBorder="1"/>
    <xf numFmtId="169" fontId="0" fillId="0" borderId="4" xfId="0" applyNumberFormat="1" applyBorder="1"/>
    <xf numFmtId="169" fontId="0" fillId="0" borderId="17" xfId="0" applyNumberFormat="1" applyBorder="1"/>
    <xf numFmtId="3" fontId="3" fillId="10" borderId="39" xfId="0" applyNumberFormat="1" applyFont="1" applyFill="1" applyBorder="1"/>
    <xf numFmtId="3" fontId="0" fillId="10" borderId="39" xfId="0" applyNumberFormat="1" applyFill="1" applyBorder="1"/>
    <xf numFmtId="3" fontId="3" fillId="10" borderId="40" xfId="0" applyNumberFormat="1" applyFont="1" applyFill="1" applyBorder="1"/>
    <xf numFmtId="3" fontId="3" fillId="10" borderId="41" xfId="0" applyNumberFormat="1" applyFont="1" applyFill="1" applyBorder="1"/>
    <xf numFmtId="3" fontId="0" fillId="10" borderId="40" xfId="0" applyNumberFormat="1" applyFill="1" applyBorder="1"/>
    <xf numFmtId="3" fontId="0" fillId="10" borderId="42" xfId="0" applyNumberFormat="1" applyFill="1" applyBorder="1"/>
    <xf numFmtId="3" fontId="0" fillId="10" borderId="21" xfId="0" applyNumberFormat="1" applyFill="1" applyBorder="1"/>
    <xf numFmtId="3" fontId="0" fillId="10" borderId="89" xfId="0" applyNumberFormat="1" applyFill="1" applyBorder="1"/>
    <xf numFmtId="166" fontId="0" fillId="0" borderId="0" xfId="0" applyNumberFormat="1" applyBorder="1"/>
    <xf numFmtId="1" fontId="0" fillId="0" borderId="0" xfId="0" applyNumberFormat="1"/>
    <xf numFmtId="0" fontId="3" fillId="0" borderId="82" xfId="0" applyFont="1" applyBorder="1" applyAlignment="1">
      <alignment horizontal="center"/>
    </xf>
    <xf numFmtId="0" fontId="3" fillId="0" borderId="9" xfId="0" applyFont="1"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12" fillId="0" borderId="0" xfId="0" applyFont="1"/>
    <xf numFmtId="0" fontId="13" fillId="0" borderId="0" xfId="0" applyFont="1"/>
    <xf numFmtId="0" fontId="12" fillId="0" borderId="0" xfId="0" applyFont="1" applyAlignment="1">
      <alignment horizontal="center"/>
    </xf>
    <xf numFmtId="0" fontId="14" fillId="0" borderId="0" xfId="0" applyFont="1"/>
    <xf numFmtId="2" fontId="12" fillId="0" borderId="0" xfId="0" applyNumberFormat="1" applyFont="1"/>
    <xf numFmtId="0" fontId="12" fillId="0" borderId="0" xfId="0" applyFont="1" applyBorder="1"/>
    <xf numFmtId="0" fontId="3" fillId="10" borderId="6" xfId="0" applyFont="1" applyFill="1" applyBorder="1"/>
    <xf numFmtId="0" fontId="3" fillId="10" borderId="4" xfId="0" applyFont="1" applyFill="1" applyBorder="1"/>
    <xf numFmtId="0" fontId="3" fillId="10" borderId="29" xfId="0" applyFont="1" applyFill="1" applyBorder="1"/>
    <xf numFmtId="49" fontId="0" fillId="0" borderId="6" xfId="0" applyNumberFormat="1" applyBorder="1"/>
    <xf numFmtId="166" fontId="0" fillId="0" borderId="7" xfId="0" applyNumberFormat="1" applyBorder="1"/>
    <xf numFmtId="10" fontId="3" fillId="0" borderId="17" xfId="0" applyNumberFormat="1" applyFont="1" applyBorder="1"/>
    <xf numFmtId="0" fontId="0" fillId="0" borderId="8" xfId="0" quotePrefix="1" applyBorder="1"/>
    <xf numFmtId="0" fontId="0" fillId="0" borderId="13" xfId="0" quotePrefix="1" applyBorder="1"/>
    <xf numFmtId="3" fontId="3" fillId="10" borderId="14" xfId="0" applyNumberFormat="1" applyFont="1" applyFill="1" applyBorder="1"/>
    <xf numFmtId="170" fontId="3" fillId="0" borderId="34" xfId="0" applyNumberFormat="1" applyFont="1" applyBorder="1"/>
    <xf numFmtId="170" fontId="3" fillId="0" borderId="14" xfId="0" applyNumberFormat="1" applyFont="1" applyBorder="1"/>
    <xf numFmtId="170" fontId="3" fillId="0" borderId="8" xfId="0" applyNumberFormat="1" applyFont="1" applyBorder="1"/>
    <xf numFmtId="170" fontId="3" fillId="0" borderId="31" xfId="0" applyNumberFormat="1" applyFont="1" applyBorder="1"/>
    <xf numFmtId="166" fontId="0" fillId="0" borderId="6" xfId="0" applyNumberFormat="1" applyBorder="1"/>
    <xf numFmtId="166" fontId="0" fillId="0" borderId="11" xfId="0" applyNumberFormat="1" applyBorder="1"/>
    <xf numFmtId="166" fontId="0" fillId="0" borderId="2" xfId="0" applyNumberFormat="1" applyBorder="1"/>
    <xf numFmtId="166" fontId="0" fillId="0" borderId="3" xfId="0" applyNumberFormat="1" applyBorder="1"/>
    <xf numFmtId="3" fontId="4" fillId="11" borderId="74" xfId="0" applyNumberFormat="1" applyFont="1" applyFill="1" applyBorder="1"/>
    <xf numFmtId="3" fontId="4" fillId="11" borderId="75" xfId="0" applyNumberFormat="1" applyFont="1" applyFill="1" applyBorder="1"/>
    <xf numFmtId="20" fontId="3" fillId="0" borderId="15" xfId="0" applyNumberFormat="1" applyFont="1" applyBorder="1"/>
    <xf numFmtId="0" fontId="0" fillId="0" borderId="1" xfId="0" applyBorder="1" applyAlignment="1">
      <alignment horizontal="right"/>
    </xf>
    <xf numFmtId="0" fontId="0" fillId="0" borderId="5" xfId="0" applyBorder="1" applyAlignment="1">
      <alignment horizontal="right"/>
    </xf>
    <xf numFmtId="3" fontId="0" fillId="2" borderId="4" xfId="0" applyNumberFormat="1" applyFill="1" applyBorder="1"/>
    <xf numFmtId="3" fontId="0" fillId="3" borderId="1" xfId="0" applyNumberFormat="1" applyFill="1" applyBorder="1"/>
    <xf numFmtId="3" fontId="0" fillId="5" borderId="1" xfId="0" applyNumberFormat="1" applyFill="1" applyBorder="1"/>
    <xf numFmtId="3" fontId="0" fillId="6" borderId="1" xfId="0" applyNumberFormat="1" applyFill="1" applyBorder="1"/>
    <xf numFmtId="3" fontId="0" fillId="7" borderId="1" xfId="0" applyNumberFormat="1" applyFill="1" applyBorder="1"/>
    <xf numFmtId="3" fontId="0" fillId="8" borderId="1" xfId="0" applyNumberFormat="1" applyFill="1" applyBorder="1"/>
    <xf numFmtId="0" fontId="0" fillId="9" borderId="4" xfId="0" applyFill="1" applyBorder="1"/>
    <xf numFmtId="0" fontId="0" fillId="10" borderId="4" xfId="0" applyFill="1" applyBorder="1"/>
    <xf numFmtId="20" fontId="3" fillId="11" borderId="72" xfId="0" applyNumberFormat="1" applyFont="1" applyFill="1" applyBorder="1"/>
    <xf numFmtId="3" fontId="3" fillId="10" borderId="86" xfId="0" applyNumberFormat="1" applyFont="1" applyFill="1" applyBorder="1"/>
    <xf numFmtId="3" fontId="3" fillId="10" borderId="26" xfId="0" applyNumberFormat="1" applyFont="1" applyFill="1" applyBorder="1"/>
    <xf numFmtId="20" fontId="3" fillId="0" borderId="3" xfId="0" applyNumberFormat="1" applyFont="1" applyBorder="1"/>
    <xf numFmtId="20" fontId="4" fillId="11" borderId="77" xfId="0" applyNumberFormat="1" applyFont="1" applyFill="1" applyBorder="1"/>
    <xf numFmtId="3" fontId="3" fillId="0" borderId="8" xfId="0" applyNumberFormat="1" applyFont="1" applyBorder="1" applyAlignment="1">
      <alignment horizontal="center"/>
    </xf>
    <xf numFmtId="3" fontId="0" fillId="0" borderId="8" xfId="0" applyNumberFormat="1" applyBorder="1" applyAlignment="1">
      <alignment horizontal="center"/>
    </xf>
    <xf numFmtId="3" fontId="3" fillId="0" borderId="14" xfId="0" applyNumberFormat="1" applyFont="1" applyBorder="1" applyAlignment="1">
      <alignment horizontal="center"/>
    </xf>
    <xf numFmtId="3" fontId="3" fillId="0" borderId="31" xfId="0" applyNumberFormat="1" applyFont="1" applyBorder="1" applyAlignment="1">
      <alignment horizontal="center"/>
    </xf>
    <xf numFmtId="3" fontId="0" fillId="0" borderId="18" xfId="0" quotePrefix="1" applyNumberFormat="1" applyBorder="1" applyAlignment="1">
      <alignment horizontal="center"/>
    </xf>
    <xf numFmtId="20" fontId="3" fillId="0" borderId="17" xfId="0" applyNumberFormat="1" applyFont="1" applyBorder="1"/>
    <xf numFmtId="0" fontId="0" fillId="0" borderId="1" xfId="0" applyFill="1" applyBorder="1" applyAlignment="1">
      <alignment horizontal="center"/>
    </xf>
    <xf numFmtId="0" fontId="0" fillId="0" borderId="7" xfId="0" applyFill="1" applyBorder="1" applyAlignment="1">
      <alignment horizontal="center"/>
    </xf>
    <xf numFmtId="171" fontId="3" fillId="0" borderId="0" xfId="0" applyNumberFormat="1" applyFont="1" applyBorder="1" applyAlignment="1">
      <alignment horizontal="center"/>
    </xf>
    <xf numFmtId="170" fontId="3" fillId="0" borderId="6" xfId="0" applyNumberFormat="1" applyFont="1" applyBorder="1"/>
    <xf numFmtId="170" fontId="3" fillId="0" borderId="4" xfId="0" applyNumberFormat="1" applyFont="1" applyBorder="1"/>
    <xf numFmtId="170" fontId="3" fillId="0" borderId="9" xfId="0" applyNumberFormat="1" applyFont="1" applyBorder="1"/>
    <xf numFmtId="170" fontId="3" fillId="0" borderId="29" xfId="0" applyNumberFormat="1" applyFont="1" applyBorder="1"/>
    <xf numFmtId="170" fontId="3" fillId="0" borderId="17" xfId="0" applyNumberFormat="1" applyFont="1" applyBorder="1"/>
    <xf numFmtId="170" fontId="0" fillId="0" borderId="8" xfId="0" applyNumberFormat="1" applyBorder="1"/>
    <xf numFmtId="170" fontId="0" fillId="0" borderId="14" xfId="0" applyNumberFormat="1" applyBorder="1"/>
    <xf numFmtId="170" fontId="0" fillId="0" borderId="34" xfId="0" applyNumberFormat="1" applyBorder="1"/>
    <xf numFmtId="170" fontId="0" fillId="0" borderId="18" xfId="0" applyNumberFormat="1" applyBorder="1"/>
    <xf numFmtId="20" fontId="3" fillId="0" borderId="25" xfId="0" applyNumberFormat="1" applyFont="1" applyBorder="1"/>
    <xf numFmtId="49" fontId="0" fillId="10" borderId="32" xfId="0" applyNumberFormat="1" applyFill="1" applyBorder="1"/>
    <xf numFmtId="49" fontId="0" fillId="0" borderId="90" xfId="0" applyNumberFormat="1" applyBorder="1" applyAlignment="1">
      <alignment horizontal="center"/>
    </xf>
    <xf numFmtId="0" fontId="0" fillId="12" borderId="0" xfId="0" applyFill="1"/>
    <xf numFmtId="0" fontId="3" fillId="12" borderId="0" xfId="0" applyFont="1" applyFill="1"/>
    <xf numFmtId="49" fontId="3" fillId="0" borderId="0" xfId="0" applyNumberFormat="1" applyFont="1" applyAlignment="1">
      <alignment horizontal="center"/>
    </xf>
    <xf numFmtId="0" fontId="3" fillId="0" borderId="11" xfId="0" applyFont="1" applyBorder="1" applyAlignment="1">
      <alignment horizontal="center"/>
    </xf>
    <xf numFmtId="0" fontId="3" fillId="0" borderId="17" xfId="0" applyFont="1" applyBorder="1" applyAlignment="1">
      <alignment horizontal="center"/>
    </xf>
    <xf numFmtId="0" fontId="3" fillId="11" borderId="71" xfId="0" applyFont="1" applyFill="1" applyBorder="1" applyAlignment="1">
      <alignment horizontal="center"/>
    </xf>
    <xf numFmtId="49" fontId="0" fillId="0" borderId="91" xfId="0" applyNumberFormat="1" applyBorder="1" applyAlignment="1">
      <alignment horizontal="center"/>
    </xf>
    <xf numFmtId="3" fontId="3" fillId="10" borderId="92" xfId="0" applyNumberFormat="1" applyFont="1" applyFill="1" applyBorder="1"/>
    <xf numFmtId="3" fontId="3" fillId="10" borderId="85" xfId="0" applyNumberFormat="1" applyFont="1" applyFill="1" applyBorder="1"/>
    <xf numFmtId="3" fontId="3" fillId="10" borderId="51" xfId="0" applyNumberFormat="1" applyFont="1" applyFill="1" applyBorder="1"/>
    <xf numFmtId="3" fontId="3" fillId="0" borderId="10" xfId="0" applyNumberFormat="1" applyFont="1" applyFill="1" applyBorder="1"/>
    <xf numFmtId="3" fontId="3" fillId="10" borderId="43" xfId="0" applyNumberFormat="1" applyFont="1" applyFill="1" applyBorder="1"/>
    <xf numFmtId="10" fontId="3" fillId="0" borderId="13" xfId="2" applyNumberFormat="1" applyFont="1" applyBorder="1"/>
    <xf numFmtId="0" fontId="0" fillId="0" borderId="20" xfId="0" applyBorder="1"/>
    <xf numFmtId="0" fontId="0" fillId="0" borderId="19" xfId="0" applyBorder="1"/>
    <xf numFmtId="3" fontId="3" fillId="0" borderId="23" xfId="0" applyNumberFormat="1" applyFont="1" applyFill="1" applyBorder="1"/>
    <xf numFmtId="3" fontId="0" fillId="0" borderId="23" xfId="0" applyNumberFormat="1" applyFill="1" applyBorder="1"/>
    <xf numFmtId="3" fontId="3" fillId="0" borderId="22" xfId="0" applyNumberFormat="1" applyFont="1" applyFill="1" applyBorder="1"/>
    <xf numFmtId="3" fontId="3" fillId="0" borderId="32" xfId="0" applyNumberFormat="1" applyFont="1" applyFill="1" applyBorder="1"/>
    <xf numFmtId="3" fontId="0" fillId="0" borderId="22" xfId="0" applyNumberFormat="1" applyFill="1" applyBorder="1"/>
    <xf numFmtId="3" fontId="0" fillId="0" borderId="24" xfId="0" applyNumberFormat="1" applyFill="1" applyBorder="1"/>
    <xf numFmtId="3" fontId="0" fillId="0" borderId="93" xfId="0" applyNumberFormat="1" applyFill="1" applyBorder="1"/>
    <xf numFmtId="3" fontId="4" fillId="0" borderId="74" xfId="0" applyNumberFormat="1" applyFont="1" applyFill="1" applyBorder="1"/>
    <xf numFmtId="3" fontId="3" fillId="0" borderId="94" xfId="0" applyNumberFormat="1" applyFont="1" applyFill="1" applyBorder="1"/>
    <xf numFmtId="3" fontId="3" fillId="0" borderId="47" xfId="0" applyNumberFormat="1" applyFont="1" applyFill="1" applyBorder="1"/>
    <xf numFmtId="3" fontId="0" fillId="0" borderId="47" xfId="0" applyNumberFormat="1" applyFill="1" applyBorder="1"/>
    <xf numFmtId="3" fontId="0" fillId="0" borderId="80" xfId="0" applyNumberFormat="1" applyFill="1" applyBorder="1"/>
    <xf numFmtId="3" fontId="3" fillId="0" borderId="84" xfId="2" applyNumberFormat="1" applyFont="1" applyBorder="1"/>
    <xf numFmtId="2" fontId="3" fillId="0" borderId="7" xfId="0" applyNumberFormat="1" applyFont="1" applyFill="1" applyBorder="1"/>
    <xf numFmtId="2" fontId="0" fillId="0" borderId="7" xfId="0" applyNumberFormat="1" applyFill="1" applyBorder="1"/>
    <xf numFmtId="2" fontId="3" fillId="0" borderId="5" xfId="0" applyNumberFormat="1" applyFont="1" applyFill="1" applyBorder="1"/>
    <xf numFmtId="2" fontId="3" fillId="0" borderId="30" xfId="0" applyNumberFormat="1" applyFont="1" applyFill="1" applyBorder="1"/>
    <xf numFmtId="2" fontId="0" fillId="0" borderId="5" xfId="0" applyNumberFormat="1" applyFill="1" applyBorder="1"/>
    <xf numFmtId="2" fontId="0" fillId="0" borderId="16" xfId="0" applyNumberFormat="1" applyFill="1" applyBorder="1"/>
    <xf numFmtId="0" fontId="0" fillId="0" borderId="0" xfId="0" applyBorder="1" applyAlignment="1"/>
    <xf numFmtId="0" fontId="0" fillId="0" borderId="5" xfId="0" applyBorder="1" applyAlignment="1"/>
    <xf numFmtId="0" fontId="4" fillId="0" borderId="0" xfId="0" applyFont="1" applyAlignment="1">
      <alignment horizontal="left"/>
    </xf>
    <xf numFmtId="3" fontId="4" fillId="0" borderId="6" xfId="0" applyNumberFormat="1" applyFont="1" applyBorder="1"/>
    <xf numFmtId="3" fontId="4" fillId="0" borderId="7" xfId="0" applyNumberFormat="1" applyFont="1" applyBorder="1"/>
    <xf numFmtId="3" fontId="4" fillId="0" borderId="0" xfId="0" applyNumberFormat="1" applyFont="1" applyBorder="1"/>
    <xf numFmtId="3" fontId="4" fillId="0" borderId="3" xfId="0" applyNumberFormat="1" applyFont="1" applyBorder="1"/>
    <xf numFmtId="3" fontId="4" fillId="0" borderId="12" xfId="0" applyNumberFormat="1" applyFont="1" applyBorder="1"/>
    <xf numFmtId="3" fontId="0" fillId="0" borderId="2" xfId="2" applyNumberFormat="1" applyFont="1" applyBorder="1"/>
    <xf numFmtId="166" fontId="0" fillId="0" borderId="10" xfId="2" applyNumberFormat="1" applyFont="1" applyBorder="1"/>
    <xf numFmtId="3" fontId="3" fillId="0" borderId="2" xfId="2" applyNumberFormat="1" applyFont="1" applyBorder="1"/>
    <xf numFmtId="166" fontId="0" fillId="0" borderId="7" xfId="2" applyNumberFormat="1" applyFont="1" applyFill="1" applyBorder="1"/>
    <xf numFmtId="166" fontId="3" fillId="0" borderId="10" xfId="2" applyNumberFormat="1" applyFont="1" applyBorder="1"/>
    <xf numFmtId="166" fontId="0" fillId="0" borderId="10" xfId="0" applyNumberFormat="1" applyBorder="1"/>
    <xf numFmtId="166" fontId="0" fillId="0" borderId="5" xfId="0" applyNumberFormat="1" applyBorder="1"/>
    <xf numFmtId="165" fontId="0" fillId="0" borderId="0" xfId="0" applyNumberFormat="1" applyBorder="1"/>
    <xf numFmtId="165" fontId="0" fillId="0" borderId="3" xfId="0" applyNumberFormat="1" applyBorder="1"/>
    <xf numFmtId="165" fontId="0" fillId="0" borderId="2" xfId="0" applyNumberFormat="1" applyBorder="1"/>
    <xf numFmtId="0" fontId="0" fillId="0" borderId="8" xfId="0" applyBorder="1" applyAlignment="1">
      <alignment horizontal="right"/>
    </xf>
    <xf numFmtId="0" fontId="0" fillId="0" borderId="34" xfId="0" applyBorder="1" applyAlignment="1">
      <alignment horizontal="right"/>
    </xf>
    <xf numFmtId="0" fontId="0" fillId="0" borderId="14" xfId="0" applyBorder="1" applyAlignment="1">
      <alignment horizontal="right"/>
    </xf>
    <xf numFmtId="49" fontId="0" fillId="0" borderId="9" xfId="0" applyNumberFormat="1" applyBorder="1"/>
    <xf numFmtId="49" fontId="0" fillId="0" borderId="11" xfId="0" applyNumberFormat="1" applyBorder="1"/>
    <xf numFmtId="0" fontId="4" fillId="0" borderId="13" xfId="0" applyFont="1" applyBorder="1" applyAlignment="1">
      <alignment horizontal="right"/>
    </xf>
    <xf numFmtId="0" fontId="0" fillId="12" borderId="0" xfId="0" applyFill="1" applyBorder="1"/>
    <xf numFmtId="0" fontId="0" fillId="12" borderId="2" xfId="0" applyFill="1" applyBorder="1"/>
    <xf numFmtId="0" fontId="0" fillId="12" borderId="6" xfId="0" applyFill="1" applyBorder="1"/>
    <xf numFmtId="0" fontId="12" fillId="12" borderId="0" xfId="0" applyFont="1" applyFill="1"/>
    <xf numFmtId="20" fontId="0" fillId="0" borderId="7" xfId="0" applyNumberFormat="1" applyFill="1" applyBorder="1" applyAlignment="1">
      <alignment horizontal="center"/>
    </xf>
    <xf numFmtId="0" fontId="0" fillId="0" borderId="6" xfId="0" applyFill="1" applyBorder="1" applyAlignment="1"/>
    <xf numFmtId="0" fontId="0" fillId="0" borderId="11" xfId="0" applyFill="1" applyBorder="1"/>
    <xf numFmtId="0" fontId="0" fillId="0" borderId="12" xfId="0" applyFill="1" applyBorder="1" applyAlignment="1">
      <alignment horizontal="center"/>
    </xf>
    <xf numFmtId="0" fontId="4" fillId="12" borderId="0" xfId="0" applyFont="1" applyFill="1"/>
    <xf numFmtId="0" fontId="4" fillId="12" borderId="0" xfId="0" applyFont="1" applyFill="1" applyBorder="1"/>
    <xf numFmtId="0" fontId="0" fillId="0" borderId="0" xfId="0" applyNumberFormat="1" applyBorder="1" applyAlignment="1">
      <alignment horizontal="center"/>
    </xf>
    <xf numFmtId="165" fontId="3" fillId="0" borderId="6" xfId="0" applyNumberFormat="1" applyFont="1" applyBorder="1" applyProtection="1">
      <protection hidden="1"/>
    </xf>
    <xf numFmtId="165" fontId="3" fillId="0" borderId="11" xfId="0" applyNumberFormat="1" applyFont="1" applyBorder="1" applyProtection="1">
      <protection hidden="1"/>
    </xf>
    <xf numFmtId="3" fontId="0" fillId="0" borderId="3" xfId="0" applyNumberFormat="1" applyBorder="1" applyAlignment="1">
      <alignment horizontal="right"/>
    </xf>
    <xf numFmtId="0" fontId="0" fillId="0" borderId="3" xfId="0" quotePrefix="1" applyBorder="1"/>
    <xf numFmtId="0" fontId="0" fillId="0" borderId="6" xfId="0" applyNumberFormat="1" applyBorder="1" applyAlignment="1">
      <alignment horizontal="center"/>
    </xf>
    <xf numFmtId="0" fontId="4" fillId="0" borderId="4" xfId="0" applyFont="1" applyBorder="1"/>
    <xf numFmtId="0" fontId="4" fillId="0" borderId="4"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right"/>
    </xf>
    <xf numFmtId="0" fontId="4" fillId="0" borderId="5" xfId="0" applyFont="1" applyBorder="1" applyAlignment="1">
      <alignment horizontal="right"/>
    </xf>
    <xf numFmtId="9" fontId="3" fillId="0" borderId="7" xfId="2" applyFont="1" applyBorder="1" applyProtection="1">
      <protection hidden="1"/>
    </xf>
    <xf numFmtId="0" fontId="0" fillId="0" borderId="6" xfId="2" applyNumberFormat="1" applyFont="1" applyBorder="1"/>
    <xf numFmtId="3" fontId="0" fillId="0" borderId="10" xfId="0" applyNumberFormat="1" applyFill="1" applyBorder="1"/>
    <xf numFmtId="0" fontId="0" fillId="0" borderId="12" xfId="0" applyFill="1" applyBorder="1"/>
    <xf numFmtId="0" fontId="18" fillId="10" borderId="87" xfId="0" applyFont="1" applyFill="1" applyBorder="1"/>
    <xf numFmtId="3" fontId="3" fillId="0" borderId="85" xfId="2" applyNumberFormat="1" applyFont="1" applyBorder="1"/>
    <xf numFmtId="0" fontId="0" fillId="10" borderId="7" xfId="0" applyFill="1" applyBorder="1"/>
    <xf numFmtId="0" fontId="0" fillId="10" borderId="5" xfId="0" applyFill="1" applyBorder="1"/>
    <xf numFmtId="0" fontId="0" fillId="10" borderId="30" xfId="0" applyFill="1" applyBorder="1"/>
    <xf numFmtId="0" fontId="0" fillId="10" borderId="16" xfId="0" applyFill="1" applyBorder="1"/>
    <xf numFmtId="0" fontId="19" fillId="13" borderId="88" xfId="0" applyNumberFormat="1" applyFont="1" applyFill="1" applyBorder="1"/>
    <xf numFmtId="0" fontId="0" fillId="2" borderId="35" xfId="0" applyFill="1" applyBorder="1" applyAlignment="1">
      <alignment horizontal="center"/>
    </xf>
    <xf numFmtId="0" fontId="0" fillId="2" borderId="35" xfId="0" applyFill="1" applyBorder="1" applyAlignment="1"/>
    <xf numFmtId="0" fontId="0" fillId="2" borderId="35" xfId="0" applyFill="1" applyBorder="1"/>
    <xf numFmtId="0" fontId="0" fillId="2" borderId="62" xfId="0" applyFill="1" applyBorder="1"/>
    <xf numFmtId="0" fontId="0" fillId="2" borderId="23" xfId="0" applyFill="1" applyBorder="1"/>
    <xf numFmtId="0" fontId="0" fillId="2" borderId="0" xfId="0" applyFill="1" applyBorder="1" applyAlignment="1">
      <alignment horizontal="center"/>
    </xf>
    <xf numFmtId="0" fontId="0" fillId="2" borderId="0" xfId="0" applyFill="1" applyBorder="1" applyAlignment="1"/>
    <xf numFmtId="0" fontId="0" fillId="2" borderId="39" xfId="0" applyFill="1" applyBorder="1"/>
    <xf numFmtId="0" fontId="20" fillId="2" borderId="23" xfId="0" applyFont="1" applyFill="1" applyBorder="1"/>
    <xf numFmtId="0" fontId="0" fillId="2" borderId="9" xfId="0" applyFill="1" applyBorder="1" applyAlignment="1">
      <alignment horizontal="center"/>
    </xf>
    <xf numFmtId="0" fontId="0" fillId="2" borderId="10" xfId="0" applyFill="1" applyBorder="1" applyAlignment="1">
      <alignment horizontal="center"/>
    </xf>
    <xf numFmtId="0" fontId="20" fillId="2" borderId="0" xfId="0" applyFont="1"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vertical="center"/>
    </xf>
    <xf numFmtId="0" fontId="20" fillId="2" borderId="0" xfId="0" applyFont="1" applyFill="1" applyBorder="1"/>
    <xf numFmtId="0" fontId="0" fillId="2" borderId="4" xfId="0" quotePrefix="1" applyFill="1" applyBorder="1" applyAlignment="1">
      <alignment horizontal="center"/>
    </xf>
    <xf numFmtId="0" fontId="0" fillId="2" borderId="5" xfId="0" applyFill="1" applyBorder="1" applyAlignment="1">
      <alignment horizontal="center" vertical="center"/>
    </xf>
    <xf numFmtId="0" fontId="0" fillId="2" borderId="4" xfId="0" applyFill="1" applyBorder="1" applyAlignment="1">
      <alignment horizontal="center"/>
    </xf>
    <xf numFmtId="0" fontId="19" fillId="2" borderId="23" xfId="0" applyNumberFormat="1" applyFont="1" applyFill="1" applyBorder="1"/>
    <xf numFmtId="0" fontId="20" fillId="2" borderId="0" xfId="0" applyFont="1" applyFill="1" applyBorder="1" applyAlignment="1"/>
    <xf numFmtId="0" fontId="21" fillId="2" borderId="23" xfId="0" applyNumberFormat="1" applyFont="1" applyFill="1" applyBorder="1"/>
    <xf numFmtId="0" fontId="19" fillId="2" borderId="23" xfId="0" applyFont="1" applyFill="1" applyBorder="1"/>
    <xf numFmtId="0" fontId="20" fillId="2" borderId="23" xfId="0" applyNumberFormat="1" applyFont="1" applyFill="1" applyBorder="1"/>
    <xf numFmtId="0" fontId="0" fillId="2" borderId="23" xfId="0" applyFill="1" applyBorder="1" applyAlignment="1"/>
    <xf numFmtId="0" fontId="0" fillId="2" borderId="39" xfId="0" applyFill="1" applyBorder="1" applyAlignment="1"/>
    <xf numFmtId="0" fontId="4" fillId="0" borderId="0" xfId="0" applyFont="1" applyBorder="1" applyAlignment="1">
      <alignment horizontal="center"/>
    </xf>
    <xf numFmtId="0" fontId="4" fillId="0" borderId="7" xfId="0" applyFont="1" applyBorder="1" applyAlignment="1">
      <alignment horizontal="center"/>
    </xf>
    <xf numFmtId="0" fontId="0" fillId="0" borderId="28" xfId="0" applyBorder="1"/>
    <xf numFmtId="0" fontId="0" fillId="0" borderId="29" xfId="0" applyBorder="1"/>
    <xf numFmtId="0" fontId="0" fillId="0" borderId="30" xfId="0" applyBorder="1"/>
    <xf numFmtId="0" fontId="19" fillId="13" borderId="84" xfId="0" applyNumberFormat="1" applyFont="1" applyFill="1" applyBorder="1" applyAlignment="1">
      <alignment horizontal="left"/>
    </xf>
    <xf numFmtId="0" fontId="19" fillId="13" borderId="83" xfId="0" applyNumberFormat="1" applyFont="1" applyFill="1" applyBorder="1" applyAlignment="1">
      <alignment horizontal="right"/>
    </xf>
    <xf numFmtId="49" fontId="4" fillId="0" borderId="0" xfId="0" applyNumberFormat="1" applyFont="1" applyAlignment="1">
      <alignment horizontal="center"/>
    </xf>
    <xf numFmtId="0" fontId="20" fillId="2" borderId="35" xfId="0" applyFont="1" applyFill="1" applyBorder="1" applyAlignment="1">
      <alignment horizontal="center"/>
    </xf>
    <xf numFmtId="0" fontId="20" fillId="2" borderId="10" xfId="0" applyFont="1" applyFill="1" applyBorder="1" applyAlignment="1">
      <alignment horizontal="center"/>
    </xf>
    <xf numFmtId="0" fontId="0" fillId="2" borderId="95" xfId="0" applyNumberFormat="1" applyFill="1" applyBorder="1"/>
    <xf numFmtId="0" fontId="0" fillId="2" borderId="91" xfId="0" applyFill="1" applyBorder="1"/>
    <xf numFmtId="0" fontId="0" fillId="2" borderId="91" xfId="0" applyFill="1" applyBorder="1" applyAlignment="1">
      <alignment horizontal="center"/>
    </xf>
    <xf numFmtId="0" fontId="0" fillId="2" borderId="96" xfId="0" applyFill="1" applyBorder="1"/>
    <xf numFmtId="0" fontId="4" fillId="0" borderId="8" xfId="0" applyFont="1" applyBorder="1" applyAlignment="1">
      <alignment horizontal="center"/>
    </xf>
    <xf numFmtId="49" fontId="0" fillId="0" borderId="8" xfId="0" applyNumberFormat="1" applyBorder="1" applyAlignment="1">
      <alignment horizontal="center"/>
    </xf>
    <xf numFmtId="0" fontId="0" fillId="0" borderId="31" xfId="0" applyBorder="1"/>
    <xf numFmtId="10" fontId="0" fillId="0" borderId="0" xfId="0" applyNumberFormat="1"/>
    <xf numFmtId="0" fontId="0" fillId="12" borderId="0" xfId="0" applyFill="1" applyBorder="1" applyAlignment="1"/>
    <xf numFmtId="0" fontId="0" fillId="12" borderId="0" xfId="0" applyFill="1" applyBorder="1" applyAlignment="1">
      <alignment horizontal="center"/>
    </xf>
    <xf numFmtId="3" fontId="0" fillId="0" borderId="10" xfId="0" applyNumberFormat="1" applyBorder="1" applyAlignment="1">
      <alignment horizontal="center"/>
    </xf>
    <xf numFmtId="3" fontId="0" fillId="0" borderId="7" xfId="0" applyNumberFormat="1" applyBorder="1" applyAlignment="1">
      <alignment horizontal="center"/>
    </xf>
    <xf numFmtId="3" fontId="0" fillId="0" borderId="12" xfId="0" applyNumberFormat="1" applyBorder="1" applyAlignment="1">
      <alignment horizontal="center"/>
    </xf>
    <xf numFmtId="0" fontId="3" fillId="0" borderId="0" xfId="0" applyFont="1" applyFill="1" applyBorder="1" applyAlignment="1">
      <alignment horizontal="center"/>
    </xf>
    <xf numFmtId="0" fontId="0" fillId="0" borderId="0" xfId="0" applyFill="1" applyBorder="1" applyAlignment="1">
      <alignment horizontal="center"/>
    </xf>
    <xf numFmtId="0" fontId="3" fillId="0" borderId="1" xfId="0" applyFont="1" applyFill="1" applyBorder="1" applyAlignment="1">
      <alignment horizontal="center"/>
    </xf>
    <xf numFmtId="0" fontId="3" fillId="0" borderId="28" xfId="0" applyFont="1" applyFill="1" applyBorder="1" applyAlignment="1">
      <alignment horizontal="center"/>
    </xf>
    <xf numFmtId="0" fontId="0" fillId="0" borderId="15" xfId="0" applyFill="1" applyBorder="1" applyAlignment="1">
      <alignment horizontal="center"/>
    </xf>
    <xf numFmtId="0" fontId="0" fillId="0" borderId="2" xfId="0" applyFill="1" applyBorder="1" applyAlignment="1">
      <alignment horizontal="center"/>
    </xf>
    <xf numFmtId="0" fontId="4" fillId="2" borderId="35" xfId="0" applyFont="1" applyFill="1" applyBorder="1" applyAlignment="1">
      <alignment horizontal="left"/>
    </xf>
    <xf numFmtId="3" fontId="0" fillId="10" borderId="97" xfId="0" applyNumberFormat="1" applyFill="1" applyBorder="1"/>
    <xf numFmtId="0" fontId="0" fillId="10" borderId="94" xfId="0" applyFill="1" applyBorder="1"/>
    <xf numFmtId="0" fontId="0" fillId="10" borderId="80" xfId="0" applyFill="1" applyBorder="1"/>
    <xf numFmtId="9" fontId="0" fillId="10" borderId="97" xfId="0" applyNumberFormat="1" applyFill="1" applyBorder="1"/>
    <xf numFmtId="10" fontId="0" fillId="10" borderId="97" xfId="0" applyNumberFormat="1" applyFill="1" applyBorder="1"/>
    <xf numFmtId="3" fontId="4" fillId="0" borderId="0" xfId="0" applyNumberFormat="1" applyFont="1"/>
    <xf numFmtId="0" fontId="0" fillId="0" borderId="0" xfId="0" applyNumberFormat="1"/>
    <xf numFmtId="0" fontId="0" fillId="12" borderId="10" xfId="0" applyFill="1" applyBorder="1"/>
    <xf numFmtId="0" fontId="0" fillId="12" borderId="7" xfId="0" applyFill="1" applyBorder="1"/>
    <xf numFmtId="0" fontId="0" fillId="12" borderId="3" xfId="0" applyFill="1" applyBorder="1"/>
    <xf numFmtId="0" fontId="0" fillId="12" borderId="12" xfId="0" applyFill="1" applyBorder="1"/>
    <xf numFmtId="9" fontId="0" fillId="10" borderId="80" xfId="0" applyNumberFormat="1" applyFill="1" applyBorder="1"/>
    <xf numFmtId="3" fontId="3" fillId="0" borderId="0" xfId="0" applyNumberFormat="1" applyFont="1"/>
    <xf numFmtId="0" fontId="3" fillId="0" borderId="98" xfId="0" applyFont="1" applyBorder="1"/>
    <xf numFmtId="0" fontId="3" fillId="0" borderId="47" xfId="0" applyFont="1" applyBorder="1"/>
    <xf numFmtId="0" fontId="0" fillId="0" borderId="47" xfId="0" applyBorder="1"/>
    <xf numFmtId="0" fontId="3" fillId="0" borderId="48" xfId="0" applyFont="1" applyBorder="1"/>
    <xf numFmtId="0" fontId="3" fillId="0" borderId="49" xfId="0" applyFont="1" applyBorder="1"/>
    <xf numFmtId="0" fontId="0" fillId="0" borderId="48" xfId="0" applyBorder="1"/>
    <xf numFmtId="0" fontId="0" fillId="0" borderId="50" xfId="0" applyBorder="1"/>
    <xf numFmtId="0" fontId="4" fillId="11" borderId="78" xfId="0" applyFont="1" applyFill="1" applyBorder="1"/>
    <xf numFmtId="0" fontId="4" fillId="0" borderId="36" xfId="0" applyFont="1" applyBorder="1" applyAlignment="1">
      <alignment horizontal="center"/>
    </xf>
    <xf numFmtId="0" fontId="3" fillId="0" borderId="64" xfId="0" applyFont="1" applyBorder="1" applyAlignment="1">
      <alignment horizontal="center"/>
    </xf>
    <xf numFmtId="0" fontId="0" fillId="0" borderId="64" xfId="0" applyBorder="1" applyAlignment="1">
      <alignment horizontal="center"/>
    </xf>
    <xf numFmtId="0" fontId="3" fillId="0" borderId="63" xfId="0" applyFont="1" applyBorder="1" applyAlignment="1">
      <alignment horizontal="center"/>
    </xf>
    <xf numFmtId="0" fontId="3" fillId="0" borderId="66" xfId="0" applyFont="1" applyBorder="1" applyAlignment="1">
      <alignment horizontal="center"/>
    </xf>
    <xf numFmtId="0" fontId="0" fillId="0" borderId="63" xfId="0" applyBorder="1" applyAlignment="1">
      <alignment horizontal="center"/>
    </xf>
    <xf numFmtId="0" fontId="0" fillId="0" borderId="68" xfId="0" applyBorder="1" applyAlignment="1">
      <alignment horizontal="center"/>
    </xf>
    <xf numFmtId="0" fontId="4" fillId="11" borderId="73" xfId="0" applyFont="1" applyFill="1" applyBorder="1" applyAlignment="1">
      <alignment horizontal="center"/>
    </xf>
    <xf numFmtId="0" fontId="0" fillId="0" borderId="36" xfId="0" applyBorder="1" applyAlignment="1">
      <alignment horizontal="center"/>
    </xf>
    <xf numFmtId="0" fontId="4" fillId="0" borderId="64" xfId="0" applyFont="1" applyBorder="1" applyAlignment="1">
      <alignment horizontal="center"/>
    </xf>
    <xf numFmtId="0" fontId="3" fillId="0" borderId="65" xfId="0" applyFont="1" applyBorder="1" applyAlignment="1">
      <alignment horizontal="center"/>
    </xf>
    <xf numFmtId="49" fontId="4" fillId="0" borderId="0" xfId="0" applyNumberFormat="1" applyFont="1" applyAlignment="1"/>
    <xf numFmtId="3" fontId="3" fillId="0" borderId="83" xfId="0" applyNumberFormat="1" applyFont="1" applyBorder="1" applyAlignment="1"/>
    <xf numFmtId="3" fontId="3" fillId="0" borderId="0" xfId="0" applyNumberFormat="1" applyFont="1" applyBorder="1" applyAlignment="1"/>
    <xf numFmtId="3" fontId="0" fillId="0" borderId="0" xfId="0" applyNumberFormat="1" applyBorder="1" applyAlignment="1"/>
    <xf numFmtId="3" fontId="3" fillId="0" borderId="1" xfId="0" applyNumberFormat="1" applyFont="1" applyBorder="1" applyAlignment="1"/>
    <xf numFmtId="3" fontId="3" fillId="0" borderId="28" xfId="0" applyNumberFormat="1" applyFont="1" applyBorder="1" applyAlignment="1"/>
    <xf numFmtId="3" fontId="0" fillId="0" borderId="1" xfId="0" applyNumberFormat="1" applyBorder="1" applyAlignment="1"/>
    <xf numFmtId="3" fontId="0" fillId="0" borderId="15" xfId="0" applyNumberFormat="1" applyBorder="1" applyAlignment="1"/>
    <xf numFmtId="0" fontId="0" fillId="0" borderId="65" xfId="0" applyBorder="1" applyAlignment="1">
      <alignment horizontal="center"/>
    </xf>
    <xf numFmtId="0" fontId="3" fillId="0" borderId="8" xfId="2" applyNumberFormat="1" applyFont="1" applyBorder="1" applyAlignment="1">
      <alignment horizontal="center"/>
    </xf>
    <xf numFmtId="0" fontId="3" fillId="0" borderId="14" xfId="2" applyNumberFormat="1" applyFont="1" applyBorder="1" applyAlignment="1">
      <alignment horizontal="center"/>
    </xf>
    <xf numFmtId="0" fontId="3" fillId="0" borderId="31" xfId="2" applyNumberFormat="1" applyFont="1" applyBorder="1" applyAlignment="1">
      <alignment horizontal="center"/>
    </xf>
    <xf numFmtId="0" fontId="3" fillId="0" borderId="18" xfId="2" applyNumberFormat="1" applyFont="1" applyBorder="1" applyAlignment="1">
      <alignment horizontal="center"/>
    </xf>
    <xf numFmtId="0" fontId="3" fillId="0" borderId="13" xfId="2" applyNumberFormat="1" applyFont="1" applyBorder="1" applyAlignment="1">
      <alignment horizontal="center"/>
    </xf>
    <xf numFmtId="0" fontId="3" fillId="0" borderId="99" xfId="0" applyFont="1" applyBorder="1"/>
    <xf numFmtId="0" fontId="3" fillId="0" borderId="3" xfId="0" applyFont="1" applyBorder="1"/>
    <xf numFmtId="14" fontId="0" fillId="0" borderId="100" xfId="0" applyNumberFormat="1" applyBorder="1" applyAlignment="1">
      <alignment horizontal="center"/>
    </xf>
    <xf numFmtId="1" fontId="0" fillId="10" borderId="97" xfId="0" applyNumberFormat="1" applyFill="1" applyBorder="1" applyAlignment="1">
      <alignment horizontal="center"/>
    </xf>
    <xf numFmtId="166" fontId="0" fillId="0" borderId="0" xfId="0" applyNumberFormat="1"/>
    <xf numFmtId="0" fontId="20" fillId="0" borderId="0" xfId="0" applyFont="1" applyFill="1" applyBorder="1" applyAlignment="1">
      <alignment horizontal="center"/>
    </xf>
    <xf numFmtId="0" fontId="0" fillId="0" borderId="0" xfId="0" applyFill="1" applyBorder="1" applyAlignment="1">
      <alignment horizontal="center" vertical="center"/>
    </xf>
    <xf numFmtId="0" fontId="0" fillId="0" borderId="0" xfId="0" quotePrefix="1" applyFill="1" applyBorder="1" applyAlignment="1">
      <alignment horizontal="center"/>
    </xf>
    <xf numFmtId="0" fontId="20" fillId="0" borderId="0" xfId="0" applyFont="1" applyFill="1" applyBorder="1" applyAlignment="1"/>
    <xf numFmtId="0" fontId="0" fillId="0" borderId="0" xfId="0" applyFill="1" applyBorder="1" applyAlignment="1"/>
    <xf numFmtId="0" fontId="0" fillId="0" borderId="4" xfId="0" applyFill="1" applyBorder="1" applyAlignment="1"/>
    <xf numFmtId="0" fontId="0" fillId="0" borderId="1" xfId="0" applyFill="1" applyBorder="1" applyAlignment="1"/>
    <xf numFmtId="0" fontId="20" fillId="0" borderId="6" xfId="0" applyFont="1" applyFill="1" applyBorder="1" applyAlignment="1"/>
    <xf numFmtId="0" fontId="19" fillId="0" borderId="6" xfId="0" applyNumberFormat="1" applyFont="1" applyFill="1" applyBorder="1" applyAlignment="1"/>
    <xf numFmtId="0" fontId="21" fillId="0" borderId="6" xfId="0" applyNumberFormat="1" applyFont="1" applyFill="1" applyBorder="1" applyAlignment="1"/>
    <xf numFmtId="0" fontId="19" fillId="0" borderId="6" xfId="0" applyFont="1" applyFill="1" applyBorder="1" applyAlignment="1"/>
    <xf numFmtId="0" fontId="20" fillId="0" borderId="6" xfId="0" applyNumberFormat="1" applyFont="1" applyFill="1" applyBorder="1" applyAlignment="1"/>
    <xf numFmtId="0" fontId="0" fillId="0" borderId="6" xfId="0" applyNumberFormat="1" applyFill="1" applyBorder="1"/>
    <xf numFmtId="167" fontId="0" fillId="0" borderId="0" xfId="0" applyNumberFormat="1" applyBorder="1"/>
    <xf numFmtId="167" fontId="0" fillId="0" borderId="0" xfId="0" applyNumberFormat="1"/>
    <xf numFmtId="1" fontId="0" fillId="0" borderId="0" xfId="2" applyNumberFormat="1" applyFont="1"/>
    <xf numFmtId="0" fontId="0" fillId="0" borderId="0" xfId="0" applyAlignment="1">
      <alignment horizontal="left"/>
    </xf>
    <xf numFmtId="2" fontId="3" fillId="0" borderId="11" xfId="0" applyNumberFormat="1" applyFont="1" applyFill="1" applyBorder="1"/>
    <xf numFmtId="166" fontId="0" fillId="0" borderId="0" xfId="0" applyNumberFormat="1" applyAlignment="1">
      <alignment horizontal="right"/>
    </xf>
    <xf numFmtId="166" fontId="0" fillId="0" borderId="0" xfId="2" applyNumberFormat="1" applyFont="1" applyAlignment="1">
      <alignment horizontal="right"/>
    </xf>
    <xf numFmtId="20" fontId="3" fillId="0" borderId="54" xfId="0" applyNumberFormat="1" applyFont="1" applyBorder="1"/>
    <xf numFmtId="20" fontId="3" fillId="0" borderId="23" xfId="0" applyNumberFormat="1" applyFont="1" applyBorder="1"/>
    <xf numFmtId="20" fontId="3" fillId="0" borderId="101" xfId="0" applyNumberFormat="1" applyFont="1" applyBorder="1"/>
    <xf numFmtId="20" fontId="3" fillId="0" borderId="22" xfId="0" applyNumberFormat="1" applyFont="1" applyBorder="1"/>
    <xf numFmtId="20" fontId="3" fillId="0" borderId="32" xfId="0" applyNumberFormat="1" applyFont="1" applyBorder="1"/>
    <xf numFmtId="20" fontId="3" fillId="0" borderId="24" xfId="0" applyNumberFormat="1" applyFont="1" applyBorder="1"/>
    <xf numFmtId="20" fontId="4" fillId="11" borderId="74" xfId="0" applyNumberFormat="1" applyFont="1" applyFill="1" applyBorder="1"/>
    <xf numFmtId="0" fontId="3" fillId="0" borderId="13" xfId="0" applyFont="1" applyBorder="1"/>
    <xf numFmtId="0" fontId="3" fillId="11" borderId="76" xfId="0" applyFont="1" applyFill="1" applyBorder="1"/>
    <xf numFmtId="0" fontId="4" fillId="10" borderId="14" xfId="0" applyFont="1" applyFill="1" applyBorder="1" applyAlignment="1">
      <alignment horizontal="center"/>
    </xf>
    <xf numFmtId="0" fontId="0" fillId="0" borderId="102" xfId="0" applyBorder="1" applyAlignment="1">
      <alignment horizontal="center"/>
    </xf>
    <xf numFmtId="172" fontId="3" fillId="0" borderId="0" xfId="1" applyNumberFormat="1" applyFont="1" applyBorder="1"/>
    <xf numFmtId="172" fontId="3" fillId="0" borderId="1" xfId="1" applyNumberFormat="1" applyFont="1" applyBorder="1"/>
    <xf numFmtId="172" fontId="3" fillId="0" borderId="28" xfId="1" applyNumberFormat="1" applyFont="1" applyBorder="1"/>
    <xf numFmtId="172" fontId="0" fillId="0" borderId="0" xfId="1" applyNumberFormat="1" applyFont="1"/>
    <xf numFmtId="1" fontId="3" fillId="0" borderId="11" xfId="0" applyNumberFormat="1" applyFont="1" applyBorder="1"/>
    <xf numFmtId="0" fontId="4" fillId="0" borderId="0" xfId="0" applyFont="1" applyAlignment="1">
      <alignment horizontal="right"/>
    </xf>
    <xf numFmtId="10" fontId="3" fillId="0" borderId="0" xfId="0" applyNumberFormat="1" applyFont="1" applyBorder="1" applyAlignment="1">
      <alignment horizontal="right"/>
    </xf>
    <xf numFmtId="1" fontId="3" fillId="0" borderId="17" xfId="0" applyNumberFormat="1" applyFont="1" applyBorder="1"/>
    <xf numFmtId="172" fontId="3" fillId="0" borderId="15" xfId="1" applyNumberFormat="1" applyFont="1" applyBorder="1"/>
    <xf numFmtId="3" fontId="3" fillId="0" borderId="5" xfId="2" applyNumberFormat="1" applyFont="1" applyBorder="1"/>
    <xf numFmtId="3" fontId="3" fillId="0" borderId="30" xfId="2" applyNumberFormat="1" applyFont="1" applyBorder="1"/>
    <xf numFmtId="3" fontId="3" fillId="0" borderId="16" xfId="2" applyNumberFormat="1" applyFont="1" applyBorder="1"/>
    <xf numFmtId="1" fontId="3" fillId="0" borderId="15" xfId="0" applyNumberFormat="1" applyFont="1" applyBorder="1"/>
    <xf numFmtId="0" fontId="3" fillId="0" borderId="16" xfId="0" applyFont="1" applyBorder="1" applyAlignment="1">
      <alignment horizontal="center"/>
    </xf>
    <xf numFmtId="169" fontId="3" fillId="0" borderId="16" xfId="0" applyNumberFormat="1" applyFont="1" applyBorder="1"/>
    <xf numFmtId="9" fontId="0" fillId="0" borderId="0" xfId="2" applyFont="1" applyAlignment="1">
      <alignment horizontal="right"/>
    </xf>
    <xf numFmtId="1" fontId="0" fillId="0" borderId="0" xfId="2" applyNumberFormat="1" applyFont="1" applyAlignment="1">
      <alignment horizontal="right"/>
    </xf>
    <xf numFmtId="0" fontId="0" fillId="0" borderId="51" xfId="0" applyBorder="1"/>
    <xf numFmtId="3" fontId="0" fillId="0" borderId="14" xfId="0" applyNumberFormat="1" applyBorder="1" applyAlignment="1">
      <alignment horizontal="center"/>
    </xf>
    <xf numFmtId="0" fontId="0" fillId="0" borderId="14" xfId="0" applyBorder="1" applyAlignment="1">
      <alignment horizontal="center"/>
    </xf>
    <xf numFmtId="0" fontId="3" fillId="0" borderId="103" xfId="0" applyFont="1" applyBorder="1"/>
    <xf numFmtId="3" fontId="3" fillId="0" borderId="13" xfId="0" applyNumberFormat="1" applyFont="1" applyBorder="1" applyAlignment="1">
      <alignment horizontal="center"/>
    </xf>
    <xf numFmtId="0" fontId="3" fillId="0" borderId="3" xfId="0" applyFont="1" applyBorder="1" applyAlignment="1">
      <alignment horizontal="center"/>
    </xf>
    <xf numFmtId="3" fontId="3" fillId="0" borderId="11" xfId="0" applyNumberFormat="1" applyFont="1" applyBorder="1"/>
    <xf numFmtId="10" fontId="3" fillId="0" borderId="12" xfId="0" applyNumberFormat="1" applyFont="1" applyBorder="1"/>
    <xf numFmtId="0" fontId="3" fillId="0" borderId="12" xfId="0" applyFont="1" applyBorder="1"/>
    <xf numFmtId="3" fontId="3" fillId="0" borderId="13" xfId="0" applyNumberFormat="1" applyFont="1" applyBorder="1"/>
    <xf numFmtId="10" fontId="3" fillId="0" borderId="3" xfId="0" applyNumberFormat="1" applyFont="1" applyBorder="1"/>
    <xf numFmtId="1" fontId="3" fillId="0" borderId="3" xfId="0" applyNumberFormat="1" applyFont="1" applyBorder="1"/>
    <xf numFmtId="10" fontId="3" fillId="0" borderId="3" xfId="0" applyNumberFormat="1" applyFont="1" applyBorder="1" applyAlignment="1">
      <alignment horizontal="right"/>
    </xf>
    <xf numFmtId="172" fontId="3" fillId="0" borderId="3" xfId="1" applyNumberFormat="1" applyFont="1" applyBorder="1"/>
    <xf numFmtId="1" fontId="3" fillId="0" borderId="12" xfId="0" applyNumberFormat="1" applyFont="1" applyBorder="1"/>
    <xf numFmtId="9" fontId="3" fillId="10" borderId="104" xfId="0" applyNumberFormat="1" applyFont="1" applyFill="1" applyBorder="1"/>
    <xf numFmtId="9" fontId="3" fillId="0" borderId="101" xfId="2" applyFont="1" applyBorder="1"/>
    <xf numFmtId="3" fontId="3" fillId="0" borderId="3" xfId="0" applyNumberFormat="1" applyFont="1" applyBorder="1"/>
    <xf numFmtId="20" fontId="3" fillId="0" borderId="12" xfId="0" applyNumberFormat="1" applyFont="1" applyBorder="1"/>
    <xf numFmtId="0" fontId="3" fillId="10" borderId="103" xfId="0" applyFont="1" applyFill="1" applyBorder="1"/>
    <xf numFmtId="0" fontId="3" fillId="10" borderId="13" xfId="0" applyFont="1" applyFill="1" applyBorder="1"/>
    <xf numFmtId="0" fontId="3" fillId="10" borderId="79" xfId="0" applyFont="1" applyFill="1" applyBorder="1"/>
    <xf numFmtId="3" fontId="3" fillId="0" borderId="79" xfId="0" applyNumberFormat="1" applyFont="1" applyBorder="1"/>
    <xf numFmtId="3" fontId="3" fillId="10" borderId="103" xfId="0" applyNumberFormat="1" applyFont="1" applyFill="1" applyBorder="1"/>
    <xf numFmtId="3" fontId="3" fillId="10" borderId="13" xfId="0" applyNumberFormat="1" applyFont="1" applyFill="1" applyBorder="1"/>
    <xf numFmtId="10" fontId="3" fillId="0" borderId="11" xfId="0" applyNumberFormat="1" applyFont="1" applyBorder="1"/>
    <xf numFmtId="10" fontId="3" fillId="0" borderId="11" xfId="0" applyNumberFormat="1" applyFont="1" applyFill="1" applyBorder="1"/>
    <xf numFmtId="10" fontId="3" fillId="0" borderId="3" xfId="0" applyNumberFormat="1" applyFont="1" applyFill="1" applyBorder="1"/>
    <xf numFmtId="2" fontId="3" fillId="0" borderId="3" xfId="0" applyNumberFormat="1" applyFont="1" applyFill="1" applyBorder="1"/>
    <xf numFmtId="2" fontId="3" fillId="0" borderId="13" xfId="0" applyNumberFormat="1" applyFont="1" applyFill="1" applyBorder="1"/>
    <xf numFmtId="2" fontId="3" fillId="0" borderId="12" xfId="0" applyNumberFormat="1" applyFont="1" applyFill="1" applyBorder="1"/>
    <xf numFmtId="3" fontId="3" fillId="0" borderId="3" xfId="0" applyNumberFormat="1" applyFont="1" applyFill="1" applyBorder="1"/>
    <xf numFmtId="0" fontId="3" fillId="0" borderId="12" xfId="0" applyFont="1" applyFill="1" applyBorder="1"/>
    <xf numFmtId="4" fontId="3" fillId="0" borderId="3" xfId="0" applyNumberFormat="1" applyFont="1" applyBorder="1"/>
    <xf numFmtId="169" fontId="3" fillId="0" borderId="11" xfId="0" applyNumberFormat="1" applyFont="1" applyBorder="1"/>
    <xf numFmtId="169" fontId="3" fillId="0" borderId="12" xfId="0" applyNumberFormat="1" applyFont="1" applyBorder="1"/>
    <xf numFmtId="49" fontId="0" fillId="0" borderId="102" xfId="0" applyNumberFormat="1" applyBorder="1" applyAlignment="1">
      <alignment horizontal="center"/>
    </xf>
    <xf numFmtId="172" fontId="0" fillId="0" borderId="91" xfId="1" applyNumberFormat="1" applyFont="1" applyBorder="1" applyAlignment="1">
      <alignment horizontal="center"/>
    </xf>
    <xf numFmtId="49" fontId="0" fillId="0" borderId="105" xfId="0" applyNumberFormat="1" applyBorder="1" applyAlignment="1">
      <alignment horizontal="center"/>
    </xf>
    <xf numFmtId="0" fontId="3" fillId="0" borderId="67" xfId="0" applyFont="1" applyBorder="1" applyAlignment="1">
      <alignment horizontal="center"/>
    </xf>
    <xf numFmtId="3" fontId="3" fillId="0" borderId="11" xfId="2" applyNumberFormat="1" applyFont="1" applyBorder="1"/>
    <xf numFmtId="3" fontId="3" fillId="0" borderId="3" xfId="2" applyNumberFormat="1" applyFont="1" applyBorder="1"/>
    <xf numFmtId="9" fontId="3" fillId="0" borderId="11" xfId="2" applyFont="1" applyBorder="1"/>
    <xf numFmtId="0" fontId="3" fillId="0" borderId="67" xfId="0" applyFont="1" applyFill="1" applyBorder="1" applyAlignment="1">
      <alignment horizontal="center"/>
    </xf>
    <xf numFmtId="3" fontId="3" fillId="10" borderId="101" xfId="0" applyNumberFormat="1" applyFont="1" applyFill="1" applyBorder="1"/>
    <xf numFmtId="3" fontId="3" fillId="0" borderId="101" xfId="0" applyNumberFormat="1" applyFont="1" applyFill="1" applyBorder="1"/>
    <xf numFmtId="3" fontId="3" fillId="0" borderId="12" xfId="2" applyNumberFormat="1" applyFont="1" applyBorder="1"/>
    <xf numFmtId="4" fontId="3" fillId="0" borderId="12" xfId="0" applyNumberFormat="1" applyFont="1" applyBorder="1"/>
    <xf numFmtId="9" fontId="3" fillId="0" borderId="11" xfId="0" applyNumberFormat="1" applyFont="1" applyBorder="1"/>
    <xf numFmtId="9" fontId="3" fillId="0" borderId="3" xfId="0" applyNumberFormat="1" applyFont="1" applyBorder="1"/>
    <xf numFmtId="9" fontId="3" fillId="0" borderId="12" xfId="0" applyNumberFormat="1" applyFont="1" applyBorder="1"/>
    <xf numFmtId="0" fontId="3" fillId="0" borderId="104" xfId="0" applyFont="1" applyFill="1" applyBorder="1"/>
    <xf numFmtId="3" fontId="3" fillId="10" borderId="59" xfId="0" applyNumberFormat="1" applyFont="1" applyFill="1" applyBorder="1"/>
    <xf numFmtId="49" fontId="0" fillId="0" borderId="106" xfId="0" applyNumberFormat="1" applyBorder="1" applyAlignment="1">
      <alignment horizontal="center"/>
    </xf>
    <xf numFmtId="0" fontId="3" fillId="0" borderId="3" xfId="0" applyFont="1" applyBorder="1" applyAlignment="1">
      <alignment horizontal="right"/>
    </xf>
    <xf numFmtId="0" fontId="3" fillId="0" borderId="12" xfId="0" applyFont="1" applyBorder="1" applyAlignment="1">
      <alignment horizontal="right"/>
    </xf>
    <xf numFmtId="3" fontId="3" fillId="2" borderId="11" xfId="0" applyNumberFormat="1" applyFont="1" applyFill="1" applyBorder="1"/>
    <xf numFmtId="3" fontId="3" fillId="3" borderId="3" xfId="0" applyNumberFormat="1" applyFont="1" applyFill="1" applyBorder="1"/>
    <xf numFmtId="3" fontId="3" fillId="4" borderId="3" xfId="0" applyNumberFormat="1" applyFont="1" applyFill="1" applyBorder="1"/>
    <xf numFmtId="3" fontId="3" fillId="5" borderId="3" xfId="0" applyNumberFormat="1" applyFont="1" applyFill="1" applyBorder="1"/>
    <xf numFmtId="3" fontId="3" fillId="6" borderId="3" xfId="0" applyNumberFormat="1" applyFont="1" applyFill="1" applyBorder="1"/>
    <xf numFmtId="3" fontId="3" fillId="7" borderId="3" xfId="0" applyNumberFormat="1" applyFont="1" applyFill="1" applyBorder="1"/>
    <xf numFmtId="3" fontId="3" fillId="8" borderId="3" xfId="0" applyNumberFormat="1" applyFont="1" applyFill="1" applyBorder="1"/>
    <xf numFmtId="0" fontId="3" fillId="9" borderId="11" xfId="0" applyFont="1" applyFill="1" applyBorder="1"/>
    <xf numFmtId="0" fontId="3" fillId="2" borderId="3" xfId="0" applyFont="1" applyFill="1" applyBorder="1"/>
    <xf numFmtId="0" fontId="3" fillId="3" borderId="3" xfId="0" applyFont="1" applyFill="1" applyBorder="1"/>
    <xf numFmtId="0" fontId="3" fillId="4" borderId="3" xfId="0" applyFont="1" applyFill="1" applyBorder="1"/>
    <xf numFmtId="0" fontId="3" fillId="5" borderId="3" xfId="0" applyFont="1" applyFill="1" applyBorder="1"/>
    <xf numFmtId="0" fontId="3" fillId="6" borderId="3" xfId="0" applyFont="1" applyFill="1" applyBorder="1"/>
    <xf numFmtId="0" fontId="3" fillId="7" borderId="3" xfId="0" applyFont="1" applyFill="1" applyBorder="1"/>
    <xf numFmtId="0" fontId="3" fillId="8" borderId="12" xfId="0" applyFont="1" applyFill="1" applyBorder="1"/>
    <xf numFmtId="3" fontId="3" fillId="0" borderId="12" xfId="0" applyNumberFormat="1" applyFont="1" applyFill="1" applyBorder="1"/>
    <xf numFmtId="0" fontId="3" fillId="0" borderId="59" xfId="0" applyFont="1" applyBorder="1"/>
    <xf numFmtId="0" fontId="3" fillId="10" borderId="11" xfId="0" applyFont="1" applyFill="1" applyBorder="1"/>
    <xf numFmtId="49" fontId="0" fillId="2" borderId="102" xfId="0" applyNumberFormat="1" applyFill="1" applyBorder="1" applyAlignment="1">
      <alignment horizontal="center"/>
    </xf>
    <xf numFmtId="49" fontId="0" fillId="3" borderId="91" xfId="0" applyNumberFormat="1" applyFill="1" applyBorder="1" applyAlignment="1">
      <alignment horizontal="center"/>
    </xf>
    <xf numFmtId="49" fontId="0" fillId="4" borderId="91" xfId="0" applyNumberFormat="1" applyFill="1" applyBorder="1" applyAlignment="1">
      <alignment horizontal="center"/>
    </xf>
    <xf numFmtId="49" fontId="0" fillId="5" borderId="91" xfId="0" applyNumberFormat="1" applyFill="1" applyBorder="1" applyAlignment="1">
      <alignment horizontal="center"/>
    </xf>
    <xf numFmtId="49" fontId="0" fillId="6" borderId="91" xfId="0" applyNumberFormat="1" applyFill="1" applyBorder="1" applyAlignment="1">
      <alignment horizontal="center"/>
    </xf>
    <xf numFmtId="49" fontId="0" fillId="7" borderId="91" xfId="0" applyNumberFormat="1" applyFill="1" applyBorder="1" applyAlignment="1">
      <alignment horizontal="center"/>
    </xf>
    <xf numFmtId="49" fontId="0" fillId="8" borderId="91" xfId="0" applyNumberFormat="1" applyFill="1" applyBorder="1" applyAlignment="1">
      <alignment horizontal="center"/>
    </xf>
    <xf numFmtId="49" fontId="3" fillId="9" borderId="91" xfId="0" applyNumberFormat="1" applyFont="1" applyFill="1" applyBorder="1" applyAlignment="1">
      <alignment horizontal="center"/>
    </xf>
    <xf numFmtId="49" fontId="0" fillId="2" borderId="91" xfId="0" applyNumberFormat="1" applyFill="1" applyBorder="1" applyAlignment="1">
      <alignment horizontal="center"/>
    </xf>
    <xf numFmtId="49" fontId="0" fillId="9" borderId="102" xfId="0" applyNumberFormat="1" applyFill="1" applyBorder="1" applyAlignment="1">
      <alignment horizontal="center"/>
    </xf>
    <xf numFmtId="49" fontId="0" fillId="8" borderId="105" xfId="0" applyNumberFormat="1" applyFill="1" applyBorder="1" applyAlignment="1">
      <alignment horizontal="center"/>
    </xf>
    <xf numFmtId="49" fontId="0" fillId="0" borderId="91" xfId="0" applyNumberFormat="1" applyFill="1" applyBorder="1" applyAlignment="1">
      <alignment horizontal="center"/>
    </xf>
    <xf numFmtId="49" fontId="0" fillId="9" borderId="91" xfId="0" applyNumberFormat="1" applyFill="1" applyBorder="1" applyAlignment="1">
      <alignment horizontal="center"/>
    </xf>
    <xf numFmtId="0" fontId="3" fillId="10" borderId="103" xfId="0" applyFont="1" applyFill="1" applyBorder="1" applyAlignment="1">
      <alignment horizontal="center"/>
    </xf>
    <xf numFmtId="0" fontId="3" fillId="10" borderId="11" xfId="0" applyFont="1" applyFill="1" applyBorder="1" applyAlignment="1">
      <alignment horizontal="center"/>
    </xf>
    <xf numFmtId="0" fontId="3" fillId="10" borderId="79" xfId="0" applyFont="1" applyFill="1" applyBorder="1" applyAlignment="1">
      <alignment horizontal="center"/>
    </xf>
    <xf numFmtId="0" fontId="3" fillId="0" borderId="12" xfId="0" applyFont="1" applyBorder="1" applyAlignment="1">
      <alignment horizontal="center"/>
    </xf>
    <xf numFmtId="0" fontId="3" fillId="0" borderId="3" xfId="0" applyFont="1" applyFill="1" applyBorder="1" applyAlignment="1">
      <alignment horizontal="center"/>
    </xf>
    <xf numFmtId="3" fontId="3" fillId="11" borderId="70" xfId="2" applyNumberFormat="1" applyFont="1" applyFill="1" applyBorder="1"/>
    <xf numFmtId="9" fontId="4" fillId="0" borderId="0" xfId="2" applyFont="1"/>
    <xf numFmtId="9" fontId="3" fillId="0" borderId="0" xfId="2" applyFont="1"/>
    <xf numFmtId="9" fontId="0" fillId="0" borderId="3" xfId="2" applyFont="1" applyBorder="1"/>
    <xf numFmtId="3" fontId="0" fillId="12" borderId="0" xfId="0" applyNumberFormat="1" applyFill="1" applyBorder="1" applyAlignment="1">
      <alignment horizontal="right"/>
    </xf>
    <xf numFmtId="0" fontId="0" fillId="12" borderId="0" xfId="0" quotePrefix="1" applyFill="1" applyBorder="1"/>
    <xf numFmtId="3" fontId="0" fillId="12" borderId="3" xfId="0" applyNumberFormat="1" applyFill="1" applyBorder="1" applyAlignment="1">
      <alignment horizontal="right"/>
    </xf>
    <xf numFmtId="0" fontId="0" fillId="12" borderId="3" xfId="0" quotePrefix="1" applyFill="1" applyBorder="1"/>
    <xf numFmtId="10" fontId="3" fillId="11" borderId="70" xfId="2" applyNumberFormat="1" applyFont="1" applyFill="1" applyBorder="1"/>
    <xf numFmtId="9" fontId="3" fillId="0" borderId="17" xfId="0" applyNumberFormat="1" applyFont="1" applyBorder="1"/>
    <xf numFmtId="10" fontId="3" fillId="0" borderId="15" xfId="0" applyNumberFormat="1" applyFont="1" applyBorder="1"/>
    <xf numFmtId="9" fontId="3" fillId="0" borderId="16" xfId="0" applyNumberFormat="1" applyFont="1" applyBorder="1"/>
    <xf numFmtId="0" fontId="3" fillId="0" borderId="67" xfId="0" applyFont="1" applyBorder="1"/>
    <xf numFmtId="3" fontId="3" fillId="0" borderId="11" xfId="0" applyNumberFormat="1" applyFont="1" applyBorder="1" applyAlignment="1">
      <alignment horizontal="center"/>
    </xf>
    <xf numFmtId="0" fontId="3" fillId="0" borderId="79" xfId="0" applyFont="1" applyBorder="1"/>
    <xf numFmtId="49" fontId="3" fillId="10" borderId="101" xfId="0" applyNumberFormat="1" applyFont="1" applyFill="1" applyBorder="1"/>
    <xf numFmtId="20" fontId="3" fillId="0" borderId="12" xfId="0" applyNumberFormat="1" applyFont="1" applyBorder="1" applyAlignment="1">
      <alignment horizontal="right"/>
    </xf>
    <xf numFmtId="18" fontId="3" fillId="0" borderId="12" xfId="0" applyNumberFormat="1" applyFont="1" applyBorder="1" applyAlignment="1">
      <alignment horizontal="right"/>
    </xf>
    <xf numFmtId="170" fontId="3" fillId="0" borderId="11" xfId="0" applyNumberFormat="1" applyFont="1" applyBorder="1" applyAlignment="1">
      <alignment horizontal="right"/>
    </xf>
    <xf numFmtId="170" fontId="3" fillId="0" borderId="13" xfId="0" applyNumberFormat="1" applyFont="1" applyBorder="1"/>
    <xf numFmtId="49" fontId="3" fillId="0" borderId="91" xfId="0" quotePrefix="1" applyNumberFormat="1" applyFont="1" applyBorder="1" applyAlignment="1">
      <alignment horizontal="center"/>
    </xf>
    <xf numFmtId="3" fontId="0" fillId="0" borderId="29" xfId="0" applyNumberFormat="1" applyBorder="1"/>
    <xf numFmtId="9" fontId="3" fillId="0" borderId="17" xfId="2" applyFont="1" applyBorder="1"/>
    <xf numFmtId="10" fontId="3" fillId="0" borderId="1" xfId="0" applyNumberFormat="1" applyFont="1" applyBorder="1" applyAlignment="1">
      <alignment horizontal="right"/>
    </xf>
    <xf numFmtId="10" fontId="3" fillId="0" borderId="28" xfId="0" applyNumberFormat="1" applyFont="1" applyBorder="1" applyAlignment="1">
      <alignment horizontal="right"/>
    </xf>
    <xf numFmtId="10" fontId="3" fillId="0" borderId="15" xfId="0" applyNumberFormat="1" applyFont="1" applyBorder="1" applyAlignment="1">
      <alignment horizontal="right"/>
    </xf>
    <xf numFmtId="0" fontId="4" fillId="12" borderId="4" xfId="0" applyFont="1" applyFill="1" applyBorder="1"/>
    <xf numFmtId="0" fontId="27" fillId="12" borderId="5" xfId="2" applyNumberFormat="1" applyFont="1" applyFill="1" applyBorder="1" applyProtection="1">
      <protection hidden="1"/>
    </xf>
    <xf numFmtId="10" fontId="3" fillId="0" borderId="11" xfId="2" applyNumberFormat="1" applyFont="1" applyBorder="1"/>
    <xf numFmtId="0" fontId="3" fillId="3" borderId="0" xfId="0" applyFont="1" applyFill="1"/>
    <xf numFmtId="0" fontId="3" fillId="5" borderId="0" xfId="0" applyFont="1" applyFill="1"/>
    <xf numFmtId="0" fontId="3" fillId="6" borderId="0" xfId="0" applyFont="1" applyFill="1"/>
    <xf numFmtId="3" fontId="3" fillId="8" borderId="12" xfId="0" applyNumberFormat="1" applyFont="1" applyFill="1" applyBorder="1"/>
    <xf numFmtId="49" fontId="3" fillId="0" borderId="91" xfId="0" applyNumberFormat="1" applyFont="1" applyBorder="1" applyAlignment="1">
      <alignment horizontal="center"/>
    </xf>
    <xf numFmtId="2" fontId="0" fillId="0" borderId="0" xfId="0" applyNumberFormat="1"/>
    <xf numFmtId="0" fontId="4" fillId="0" borderId="0" xfId="0" quotePrefix="1" applyFont="1" applyFill="1"/>
    <xf numFmtId="9" fontId="0" fillId="0" borderId="2" xfId="2" applyFont="1" applyBorder="1"/>
    <xf numFmtId="0" fontId="0" fillId="0" borderId="6" xfId="0" quotePrefix="1" applyBorder="1"/>
    <xf numFmtId="0" fontId="0" fillId="0" borderId="11" xfId="0" quotePrefix="1" applyBorder="1"/>
    <xf numFmtId="0" fontId="0" fillId="0" borderId="0" xfId="0" applyFont="1" applyFill="1" applyBorder="1"/>
    <xf numFmtId="2" fontId="3" fillId="0" borderId="85" xfId="0" applyNumberFormat="1" applyFont="1" applyFill="1" applyBorder="1"/>
    <xf numFmtId="3" fontId="4" fillId="14" borderId="71" xfId="0" applyNumberFormat="1" applyFont="1" applyFill="1" applyBorder="1"/>
    <xf numFmtId="0" fontId="3" fillId="14" borderId="73" xfId="0" applyFont="1" applyFill="1" applyBorder="1" applyAlignment="1">
      <alignment horizontal="center"/>
    </xf>
    <xf numFmtId="20" fontId="3" fillId="14" borderId="70" xfId="0" applyNumberFormat="1" applyFont="1" applyFill="1" applyBorder="1"/>
    <xf numFmtId="3" fontId="3" fillId="14" borderId="71" xfId="0" applyNumberFormat="1" applyFont="1" applyFill="1" applyBorder="1"/>
    <xf numFmtId="3" fontId="3" fillId="14" borderId="72" xfId="0" applyNumberFormat="1" applyFont="1" applyFill="1" applyBorder="1"/>
    <xf numFmtId="10" fontId="3" fillId="14" borderId="72" xfId="2" applyNumberFormat="1" applyFont="1" applyFill="1" applyBorder="1"/>
    <xf numFmtId="3" fontId="3" fillId="14" borderId="71" xfId="2" applyNumberFormat="1" applyFont="1" applyFill="1" applyBorder="1"/>
    <xf numFmtId="3" fontId="3" fillId="14" borderId="70" xfId="2" applyNumberFormat="1" applyFont="1" applyFill="1" applyBorder="1"/>
    <xf numFmtId="0" fontId="3" fillId="14" borderId="71" xfId="0" applyFont="1" applyFill="1" applyBorder="1" applyAlignment="1">
      <alignment horizontal="center"/>
    </xf>
    <xf numFmtId="3" fontId="3" fillId="14" borderId="70" xfId="0" applyNumberFormat="1" applyFont="1" applyFill="1" applyBorder="1"/>
    <xf numFmtId="0" fontId="3" fillId="14" borderId="71" xfId="0" applyFont="1" applyFill="1" applyBorder="1"/>
    <xf numFmtId="0" fontId="3" fillId="14" borderId="76" xfId="0" applyFont="1" applyFill="1" applyBorder="1"/>
    <xf numFmtId="9" fontId="3" fillId="14" borderId="71" xfId="2" applyFont="1" applyFill="1" applyBorder="1"/>
    <xf numFmtId="10" fontId="3" fillId="14" borderId="70" xfId="2" applyNumberFormat="1" applyFont="1" applyFill="1" applyBorder="1"/>
    <xf numFmtId="0" fontId="3" fillId="14" borderId="72" xfId="0" applyFont="1" applyFill="1" applyBorder="1"/>
    <xf numFmtId="20" fontId="3" fillId="14" borderId="72" xfId="0" applyNumberFormat="1" applyFont="1" applyFill="1" applyBorder="1"/>
    <xf numFmtId="3" fontId="3" fillId="14" borderId="74" xfId="0" applyNumberFormat="1" applyFont="1" applyFill="1" applyBorder="1"/>
    <xf numFmtId="4" fontId="3" fillId="14" borderId="70" xfId="0" applyNumberFormat="1" applyFont="1" applyFill="1" applyBorder="1"/>
    <xf numFmtId="9" fontId="3" fillId="14" borderId="71" xfId="0" applyNumberFormat="1" applyFont="1" applyFill="1" applyBorder="1"/>
    <xf numFmtId="10" fontId="3" fillId="14" borderId="72" xfId="0" applyNumberFormat="1" applyFont="1" applyFill="1" applyBorder="1"/>
    <xf numFmtId="9" fontId="3" fillId="14" borderId="72" xfId="0" applyNumberFormat="1" applyFont="1" applyFill="1" applyBorder="1"/>
    <xf numFmtId="9" fontId="3" fillId="14" borderId="70" xfId="0" applyNumberFormat="1" applyFont="1" applyFill="1" applyBorder="1"/>
    <xf numFmtId="3" fontId="0" fillId="14" borderId="72" xfId="0" applyNumberFormat="1" applyFill="1" applyBorder="1"/>
    <xf numFmtId="0" fontId="3" fillId="14" borderId="78" xfId="0" applyFont="1" applyFill="1" applyBorder="1"/>
    <xf numFmtId="3" fontId="3" fillId="14" borderId="75" xfId="0" applyNumberFormat="1" applyFont="1" applyFill="1" applyBorder="1"/>
    <xf numFmtId="20" fontId="3" fillId="14" borderId="74" xfId="0" applyNumberFormat="1" applyFont="1" applyFill="1" applyBorder="1"/>
    <xf numFmtId="0" fontId="3" fillId="14" borderId="72" xfId="0" applyFont="1" applyFill="1" applyBorder="1" applyAlignment="1">
      <alignment horizontal="right"/>
    </xf>
    <xf numFmtId="0" fontId="3" fillId="14" borderId="70" xfId="0" applyFont="1" applyFill="1" applyBorder="1" applyAlignment="1">
      <alignment horizontal="right"/>
    </xf>
    <xf numFmtId="0" fontId="3" fillId="14" borderId="69" xfId="0" applyFont="1" applyFill="1" applyBorder="1"/>
    <xf numFmtId="0" fontId="0" fillId="14" borderId="76" xfId="0" applyFill="1" applyBorder="1"/>
    <xf numFmtId="0" fontId="3" fillId="14" borderId="75" xfId="0" applyFont="1" applyFill="1" applyBorder="1"/>
    <xf numFmtId="10" fontId="3" fillId="14" borderId="76" xfId="2" applyNumberFormat="1" applyFont="1" applyFill="1" applyBorder="1"/>
    <xf numFmtId="10" fontId="3" fillId="14" borderId="71" xfId="2" applyNumberFormat="1" applyFont="1" applyFill="1" applyBorder="1"/>
    <xf numFmtId="0" fontId="3" fillId="14" borderId="70" xfId="0" applyFont="1" applyFill="1" applyBorder="1"/>
    <xf numFmtId="0" fontId="3" fillId="14" borderId="77" xfId="0" applyFont="1" applyFill="1" applyBorder="1"/>
    <xf numFmtId="0" fontId="3" fillId="14" borderId="73" xfId="0" applyFont="1" applyFill="1" applyBorder="1"/>
    <xf numFmtId="0" fontId="0" fillId="14" borderId="71" xfId="0" applyFill="1" applyBorder="1"/>
    <xf numFmtId="0" fontId="3" fillId="14" borderId="74" xfId="0" applyFont="1" applyFill="1" applyBorder="1"/>
    <xf numFmtId="20" fontId="3" fillId="14" borderId="71" xfId="0" applyNumberFormat="1" applyFont="1" applyFill="1" applyBorder="1"/>
    <xf numFmtId="0" fontId="3" fillId="14" borderId="70" xfId="0" applyFont="1" applyFill="1" applyBorder="1" applyAlignment="1">
      <alignment horizontal="center"/>
    </xf>
    <xf numFmtId="10" fontId="3" fillId="14" borderId="70" xfId="0" applyNumberFormat="1" applyFont="1" applyFill="1" applyBorder="1"/>
    <xf numFmtId="3" fontId="3" fillId="14" borderId="76" xfId="0" applyNumberFormat="1" applyFont="1" applyFill="1" applyBorder="1"/>
    <xf numFmtId="1" fontId="3" fillId="14" borderId="71" xfId="0" applyNumberFormat="1" applyFont="1" applyFill="1" applyBorder="1"/>
    <xf numFmtId="1" fontId="3" fillId="14" borderId="72" xfId="0" applyNumberFormat="1" applyFont="1" applyFill="1" applyBorder="1"/>
    <xf numFmtId="10" fontId="3" fillId="14" borderId="72" xfId="0" applyNumberFormat="1" applyFont="1" applyFill="1" applyBorder="1" applyAlignment="1">
      <alignment horizontal="right"/>
    </xf>
    <xf numFmtId="172" fontId="3" fillId="14" borderId="72" xfId="1" applyNumberFormat="1" applyFont="1" applyFill="1" applyBorder="1"/>
    <xf numFmtId="1" fontId="3" fillId="14" borderId="70" xfId="0" applyNumberFormat="1" applyFont="1" applyFill="1" applyBorder="1"/>
    <xf numFmtId="9" fontId="3" fillId="14" borderId="78" xfId="0" applyNumberFormat="1" applyFont="1" applyFill="1" applyBorder="1"/>
    <xf numFmtId="9" fontId="3" fillId="14" borderId="74" xfId="2" applyFont="1" applyFill="1" applyBorder="1"/>
    <xf numFmtId="0" fontId="3" fillId="14" borderId="72" xfId="0" applyFont="1" applyFill="1" applyBorder="1" applyAlignment="1">
      <alignment horizontal="center"/>
    </xf>
    <xf numFmtId="3" fontId="3" fillId="14" borderId="76" xfId="0" applyNumberFormat="1" applyFont="1" applyFill="1" applyBorder="1" applyAlignment="1">
      <alignment horizontal="center"/>
    </xf>
    <xf numFmtId="3" fontId="3" fillId="14" borderId="77" xfId="0" applyNumberFormat="1" applyFont="1" applyFill="1" applyBorder="1"/>
    <xf numFmtId="10" fontId="3" fillId="14" borderId="71" xfId="0" applyNumberFormat="1" applyFont="1" applyFill="1" applyBorder="1"/>
    <xf numFmtId="2" fontId="3" fillId="14" borderId="71" xfId="0" applyNumberFormat="1" applyFont="1" applyFill="1" applyBorder="1"/>
    <xf numFmtId="2" fontId="3" fillId="14" borderId="72" xfId="0" applyNumberFormat="1" applyFont="1" applyFill="1" applyBorder="1"/>
    <xf numFmtId="2" fontId="3" fillId="14" borderId="76" xfId="0" applyNumberFormat="1" applyFont="1" applyFill="1" applyBorder="1"/>
    <xf numFmtId="2" fontId="3" fillId="14" borderId="70" xfId="0" applyNumberFormat="1" applyFont="1" applyFill="1" applyBorder="1"/>
    <xf numFmtId="4" fontId="3" fillId="14" borderId="72" xfId="0" applyNumberFormat="1" applyFont="1" applyFill="1" applyBorder="1"/>
    <xf numFmtId="169" fontId="3" fillId="14" borderId="71" xfId="0" applyNumberFormat="1" applyFont="1" applyFill="1" applyBorder="1"/>
    <xf numFmtId="169" fontId="3" fillId="14" borderId="70" xfId="0" applyNumberFormat="1" applyFont="1" applyFill="1" applyBorder="1"/>
    <xf numFmtId="10" fontId="3" fillId="14" borderId="76" xfId="0" applyNumberFormat="1" applyFont="1" applyFill="1" applyBorder="1"/>
    <xf numFmtId="0" fontId="3" fillId="14" borderId="69" xfId="0" applyFont="1" applyFill="1" applyBorder="1" applyAlignment="1">
      <alignment horizontal="center"/>
    </xf>
    <xf numFmtId="0" fontId="3" fillId="14" borderId="76" xfId="0" applyFont="1" applyFill="1" applyBorder="1" applyAlignment="1">
      <alignment horizontal="center"/>
    </xf>
    <xf numFmtId="0" fontId="3" fillId="14" borderId="77" xfId="0" applyFont="1" applyFill="1" applyBorder="1" applyAlignment="1">
      <alignment horizontal="center"/>
    </xf>
    <xf numFmtId="0" fontId="0" fillId="14" borderId="70" xfId="0" applyFill="1" applyBorder="1"/>
    <xf numFmtId="3" fontId="3" fillId="14" borderId="72" xfId="0" applyNumberFormat="1" applyFont="1" applyFill="1" applyBorder="1" applyAlignment="1"/>
    <xf numFmtId="0" fontId="0" fillId="14" borderId="72" xfId="0" applyFill="1" applyBorder="1"/>
    <xf numFmtId="0" fontId="3" fillId="14" borderId="76" xfId="2" applyNumberFormat="1" applyFont="1" applyFill="1" applyBorder="1" applyAlignment="1">
      <alignment horizontal="center"/>
    </xf>
    <xf numFmtId="20" fontId="3" fillId="14" borderId="72" xfId="2" applyNumberFormat="1" applyFont="1" applyFill="1" applyBorder="1"/>
    <xf numFmtId="3" fontId="3" fillId="14" borderId="71" xfId="0" applyNumberFormat="1" applyFont="1" applyFill="1" applyBorder="1" applyAlignment="1">
      <alignment horizontal="center"/>
    </xf>
    <xf numFmtId="49" fontId="3" fillId="14" borderId="74" xfId="0" applyNumberFormat="1" applyFont="1" applyFill="1" applyBorder="1"/>
    <xf numFmtId="49" fontId="3" fillId="14" borderId="72" xfId="0" applyNumberFormat="1" applyFont="1" applyFill="1" applyBorder="1"/>
    <xf numFmtId="49" fontId="0" fillId="14" borderId="74" xfId="0" applyNumberFormat="1" applyFill="1" applyBorder="1"/>
    <xf numFmtId="49" fontId="3" fillId="14" borderId="75" xfId="0" applyNumberFormat="1" applyFont="1" applyFill="1" applyBorder="1"/>
    <xf numFmtId="3" fontId="0" fillId="14" borderId="71" xfId="0" applyNumberFormat="1" applyFill="1" applyBorder="1"/>
    <xf numFmtId="20" fontId="3" fillId="14" borderId="70" xfId="0" applyNumberFormat="1" applyFont="1" applyFill="1" applyBorder="1" applyAlignment="1">
      <alignment horizontal="right"/>
    </xf>
    <xf numFmtId="18" fontId="3" fillId="14" borderId="70" xfId="0" applyNumberFormat="1" applyFont="1" applyFill="1" applyBorder="1" applyAlignment="1">
      <alignment horizontal="right"/>
    </xf>
    <xf numFmtId="170" fontId="3" fillId="14" borderId="71" xfId="0" applyNumberFormat="1" applyFont="1" applyFill="1" applyBorder="1"/>
    <xf numFmtId="170" fontId="3" fillId="14" borderId="76" xfId="0" applyNumberFormat="1" applyFont="1" applyFill="1" applyBorder="1"/>
    <xf numFmtId="49" fontId="0" fillId="0" borderId="91" xfId="0" applyNumberFormat="1" applyBorder="1" applyAlignment="1">
      <alignment horizontal="center"/>
    </xf>
    <xf numFmtId="0" fontId="0" fillId="0" borderId="3" xfId="0" applyBorder="1"/>
    <xf numFmtId="0" fontId="0" fillId="0" borderId="0" xfId="0" applyAlignment="1"/>
    <xf numFmtId="0" fontId="4" fillId="0" borderId="0" xfId="0" applyFont="1" applyAlignment="1">
      <alignment horizontal="center"/>
    </xf>
    <xf numFmtId="0" fontId="0" fillId="0" borderId="3" xfId="0" applyBorder="1"/>
    <xf numFmtId="0" fontId="4" fillId="0" borderId="0" xfId="0" applyFont="1" applyBorder="1" applyAlignment="1">
      <alignment horizontal="center"/>
    </xf>
    <xf numFmtId="3" fontId="0" fillId="0" borderId="0" xfId="0" applyNumberFormat="1" applyBorder="1" applyAlignment="1">
      <alignment horizontal="center"/>
    </xf>
    <xf numFmtId="0" fontId="0" fillId="0" borderId="0" xfId="0" applyFill="1" applyBorder="1" applyAlignment="1">
      <alignment vertical="top" wrapText="1"/>
    </xf>
    <xf numFmtId="49" fontId="3" fillId="10" borderId="98" xfId="0" applyNumberFormat="1" applyFont="1" applyFill="1" applyBorder="1" applyAlignment="1">
      <alignment horizontal="center"/>
    </xf>
    <xf numFmtId="3" fontId="0" fillId="12" borderId="2" xfId="0" applyNumberFormat="1" applyFill="1" applyBorder="1"/>
    <xf numFmtId="0" fontId="4" fillId="12" borderId="2" xfId="0" applyFont="1" applyFill="1" applyBorder="1"/>
    <xf numFmtId="14" fontId="0" fillId="12" borderId="0" xfId="0" applyNumberFormat="1" applyFill="1" applyBorder="1"/>
    <xf numFmtId="0" fontId="0" fillId="12" borderId="0" xfId="0" applyFill="1" applyBorder="1" applyAlignment="1">
      <alignment shrinkToFit="1"/>
    </xf>
    <xf numFmtId="0" fontId="3" fillId="0" borderId="79" xfId="0" applyFont="1" applyFill="1" applyBorder="1"/>
    <xf numFmtId="0" fontId="0" fillId="12" borderId="0" xfId="0" applyFill="1" applyBorder="1" applyAlignment="1">
      <alignment vertical="top" wrapText="1"/>
    </xf>
    <xf numFmtId="165" fontId="3" fillId="12" borderId="6" xfId="0" applyNumberFormat="1" applyFont="1" applyFill="1" applyBorder="1" applyProtection="1">
      <protection hidden="1"/>
    </xf>
    <xf numFmtId="165" fontId="3" fillId="12" borderId="11" xfId="0" applyNumberFormat="1" applyFont="1" applyFill="1" applyBorder="1" applyProtection="1">
      <protection hidden="1"/>
    </xf>
    <xf numFmtId="9" fontId="3" fillId="0" borderId="12" xfId="2" applyFont="1" applyBorder="1" applyProtection="1">
      <protection hidden="1"/>
    </xf>
    <xf numFmtId="0" fontId="4" fillId="0" borderId="1" xfId="0" applyFont="1" applyFill="1" applyBorder="1"/>
    <xf numFmtId="0" fontId="0" fillId="0" borderId="110" xfId="0" applyBorder="1" applyAlignment="1">
      <alignment horizontal="center"/>
    </xf>
    <xf numFmtId="9" fontId="0" fillId="0" borderId="30" xfId="0" applyNumberFormat="1" applyBorder="1"/>
    <xf numFmtId="0" fontId="0" fillId="10" borderId="44" xfId="0" applyFill="1" applyBorder="1" applyAlignment="1">
      <alignment horizontal="center"/>
    </xf>
    <xf numFmtId="0" fontId="0" fillId="10" borderId="31" xfId="0" applyFill="1" applyBorder="1" applyAlignment="1">
      <alignment horizontal="center"/>
    </xf>
    <xf numFmtId="0" fontId="0" fillId="10" borderId="29" xfId="0" applyFill="1" applyBorder="1" applyAlignment="1">
      <alignment horizontal="center"/>
    </xf>
    <xf numFmtId="0" fontId="0" fillId="10" borderId="33" xfId="0" applyFill="1" applyBorder="1" applyAlignment="1">
      <alignment horizontal="center"/>
    </xf>
    <xf numFmtId="0" fontId="0" fillId="0" borderId="29" xfId="0" applyBorder="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28" xfId="0" applyFill="1" applyBorder="1" applyAlignment="1">
      <alignment horizontal="center"/>
    </xf>
    <xf numFmtId="0" fontId="0" fillId="10" borderId="110" xfId="0" applyFill="1" applyBorder="1"/>
    <xf numFmtId="3" fontId="0" fillId="0" borderId="28" xfId="0" applyNumberFormat="1" applyBorder="1" applyAlignment="1"/>
    <xf numFmtId="3" fontId="0" fillId="0" borderId="31" xfId="0" applyNumberFormat="1" applyBorder="1"/>
    <xf numFmtId="3" fontId="0" fillId="0" borderId="30" xfId="0" applyNumberFormat="1" applyBorder="1"/>
    <xf numFmtId="0" fontId="0" fillId="0" borderId="110" xfId="0" applyBorder="1"/>
    <xf numFmtId="3" fontId="0" fillId="0" borderId="29" xfId="0" applyNumberFormat="1" applyBorder="1" applyAlignment="1">
      <alignment horizontal="center"/>
    </xf>
    <xf numFmtId="0" fontId="0" fillId="0" borderId="33" xfId="0" applyBorder="1"/>
    <xf numFmtId="49" fontId="0" fillId="10" borderId="28" xfId="0" applyNumberFormat="1" applyFill="1" applyBorder="1"/>
    <xf numFmtId="49" fontId="0" fillId="10" borderId="41" xfId="0" applyNumberFormat="1" applyFill="1" applyBorder="1"/>
    <xf numFmtId="10" fontId="0" fillId="0" borderId="29" xfId="0" applyNumberFormat="1" applyBorder="1"/>
    <xf numFmtId="10" fontId="0" fillId="0" borderId="28" xfId="0" applyNumberFormat="1" applyBorder="1"/>
    <xf numFmtId="10" fontId="0" fillId="0" borderId="30" xfId="0" applyNumberFormat="1" applyBorder="1"/>
    <xf numFmtId="20" fontId="0" fillId="0" borderId="30" xfId="0" applyNumberFormat="1" applyBorder="1" applyAlignment="1">
      <alignment horizontal="right"/>
    </xf>
    <xf numFmtId="18" fontId="0" fillId="0" borderId="30" xfId="0" applyNumberFormat="1" applyBorder="1" applyAlignment="1">
      <alignment horizontal="right"/>
    </xf>
    <xf numFmtId="170" fontId="0" fillId="0" borderId="31" xfId="0" applyNumberFormat="1" applyBorder="1"/>
    <xf numFmtId="0" fontId="0" fillId="0" borderId="111" xfId="0" applyBorder="1"/>
    <xf numFmtId="0" fontId="0" fillId="2" borderId="29" xfId="0" applyFill="1" applyBorder="1"/>
    <xf numFmtId="0" fontId="0" fillId="3" borderId="28" xfId="0" applyFill="1" applyBorder="1"/>
    <xf numFmtId="0" fontId="0" fillId="4" borderId="28" xfId="0" applyFill="1" applyBorder="1"/>
    <xf numFmtId="0" fontId="0" fillId="5" borderId="28" xfId="0" applyFill="1" applyBorder="1"/>
    <xf numFmtId="0" fontId="0" fillId="6" borderId="28" xfId="0" applyFill="1" applyBorder="1"/>
    <xf numFmtId="0" fontId="0" fillId="7" borderId="28" xfId="0" applyFill="1" applyBorder="1"/>
    <xf numFmtId="0" fontId="0" fillId="8" borderId="30" xfId="0" applyFill="1" applyBorder="1"/>
    <xf numFmtId="20" fontId="0" fillId="0" borderId="28" xfId="0" applyNumberFormat="1" applyBorder="1"/>
    <xf numFmtId="0" fontId="0" fillId="10" borderId="44" xfId="0" applyFill="1" applyBorder="1"/>
    <xf numFmtId="0" fontId="0" fillId="10" borderId="33" xfId="0" applyFill="1" applyBorder="1"/>
    <xf numFmtId="10" fontId="0" fillId="0" borderId="31" xfId="0" applyNumberFormat="1" applyBorder="1"/>
    <xf numFmtId="0" fontId="3" fillId="0" borderId="111" xfId="0" applyFont="1" applyBorder="1" applyAlignment="1">
      <alignment horizontal="center"/>
    </xf>
    <xf numFmtId="1" fontId="0" fillId="0" borderId="29" xfId="0" applyNumberFormat="1" applyBorder="1"/>
    <xf numFmtId="1" fontId="0" fillId="0" borderId="30" xfId="0" applyNumberFormat="1" applyBorder="1"/>
    <xf numFmtId="9" fontId="0" fillId="10" borderId="49" xfId="0" applyNumberFormat="1" applyFill="1" applyBorder="1"/>
    <xf numFmtId="9" fontId="0" fillId="0" borderId="32" xfId="2" applyFont="1" applyBorder="1"/>
    <xf numFmtId="10" fontId="0" fillId="0" borderId="31" xfId="2" applyNumberFormat="1" applyFont="1" applyBorder="1"/>
    <xf numFmtId="3" fontId="0" fillId="0" borderId="31" xfId="0" applyNumberFormat="1" applyBorder="1" applyAlignment="1">
      <alignment horizontal="center"/>
    </xf>
    <xf numFmtId="3" fontId="0" fillId="0" borderId="33" xfId="0" applyNumberFormat="1" applyBorder="1"/>
    <xf numFmtId="10" fontId="0" fillId="0" borderId="29" xfId="0" applyNumberFormat="1" applyFill="1" applyBorder="1"/>
    <xf numFmtId="10" fontId="0" fillId="0" borderId="28" xfId="0" applyNumberFormat="1" applyFill="1" applyBorder="1"/>
    <xf numFmtId="2" fontId="0" fillId="0" borderId="29" xfId="0" applyNumberFormat="1" applyFill="1" applyBorder="1"/>
    <xf numFmtId="2" fontId="0" fillId="0" borderId="28" xfId="0" applyNumberFormat="1" applyFill="1" applyBorder="1"/>
    <xf numFmtId="2" fontId="0" fillId="0" borderId="31" xfId="0" applyNumberFormat="1" applyFill="1" applyBorder="1"/>
    <xf numFmtId="2" fontId="0" fillId="0" borderId="30" xfId="0" applyNumberFormat="1" applyFill="1" applyBorder="1"/>
    <xf numFmtId="3" fontId="0" fillId="0" borderId="28" xfId="0" applyNumberFormat="1" applyFill="1" applyBorder="1"/>
    <xf numFmtId="0" fontId="0" fillId="0" borderId="30" xfId="0" applyFill="1" applyBorder="1"/>
    <xf numFmtId="4" fontId="0" fillId="0" borderId="28" xfId="0" applyNumberFormat="1" applyBorder="1"/>
    <xf numFmtId="169" fontId="0" fillId="0" borderId="29" xfId="0" applyNumberFormat="1" applyBorder="1"/>
    <xf numFmtId="0" fontId="4" fillId="0" borderId="0" xfId="0" applyFont="1" applyAlignment="1">
      <alignment horizontal="center"/>
    </xf>
    <xf numFmtId="0" fontId="4" fillId="0" borderId="0" xfId="0" applyFont="1" applyAlignment="1"/>
    <xf numFmtId="49" fontId="0" fillId="0" borderId="91" xfId="0" applyNumberFormat="1" applyBorder="1" applyAlignment="1">
      <alignment horizontal="center"/>
    </xf>
    <xf numFmtId="0" fontId="0" fillId="0" borderId="0" xfId="0" quotePrefix="1" applyAlignment="1">
      <alignment horizontal="left"/>
    </xf>
    <xf numFmtId="0" fontId="0" fillId="0" borderId="3" xfId="0" applyBorder="1"/>
    <xf numFmtId="0" fontId="2" fillId="0" borderId="0" xfId="0" applyFont="1"/>
    <xf numFmtId="49" fontId="2" fillId="0" borderId="91" xfId="0" applyNumberFormat="1" applyFont="1" applyBorder="1" applyAlignment="1">
      <alignment horizontal="center"/>
    </xf>
    <xf numFmtId="0" fontId="4" fillId="0" borderId="39" xfId="0" applyFont="1" applyBorder="1" applyAlignment="1">
      <alignment horizontal="center"/>
    </xf>
    <xf numFmtId="0" fontId="2" fillId="0" borderId="36" xfId="0" applyFont="1" applyBorder="1"/>
    <xf numFmtId="0" fontId="2" fillId="0" borderId="0" xfId="0" applyFont="1" applyAlignment="1"/>
    <xf numFmtId="0" fontId="0" fillId="0" borderId="0" xfId="0" applyFont="1" applyAlignment="1"/>
    <xf numFmtId="9" fontId="2" fillId="0" borderId="0" xfId="0" applyNumberFormat="1" applyFont="1"/>
    <xf numFmtId="1" fontId="0" fillId="0" borderId="3" xfId="2" applyNumberFormat="1" applyFont="1" applyBorder="1"/>
    <xf numFmtId="0" fontId="4" fillId="0" borderId="0" xfId="4" applyFont="1" applyAlignment="1">
      <alignment horizontal="center"/>
    </xf>
    <xf numFmtId="49" fontId="2" fillId="0" borderId="91" xfId="4" applyNumberFormat="1" applyBorder="1" applyAlignment="1">
      <alignment horizontal="center"/>
    </xf>
    <xf numFmtId="0" fontId="4" fillId="0" borderId="0" xfId="4" applyFont="1" applyAlignment="1">
      <alignment horizontal="center"/>
    </xf>
    <xf numFmtId="49" fontId="2" fillId="0" borderId="91" xfId="4" applyNumberFormat="1" applyBorder="1" applyAlignment="1">
      <alignment horizontal="center"/>
    </xf>
    <xf numFmtId="0" fontId="4" fillId="0" borderId="0" xfId="4" applyFont="1" applyAlignment="1">
      <alignment horizontal="center"/>
    </xf>
    <xf numFmtId="49" fontId="2" fillId="0" borderId="91" xfId="4" applyNumberFormat="1" applyBorder="1" applyAlignment="1">
      <alignment horizontal="center"/>
    </xf>
    <xf numFmtId="0" fontId="29" fillId="0" borderId="0" xfId="4" applyFont="1"/>
    <xf numFmtId="1" fontId="29" fillId="0" borderId="0" xfId="4" applyNumberFormat="1" applyFont="1"/>
    <xf numFmtId="0" fontId="29" fillId="0" borderId="0" xfId="4" applyFont="1" applyFill="1"/>
    <xf numFmtId="1" fontId="29" fillId="0" borderId="0" xfId="4" applyNumberFormat="1" applyFont="1" applyFill="1"/>
    <xf numFmtId="0" fontId="29" fillId="0" borderId="0" xfId="3" applyFont="1" applyFill="1"/>
    <xf numFmtId="0" fontId="29" fillId="0" borderId="0" xfId="3" applyFont="1"/>
    <xf numFmtId="0" fontId="4" fillId="0" borderId="0" xfId="4" applyFont="1" applyAlignment="1">
      <alignment horizontal="center"/>
    </xf>
    <xf numFmtId="49" fontId="2" fillId="0" borderId="91" xfId="4" applyNumberFormat="1" applyBorder="1" applyAlignment="1">
      <alignment horizontal="center"/>
    </xf>
    <xf numFmtId="0" fontId="2" fillId="0" borderId="96" xfId="0" applyNumberFormat="1" applyFont="1" applyBorder="1" applyAlignment="1">
      <alignment horizontal="center"/>
    </xf>
    <xf numFmtId="0" fontId="2" fillId="0" borderId="91" xfId="0" applyNumberFormat="1" applyFont="1" applyBorder="1" applyAlignment="1">
      <alignment horizontal="center"/>
    </xf>
    <xf numFmtId="0" fontId="4" fillId="0" borderId="0" xfId="0" applyNumberFormat="1" applyFont="1" applyAlignment="1">
      <alignment horizontal="center"/>
    </xf>
    <xf numFmtId="0" fontId="3" fillId="0" borderId="3" xfId="0" applyNumberFormat="1" applyFont="1" applyBorder="1"/>
    <xf numFmtId="0" fontId="3" fillId="0" borderId="2" xfId="0" applyNumberFormat="1" applyFont="1" applyBorder="1"/>
    <xf numFmtId="0" fontId="3" fillId="0" borderId="0" xfId="0" applyNumberFormat="1" applyFont="1" applyBorder="1"/>
    <xf numFmtId="0" fontId="0" fillId="0" borderId="0" xfId="0" applyNumberFormat="1" applyBorder="1"/>
    <xf numFmtId="0" fontId="3" fillId="0" borderId="1" xfId="0" applyNumberFormat="1" applyFont="1" applyBorder="1"/>
    <xf numFmtId="0" fontId="3" fillId="14" borderId="72" xfId="0" applyNumberFormat="1" applyFont="1" applyFill="1" applyBorder="1"/>
    <xf numFmtId="0" fontId="0" fillId="0" borderId="1" xfId="0" applyNumberFormat="1" applyBorder="1"/>
    <xf numFmtId="0" fontId="0" fillId="0" borderId="2" xfId="0" applyNumberFormat="1" applyBorder="1"/>
    <xf numFmtId="0" fontId="0" fillId="0" borderId="15" xfId="0" applyNumberFormat="1" applyBorder="1"/>
    <xf numFmtId="0" fontId="0" fillId="0" borderId="28" xfId="0" applyNumberFormat="1" applyBorder="1"/>
    <xf numFmtId="0" fontId="3" fillId="0" borderId="28" xfId="0" applyNumberFormat="1" applyFont="1" applyBorder="1"/>
    <xf numFmtId="0" fontId="2" fillId="0" borderId="0" xfId="0" applyFont="1" applyFill="1" applyBorder="1"/>
    <xf numFmtId="0" fontId="2" fillId="0" borderId="9" xfId="0" applyFont="1" applyBorder="1"/>
    <xf numFmtId="0" fontId="0" fillId="0" borderId="0" xfId="0" applyFill="1" applyBorder="1" applyAlignment="1">
      <alignment horizontal="right"/>
    </xf>
    <xf numFmtId="0" fontId="29" fillId="0" borderId="0" xfId="0" applyFont="1"/>
    <xf numFmtId="0" fontId="29" fillId="0" borderId="0" xfId="0" applyFont="1" applyBorder="1"/>
    <xf numFmtId="0" fontId="29" fillId="0" borderId="0" xfId="0" applyNumberFormat="1" applyFont="1"/>
    <xf numFmtId="0" fontId="29" fillId="0" borderId="0" xfId="0" applyFont="1" applyFill="1" applyBorder="1"/>
    <xf numFmtId="0" fontId="29" fillId="0" borderId="0" xfId="0" applyFont="1" applyFill="1"/>
    <xf numFmtId="0" fontId="29" fillId="0" borderId="0" xfId="0" applyNumberFormat="1" applyFont="1" applyFill="1"/>
    <xf numFmtId="0" fontId="12" fillId="0" borderId="0" xfId="0" applyFont="1" applyFill="1"/>
    <xf numFmtId="0" fontId="2" fillId="0" borderId="0" xfId="0" applyFont="1" applyFill="1"/>
    <xf numFmtId="0" fontId="29" fillId="0" borderId="0" xfId="0" applyNumberFormat="1" applyFont="1" applyFill="1" applyAlignment="1">
      <alignment horizontal="right"/>
    </xf>
    <xf numFmtId="0" fontId="29" fillId="0" borderId="0" xfId="0" applyNumberFormat="1" applyFont="1" applyFill="1" applyAlignment="1">
      <alignment horizontal="left"/>
    </xf>
    <xf numFmtId="0" fontId="29" fillId="0" borderId="0" xfId="0" applyNumberFormat="1" applyFont="1" applyFill="1" applyAlignment="1"/>
    <xf numFmtId="0" fontId="2" fillId="12" borderId="0" xfId="0" applyFont="1" applyFill="1" applyAlignment="1">
      <alignment wrapText="1"/>
    </xf>
    <xf numFmtId="0" fontId="3" fillId="12" borderId="0" xfId="0" applyFont="1" applyFill="1" applyAlignment="1">
      <alignment vertical="top" wrapText="1"/>
    </xf>
    <xf numFmtId="0" fontId="0" fillId="0" borderId="0" xfId="0" applyAlignment="1"/>
    <xf numFmtId="0" fontId="16" fillId="12" borderId="108" xfId="0" applyFont="1" applyFill="1" applyBorder="1" applyAlignment="1"/>
    <xf numFmtId="0" fontId="0" fillId="12" borderId="99" xfId="0" applyFill="1" applyBorder="1" applyAlignment="1"/>
    <xf numFmtId="0" fontId="0" fillId="12" borderId="109" xfId="0" applyFill="1" applyBorder="1" applyAlignment="1"/>
    <xf numFmtId="0" fontId="17" fillId="2" borderId="36" xfId="0" applyFont="1" applyFill="1" applyBorder="1" applyAlignment="1">
      <alignment horizontal="left" vertical="justify" wrapText="1"/>
    </xf>
    <xf numFmtId="0" fontId="0" fillId="2" borderId="0" xfId="0" applyFill="1" applyAlignment="1">
      <alignment horizontal="left" vertical="justify" wrapText="1"/>
    </xf>
    <xf numFmtId="0" fontId="0" fillId="2" borderId="39" xfId="0" applyFill="1" applyBorder="1" applyAlignment="1">
      <alignment horizontal="left" vertical="justify" wrapText="1"/>
    </xf>
    <xf numFmtId="0" fontId="0" fillId="2" borderId="36" xfId="0" applyFill="1" applyBorder="1" applyAlignment="1">
      <alignment horizontal="left" vertical="justify" wrapText="1"/>
    </xf>
    <xf numFmtId="0" fontId="0" fillId="2" borderId="90" xfId="0" applyFill="1" applyBorder="1" applyAlignment="1">
      <alignment horizontal="left" vertical="justify" wrapText="1"/>
    </xf>
    <xf numFmtId="0" fontId="0" fillId="2" borderId="91" xfId="0" applyFill="1" applyBorder="1" applyAlignment="1">
      <alignment horizontal="left" vertical="justify" wrapText="1"/>
    </xf>
    <xf numFmtId="0" fontId="0" fillId="2" borderId="96" xfId="0" applyFill="1" applyBorder="1" applyAlignment="1">
      <alignment horizontal="left" vertical="justify" wrapText="1"/>
    </xf>
    <xf numFmtId="0" fontId="28" fillId="0" borderId="61" xfId="0" applyFont="1" applyFill="1" applyBorder="1" applyAlignment="1">
      <alignment horizontal="center" vertical="center"/>
    </xf>
    <xf numFmtId="0" fontId="28" fillId="0" borderId="35" xfId="0" applyFont="1" applyFill="1" applyBorder="1" applyAlignment="1">
      <alignment horizontal="center" vertical="center"/>
    </xf>
    <xf numFmtId="0" fontId="28" fillId="0" borderId="62" xfId="0" applyFont="1" applyFill="1" applyBorder="1" applyAlignment="1">
      <alignment horizontal="center" vertical="center"/>
    </xf>
    <xf numFmtId="0" fontId="28" fillId="0" borderId="23" xfId="0" applyFont="1" applyFill="1" applyBorder="1" applyAlignment="1">
      <alignment horizontal="center" vertical="center"/>
    </xf>
    <xf numFmtId="0" fontId="28" fillId="0" borderId="0" xfId="0" applyFont="1" applyFill="1" applyBorder="1" applyAlignment="1">
      <alignment horizontal="center" vertical="center"/>
    </xf>
    <xf numFmtId="0" fontId="28" fillId="0" borderId="39" xfId="0" applyFont="1" applyFill="1" applyBorder="1" applyAlignment="1">
      <alignment horizontal="center" vertical="center"/>
    </xf>
    <xf numFmtId="0" fontId="28" fillId="0" borderId="95" xfId="0" applyFont="1" applyFill="1" applyBorder="1" applyAlignment="1">
      <alignment horizontal="center" vertical="center"/>
    </xf>
    <xf numFmtId="0" fontId="28" fillId="0" borderId="91" xfId="0" applyFont="1" applyFill="1" applyBorder="1" applyAlignment="1">
      <alignment horizontal="center" vertical="center"/>
    </xf>
    <xf numFmtId="0" fontId="28" fillId="0" borderId="96" xfId="0" applyFont="1" applyFill="1" applyBorder="1" applyAlignment="1">
      <alignment horizontal="center" vertical="center"/>
    </xf>
    <xf numFmtId="0" fontId="4" fillId="0" borderId="4" xfId="0" applyFont="1" applyFill="1" applyBorder="1" applyAlignment="1"/>
    <xf numFmtId="0" fontId="0" fillId="0" borderId="5" xfId="0" applyFill="1" applyBorder="1" applyAlignment="1"/>
    <xf numFmtId="0" fontId="0" fillId="12" borderId="0" xfId="0" applyFill="1" applyBorder="1" applyAlignment="1">
      <alignment wrapText="1"/>
    </xf>
    <xf numFmtId="0" fontId="0" fillId="0" borderId="0" xfId="0" applyBorder="1" applyAlignment="1">
      <alignment wrapText="1"/>
    </xf>
    <xf numFmtId="0" fontId="0" fillId="0" borderId="0" xfId="0" applyBorder="1" applyAlignment="1"/>
    <xf numFmtId="0" fontId="5" fillId="12" borderId="3" xfId="0" applyFont="1" applyFill="1" applyBorder="1" applyAlignment="1"/>
    <xf numFmtId="0" fontId="0" fillId="0" borderId="3" xfId="0" applyBorder="1" applyAlignment="1"/>
    <xf numFmtId="0" fontId="0" fillId="12" borderId="0" xfId="0" applyFill="1" applyAlignment="1">
      <alignment vertical="top" wrapText="1"/>
    </xf>
    <xf numFmtId="0" fontId="0" fillId="0" borderId="0" xfId="0" applyAlignment="1">
      <alignment vertical="top" wrapText="1"/>
    </xf>
    <xf numFmtId="0" fontId="5" fillId="12" borderId="35" xfId="0" applyFont="1" applyFill="1" applyBorder="1" applyAlignment="1"/>
    <xf numFmtId="0" fontId="0" fillId="0" borderId="35" xfId="0" applyBorder="1" applyAlignment="1"/>
    <xf numFmtId="0" fontId="4" fillId="0" borderId="11" xfId="0" applyFont="1" applyBorder="1" applyAlignment="1">
      <alignment horizontal="center"/>
    </xf>
    <xf numFmtId="0" fontId="0" fillId="0" borderId="3" xfId="0" applyBorder="1" applyAlignment="1">
      <alignment horizontal="center"/>
    </xf>
    <xf numFmtId="0" fontId="0" fillId="0" borderId="12" xfId="0" applyBorder="1" applyAlignment="1">
      <alignment horizontal="center"/>
    </xf>
    <xf numFmtId="0" fontId="3" fillId="12" borderId="23" xfId="0" applyFont="1" applyFill="1" applyBorder="1" applyAlignment="1">
      <alignment vertical="center" wrapText="1"/>
    </xf>
    <xf numFmtId="0" fontId="0" fillId="12" borderId="0" xfId="0" applyFill="1" applyBorder="1" applyAlignment="1">
      <alignment vertical="center" wrapText="1"/>
    </xf>
    <xf numFmtId="0" fontId="0" fillId="12" borderId="39" xfId="0" applyFill="1" applyBorder="1" applyAlignment="1">
      <alignment vertical="center" wrapText="1"/>
    </xf>
    <xf numFmtId="0" fontId="0" fillId="12" borderId="23" xfId="0" applyFill="1" applyBorder="1" applyAlignment="1">
      <alignment vertical="center" wrapText="1"/>
    </xf>
    <xf numFmtId="0" fontId="0" fillId="12" borderId="23" xfId="0" applyFill="1" applyBorder="1" applyAlignment="1">
      <alignment vertical="center"/>
    </xf>
    <xf numFmtId="0" fontId="0" fillId="12" borderId="0" xfId="0" applyFill="1" applyBorder="1" applyAlignment="1">
      <alignment vertical="center"/>
    </xf>
    <xf numFmtId="0" fontId="0" fillId="12" borderId="39" xfId="0" applyFill="1" applyBorder="1" applyAlignment="1">
      <alignment vertical="center"/>
    </xf>
    <xf numFmtId="0" fontId="0" fillId="12" borderId="95" xfId="0" applyFill="1" applyBorder="1" applyAlignment="1">
      <alignment vertical="center"/>
    </xf>
    <xf numFmtId="0" fontId="0" fillId="12" borderId="91" xfId="0" applyFill="1" applyBorder="1" applyAlignment="1">
      <alignment vertical="center"/>
    </xf>
    <xf numFmtId="0" fontId="0" fillId="12" borderId="96" xfId="0" applyFill="1" applyBorder="1" applyAlignment="1">
      <alignment vertical="center"/>
    </xf>
    <xf numFmtId="0" fontId="0" fillId="12" borderId="0" xfId="0" applyFill="1" applyAlignment="1">
      <alignment wrapText="1"/>
    </xf>
    <xf numFmtId="0" fontId="0" fillId="0" borderId="0" xfId="0" applyAlignment="1">
      <alignment wrapText="1"/>
    </xf>
    <xf numFmtId="0" fontId="25" fillId="2" borderId="0" xfId="0" applyFont="1" applyFill="1" applyAlignment="1">
      <alignment horizontal="center"/>
    </xf>
    <xf numFmtId="0" fontId="25" fillId="2" borderId="39" xfId="0" applyFont="1" applyFill="1" applyBorder="1" applyAlignment="1">
      <alignment horizontal="center"/>
    </xf>
    <xf numFmtId="0" fontId="24" fillId="2" borderId="107" xfId="0" applyFont="1" applyFill="1" applyBorder="1" applyAlignment="1">
      <alignment horizontal="center" vertical="top"/>
    </xf>
    <xf numFmtId="0" fontId="24" fillId="2" borderId="35" xfId="0" applyFont="1" applyFill="1" applyBorder="1" applyAlignment="1">
      <alignment horizontal="center" vertical="top"/>
    </xf>
    <xf numFmtId="0" fontId="24" fillId="2" borderId="62" xfId="0" applyFont="1" applyFill="1" applyBorder="1" applyAlignment="1">
      <alignment horizontal="center" vertical="top"/>
    </xf>
    <xf numFmtId="0" fontId="11" fillId="0" borderId="0" xfId="0" applyFont="1" applyAlignment="1"/>
    <xf numFmtId="0" fontId="12" fillId="0" borderId="0" xfId="0" applyFont="1" applyAlignment="1"/>
    <xf numFmtId="10" fontId="3" fillId="0" borderId="2" xfId="2" applyNumberFormat="1" applyFont="1" applyBorder="1" applyAlignment="1">
      <alignment horizontal="center" vertical="center"/>
    </xf>
    <xf numFmtId="0" fontId="0" fillId="0" borderId="0" xfId="0" applyAlignment="1">
      <alignment horizontal="center" vertical="center"/>
    </xf>
    <xf numFmtId="10" fontId="0" fillId="0" borderId="2" xfId="2" applyNumberFormat="1" applyFont="1" applyBorder="1" applyAlignment="1">
      <alignment horizontal="center" vertical="center"/>
    </xf>
    <xf numFmtId="0" fontId="0" fillId="12" borderId="0" xfId="0" applyFill="1" applyBorder="1" applyAlignment="1"/>
    <xf numFmtId="0" fontId="4" fillId="0" borderId="0" xfId="0" applyFont="1" applyAlignment="1">
      <alignment horizontal="left"/>
    </xf>
    <xf numFmtId="0" fontId="4" fillId="0" borderId="0" xfId="0" applyFont="1" applyAlignment="1">
      <alignment horizontal="center"/>
    </xf>
    <xf numFmtId="0" fontId="0" fillId="0" borderId="0" xfId="0" applyAlignment="1">
      <alignment horizontal="center"/>
    </xf>
    <xf numFmtId="0" fontId="0" fillId="0" borderId="7" xfId="0" applyBorder="1" applyAlignment="1">
      <alignment horizontal="center"/>
    </xf>
    <xf numFmtId="0" fontId="4" fillId="0" borderId="0" xfId="0" applyFont="1" applyAlignment="1"/>
    <xf numFmtId="0" fontId="4" fillId="0" borderId="0" xfId="0" applyFont="1" applyFill="1" applyAlignment="1">
      <alignment horizontal="center"/>
    </xf>
    <xf numFmtId="0" fontId="4" fillId="0" borderId="0" xfId="0" applyFont="1" applyFill="1" applyAlignment="1"/>
    <xf numFmtId="0" fontId="4" fillId="0" borderId="0" xfId="0" applyFont="1" applyFill="1" applyAlignment="1">
      <alignment horizontal="left"/>
    </xf>
    <xf numFmtId="0" fontId="0" fillId="0" borderId="12" xfId="0" applyBorder="1" applyAlignment="1"/>
    <xf numFmtId="0" fontId="6" fillId="0" borderId="9" xfId="0" applyFont="1" applyBorder="1" applyAlignment="1">
      <alignment horizontal="center" wrapText="1"/>
    </xf>
    <xf numFmtId="0" fontId="6" fillId="0" borderId="6" xfId="0" applyFont="1" applyBorder="1" applyAlignment="1">
      <alignment horizontal="center" wrapText="1"/>
    </xf>
    <xf numFmtId="0" fontId="6" fillId="0" borderId="11" xfId="0" applyFont="1" applyBorder="1" applyAlignment="1">
      <alignment horizontal="center" wrapText="1"/>
    </xf>
    <xf numFmtId="0" fontId="6" fillId="0" borderId="10" xfId="0" quotePrefix="1" applyFont="1" applyBorder="1" applyAlignment="1">
      <alignment horizontal="center" vertical="center" wrapText="1"/>
    </xf>
    <xf numFmtId="0" fontId="6" fillId="0" borderId="7" xfId="0" quotePrefix="1" applyFont="1" applyBorder="1" applyAlignment="1">
      <alignment horizontal="center" vertical="center" wrapText="1"/>
    </xf>
    <xf numFmtId="0" fontId="6" fillId="0" borderId="12" xfId="0" quotePrefix="1" applyFont="1" applyBorder="1" applyAlignment="1">
      <alignment horizontal="center" vertical="center" wrapText="1"/>
    </xf>
    <xf numFmtId="0" fontId="3" fillId="0" borderId="2" xfId="0" applyFont="1" applyBorder="1" applyAlignment="1"/>
    <xf numFmtId="0" fontId="0" fillId="0" borderId="10" xfId="0" applyBorder="1" applyAlignment="1"/>
    <xf numFmtId="0" fontId="8" fillId="0" borderId="0" xfId="0" quotePrefix="1" applyFont="1" applyAlignment="1">
      <alignment horizontal="center"/>
    </xf>
    <xf numFmtId="49" fontId="0" fillId="0" borderId="91" xfId="0" applyNumberFormat="1" applyBorder="1" applyAlignment="1">
      <alignment horizontal="center"/>
    </xf>
    <xf numFmtId="49" fontId="4" fillId="0" borderId="6" xfId="0" applyNumberFormat="1" applyFont="1" applyBorder="1" applyAlignment="1">
      <alignment horizontal="center"/>
    </xf>
    <xf numFmtId="0" fontId="0" fillId="0" borderId="0" xfId="0" quotePrefix="1" applyAlignment="1">
      <alignment horizontal="left"/>
    </xf>
    <xf numFmtId="0" fontId="0" fillId="2" borderId="0" xfId="0" applyFill="1" applyBorder="1" applyAlignment="1">
      <alignment horizontal="center"/>
    </xf>
    <xf numFmtId="0" fontId="0" fillId="2" borderId="4" xfId="0" quotePrefix="1" applyFill="1" applyBorder="1" applyAlignment="1">
      <alignment horizontal="center"/>
    </xf>
    <xf numFmtId="0" fontId="0" fillId="2" borderId="1" xfId="0" quotePrefix="1" applyFill="1" applyBorder="1" applyAlignment="1">
      <alignment horizontal="center"/>
    </xf>
    <xf numFmtId="0" fontId="0" fillId="2" borderId="11" xfId="0" applyFill="1" applyBorder="1" applyAlignment="1">
      <alignment horizontal="center"/>
    </xf>
    <xf numFmtId="0" fontId="0" fillId="2" borderId="4" xfId="0" applyFill="1" applyBorder="1" applyAlignment="1">
      <alignment horizontal="center"/>
    </xf>
    <xf numFmtId="0" fontId="0" fillId="0" borderId="1" xfId="0" applyBorder="1" applyAlignment="1"/>
    <xf numFmtId="0" fontId="0" fillId="2" borderId="3" xfId="0" applyFill="1" applyBorder="1" applyAlignment="1">
      <alignment horizontal="center"/>
    </xf>
    <xf numFmtId="0" fontId="0" fillId="0" borderId="3" xfId="0" applyBorder="1"/>
    <xf numFmtId="0" fontId="0" fillId="0" borderId="1" xfId="0" applyBorder="1" applyAlignment="1">
      <alignment horizontal="center"/>
    </xf>
    <xf numFmtId="0" fontId="0" fillId="2" borderId="6" xfId="0" quotePrefix="1" applyFill="1" applyBorder="1" applyAlignment="1">
      <alignment horizontal="center"/>
    </xf>
    <xf numFmtId="0" fontId="0" fillId="2" borderId="0" xfId="0" applyFill="1" applyBorder="1" applyAlignment="1"/>
    <xf numFmtId="0" fontId="0" fillId="2" borderId="1" xfId="0" applyFill="1" applyBorder="1" applyAlignment="1"/>
    <xf numFmtId="0" fontId="0" fillId="2" borderId="9" xfId="0" quotePrefix="1" applyFill="1" applyBorder="1" applyAlignment="1">
      <alignment horizontal="center"/>
    </xf>
    <xf numFmtId="0" fontId="0" fillId="0" borderId="2" xfId="0" applyBorder="1" applyAlignment="1"/>
    <xf numFmtId="0" fontId="0" fillId="2" borderId="11" xfId="0" quotePrefix="1" applyFill="1" applyBorder="1" applyAlignment="1">
      <alignment horizontal="center"/>
    </xf>
    <xf numFmtId="0" fontId="0" fillId="2" borderId="9" xfId="0" applyFill="1" applyBorder="1" applyAlignment="1">
      <alignment horizontal="center"/>
    </xf>
    <xf numFmtId="0" fontId="0" fillId="2" borderId="2" xfId="0" applyFill="1" applyBorder="1" applyAlignment="1"/>
    <xf numFmtId="0" fontId="4" fillId="0" borderId="0" xfId="0" applyFont="1" applyBorder="1" applyAlignment="1">
      <alignment horizontal="center"/>
    </xf>
    <xf numFmtId="0" fontId="0" fillId="2" borderId="1" xfId="0" applyFill="1" applyBorder="1" applyAlignment="1">
      <alignment horizontal="center"/>
    </xf>
    <xf numFmtId="0" fontId="4" fillId="0" borderId="6" xfId="0" applyFont="1" applyBorder="1" applyAlignment="1">
      <alignment horizontal="center"/>
    </xf>
    <xf numFmtId="0" fontId="0" fillId="2" borderId="6" xfId="0" applyFill="1" applyBorder="1" applyAlignment="1">
      <alignment horizontal="center"/>
    </xf>
    <xf numFmtId="0" fontId="0" fillId="0" borderId="2" xfId="0" applyBorder="1" applyAlignment="1">
      <alignment horizontal="center"/>
    </xf>
  </cellXfs>
  <cellStyles count="8">
    <cellStyle name="Comma" xfId="1" builtinId="3"/>
    <cellStyle name="Comma 2" xfId="5"/>
    <cellStyle name="Normal" xfId="0" builtinId="0"/>
    <cellStyle name="Normal 2" xfId="4"/>
    <cellStyle name="Normal 2 2" xfId="7"/>
    <cellStyle name="Normal 3" xfId="3"/>
    <cellStyle name="Percent" xfId="2" builtinId="5"/>
    <cellStyle name="Percent 2" xfId="6"/>
  </cellStyles>
  <dxfs count="107">
    <dxf>
      <fill>
        <patternFill>
          <bgColor indexed="10"/>
        </patternFill>
      </fill>
    </dxf>
    <dxf>
      <fill>
        <patternFill>
          <bgColor indexed="29"/>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ill>
        <patternFill>
          <bgColor indexed="29"/>
        </patternFill>
      </fill>
    </dxf>
    <dxf>
      <font>
        <condense val="0"/>
        <extend val="0"/>
        <color indexed="11"/>
      </font>
    </dxf>
    <dxf>
      <font>
        <b/>
        <i val="0"/>
        <condense val="0"/>
        <extend val="0"/>
        <color indexed="9"/>
      </font>
      <fill>
        <patternFill>
          <bgColor indexed="10"/>
        </patternFill>
      </fill>
    </dxf>
    <dxf>
      <font>
        <b val="0"/>
        <i val="0"/>
        <condense val="0"/>
        <extend val="0"/>
        <color indexed="10"/>
      </font>
      <fill>
        <patternFill>
          <bgColor indexed="10"/>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val="0"/>
        <i val="0"/>
        <condense val="0"/>
        <extend val="0"/>
        <color auto="1"/>
      </font>
      <fill>
        <patternFill>
          <bgColor indexed="29"/>
        </patternFill>
      </fill>
    </dxf>
    <dxf>
      <fill>
        <patternFill>
          <bgColor indexed="29"/>
        </patternFill>
      </fill>
    </dxf>
    <dxf>
      <font>
        <b/>
        <i val="0"/>
        <condense val="0"/>
        <extend val="0"/>
        <color indexed="9"/>
      </font>
      <fill>
        <patternFill>
          <bgColor indexed="10"/>
        </patternFill>
      </fill>
    </dxf>
    <dxf>
      <fill>
        <patternFill>
          <bgColor indexed="26"/>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29"/>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3"/>
        </patternFill>
      </fill>
    </dxf>
    <dxf>
      <font>
        <condense val="0"/>
        <extend val="0"/>
        <color indexed="55"/>
      </font>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condense val="0"/>
        <extend val="0"/>
        <color indexed="11"/>
      </font>
    </dxf>
    <dxf>
      <font>
        <b val="0"/>
        <i val="0"/>
        <condense val="0"/>
        <extend val="0"/>
        <color indexed="10"/>
      </font>
      <fill>
        <patternFill>
          <bgColor indexed="10"/>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ont>
        <condense val="0"/>
        <extend val="0"/>
        <color auto="1"/>
      </font>
      <fill>
        <patternFill>
          <bgColor indexed="29"/>
        </patternFill>
      </fill>
    </dxf>
    <dxf>
      <font>
        <condense val="0"/>
        <extend val="0"/>
        <color indexed="29"/>
      </font>
      <fill>
        <patternFill>
          <bgColor indexed="29"/>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condense val="0"/>
        <extend val="0"/>
        <color indexed="50"/>
      </font>
    </dxf>
    <dxf>
      <font>
        <b val="0"/>
        <i val="0"/>
        <condense val="0"/>
        <extend val="0"/>
        <color indexed="10"/>
      </font>
      <fill>
        <patternFill patternType="none">
          <bgColor indexed="65"/>
        </patternFill>
      </fill>
    </dxf>
    <dxf>
      <fill>
        <patternFill>
          <bgColor indexed="29"/>
        </patternFill>
      </fill>
    </dxf>
    <dxf>
      <fill>
        <patternFill>
          <bgColor indexed="29"/>
        </patternFill>
      </fill>
    </dxf>
    <dxf>
      <fill>
        <patternFill>
          <bgColor indexed="10"/>
        </patternFill>
      </fill>
    </dxf>
    <dxf>
      <fill>
        <patternFill>
          <bgColor indexed="10"/>
        </patternFill>
      </fill>
    </dxf>
    <dxf>
      <fill>
        <patternFill>
          <bgColor indexed="29"/>
        </patternFill>
      </fill>
    </dxf>
    <dxf>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ill>
        <patternFill>
          <bgColor indexed="10"/>
        </patternFill>
      </fill>
    </dxf>
    <dxf>
      <fill>
        <patternFill>
          <bgColor indexed="10"/>
        </patternFill>
      </fill>
    </dxf>
    <dxf>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ill>
        <patternFill>
          <bgColor indexed="29"/>
        </patternFill>
      </fill>
    </dxf>
    <dxf>
      <font>
        <condense val="0"/>
        <extend val="0"/>
        <color indexed="9"/>
      </font>
    </dxf>
    <dxf>
      <font>
        <condense val="0"/>
        <extend val="0"/>
        <color indexed="9"/>
      </font>
    </dxf>
    <dxf>
      <font>
        <b/>
        <i val="0"/>
        <condense val="0"/>
        <extend val="0"/>
        <color indexed="10"/>
      </font>
      <fill>
        <patternFill>
          <bgColor indexed="13"/>
        </patternFill>
      </fill>
    </dxf>
    <dxf>
      <font>
        <b/>
        <i/>
        <strike val="0"/>
        <condense val="0"/>
        <extend val="0"/>
        <color indexed="13"/>
      </font>
      <fill>
        <patternFill>
          <bgColor indexed="10"/>
        </patternFill>
      </fill>
    </dxf>
  </dxfs>
  <tableStyles count="0" defaultTableStyle="TableStyleMedium2" defaultPivotStyle="PivotStyleLight16"/>
  <colors>
    <mruColors>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activeX/activeX2.xml><?xml version="1.0" encoding="utf-8"?>
<ax:ocx xmlns:ax="http://schemas.microsoft.com/office/2006/activeX" xmlns:r="http://schemas.openxmlformats.org/officeDocument/2006/relationships" ax:classid="{8BD21D10-EC42-11CE-9E0D-00AA006002F3}" ax:persistence="persistStreamInit" r:id="rId1"/>
</file>

<file path=xl/drawings/_rels/vmlDrawing7.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0</xdr:colOff>
      <xdr:row>5</xdr:row>
      <xdr:rowOff>114300</xdr:rowOff>
    </xdr:from>
    <xdr:to>
      <xdr:col>5</xdr:col>
      <xdr:colOff>0</xdr:colOff>
      <xdr:row>5</xdr:row>
      <xdr:rowOff>114300</xdr:rowOff>
    </xdr:to>
    <xdr:sp macro="" textlink="">
      <xdr:nvSpPr>
        <xdr:cNvPr id="19653" name="Line 3"/>
        <xdr:cNvSpPr>
          <a:spLocks noChangeShapeType="1"/>
        </xdr:cNvSpPr>
      </xdr:nvSpPr>
      <xdr:spPr bwMode="auto">
        <a:xfrm>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xdr:row>
      <xdr:rowOff>95250</xdr:rowOff>
    </xdr:from>
    <xdr:to>
      <xdr:col>5</xdr:col>
      <xdr:colOff>0</xdr:colOff>
      <xdr:row>9</xdr:row>
      <xdr:rowOff>95250</xdr:rowOff>
    </xdr:to>
    <xdr:sp macro="" textlink="">
      <xdr:nvSpPr>
        <xdr:cNvPr id="19654" name="Line 4"/>
        <xdr:cNvSpPr>
          <a:spLocks noChangeShapeType="1"/>
        </xdr:cNvSpPr>
      </xdr:nvSpPr>
      <xdr:spPr bwMode="auto">
        <a:xfrm flipH="1">
          <a:off x="2428875" y="15621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5</xdr:row>
      <xdr:rowOff>114300</xdr:rowOff>
    </xdr:from>
    <xdr:to>
      <xdr:col>5</xdr:col>
      <xdr:colOff>0</xdr:colOff>
      <xdr:row>5</xdr:row>
      <xdr:rowOff>114300</xdr:rowOff>
    </xdr:to>
    <xdr:sp macro="" textlink="">
      <xdr:nvSpPr>
        <xdr:cNvPr id="19655" name="Line 5"/>
        <xdr:cNvSpPr>
          <a:spLocks noChangeShapeType="1"/>
        </xdr:cNvSpPr>
      </xdr:nvSpPr>
      <xdr:spPr bwMode="auto">
        <a:xfrm flipH="1">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21</xdr:row>
      <xdr:rowOff>114300</xdr:rowOff>
    </xdr:from>
    <xdr:to>
      <xdr:col>5</xdr:col>
      <xdr:colOff>0</xdr:colOff>
      <xdr:row>21</xdr:row>
      <xdr:rowOff>114300</xdr:rowOff>
    </xdr:to>
    <xdr:sp macro="" textlink="">
      <xdr:nvSpPr>
        <xdr:cNvPr id="19656" name="Line 6"/>
        <xdr:cNvSpPr>
          <a:spLocks noChangeShapeType="1"/>
        </xdr:cNvSpPr>
      </xdr:nvSpPr>
      <xdr:spPr bwMode="auto">
        <a:xfrm flipH="1">
          <a:off x="2428875" y="35242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xdr:row>
      <xdr:rowOff>95250</xdr:rowOff>
    </xdr:from>
    <xdr:to>
      <xdr:col>5</xdr:col>
      <xdr:colOff>0</xdr:colOff>
      <xdr:row>9</xdr:row>
      <xdr:rowOff>95250</xdr:rowOff>
    </xdr:to>
    <xdr:sp macro="" textlink="">
      <xdr:nvSpPr>
        <xdr:cNvPr id="19657" name="Line 7"/>
        <xdr:cNvSpPr>
          <a:spLocks noChangeShapeType="1"/>
        </xdr:cNvSpPr>
      </xdr:nvSpPr>
      <xdr:spPr bwMode="auto">
        <a:xfrm>
          <a:off x="2428875" y="15621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17</xdr:row>
      <xdr:rowOff>95250</xdr:rowOff>
    </xdr:from>
    <xdr:to>
      <xdr:col>5</xdr:col>
      <xdr:colOff>0</xdr:colOff>
      <xdr:row>17</xdr:row>
      <xdr:rowOff>95250</xdr:rowOff>
    </xdr:to>
    <xdr:sp macro="" textlink="">
      <xdr:nvSpPr>
        <xdr:cNvPr id="19658" name="Line 8"/>
        <xdr:cNvSpPr>
          <a:spLocks noChangeShapeType="1"/>
        </xdr:cNvSpPr>
      </xdr:nvSpPr>
      <xdr:spPr bwMode="auto">
        <a:xfrm>
          <a:off x="2428875" y="28575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21</xdr:row>
      <xdr:rowOff>114300</xdr:rowOff>
    </xdr:from>
    <xdr:to>
      <xdr:col>5</xdr:col>
      <xdr:colOff>0</xdr:colOff>
      <xdr:row>21</xdr:row>
      <xdr:rowOff>114300</xdr:rowOff>
    </xdr:to>
    <xdr:sp macro="" textlink="">
      <xdr:nvSpPr>
        <xdr:cNvPr id="19659" name="Line 94"/>
        <xdr:cNvSpPr>
          <a:spLocks noChangeShapeType="1"/>
        </xdr:cNvSpPr>
      </xdr:nvSpPr>
      <xdr:spPr bwMode="auto">
        <a:xfrm flipV="1">
          <a:off x="2428875" y="35242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17</xdr:row>
      <xdr:rowOff>95250</xdr:rowOff>
    </xdr:from>
    <xdr:to>
      <xdr:col>5</xdr:col>
      <xdr:colOff>0</xdr:colOff>
      <xdr:row>17</xdr:row>
      <xdr:rowOff>95250</xdr:rowOff>
    </xdr:to>
    <xdr:sp macro="" textlink="">
      <xdr:nvSpPr>
        <xdr:cNvPr id="19660" name="Line 95"/>
        <xdr:cNvSpPr>
          <a:spLocks noChangeShapeType="1"/>
        </xdr:cNvSpPr>
      </xdr:nvSpPr>
      <xdr:spPr bwMode="auto">
        <a:xfrm flipH="1">
          <a:off x="2428875" y="28575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5</xdr:row>
      <xdr:rowOff>114300</xdr:rowOff>
    </xdr:from>
    <xdr:to>
      <xdr:col>5</xdr:col>
      <xdr:colOff>0</xdr:colOff>
      <xdr:row>5</xdr:row>
      <xdr:rowOff>114300</xdr:rowOff>
    </xdr:to>
    <xdr:sp macro="" textlink="">
      <xdr:nvSpPr>
        <xdr:cNvPr id="19661" name="Line 96"/>
        <xdr:cNvSpPr>
          <a:spLocks noChangeShapeType="1"/>
        </xdr:cNvSpPr>
      </xdr:nvSpPr>
      <xdr:spPr bwMode="auto">
        <a:xfrm>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xdr:row>
      <xdr:rowOff>95250</xdr:rowOff>
    </xdr:from>
    <xdr:to>
      <xdr:col>5</xdr:col>
      <xdr:colOff>0</xdr:colOff>
      <xdr:row>9</xdr:row>
      <xdr:rowOff>95250</xdr:rowOff>
    </xdr:to>
    <xdr:sp macro="" textlink="">
      <xdr:nvSpPr>
        <xdr:cNvPr id="19662" name="Line 97"/>
        <xdr:cNvSpPr>
          <a:spLocks noChangeShapeType="1"/>
        </xdr:cNvSpPr>
      </xdr:nvSpPr>
      <xdr:spPr bwMode="auto">
        <a:xfrm flipH="1">
          <a:off x="2428875" y="15621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5</xdr:row>
      <xdr:rowOff>114300</xdr:rowOff>
    </xdr:from>
    <xdr:to>
      <xdr:col>5</xdr:col>
      <xdr:colOff>0</xdr:colOff>
      <xdr:row>5</xdr:row>
      <xdr:rowOff>114300</xdr:rowOff>
    </xdr:to>
    <xdr:sp macro="" textlink="">
      <xdr:nvSpPr>
        <xdr:cNvPr id="19663" name="Line 98"/>
        <xdr:cNvSpPr>
          <a:spLocks noChangeShapeType="1"/>
        </xdr:cNvSpPr>
      </xdr:nvSpPr>
      <xdr:spPr bwMode="auto">
        <a:xfrm flipH="1">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21</xdr:row>
      <xdr:rowOff>114300</xdr:rowOff>
    </xdr:from>
    <xdr:to>
      <xdr:col>5</xdr:col>
      <xdr:colOff>0</xdr:colOff>
      <xdr:row>21</xdr:row>
      <xdr:rowOff>114300</xdr:rowOff>
    </xdr:to>
    <xdr:sp macro="" textlink="">
      <xdr:nvSpPr>
        <xdr:cNvPr id="19664" name="Line 99"/>
        <xdr:cNvSpPr>
          <a:spLocks noChangeShapeType="1"/>
        </xdr:cNvSpPr>
      </xdr:nvSpPr>
      <xdr:spPr bwMode="auto">
        <a:xfrm flipH="1">
          <a:off x="2428875" y="35242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17</xdr:row>
      <xdr:rowOff>95250</xdr:rowOff>
    </xdr:from>
    <xdr:to>
      <xdr:col>5</xdr:col>
      <xdr:colOff>0</xdr:colOff>
      <xdr:row>17</xdr:row>
      <xdr:rowOff>95250</xdr:rowOff>
    </xdr:to>
    <xdr:sp macro="" textlink="">
      <xdr:nvSpPr>
        <xdr:cNvPr id="19665" name="Line 101"/>
        <xdr:cNvSpPr>
          <a:spLocks noChangeShapeType="1"/>
        </xdr:cNvSpPr>
      </xdr:nvSpPr>
      <xdr:spPr bwMode="auto">
        <a:xfrm>
          <a:off x="2428875" y="2857500"/>
          <a:ext cx="0" cy="0"/>
        </a:xfrm>
        <a:prstGeom prst="line">
          <a:avLst/>
        </a:prstGeom>
        <a:noFill/>
        <a:ln w="9525">
          <a:solidFill>
            <a:srgbClr val="000000"/>
          </a:solidFill>
          <a:round/>
          <a:headEnd/>
          <a:tailEnd type="triangle" w="med" len="med"/>
        </a:ln>
      </xdr:spPr>
    </xdr:sp>
    <xdr:clientData/>
  </xdr:twoCellAnchor>
  <xdr:twoCellAnchor>
    <xdr:from>
      <xdr:col>6</xdr:col>
      <xdr:colOff>333375</xdr:colOff>
      <xdr:row>6</xdr:row>
      <xdr:rowOff>9525</xdr:rowOff>
    </xdr:from>
    <xdr:to>
      <xdr:col>6</xdr:col>
      <xdr:colOff>333375</xdr:colOff>
      <xdr:row>12</xdr:row>
      <xdr:rowOff>9525</xdr:rowOff>
    </xdr:to>
    <xdr:sp macro="" textlink="">
      <xdr:nvSpPr>
        <xdr:cNvPr id="19666" name="Line 152"/>
        <xdr:cNvSpPr>
          <a:spLocks noChangeShapeType="1"/>
        </xdr:cNvSpPr>
      </xdr:nvSpPr>
      <xdr:spPr bwMode="auto">
        <a:xfrm>
          <a:off x="3333750" y="990600"/>
          <a:ext cx="0" cy="971550"/>
        </a:xfrm>
        <a:prstGeom prst="line">
          <a:avLst/>
        </a:prstGeom>
        <a:noFill/>
        <a:ln w="9525">
          <a:solidFill>
            <a:srgbClr val="000000"/>
          </a:solidFill>
          <a:round/>
          <a:headEnd/>
          <a:tailEnd type="triangle" w="med" len="med"/>
        </a:ln>
      </xdr:spPr>
    </xdr:sp>
    <xdr:clientData/>
  </xdr:twoCellAnchor>
  <xdr:twoCellAnchor>
    <xdr:from>
      <xdr:col>6</xdr:col>
      <xdr:colOff>342900</xdr:colOff>
      <xdr:row>13</xdr:row>
      <xdr:rowOff>0</xdr:rowOff>
    </xdr:from>
    <xdr:to>
      <xdr:col>6</xdr:col>
      <xdr:colOff>342900</xdr:colOff>
      <xdr:row>18</xdr:row>
      <xdr:rowOff>228600</xdr:rowOff>
    </xdr:to>
    <xdr:sp macro="" textlink="">
      <xdr:nvSpPr>
        <xdr:cNvPr id="19667" name="Line 153"/>
        <xdr:cNvSpPr>
          <a:spLocks noChangeShapeType="1"/>
        </xdr:cNvSpPr>
      </xdr:nvSpPr>
      <xdr:spPr bwMode="auto">
        <a:xfrm flipV="1">
          <a:off x="3343275" y="2114550"/>
          <a:ext cx="0" cy="971550"/>
        </a:xfrm>
        <a:prstGeom prst="line">
          <a:avLst/>
        </a:prstGeom>
        <a:noFill/>
        <a:ln w="9525">
          <a:solidFill>
            <a:srgbClr val="000000"/>
          </a:solidFill>
          <a:round/>
          <a:headEnd/>
          <a:tailEnd type="triangle" w="med" len="med"/>
        </a:ln>
      </xdr:spPr>
    </xdr:sp>
    <xdr:clientData/>
  </xdr:twoCellAnchor>
  <xdr:twoCellAnchor>
    <xdr:from>
      <xdr:col>7</xdr:col>
      <xdr:colOff>571500</xdr:colOff>
      <xdr:row>17</xdr:row>
      <xdr:rowOff>0</xdr:rowOff>
    </xdr:from>
    <xdr:to>
      <xdr:col>7</xdr:col>
      <xdr:colOff>962025</xdr:colOff>
      <xdr:row>19</xdr:row>
      <xdr:rowOff>0</xdr:rowOff>
    </xdr:to>
    <xdr:sp macro="" textlink="">
      <xdr:nvSpPr>
        <xdr:cNvPr id="19668" name="Line 154"/>
        <xdr:cNvSpPr>
          <a:spLocks noChangeShapeType="1"/>
        </xdr:cNvSpPr>
      </xdr:nvSpPr>
      <xdr:spPr bwMode="auto">
        <a:xfrm flipV="1">
          <a:off x="4067175" y="2762250"/>
          <a:ext cx="390525" cy="323850"/>
        </a:xfrm>
        <a:prstGeom prst="line">
          <a:avLst/>
        </a:prstGeom>
        <a:noFill/>
        <a:ln w="9525">
          <a:solidFill>
            <a:srgbClr val="000000"/>
          </a:solidFill>
          <a:round/>
          <a:headEnd/>
          <a:tailEnd type="triangle" w="med" len="med"/>
        </a:ln>
      </xdr:spPr>
    </xdr:sp>
    <xdr:clientData/>
  </xdr:twoCellAnchor>
  <xdr:twoCellAnchor>
    <xdr:from>
      <xdr:col>9</xdr:col>
      <xdr:colOff>0</xdr:colOff>
      <xdr:row>20</xdr:row>
      <xdr:rowOff>114300</xdr:rowOff>
    </xdr:from>
    <xdr:to>
      <xdr:col>12</xdr:col>
      <xdr:colOff>0</xdr:colOff>
      <xdr:row>20</xdr:row>
      <xdr:rowOff>114300</xdr:rowOff>
    </xdr:to>
    <xdr:sp macro="" textlink="">
      <xdr:nvSpPr>
        <xdr:cNvPr id="19669" name="Line 155"/>
        <xdr:cNvSpPr>
          <a:spLocks noChangeShapeType="1"/>
        </xdr:cNvSpPr>
      </xdr:nvSpPr>
      <xdr:spPr bwMode="auto">
        <a:xfrm flipV="1">
          <a:off x="4638675" y="3362325"/>
          <a:ext cx="895350" cy="0"/>
        </a:xfrm>
        <a:prstGeom prst="line">
          <a:avLst/>
        </a:prstGeom>
        <a:noFill/>
        <a:ln w="9525">
          <a:solidFill>
            <a:srgbClr val="000000"/>
          </a:solidFill>
          <a:round/>
          <a:headEnd/>
          <a:tailEnd type="triangle" w="med" len="med"/>
        </a:ln>
      </xdr:spPr>
    </xdr:sp>
    <xdr:clientData/>
  </xdr:twoCellAnchor>
  <xdr:twoCellAnchor>
    <xdr:from>
      <xdr:col>11</xdr:col>
      <xdr:colOff>0</xdr:colOff>
      <xdr:row>16</xdr:row>
      <xdr:rowOff>95250</xdr:rowOff>
    </xdr:from>
    <xdr:to>
      <xdr:col>12</xdr:col>
      <xdr:colOff>0</xdr:colOff>
      <xdr:row>16</xdr:row>
      <xdr:rowOff>95250</xdr:rowOff>
    </xdr:to>
    <xdr:sp macro="" textlink="">
      <xdr:nvSpPr>
        <xdr:cNvPr id="19670" name="Line 156"/>
        <xdr:cNvSpPr>
          <a:spLocks noChangeShapeType="1"/>
        </xdr:cNvSpPr>
      </xdr:nvSpPr>
      <xdr:spPr bwMode="auto">
        <a:xfrm flipH="1">
          <a:off x="5276850" y="2695575"/>
          <a:ext cx="257175" cy="0"/>
        </a:xfrm>
        <a:prstGeom prst="line">
          <a:avLst/>
        </a:prstGeom>
        <a:noFill/>
        <a:ln w="9525">
          <a:solidFill>
            <a:srgbClr val="000000"/>
          </a:solidFill>
          <a:round/>
          <a:headEnd/>
          <a:tailEnd type="triangle" w="med" len="med"/>
        </a:ln>
      </xdr:spPr>
    </xdr:sp>
    <xdr:clientData/>
  </xdr:twoCellAnchor>
  <xdr:twoCellAnchor>
    <xdr:from>
      <xdr:col>7</xdr:col>
      <xdr:colOff>285750</xdr:colOff>
      <xdr:row>6</xdr:row>
      <xdr:rowOff>9525</xdr:rowOff>
    </xdr:from>
    <xdr:to>
      <xdr:col>7</xdr:col>
      <xdr:colOff>419100</xdr:colOff>
      <xdr:row>8</xdr:row>
      <xdr:rowOff>9525</xdr:rowOff>
    </xdr:to>
    <xdr:sp macro="" textlink="">
      <xdr:nvSpPr>
        <xdr:cNvPr id="19671" name="Line 157"/>
        <xdr:cNvSpPr>
          <a:spLocks noChangeShapeType="1"/>
        </xdr:cNvSpPr>
      </xdr:nvSpPr>
      <xdr:spPr bwMode="auto">
        <a:xfrm>
          <a:off x="3781425" y="990600"/>
          <a:ext cx="133350" cy="323850"/>
        </a:xfrm>
        <a:prstGeom prst="line">
          <a:avLst/>
        </a:prstGeom>
        <a:noFill/>
        <a:ln w="9525">
          <a:solidFill>
            <a:srgbClr val="000000"/>
          </a:solidFill>
          <a:round/>
          <a:headEnd/>
          <a:tailEnd type="triangle" w="med" len="med"/>
        </a:ln>
      </xdr:spPr>
    </xdr:sp>
    <xdr:clientData/>
  </xdr:twoCellAnchor>
  <xdr:twoCellAnchor>
    <xdr:from>
      <xdr:col>9</xdr:col>
      <xdr:colOff>9525</xdr:colOff>
      <xdr:row>4</xdr:row>
      <xdr:rowOff>114300</xdr:rowOff>
    </xdr:from>
    <xdr:to>
      <xdr:col>12</xdr:col>
      <xdr:colOff>0</xdr:colOff>
      <xdr:row>4</xdr:row>
      <xdr:rowOff>114300</xdr:rowOff>
    </xdr:to>
    <xdr:sp macro="" textlink="">
      <xdr:nvSpPr>
        <xdr:cNvPr id="19672" name="Line 158"/>
        <xdr:cNvSpPr>
          <a:spLocks noChangeShapeType="1"/>
        </xdr:cNvSpPr>
      </xdr:nvSpPr>
      <xdr:spPr bwMode="auto">
        <a:xfrm>
          <a:off x="4648200" y="771525"/>
          <a:ext cx="885825" cy="0"/>
        </a:xfrm>
        <a:prstGeom prst="line">
          <a:avLst/>
        </a:prstGeom>
        <a:noFill/>
        <a:ln w="9525">
          <a:solidFill>
            <a:srgbClr val="000000"/>
          </a:solidFill>
          <a:round/>
          <a:headEnd/>
          <a:tailEnd type="triangle" w="med" len="med"/>
        </a:ln>
      </xdr:spPr>
    </xdr:sp>
    <xdr:clientData/>
  </xdr:twoCellAnchor>
  <xdr:twoCellAnchor>
    <xdr:from>
      <xdr:col>11</xdr:col>
      <xdr:colOff>0</xdr:colOff>
      <xdr:row>8</xdr:row>
      <xdr:rowOff>95250</xdr:rowOff>
    </xdr:from>
    <xdr:to>
      <xdr:col>12</xdr:col>
      <xdr:colOff>0</xdr:colOff>
      <xdr:row>8</xdr:row>
      <xdr:rowOff>95250</xdr:rowOff>
    </xdr:to>
    <xdr:sp macro="" textlink="">
      <xdr:nvSpPr>
        <xdr:cNvPr id="19673" name="Line 159"/>
        <xdr:cNvSpPr>
          <a:spLocks noChangeShapeType="1"/>
        </xdr:cNvSpPr>
      </xdr:nvSpPr>
      <xdr:spPr bwMode="auto">
        <a:xfrm flipH="1">
          <a:off x="5276850" y="1400175"/>
          <a:ext cx="257175" cy="0"/>
        </a:xfrm>
        <a:prstGeom prst="line">
          <a:avLst/>
        </a:prstGeom>
        <a:noFill/>
        <a:ln w="9525">
          <a:solidFill>
            <a:srgbClr val="000000"/>
          </a:solidFill>
          <a:round/>
          <a:headEnd/>
          <a:tailEnd type="triangle" w="med" len="med"/>
        </a:ln>
      </xdr:spPr>
    </xdr:sp>
    <xdr:clientData/>
  </xdr:twoCellAnchor>
  <xdr:twoCellAnchor>
    <xdr:from>
      <xdr:col>12</xdr:col>
      <xdr:colOff>371475</xdr:colOff>
      <xdr:row>10</xdr:row>
      <xdr:rowOff>9525</xdr:rowOff>
    </xdr:from>
    <xdr:to>
      <xdr:col>12</xdr:col>
      <xdr:colOff>371475</xdr:colOff>
      <xdr:row>12</xdr:row>
      <xdr:rowOff>0</xdr:rowOff>
    </xdr:to>
    <xdr:sp macro="" textlink="">
      <xdr:nvSpPr>
        <xdr:cNvPr id="19674" name="Line 160"/>
        <xdr:cNvSpPr>
          <a:spLocks noChangeShapeType="1"/>
        </xdr:cNvSpPr>
      </xdr:nvSpPr>
      <xdr:spPr bwMode="auto">
        <a:xfrm>
          <a:off x="5905500" y="1638300"/>
          <a:ext cx="0" cy="314325"/>
        </a:xfrm>
        <a:prstGeom prst="line">
          <a:avLst/>
        </a:prstGeom>
        <a:noFill/>
        <a:ln w="9525">
          <a:solidFill>
            <a:srgbClr val="000000"/>
          </a:solidFill>
          <a:round/>
          <a:headEnd/>
          <a:tailEnd type="triangle" w="med" len="med"/>
        </a:ln>
      </xdr:spPr>
    </xdr:sp>
    <xdr:clientData/>
  </xdr:twoCellAnchor>
  <xdr:twoCellAnchor>
    <xdr:from>
      <xdr:col>12</xdr:col>
      <xdr:colOff>361950</xdr:colOff>
      <xdr:row>12</xdr:row>
      <xdr:rowOff>228600</xdr:rowOff>
    </xdr:from>
    <xdr:to>
      <xdr:col>12</xdr:col>
      <xdr:colOff>371475</xdr:colOff>
      <xdr:row>15</xdr:row>
      <xdr:rowOff>0</xdr:rowOff>
    </xdr:to>
    <xdr:sp macro="" textlink="">
      <xdr:nvSpPr>
        <xdr:cNvPr id="19675" name="Line 161"/>
        <xdr:cNvSpPr>
          <a:spLocks noChangeShapeType="1"/>
        </xdr:cNvSpPr>
      </xdr:nvSpPr>
      <xdr:spPr bwMode="auto">
        <a:xfrm flipV="1">
          <a:off x="5895975" y="2114550"/>
          <a:ext cx="9525" cy="323850"/>
        </a:xfrm>
        <a:prstGeom prst="line">
          <a:avLst/>
        </a:prstGeom>
        <a:noFill/>
        <a:ln w="9525">
          <a:solidFill>
            <a:srgbClr val="000000"/>
          </a:solidFill>
          <a:round/>
          <a:headEnd/>
          <a:tailEnd type="triangle" w="med" len="med"/>
        </a:ln>
      </xdr:spPr>
    </xdr:sp>
    <xdr:clientData/>
  </xdr:twoCellAnchor>
  <xdr:twoCellAnchor>
    <xdr:from>
      <xdr:col>12</xdr:col>
      <xdr:colOff>2057400</xdr:colOff>
      <xdr:row>10</xdr:row>
      <xdr:rowOff>0</xdr:rowOff>
    </xdr:from>
    <xdr:to>
      <xdr:col>12</xdr:col>
      <xdr:colOff>2057400</xdr:colOff>
      <xdr:row>12</xdr:row>
      <xdr:rowOff>0</xdr:rowOff>
    </xdr:to>
    <xdr:sp macro="" textlink="">
      <xdr:nvSpPr>
        <xdr:cNvPr id="19676" name="Line 162"/>
        <xdr:cNvSpPr>
          <a:spLocks noChangeShapeType="1"/>
        </xdr:cNvSpPr>
      </xdr:nvSpPr>
      <xdr:spPr bwMode="auto">
        <a:xfrm>
          <a:off x="7410450" y="1628775"/>
          <a:ext cx="0" cy="323850"/>
        </a:xfrm>
        <a:prstGeom prst="line">
          <a:avLst/>
        </a:prstGeom>
        <a:noFill/>
        <a:ln w="9525">
          <a:solidFill>
            <a:srgbClr val="000000"/>
          </a:solidFill>
          <a:round/>
          <a:headEnd/>
          <a:tailEnd type="triangle" w="med" len="med"/>
        </a:ln>
      </xdr:spPr>
    </xdr:sp>
    <xdr:clientData/>
  </xdr:twoCellAnchor>
  <xdr:twoCellAnchor>
    <xdr:from>
      <xdr:col>12</xdr:col>
      <xdr:colOff>2085975</xdr:colOff>
      <xdr:row>13</xdr:row>
      <xdr:rowOff>0</xdr:rowOff>
    </xdr:from>
    <xdr:to>
      <xdr:col>12</xdr:col>
      <xdr:colOff>2085975</xdr:colOff>
      <xdr:row>15</xdr:row>
      <xdr:rowOff>0</xdr:rowOff>
    </xdr:to>
    <xdr:sp macro="" textlink="">
      <xdr:nvSpPr>
        <xdr:cNvPr id="19677" name="Line 163"/>
        <xdr:cNvSpPr>
          <a:spLocks noChangeShapeType="1"/>
        </xdr:cNvSpPr>
      </xdr:nvSpPr>
      <xdr:spPr bwMode="auto">
        <a:xfrm flipV="1">
          <a:off x="7410450" y="2114550"/>
          <a:ext cx="0" cy="323850"/>
        </a:xfrm>
        <a:prstGeom prst="line">
          <a:avLst/>
        </a:prstGeom>
        <a:noFill/>
        <a:ln w="9525">
          <a:solidFill>
            <a:srgbClr val="000000"/>
          </a:solidFill>
          <a:round/>
          <a:headEnd/>
          <a:tailEnd type="triangle" w="med" len="med"/>
        </a:ln>
      </xdr:spPr>
    </xdr:sp>
    <xdr:clientData/>
  </xdr:twoCellAnchor>
  <xdr:twoCellAnchor>
    <xdr:from>
      <xdr:col>16</xdr:col>
      <xdr:colOff>933450</xdr:colOff>
      <xdr:row>6</xdr:row>
      <xdr:rowOff>0</xdr:rowOff>
    </xdr:from>
    <xdr:to>
      <xdr:col>16</xdr:col>
      <xdr:colOff>1333500</xdr:colOff>
      <xdr:row>8</xdr:row>
      <xdr:rowOff>0</xdr:rowOff>
    </xdr:to>
    <xdr:sp macro="" textlink="">
      <xdr:nvSpPr>
        <xdr:cNvPr id="19678" name="Line 164"/>
        <xdr:cNvSpPr>
          <a:spLocks noChangeShapeType="1"/>
        </xdr:cNvSpPr>
      </xdr:nvSpPr>
      <xdr:spPr bwMode="auto">
        <a:xfrm flipH="1">
          <a:off x="9267825" y="981075"/>
          <a:ext cx="152400" cy="323850"/>
        </a:xfrm>
        <a:prstGeom prst="line">
          <a:avLst/>
        </a:prstGeom>
        <a:noFill/>
        <a:ln w="9525">
          <a:solidFill>
            <a:srgbClr val="000000"/>
          </a:solidFill>
          <a:round/>
          <a:headEnd/>
          <a:tailEnd type="triangle" w="med" len="med"/>
        </a:ln>
      </xdr:spPr>
    </xdr:sp>
    <xdr:clientData/>
  </xdr:twoCellAnchor>
  <xdr:twoCellAnchor>
    <xdr:from>
      <xdr:col>16</xdr:col>
      <xdr:colOff>390525</xdr:colOff>
      <xdr:row>17</xdr:row>
      <xdr:rowOff>9525</xdr:rowOff>
    </xdr:from>
    <xdr:to>
      <xdr:col>16</xdr:col>
      <xdr:colOff>704850</xdr:colOff>
      <xdr:row>19</xdr:row>
      <xdr:rowOff>0</xdr:rowOff>
    </xdr:to>
    <xdr:sp macro="" textlink="">
      <xdr:nvSpPr>
        <xdr:cNvPr id="19679" name="Line 165"/>
        <xdr:cNvSpPr>
          <a:spLocks noChangeShapeType="1"/>
        </xdr:cNvSpPr>
      </xdr:nvSpPr>
      <xdr:spPr bwMode="auto">
        <a:xfrm flipH="1" flipV="1">
          <a:off x="8724900" y="2771775"/>
          <a:ext cx="314325" cy="314325"/>
        </a:xfrm>
        <a:prstGeom prst="line">
          <a:avLst/>
        </a:prstGeom>
        <a:noFill/>
        <a:ln w="9525">
          <a:solidFill>
            <a:srgbClr val="000000"/>
          </a:solidFill>
          <a:round/>
          <a:headEnd/>
          <a:tailEnd type="triangle" w="med" len="med"/>
        </a:ln>
      </xdr:spPr>
    </xdr:sp>
    <xdr:clientData/>
  </xdr:twoCellAnchor>
  <xdr:twoCellAnchor>
    <xdr:from>
      <xdr:col>18</xdr:col>
      <xdr:colOff>381000</xdr:colOff>
      <xdr:row>13</xdr:row>
      <xdr:rowOff>0</xdr:rowOff>
    </xdr:from>
    <xdr:to>
      <xdr:col>18</xdr:col>
      <xdr:colOff>381000</xdr:colOff>
      <xdr:row>19</xdr:row>
      <xdr:rowOff>0</xdr:rowOff>
    </xdr:to>
    <xdr:sp macro="" textlink="">
      <xdr:nvSpPr>
        <xdr:cNvPr id="19680" name="Line 166"/>
        <xdr:cNvSpPr>
          <a:spLocks noChangeShapeType="1"/>
        </xdr:cNvSpPr>
      </xdr:nvSpPr>
      <xdr:spPr bwMode="auto">
        <a:xfrm flipV="1">
          <a:off x="10001250" y="2114550"/>
          <a:ext cx="0" cy="971550"/>
        </a:xfrm>
        <a:prstGeom prst="line">
          <a:avLst/>
        </a:prstGeom>
        <a:noFill/>
        <a:ln w="9525">
          <a:solidFill>
            <a:srgbClr val="000000"/>
          </a:solidFill>
          <a:round/>
          <a:headEnd/>
          <a:tailEnd type="triangle" w="med" len="med"/>
        </a:ln>
      </xdr:spPr>
    </xdr:sp>
    <xdr:clientData/>
  </xdr:twoCellAnchor>
  <xdr:twoCellAnchor>
    <xdr:from>
      <xdr:col>18</xdr:col>
      <xdr:colOff>381000</xdr:colOff>
      <xdr:row>6</xdr:row>
      <xdr:rowOff>0</xdr:rowOff>
    </xdr:from>
    <xdr:to>
      <xdr:col>18</xdr:col>
      <xdr:colOff>381000</xdr:colOff>
      <xdr:row>12</xdr:row>
      <xdr:rowOff>0</xdr:rowOff>
    </xdr:to>
    <xdr:sp macro="" textlink="">
      <xdr:nvSpPr>
        <xdr:cNvPr id="19681" name="Line 167"/>
        <xdr:cNvSpPr>
          <a:spLocks noChangeShapeType="1"/>
        </xdr:cNvSpPr>
      </xdr:nvSpPr>
      <xdr:spPr bwMode="auto">
        <a:xfrm>
          <a:off x="10001250" y="981075"/>
          <a:ext cx="0" cy="971550"/>
        </a:xfrm>
        <a:prstGeom prst="line">
          <a:avLst/>
        </a:prstGeom>
        <a:noFill/>
        <a:ln w="9525">
          <a:solidFill>
            <a:srgbClr val="000000"/>
          </a:solidFill>
          <a:round/>
          <a:headEnd/>
          <a:tailEnd type="triangle" w="med" len="med"/>
        </a:ln>
      </xdr:spPr>
    </xdr:sp>
    <xdr:clientData/>
  </xdr:twoCellAnchor>
  <xdr:twoCellAnchor>
    <xdr:from>
      <xdr:col>14</xdr:col>
      <xdr:colOff>0</xdr:colOff>
      <xdr:row>4</xdr:row>
      <xdr:rowOff>114300</xdr:rowOff>
    </xdr:from>
    <xdr:to>
      <xdr:col>16</xdr:col>
      <xdr:colOff>0</xdr:colOff>
      <xdr:row>4</xdr:row>
      <xdr:rowOff>114300</xdr:rowOff>
    </xdr:to>
    <xdr:sp macro="" textlink="">
      <xdr:nvSpPr>
        <xdr:cNvPr id="19682" name="Line 168"/>
        <xdr:cNvSpPr>
          <a:spLocks noChangeShapeType="1"/>
        </xdr:cNvSpPr>
      </xdr:nvSpPr>
      <xdr:spPr bwMode="auto">
        <a:xfrm flipH="1">
          <a:off x="7610475" y="771525"/>
          <a:ext cx="723900" cy="0"/>
        </a:xfrm>
        <a:prstGeom prst="line">
          <a:avLst/>
        </a:prstGeom>
        <a:noFill/>
        <a:ln w="9525">
          <a:solidFill>
            <a:srgbClr val="000000"/>
          </a:solidFill>
          <a:round/>
          <a:headEnd/>
          <a:tailEnd type="triangle" w="med" len="med"/>
        </a:ln>
      </xdr:spPr>
    </xdr:sp>
    <xdr:clientData/>
  </xdr:twoCellAnchor>
  <xdr:twoCellAnchor>
    <xdr:from>
      <xdr:col>14</xdr:col>
      <xdr:colOff>0</xdr:colOff>
      <xdr:row>20</xdr:row>
      <xdr:rowOff>114300</xdr:rowOff>
    </xdr:from>
    <xdr:to>
      <xdr:col>16</xdr:col>
      <xdr:colOff>0</xdr:colOff>
      <xdr:row>20</xdr:row>
      <xdr:rowOff>114300</xdr:rowOff>
    </xdr:to>
    <xdr:sp macro="" textlink="">
      <xdr:nvSpPr>
        <xdr:cNvPr id="19683" name="Line 169"/>
        <xdr:cNvSpPr>
          <a:spLocks noChangeShapeType="1"/>
        </xdr:cNvSpPr>
      </xdr:nvSpPr>
      <xdr:spPr bwMode="auto">
        <a:xfrm flipH="1">
          <a:off x="7610475" y="3362325"/>
          <a:ext cx="723900" cy="0"/>
        </a:xfrm>
        <a:prstGeom prst="line">
          <a:avLst/>
        </a:prstGeom>
        <a:noFill/>
        <a:ln w="9525">
          <a:solidFill>
            <a:srgbClr val="000000"/>
          </a:solidFill>
          <a:round/>
          <a:headEnd/>
          <a:tailEnd type="triangle" w="med" len="med"/>
        </a:ln>
      </xdr:spPr>
    </xdr:sp>
    <xdr:clientData/>
  </xdr:twoCellAnchor>
  <xdr:twoCellAnchor>
    <xdr:from>
      <xdr:col>14</xdr:col>
      <xdr:colOff>0</xdr:colOff>
      <xdr:row>8</xdr:row>
      <xdr:rowOff>95250</xdr:rowOff>
    </xdr:from>
    <xdr:to>
      <xdr:col>15</xdr:col>
      <xdr:colOff>0</xdr:colOff>
      <xdr:row>8</xdr:row>
      <xdr:rowOff>95250</xdr:rowOff>
    </xdr:to>
    <xdr:sp macro="" textlink="">
      <xdr:nvSpPr>
        <xdr:cNvPr id="19684" name="Line 170"/>
        <xdr:cNvSpPr>
          <a:spLocks noChangeShapeType="1"/>
        </xdr:cNvSpPr>
      </xdr:nvSpPr>
      <xdr:spPr bwMode="auto">
        <a:xfrm>
          <a:off x="7610475" y="1400175"/>
          <a:ext cx="238125" cy="0"/>
        </a:xfrm>
        <a:prstGeom prst="line">
          <a:avLst/>
        </a:prstGeom>
        <a:noFill/>
        <a:ln w="9525">
          <a:solidFill>
            <a:srgbClr val="000000"/>
          </a:solidFill>
          <a:round/>
          <a:headEnd/>
          <a:tailEnd type="triangle" w="med" len="med"/>
        </a:ln>
      </xdr:spPr>
    </xdr:sp>
    <xdr:clientData/>
  </xdr:twoCellAnchor>
  <xdr:twoCellAnchor>
    <xdr:from>
      <xdr:col>14</xdr:col>
      <xdr:colOff>0</xdr:colOff>
      <xdr:row>16</xdr:row>
      <xdr:rowOff>95250</xdr:rowOff>
    </xdr:from>
    <xdr:to>
      <xdr:col>15</xdr:col>
      <xdr:colOff>0</xdr:colOff>
      <xdr:row>16</xdr:row>
      <xdr:rowOff>95250</xdr:rowOff>
    </xdr:to>
    <xdr:sp macro="" textlink="">
      <xdr:nvSpPr>
        <xdr:cNvPr id="19685" name="Line 171"/>
        <xdr:cNvSpPr>
          <a:spLocks noChangeShapeType="1"/>
        </xdr:cNvSpPr>
      </xdr:nvSpPr>
      <xdr:spPr bwMode="auto">
        <a:xfrm>
          <a:off x="7610475" y="2695575"/>
          <a:ext cx="238125"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86" name="Line 263"/>
        <xdr:cNvSpPr>
          <a:spLocks noChangeShapeType="1"/>
        </xdr:cNvSpPr>
      </xdr:nvSpPr>
      <xdr:spPr bwMode="auto">
        <a:xfrm>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81</xdr:row>
      <xdr:rowOff>95250</xdr:rowOff>
    </xdr:from>
    <xdr:to>
      <xdr:col>5</xdr:col>
      <xdr:colOff>0</xdr:colOff>
      <xdr:row>81</xdr:row>
      <xdr:rowOff>95250</xdr:rowOff>
    </xdr:to>
    <xdr:sp macro="" textlink="">
      <xdr:nvSpPr>
        <xdr:cNvPr id="19687" name="Line 264"/>
        <xdr:cNvSpPr>
          <a:spLocks noChangeShapeType="1"/>
        </xdr:cNvSpPr>
      </xdr:nvSpPr>
      <xdr:spPr bwMode="auto">
        <a:xfrm flipH="1">
          <a:off x="2428875" y="133254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88" name="Line 265"/>
        <xdr:cNvSpPr>
          <a:spLocks noChangeShapeType="1"/>
        </xdr:cNvSpPr>
      </xdr:nvSpPr>
      <xdr:spPr bwMode="auto">
        <a:xfrm flipH="1">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93</xdr:row>
      <xdr:rowOff>114300</xdr:rowOff>
    </xdr:from>
    <xdr:to>
      <xdr:col>5</xdr:col>
      <xdr:colOff>0</xdr:colOff>
      <xdr:row>93</xdr:row>
      <xdr:rowOff>114300</xdr:rowOff>
    </xdr:to>
    <xdr:sp macro="" textlink="">
      <xdr:nvSpPr>
        <xdr:cNvPr id="19689" name="Line 266"/>
        <xdr:cNvSpPr>
          <a:spLocks noChangeShapeType="1"/>
        </xdr:cNvSpPr>
      </xdr:nvSpPr>
      <xdr:spPr bwMode="auto">
        <a:xfrm flipH="1">
          <a:off x="2428875" y="152876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81</xdr:row>
      <xdr:rowOff>95250</xdr:rowOff>
    </xdr:from>
    <xdr:to>
      <xdr:col>5</xdr:col>
      <xdr:colOff>0</xdr:colOff>
      <xdr:row>81</xdr:row>
      <xdr:rowOff>95250</xdr:rowOff>
    </xdr:to>
    <xdr:sp macro="" textlink="">
      <xdr:nvSpPr>
        <xdr:cNvPr id="19690" name="Line 267"/>
        <xdr:cNvSpPr>
          <a:spLocks noChangeShapeType="1"/>
        </xdr:cNvSpPr>
      </xdr:nvSpPr>
      <xdr:spPr bwMode="auto">
        <a:xfrm>
          <a:off x="2428875" y="133254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89</xdr:row>
      <xdr:rowOff>95250</xdr:rowOff>
    </xdr:from>
    <xdr:to>
      <xdr:col>5</xdr:col>
      <xdr:colOff>0</xdr:colOff>
      <xdr:row>89</xdr:row>
      <xdr:rowOff>95250</xdr:rowOff>
    </xdr:to>
    <xdr:sp macro="" textlink="">
      <xdr:nvSpPr>
        <xdr:cNvPr id="19691" name="Line 268"/>
        <xdr:cNvSpPr>
          <a:spLocks noChangeShapeType="1"/>
        </xdr:cNvSpPr>
      </xdr:nvSpPr>
      <xdr:spPr bwMode="auto">
        <a:xfrm>
          <a:off x="2428875" y="146208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93</xdr:row>
      <xdr:rowOff>114300</xdr:rowOff>
    </xdr:from>
    <xdr:to>
      <xdr:col>5</xdr:col>
      <xdr:colOff>0</xdr:colOff>
      <xdr:row>93</xdr:row>
      <xdr:rowOff>114300</xdr:rowOff>
    </xdr:to>
    <xdr:sp macro="" textlink="">
      <xdr:nvSpPr>
        <xdr:cNvPr id="19692" name="Line 329"/>
        <xdr:cNvSpPr>
          <a:spLocks noChangeShapeType="1"/>
        </xdr:cNvSpPr>
      </xdr:nvSpPr>
      <xdr:spPr bwMode="auto">
        <a:xfrm flipV="1">
          <a:off x="2428875" y="152876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89</xdr:row>
      <xdr:rowOff>95250</xdr:rowOff>
    </xdr:from>
    <xdr:to>
      <xdr:col>5</xdr:col>
      <xdr:colOff>0</xdr:colOff>
      <xdr:row>89</xdr:row>
      <xdr:rowOff>95250</xdr:rowOff>
    </xdr:to>
    <xdr:sp macro="" textlink="">
      <xdr:nvSpPr>
        <xdr:cNvPr id="19693" name="Line 330"/>
        <xdr:cNvSpPr>
          <a:spLocks noChangeShapeType="1"/>
        </xdr:cNvSpPr>
      </xdr:nvSpPr>
      <xdr:spPr bwMode="auto">
        <a:xfrm flipH="1">
          <a:off x="2428875" y="146208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94" name="Line 331"/>
        <xdr:cNvSpPr>
          <a:spLocks noChangeShapeType="1"/>
        </xdr:cNvSpPr>
      </xdr:nvSpPr>
      <xdr:spPr bwMode="auto">
        <a:xfrm>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81</xdr:row>
      <xdr:rowOff>95250</xdr:rowOff>
    </xdr:from>
    <xdr:to>
      <xdr:col>5</xdr:col>
      <xdr:colOff>0</xdr:colOff>
      <xdr:row>81</xdr:row>
      <xdr:rowOff>95250</xdr:rowOff>
    </xdr:to>
    <xdr:sp macro="" textlink="">
      <xdr:nvSpPr>
        <xdr:cNvPr id="19695" name="Line 332"/>
        <xdr:cNvSpPr>
          <a:spLocks noChangeShapeType="1"/>
        </xdr:cNvSpPr>
      </xdr:nvSpPr>
      <xdr:spPr bwMode="auto">
        <a:xfrm flipH="1">
          <a:off x="2428875" y="133254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96" name="Line 333"/>
        <xdr:cNvSpPr>
          <a:spLocks noChangeShapeType="1"/>
        </xdr:cNvSpPr>
      </xdr:nvSpPr>
      <xdr:spPr bwMode="auto">
        <a:xfrm flipH="1">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93</xdr:row>
      <xdr:rowOff>114300</xdr:rowOff>
    </xdr:from>
    <xdr:to>
      <xdr:col>5</xdr:col>
      <xdr:colOff>0</xdr:colOff>
      <xdr:row>93</xdr:row>
      <xdr:rowOff>114300</xdr:rowOff>
    </xdr:to>
    <xdr:sp macro="" textlink="">
      <xdr:nvSpPr>
        <xdr:cNvPr id="19697" name="Line 334"/>
        <xdr:cNvSpPr>
          <a:spLocks noChangeShapeType="1"/>
        </xdr:cNvSpPr>
      </xdr:nvSpPr>
      <xdr:spPr bwMode="auto">
        <a:xfrm flipH="1">
          <a:off x="2428875" y="152876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89</xdr:row>
      <xdr:rowOff>95250</xdr:rowOff>
    </xdr:from>
    <xdr:to>
      <xdr:col>5</xdr:col>
      <xdr:colOff>0</xdr:colOff>
      <xdr:row>89</xdr:row>
      <xdr:rowOff>95250</xdr:rowOff>
    </xdr:to>
    <xdr:sp macro="" textlink="">
      <xdr:nvSpPr>
        <xdr:cNvPr id="19698" name="Line 335"/>
        <xdr:cNvSpPr>
          <a:spLocks noChangeShapeType="1"/>
        </xdr:cNvSpPr>
      </xdr:nvSpPr>
      <xdr:spPr bwMode="auto">
        <a:xfrm>
          <a:off x="2428875" y="14620875"/>
          <a:ext cx="0" cy="0"/>
        </a:xfrm>
        <a:prstGeom prst="line">
          <a:avLst/>
        </a:prstGeom>
        <a:noFill/>
        <a:ln w="9525">
          <a:solidFill>
            <a:srgbClr val="000000"/>
          </a:solidFill>
          <a:round/>
          <a:headEnd/>
          <a:tailEnd type="triangle" w="med" len="med"/>
        </a:ln>
      </xdr:spPr>
    </xdr:sp>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7.vml"/><Relationship Id="rId1" Type="http://schemas.openxmlformats.org/officeDocument/2006/relationships/printerSettings" Target="../printerSettings/printerSettings11.bin"/><Relationship Id="rId5" Type="http://schemas.openxmlformats.org/officeDocument/2006/relationships/comments" Target="../comments6.xml"/><Relationship Id="rId4" Type="http://schemas.openxmlformats.org/officeDocument/2006/relationships/control" Target="../activeX/activeX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dimension ref="A1:R310"/>
  <sheetViews>
    <sheetView tabSelected="1" zoomScale="85" workbookViewId="0">
      <selection activeCell="B14" sqref="B14"/>
    </sheetView>
  </sheetViews>
  <sheetFormatPr defaultRowHeight="12.75"/>
  <cols>
    <col min="1" max="1" width="16.42578125" style="16" bestFit="1" customWidth="1"/>
    <col min="2" max="2" width="12.28515625" bestFit="1" customWidth="1"/>
    <col min="3" max="3" width="8.85546875" bestFit="1" customWidth="1"/>
    <col min="4" max="4" width="11.5703125" bestFit="1" customWidth="1"/>
    <col min="5" max="5" width="9.85546875" bestFit="1" customWidth="1"/>
    <col min="6" max="6" width="9.7109375" bestFit="1" customWidth="1"/>
    <col min="7" max="7" width="8.5703125" customWidth="1"/>
    <col min="8" max="8" width="15.7109375" customWidth="1"/>
    <col min="9" max="9" width="11.5703125" customWidth="1"/>
    <col min="10" max="10" width="14.140625" customWidth="1"/>
    <col min="11" max="11" width="6.140625" customWidth="1"/>
    <col min="12" max="12" width="12.28515625" bestFit="1" customWidth="1"/>
    <col min="13" max="13" width="7.85546875" bestFit="1" customWidth="1"/>
    <col min="14" max="14" width="12.42578125" bestFit="1" customWidth="1"/>
    <col min="15" max="15" width="9.85546875" customWidth="1"/>
  </cols>
  <sheetData>
    <row r="1" spans="1:15" s="819" customFormat="1" ht="18.75" customHeight="1" thickTop="1">
      <c r="A1" s="1452" t="s">
        <v>520</v>
      </c>
      <c r="B1" s="1452"/>
      <c r="C1" s="1452"/>
      <c r="D1" s="1452"/>
      <c r="E1" s="1452"/>
      <c r="F1" s="1452"/>
      <c r="G1" s="1452"/>
      <c r="H1" s="1452"/>
      <c r="I1" s="1452"/>
      <c r="J1" s="1452"/>
      <c r="K1" s="1452"/>
      <c r="L1" s="1453"/>
      <c r="M1" s="1407" t="s">
        <v>401</v>
      </c>
      <c r="N1" s="1408"/>
      <c r="O1" s="1409"/>
    </row>
    <row r="2" spans="1:15" s="820" customFormat="1">
      <c r="A2" s="1410" t="s">
        <v>518</v>
      </c>
      <c r="B2" s="1411"/>
      <c r="C2" s="1411"/>
      <c r="D2" s="1411"/>
      <c r="E2" s="1411"/>
      <c r="F2" s="1411"/>
      <c r="G2" s="1411"/>
      <c r="H2" s="1411"/>
      <c r="I2" s="1411"/>
      <c r="J2" s="1411"/>
      <c r="K2" s="1411"/>
      <c r="L2" s="1412"/>
      <c r="M2" s="1440" t="s">
        <v>678</v>
      </c>
      <c r="N2" s="1441"/>
      <c r="O2" s="1442"/>
    </row>
    <row r="3" spans="1:15" s="820" customFormat="1">
      <c r="A3" s="1413"/>
      <c r="B3" s="1411"/>
      <c r="C3" s="1411"/>
      <c r="D3" s="1411"/>
      <c r="E3" s="1411"/>
      <c r="F3" s="1411"/>
      <c r="G3" s="1411"/>
      <c r="H3" s="1411"/>
      <c r="I3" s="1411"/>
      <c r="J3" s="1411"/>
      <c r="K3" s="1411"/>
      <c r="L3" s="1412"/>
      <c r="M3" s="1443"/>
      <c r="N3" s="1441"/>
      <c r="O3" s="1442"/>
    </row>
    <row r="4" spans="1:15" s="820" customFormat="1">
      <c r="A4" s="1413"/>
      <c r="B4" s="1411"/>
      <c r="C4" s="1411"/>
      <c r="D4" s="1411"/>
      <c r="E4" s="1411"/>
      <c r="F4" s="1411"/>
      <c r="G4" s="1411"/>
      <c r="H4" s="1411"/>
      <c r="I4" s="1411"/>
      <c r="J4" s="1411"/>
      <c r="K4" s="1411"/>
      <c r="L4" s="1412"/>
      <c r="M4" s="1443"/>
      <c r="N4" s="1441"/>
      <c r="O4" s="1442"/>
    </row>
    <row r="5" spans="1:15" s="819" customFormat="1">
      <c r="A5" s="1413"/>
      <c r="B5" s="1411"/>
      <c r="C5" s="1411"/>
      <c r="D5" s="1411"/>
      <c r="E5" s="1411"/>
      <c r="F5" s="1411"/>
      <c r="G5" s="1411"/>
      <c r="H5" s="1411"/>
      <c r="I5" s="1411"/>
      <c r="J5" s="1411"/>
      <c r="K5" s="1411"/>
      <c r="L5" s="1412"/>
      <c r="M5" s="1443"/>
      <c r="N5" s="1441"/>
      <c r="O5" s="1442"/>
    </row>
    <row r="6" spans="1:15" s="819" customFormat="1">
      <c r="A6" s="1413"/>
      <c r="B6" s="1411"/>
      <c r="C6" s="1411"/>
      <c r="D6" s="1411"/>
      <c r="E6" s="1411"/>
      <c r="F6" s="1411"/>
      <c r="G6" s="1411"/>
      <c r="H6" s="1411"/>
      <c r="I6" s="1411"/>
      <c r="J6" s="1411"/>
      <c r="K6" s="1411"/>
      <c r="L6" s="1412"/>
      <c r="M6" s="1443"/>
      <c r="N6" s="1441"/>
      <c r="O6" s="1442"/>
    </row>
    <row r="7" spans="1:15" s="819" customFormat="1" ht="13.5" thickBot="1">
      <c r="A7" s="1414"/>
      <c r="B7" s="1415"/>
      <c r="C7" s="1415"/>
      <c r="D7" s="1415"/>
      <c r="E7" s="1415"/>
      <c r="F7" s="1415"/>
      <c r="G7" s="1415"/>
      <c r="H7" s="1415"/>
      <c r="I7" s="1415"/>
      <c r="J7" s="1415"/>
      <c r="K7" s="1415"/>
      <c r="L7" s="1416"/>
      <c r="M7" s="1443"/>
      <c r="N7" s="1441"/>
      <c r="O7" s="1442"/>
    </row>
    <row r="8" spans="1:15" s="819" customFormat="1" ht="15.75">
      <c r="A8" s="1454" t="s">
        <v>519</v>
      </c>
      <c r="B8" s="1455"/>
      <c r="C8" s="1455"/>
      <c r="D8" s="1455"/>
      <c r="E8" s="1455"/>
      <c r="F8" s="1455"/>
      <c r="G8" s="1455"/>
      <c r="H8" s="1455"/>
      <c r="I8" s="1456"/>
      <c r="J8" s="1417" t="s">
        <v>759</v>
      </c>
      <c r="K8" s="1418"/>
      <c r="L8" s="1419"/>
      <c r="M8" s="1444"/>
      <c r="N8" s="1445"/>
      <c r="O8" s="1446"/>
    </row>
    <row r="9" spans="1:15" s="819" customFormat="1" ht="12.75" customHeight="1">
      <c r="A9" s="1410" t="s">
        <v>521</v>
      </c>
      <c r="B9" s="1411"/>
      <c r="C9" s="1411"/>
      <c r="D9" s="1411"/>
      <c r="E9" s="1411"/>
      <c r="F9" s="1411"/>
      <c r="G9" s="1411"/>
      <c r="H9" s="1411"/>
      <c r="I9" s="1411"/>
      <c r="J9" s="1420"/>
      <c r="K9" s="1421"/>
      <c r="L9" s="1422"/>
      <c r="M9" s="1444"/>
      <c r="N9" s="1445"/>
      <c r="O9" s="1446"/>
    </row>
    <row r="10" spans="1:15" s="819" customFormat="1" ht="12.75" customHeight="1">
      <c r="A10" s="1413"/>
      <c r="B10" s="1411"/>
      <c r="C10" s="1411"/>
      <c r="D10" s="1411"/>
      <c r="E10" s="1411"/>
      <c r="F10" s="1411"/>
      <c r="G10" s="1411"/>
      <c r="H10" s="1411"/>
      <c r="I10" s="1411"/>
      <c r="J10" s="1420"/>
      <c r="K10" s="1421"/>
      <c r="L10" s="1422"/>
      <c r="M10" s="1444"/>
      <c r="N10" s="1445"/>
      <c r="O10" s="1446"/>
    </row>
    <row r="11" spans="1:15" s="819" customFormat="1" ht="12.75" customHeight="1">
      <c r="A11" s="1413"/>
      <c r="B11" s="1411"/>
      <c r="C11" s="1411"/>
      <c r="D11" s="1411"/>
      <c r="E11" s="1411"/>
      <c r="F11" s="1411"/>
      <c r="G11" s="1411"/>
      <c r="H11" s="1411"/>
      <c r="I11" s="1411"/>
      <c r="J11" s="1420"/>
      <c r="K11" s="1421"/>
      <c r="L11" s="1422"/>
      <c r="M11" s="1444"/>
      <c r="N11" s="1445"/>
      <c r="O11" s="1446"/>
    </row>
    <row r="12" spans="1:15" s="819" customFormat="1" ht="13.5" customHeight="1" thickBot="1">
      <c r="A12" s="1413"/>
      <c r="B12" s="1411"/>
      <c r="C12" s="1411"/>
      <c r="D12" s="1411"/>
      <c r="E12" s="1411"/>
      <c r="F12" s="1411"/>
      <c r="G12" s="1411"/>
      <c r="H12" s="1411"/>
      <c r="I12" s="1411"/>
      <c r="J12" s="1423"/>
      <c r="K12" s="1424"/>
      <c r="L12" s="1425"/>
      <c r="M12" s="1447"/>
      <c r="N12" s="1448"/>
      <c r="O12" s="1449"/>
    </row>
    <row r="13" spans="1:15" s="819" customFormat="1" ht="25.5" customHeight="1">
      <c r="A13" s="1435" t="s">
        <v>272</v>
      </c>
      <c r="B13" s="1436"/>
      <c r="C13" s="1436"/>
      <c r="D13" s="1436"/>
      <c r="E13" s="1436"/>
      <c r="F13" s="1436"/>
      <c r="G13" s="1436"/>
      <c r="H13" s="1436"/>
      <c r="I13" s="1436"/>
      <c r="J13" s="1436"/>
      <c r="K13" s="1436"/>
      <c r="L13" s="1436"/>
      <c r="M13" s="1436"/>
      <c r="N13" s="1436"/>
      <c r="O13" s="1436"/>
    </row>
    <row r="14" spans="1:15" s="878" customFormat="1">
      <c r="A14" s="188" t="s">
        <v>28</v>
      </c>
      <c r="B14" s="1283" t="s">
        <v>92</v>
      </c>
      <c r="C14" s="1284"/>
      <c r="D14" s="1426" t="s">
        <v>340</v>
      </c>
      <c r="E14" s="1427"/>
      <c r="K14" s="1285"/>
      <c r="N14" s="1181" t="s">
        <v>568</v>
      </c>
      <c r="O14" s="1182">
        <f>MATCH(B14,races,0)</f>
        <v>1</v>
      </c>
    </row>
    <row r="15" spans="1:15" s="819" customFormat="1" ht="12.75" customHeight="1">
      <c r="A15" s="733" t="s">
        <v>516</v>
      </c>
      <c r="B15" s="670">
        <v>43692</v>
      </c>
      <c r="C15" s="877"/>
      <c r="D15" s="733" t="s">
        <v>341</v>
      </c>
      <c r="E15" s="881">
        <f>B15+(1+B16)/24+B18</f>
        <v>43692</v>
      </c>
      <c r="F15" s="877"/>
      <c r="G15" s="877"/>
      <c r="H15" s="877"/>
      <c r="I15" s="877"/>
      <c r="J15" s="877"/>
      <c r="K15" s="877"/>
      <c r="L15" s="877"/>
      <c r="M15" s="877"/>
      <c r="N15" s="52" t="s">
        <v>176</v>
      </c>
      <c r="O15" s="898">
        <f ca="1">INDIRECT(ADDRESS(5+4*($O$14-1),COLUMN(Races!$Q:$Q)+ROW(A1)-1,1,1,"Races"))</f>
        <v>0</v>
      </c>
    </row>
    <row r="16" spans="1:15" s="819" customFormat="1" ht="13.5" thickBot="1">
      <c r="A16" s="52" t="s">
        <v>336</v>
      </c>
      <c r="B16" s="671">
        <v>-1</v>
      </c>
      <c r="C16" s="877" t="s">
        <v>337</v>
      </c>
      <c r="D16" s="733" t="s">
        <v>333</v>
      </c>
      <c r="E16" s="881">
        <f ca="1">NOW()</f>
        <v>43741.38717858796</v>
      </c>
      <c r="F16" s="877"/>
      <c r="G16" s="877"/>
      <c r="H16" s="877"/>
      <c r="I16" s="877"/>
      <c r="J16" s="877"/>
      <c r="K16" s="877"/>
      <c r="L16" s="877"/>
      <c r="M16" s="877"/>
      <c r="N16" s="52" t="s">
        <v>109</v>
      </c>
      <c r="O16" s="898">
        <f ca="1">INDIRECT(ADDRESS(5+4*($O$14-1),COLUMN(Races!$Q:$Q)+ROW(A2)-1,1,1,"Races"))</f>
        <v>0</v>
      </c>
    </row>
    <row r="17" spans="1:15" s="819" customFormat="1" ht="13.5" thickBot="1">
      <c r="A17" s="52" t="s">
        <v>338</v>
      </c>
      <c r="B17" s="1012">
        <f ca="1">TODAY()</f>
        <v>43741</v>
      </c>
      <c r="C17" s="1286"/>
      <c r="D17" s="882" t="s">
        <v>332</v>
      </c>
      <c r="E17" s="805">
        <f ca="1">ROUNDDOWN((E16-E15)*24,0)</f>
        <v>1185</v>
      </c>
      <c r="F17" s="1287"/>
      <c r="G17" s="1287"/>
      <c r="H17" s="877"/>
      <c r="I17" s="877"/>
      <c r="J17" s="877"/>
      <c r="K17" s="877"/>
      <c r="L17" s="877"/>
      <c r="M17" s="877"/>
      <c r="N17" s="52" t="s">
        <v>173</v>
      </c>
      <c r="O17" s="898">
        <f ca="1">INDIRECT(ADDRESS(5+4*($O$14-1),COLUMN(Races!$Q:$Q)+ROW(A3)-1,1,1,"Races"))</f>
        <v>0</v>
      </c>
    </row>
    <row r="18" spans="1:15" s="819" customFormat="1" ht="13.5" thickBot="1">
      <c r="A18" s="1288" t="s">
        <v>581</v>
      </c>
      <c r="B18" s="1013">
        <v>0</v>
      </c>
      <c r="C18" s="1286"/>
      <c r="D18" s="883" t="s">
        <v>334</v>
      </c>
      <c r="E18" s="884" t="str">
        <f ca="1">IF(INDIRECT("Imps!L"&amp;TEXT(E17+3,0)),"Yes","Nope")</f>
        <v>Nope</v>
      </c>
      <c r="F18" s="877"/>
      <c r="G18" s="877"/>
      <c r="H18" s="877"/>
      <c r="I18" s="877"/>
      <c r="J18" s="877"/>
      <c r="K18" s="877"/>
      <c r="L18" s="877"/>
      <c r="M18" s="877"/>
      <c r="N18" s="52" t="s">
        <v>111</v>
      </c>
      <c r="O18" s="898">
        <f ca="1">INDIRECT(ADDRESS(5+4*($O$14-1),COLUMN(Races!$Q:$Q)+ROW(A4)-1,1,1,"Races"))</f>
        <v>0.05</v>
      </c>
    </row>
    <row r="19" spans="1:15" s="819" customFormat="1">
      <c r="A19" s="879"/>
      <c r="B19" s="877"/>
      <c r="C19" s="877"/>
      <c r="D19" s="877"/>
      <c r="E19" s="877"/>
      <c r="F19" s="877"/>
      <c r="G19" s="877"/>
      <c r="H19" s="877"/>
      <c r="I19" s="877"/>
      <c r="J19" s="877"/>
      <c r="K19" s="877"/>
      <c r="L19" s="877"/>
      <c r="M19" s="877"/>
      <c r="N19" s="52" t="s">
        <v>112</v>
      </c>
      <c r="O19" s="898">
        <f ca="1">INDIRECT(ADDRESS(5+4*($O$14-1),COLUMN(Races!$Q:$Q)+ROW(A5)-1,1,1,"Races"))</f>
        <v>0</v>
      </c>
    </row>
    <row r="20" spans="1:15" s="819" customFormat="1">
      <c r="A20" s="879"/>
      <c r="B20" s="877"/>
      <c r="C20" s="877"/>
      <c r="D20" s="877"/>
      <c r="E20" s="877"/>
      <c r="F20" s="877"/>
      <c r="G20" s="877"/>
      <c r="H20" s="877"/>
      <c r="I20" s="877"/>
      <c r="J20" s="877"/>
      <c r="K20" s="877"/>
      <c r="L20" s="877"/>
      <c r="M20" s="877"/>
      <c r="N20" s="52" t="s">
        <v>113</v>
      </c>
      <c r="O20" s="898">
        <f ca="1">INDIRECT(ADDRESS(5+4*($O$14-1),COLUMN(Races!$Q:$Q)+ROW(A6)-1,1,1,"Races"))</f>
        <v>0</v>
      </c>
    </row>
    <row r="21" spans="1:15" s="819" customFormat="1">
      <c r="A21" s="893" t="s">
        <v>335</v>
      </c>
      <c r="B21" s="894" t="s">
        <v>31</v>
      </c>
      <c r="C21" s="895" t="s">
        <v>32</v>
      </c>
      <c r="D21" s="896" t="s">
        <v>2</v>
      </c>
      <c r="E21" s="896" t="s">
        <v>3</v>
      </c>
      <c r="F21" s="1293" t="s">
        <v>7</v>
      </c>
      <c r="G21" s="1293" t="s">
        <v>4</v>
      </c>
      <c r="H21" s="1293" t="s">
        <v>12</v>
      </c>
      <c r="I21" s="1293" t="s">
        <v>5</v>
      </c>
      <c r="J21" s="1293" t="s">
        <v>85</v>
      </c>
      <c r="K21" s="1293" t="s">
        <v>700</v>
      </c>
      <c r="L21" s="897" t="s">
        <v>244</v>
      </c>
      <c r="M21" s="877"/>
      <c r="N21" s="52" t="s">
        <v>114</v>
      </c>
      <c r="O21" s="898">
        <f ca="1">INDIRECT(ADDRESS(5+4*($O$14-1),COLUMN(Races!$Q:$Q)+ROW(A7)-1,1,1,"Races"))</f>
        <v>0</v>
      </c>
    </row>
    <row r="22" spans="1:15" s="819" customFormat="1">
      <c r="A22" s="70" t="str">
        <f>VLOOKUP($B$14,Races!$A$4:$D$140,4,FALSE)</f>
        <v>Spearman</v>
      </c>
      <c r="B22" s="892">
        <f>VLOOKUP($A22,Races!$D$4:$H$140,2,FALSE)</f>
        <v>3</v>
      </c>
      <c r="C22" s="1281">
        <f>VLOOKUP($A22,Races!$D$4:$H$140,3,FALSE)</f>
        <v>0</v>
      </c>
      <c r="D22" s="26">
        <f>VLOOKUP($A22,Races!$D$4:$H$140,4,FALSE)</f>
        <v>275</v>
      </c>
      <c r="E22" s="26">
        <f>VLOOKUP($A22,Races!$D$4:$H$140,5,FALSE)</f>
        <v>25</v>
      </c>
      <c r="F22" s="26">
        <f>VLOOKUP($A22,Races!$D$4:$M$140,6,FALSE)</f>
        <v>0</v>
      </c>
      <c r="G22" s="26">
        <f>VLOOKUP($A22,Races!$D$4:$M$140,7,FALSE)</f>
        <v>0</v>
      </c>
      <c r="H22" s="26">
        <f>VLOOKUP($A22,Races!$D$4:$M$140,8,FALSE)</f>
        <v>0</v>
      </c>
      <c r="I22" s="26">
        <f>VLOOKUP($A22,Races!$D$4:$M$140,9,FALSE)</f>
        <v>0</v>
      </c>
      <c r="J22" s="26">
        <f>VLOOKUP($A22,Races!$D$4:$M$140,10,FALSE)</f>
        <v>0</v>
      </c>
      <c r="K22" s="444"/>
      <c r="L22" s="53">
        <v>5</v>
      </c>
      <c r="M22" s="877"/>
      <c r="N22" s="52" t="s">
        <v>115</v>
      </c>
      <c r="O22" s="898">
        <f ca="1">INDIRECT(ADDRESS(5+4*($O$14-1),COLUMN(Races!$Q:$Q)+ROW(A8)-1,1,1,"Races"))</f>
        <v>0</v>
      </c>
    </row>
    <row r="23" spans="1:15" s="819" customFormat="1">
      <c r="A23" s="888" t="str">
        <f ca="1">INDIRECT(CONCATENATE("Races!$D$",TEXT(1+MATCH($A$22,Races!$D$1:$D$140,0),0)))</f>
        <v>Archer</v>
      </c>
      <c r="B23" s="316">
        <f ca="1">VLOOKUP($A23,Races!$D$4:$H$140,2,FALSE)+E88*C88</f>
        <v>0</v>
      </c>
      <c r="C23" s="887">
        <f ca="1">VLOOKUP($A23,Races!$D$4:$H$140,3,FALSE)+E88*D88</f>
        <v>3</v>
      </c>
      <c r="D23" s="26">
        <f ca="1">VLOOKUP($A23,Races!$D$4:$H$140,4,FALSE)</f>
        <v>275</v>
      </c>
      <c r="E23" s="26">
        <f ca="1">VLOOKUP($A23,Races!$D$4:$H$140,5,FALSE)</f>
        <v>10</v>
      </c>
      <c r="F23" s="26">
        <f ca="1">VLOOKUP($A23,Races!$D$4:$M$140,6,FALSE)</f>
        <v>0</v>
      </c>
      <c r="G23" s="26">
        <f ca="1">VLOOKUP($A23,Races!$D$4:$M$140,7,FALSE)</f>
        <v>0</v>
      </c>
      <c r="H23" s="26">
        <f ca="1">VLOOKUP($A23,Races!$D$4:$M$140,8,FALSE)</f>
        <v>0</v>
      </c>
      <c r="I23" s="26">
        <f ca="1">VLOOKUP($A23,Races!$D$4:$M$140,9,FALSE)</f>
        <v>0</v>
      </c>
      <c r="J23" s="26">
        <f ca="1">VLOOKUP($A23,Races!$D$4:$M$140,10,FALSE)</f>
        <v>0</v>
      </c>
      <c r="K23" s="1282"/>
      <c r="L23" s="53">
        <v>5</v>
      </c>
      <c r="M23" s="1289"/>
      <c r="N23" s="52" t="s">
        <v>116</v>
      </c>
      <c r="O23" s="898">
        <f ca="1">INDIRECT(ADDRESS(5+4*($O$14-1),COLUMN(Races!$Q:$Q)+ROW(A9)-1,1,1,"Races"))</f>
        <v>0</v>
      </c>
    </row>
    <row r="24" spans="1:15" s="819" customFormat="1">
      <c r="A24" s="888" t="str">
        <f ca="1">INDIRECT(CONCATENATE("Races!$D$",TEXT(1+MATCH($A$23,Races!$D$1:$D$140,0),0)))</f>
        <v>Knight</v>
      </c>
      <c r="B24" s="316">
        <f ca="1">VLOOKUP($A24,Races!$D$4:$H$140,2,FALSE)+E78*C78+E89*C89+E86*C86+E91*C91+E92*C92</f>
        <v>2</v>
      </c>
      <c r="C24" s="887">
        <f ca="1">VLOOKUP($A24,Races!$D$4:$H$140,3,FALSE)+E81*D81+E82*D82+E79*D79+E78*D78+E77*D77+E76*D76+E74*D74+E89*D89+E84*D84+E86*D86+E93*D93</f>
        <v>6</v>
      </c>
      <c r="D24" s="26">
        <f ca="1">VLOOKUP($A24,Races!$D$4:$H$140,4,FALSE)</f>
        <v>1000</v>
      </c>
      <c r="E24" s="26">
        <f ca="1">VLOOKUP($A24,Races!$D$4:$H$140,5,FALSE)</f>
        <v>75</v>
      </c>
      <c r="F24" s="26">
        <f ca="1">VLOOKUP($A24,Races!$D$4:$M$140,6,FALSE)</f>
        <v>0</v>
      </c>
      <c r="G24" s="26">
        <f ca="1">VLOOKUP($A24,Races!$D$4:$M$140,7,FALSE)</f>
        <v>0</v>
      </c>
      <c r="H24" s="26">
        <f ca="1">VLOOKUP($A24,Races!$D$4:$M$140,8,FALSE)</f>
        <v>0</v>
      </c>
      <c r="I24" s="26">
        <f ca="1">VLOOKUP($A24,Races!$D$4:$M$140,9,FALSE)</f>
        <v>0</v>
      </c>
      <c r="J24" s="26">
        <f ca="1">VLOOKUP($A24,Races!$D$4:$M$140,10,FALSE)</f>
        <v>0</v>
      </c>
      <c r="K24" s="1282"/>
      <c r="L24" s="53">
        <f ca="1">1.8 * MIN(MAX(B24,C24),6)  +  0.45 * MIN(MIN(B24,C24),6)  +  0.2 * ( MAX(B24-6,0) + MAX(C24-6,0) )</f>
        <v>11.700000000000001</v>
      </c>
      <c r="M24" s="1289"/>
      <c r="N24" s="52" t="s">
        <v>32</v>
      </c>
      <c r="O24" s="898">
        <f ca="1">INDIRECT(ADDRESS(5+4*($O$14-1),COLUMN(Races!$Q:$Q)+ROW(A10)-1,1,1,"Races"))</f>
        <v>0</v>
      </c>
    </row>
    <row r="25" spans="1:15" s="819" customFormat="1">
      <c r="A25" s="888" t="str">
        <f ca="1">INDIRECT(CONCATENATE("Races!$D$",TEXT(1+MATCH($A$24,Races!$D$1:$D$140,0),0)))</f>
        <v>Cavalry</v>
      </c>
      <c r="B25" s="892">
        <f ca="1">VLOOKUP($A25,Races!$D$4:$H$140,2,FALSE)+E74*C75+E79*C80+E87*C87+E90*C90+E94*C94</f>
        <v>6</v>
      </c>
      <c r="C25" s="887">
        <f ca="1">VLOOKUP($A25,Races!$D$4:$H$140,3,FALSE)+E74*D75+E85*D85</f>
        <v>3</v>
      </c>
      <c r="D25" s="26">
        <f ca="1">VLOOKUP($A25,Races!$D$4:$H$140,4,FALSE)</f>
        <v>1250</v>
      </c>
      <c r="E25" s="26">
        <f ca="1">VLOOKUP($A25,Races!$D$4:$H$140,5,FALSE)</f>
        <v>100</v>
      </c>
      <c r="F25" s="26">
        <f ca="1">VLOOKUP($A25,Races!$D$4:$M$140,6,FALSE)</f>
        <v>0</v>
      </c>
      <c r="G25" s="26">
        <f ca="1">VLOOKUP($A25,Races!$D$4:$M$140,7,FALSE)</f>
        <v>0</v>
      </c>
      <c r="H25" s="26">
        <f ca="1">VLOOKUP($A25,Races!$D$4:$M$140,8,FALSE)</f>
        <v>0</v>
      </c>
      <c r="I25" s="26">
        <f ca="1">VLOOKUP($A25,Races!$D$4:$M$140,9,FALSE)</f>
        <v>0</v>
      </c>
      <c r="J25" s="26">
        <f ca="1">VLOOKUP($A25,Races!$D$4:$M$140,10,FALSE)</f>
        <v>0</v>
      </c>
      <c r="K25" s="1282"/>
      <c r="L25" s="53">
        <f ca="1">1.8 * MIN(MAX(B25,C25),6)  +  0.45 * MIN(MIN(B25,C25),6)  +  0.2 * ( MAX(B25-6,0) + MAX(C25-6,0) )</f>
        <v>12.15</v>
      </c>
      <c r="M25" s="1289"/>
      <c r="N25" s="52" t="s">
        <v>31</v>
      </c>
      <c r="O25" s="898">
        <f ca="1">INDIRECT(ADDRESS(5+4*($O$14-1),COLUMN(Races!$Q:$Q)+ROW(A11)-1,1,1,"Races"))</f>
        <v>0</v>
      </c>
    </row>
    <row r="26" spans="1:15" s="819" customFormat="1">
      <c r="A26" s="888" t="s">
        <v>76</v>
      </c>
      <c r="B26" s="56"/>
      <c r="C26" s="26"/>
      <c r="D26" s="26">
        <v>500</v>
      </c>
      <c r="E26" s="26"/>
      <c r="F26" s="107"/>
      <c r="G26" s="107"/>
      <c r="H26" s="107"/>
      <c r="I26" s="107"/>
      <c r="J26" s="107"/>
      <c r="K26" s="1282"/>
      <c r="L26" s="53">
        <v>5</v>
      </c>
      <c r="M26" s="1289"/>
      <c r="N26" s="899" t="s">
        <v>174</v>
      </c>
      <c r="O26" s="898">
        <f ca="1">INDIRECT(ADDRESS(5+4*($O$14-1),COLUMN(Races!$Q:$Q)+ROW(A12)-1,1,1,"Races"))</f>
        <v>0</v>
      </c>
    </row>
    <row r="27" spans="1:15" s="819" customFormat="1">
      <c r="A27" s="888" t="s">
        <v>194</v>
      </c>
      <c r="B27" s="56"/>
      <c r="C27" s="26"/>
      <c r="D27" s="26">
        <v>500</v>
      </c>
      <c r="E27" s="26"/>
      <c r="F27" s="107"/>
      <c r="G27" s="107"/>
      <c r="H27" s="107"/>
      <c r="I27" s="107"/>
      <c r="J27" s="107"/>
      <c r="K27" s="1282"/>
      <c r="L27" s="53">
        <v>5</v>
      </c>
      <c r="M27" s="1289"/>
      <c r="N27" s="52" t="s">
        <v>175</v>
      </c>
      <c r="O27" s="898">
        <f ca="1">INDIRECT(ADDRESS(5+4*($O$14-1),COLUMN(Races!$Q:$Q)+ROW(A13)-1,1,1,"Races"))</f>
        <v>0</v>
      </c>
    </row>
    <row r="28" spans="1:15" s="819" customFormat="1">
      <c r="A28" s="889" t="s">
        <v>195</v>
      </c>
      <c r="B28" s="72"/>
      <c r="C28" s="1276"/>
      <c r="D28" s="890">
        <f>IF(B14="Icekin",825,1000)</f>
        <v>1000</v>
      </c>
      <c r="E28" s="891" t="s">
        <v>264</v>
      </c>
      <c r="F28" s="681"/>
      <c r="G28" s="681"/>
      <c r="H28" s="681"/>
      <c r="I28" s="681"/>
      <c r="J28" s="681"/>
      <c r="K28" s="681"/>
      <c r="L28" s="75">
        <v>5</v>
      </c>
      <c r="M28" s="877"/>
      <c r="N28" s="52" t="s">
        <v>507</v>
      </c>
      <c r="O28" s="898">
        <f ca="1">INDIRECT(ADDRESS(5+4*($O$14-1),COLUMN(Races!$Q:$Q)+ROW(A14)-1,1,1,"Races"))</f>
        <v>0</v>
      </c>
    </row>
    <row r="29" spans="1:15" s="819" customFormat="1">
      <c r="A29" s="1290"/>
      <c r="B29" s="877"/>
      <c r="C29" s="877"/>
      <c r="D29" s="1159"/>
      <c r="E29" s="1160"/>
      <c r="F29" s="877"/>
      <c r="G29" s="877"/>
      <c r="H29" s="877"/>
      <c r="I29" s="877"/>
      <c r="J29" s="877"/>
      <c r="K29" s="877"/>
      <c r="L29" s="877"/>
      <c r="M29" s="877"/>
      <c r="N29" s="52" t="s">
        <v>569</v>
      </c>
      <c r="O29" s="898">
        <f ca="1">INDIRECT(ADDRESS(5+4*($O$14-1),COLUMN(Races!$Q:$Q)+ROW(O15)-1,1,1,"Races"))</f>
        <v>0</v>
      </c>
    </row>
    <row r="30" spans="1:15" s="819" customFormat="1">
      <c r="A30" s="1291"/>
      <c r="B30" s="973"/>
      <c r="C30" s="973"/>
      <c r="D30" s="1161"/>
      <c r="E30" s="1162"/>
      <c r="F30" s="973"/>
      <c r="G30" s="973"/>
      <c r="H30" s="973"/>
      <c r="I30" s="973"/>
      <c r="J30" s="973"/>
      <c r="K30" s="973"/>
      <c r="L30" s="973"/>
      <c r="M30" s="973"/>
      <c r="N30" s="72" t="s">
        <v>570</v>
      </c>
      <c r="O30" s="1292">
        <f ca="1">INDIRECT(ADDRESS(5+4*($O$14-1),COLUMN(Races!$Q:$Q)+ROW(A16)-1,1,1,"Races"))</f>
        <v>0</v>
      </c>
    </row>
    <row r="31" spans="1:15" s="12" customFormat="1" ht="29.25" customHeight="1">
      <c r="A31" s="1431" t="s">
        <v>393</v>
      </c>
      <c r="B31" s="1432"/>
      <c r="C31" s="1432"/>
      <c r="D31" s="1432"/>
      <c r="E31" s="1432"/>
      <c r="F31" s="1432"/>
      <c r="G31" s="1432"/>
      <c r="H31" s="1432"/>
      <c r="I31" s="1432"/>
      <c r="J31" s="1432"/>
      <c r="K31" s="1432"/>
      <c r="L31" s="1432"/>
      <c r="M31" s="1432"/>
      <c r="N31" s="1432"/>
      <c r="O31" s="1432"/>
    </row>
    <row r="32" spans="1:15">
      <c r="A32" s="886" t="s">
        <v>22</v>
      </c>
      <c r="B32" s="819"/>
      <c r="C32" s="1437" t="s">
        <v>31</v>
      </c>
      <c r="D32" s="1438"/>
      <c r="E32" s="1439"/>
      <c r="F32" s="1437" t="s">
        <v>32</v>
      </c>
      <c r="G32" s="1438"/>
      <c r="H32" s="1438"/>
      <c r="I32" s="876" t="s">
        <v>22</v>
      </c>
      <c r="J32" s="819"/>
      <c r="K32" s="819"/>
      <c r="L32" s="819"/>
      <c r="M32" s="819"/>
      <c r="N32" s="819"/>
      <c r="O32" s="971"/>
    </row>
    <row r="33" spans="1:18">
      <c r="A33" s="15" t="s">
        <v>34</v>
      </c>
      <c r="B33" s="300" t="s">
        <v>229</v>
      </c>
      <c r="C33" s="299" t="s">
        <v>201</v>
      </c>
      <c r="D33" s="283" t="s">
        <v>219</v>
      </c>
      <c r="E33" s="300" t="s">
        <v>240</v>
      </c>
      <c r="F33" s="283" t="s">
        <v>201</v>
      </c>
      <c r="G33" s="283" t="s">
        <v>219</v>
      </c>
      <c r="H33" s="283" t="s">
        <v>240</v>
      </c>
      <c r="I33" s="873" t="s">
        <v>34</v>
      </c>
      <c r="J33" s="819"/>
      <c r="K33" s="885" t="s">
        <v>496</v>
      </c>
      <c r="L33" s="819"/>
      <c r="M33" s="819"/>
      <c r="N33" s="880"/>
      <c r="O33" s="972"/>
    </row>
    <row r="34" spans="1:18">
      <c r="A34" s="15" t="str">
        <f>A22</f>
        <v>Spearman</v>
      </c>
      <c r="B34" s="71">
        <f>Military!E$75</f>
        <v>0</v>
      </c>
      <c r="C34" s="89">
        <f>B34*B22</f>
        <v>0</v>
      </c>
      <c r="D34" s="1459">
        <f ca="1">Military!P75</f>
        <v>0.05</v>
      </c>
      <c r="E34" s="71">
        <f ca="1">C34*(1+$D$34)</f>
        <v>0</v>
      </c>
      <c r="F34" s="23">
        <f>B34*C22</f>
        <v>0</v>
      </c>
      <c r="G34" s="1461">
        <f ca="1">Military!T75</f>
        <v>0</v>
      </c>
      <c r="H34" s="23">
        <f ca="1">F34*(1+$G$34)</f>
        <v>0</v>
      </c>
      <c r="I34" s="871" t="str">
        <f>A34</f>
        <v>Spearman</v>
      </c>
      <c r="J34" s="819"/>
      <c r="K34" s="1450" t="s">
        <v>497</v>
      </c>
      <c r="L34" s="1451"/>
      <c r="M34" s="1451"/>
      <c r="N34" s="1451"/>
      <c r="O34" s="972"/>
    </row>
    <row r="35" spans="1:18">
      <c r="A35" s="868" t="str">
        <f ca="1">A23</f>
        <v>Archer</v>
      </c>
      <c r="B35" s="57">
        <f>Military!F$75</f>
        <v>0</v>
      </c>
      <c r="C35" s="56">
        <f ca="1">B35*B23</f>
        <v>0</v>
      </c>
      <c r="D35" s="1460"/>
      <c r="E35" s="57">
        <f ca="1">C35*(1+$D$34)</f>
        <v>0</v>
      </c>
      <c r="F35" s="26">
        <f ca="1">B35*C23</f>
        <v>0</v>
      </c>
      <c r="G35" s="1460"/>
      <c r="H35" s="26">
        <f ca="1">F35*(1+$G$34)</f>
        <v>0</v>
      </c>
      <c r="I35" s="871" t="str">
        <f ca="1">A35</f>
        <v>Archer</v>
      </c>
      <c r="J35" s="819"/>
      <c r="K35" s="1451"/>
      <c r="L35" s="1451"/>
      <c r="M35" s="1451"/>
      <c r="N35" s="1451"/>
      <c r="O35" s="972"/>
      <c r="R35" s="1354" t="s">
        <v>754</v>
      </c>
    </row>
    <row r="36" spans="1:18">
      <c r="A36" s="868" t="str">
        <f ca="1">A24</f>
        <v>Knight</v>
      </c>
      <c r="B36" s="57">
        <f>Military!G$75</f>
        <v>1000</v>
      </c>
      <c r="C36" s="56">
        <f ca="1">B36*B24</f>
        <v>2000</v>
      </c>
      <c r="D36" s="1460"/>
      <c r="E36" s="57">
        <f ca="1">C36*(1+$D$34)</f>
        <v>2100</v>
      </c>
      <c r="F36" s="26">
        <f ca="1">B36*C24+E99*D99</f>
        <v>6000</v>
      </c>
      <c r="G36" s="1460"/>
      <c r="H36" s="26">
        <f ca="1">F36*(1+$G$34)</f>
        <v>6000</v>
      </c>
      <c r="I36" s="871" t="str">
        <f ca="1">A36</f>
        <v>Knight</v>
      </c>
      <c r="J36" s="819"/>
      <c r="K36" s="1451"/>
      <c r="L36" s="1451"/>
      <c r="M36" s="1451"/>
      <c r="N36" s="1451"/>
      <c r="O36" s="972"/>
      <c r="R36" s="1354" t="s">
        <v>717</v>
      </c>
    </row>
    <row r="37" spans="1:18" ht="13.5" thickBot="1">
      <c r="A37" s="868" t="str">
        <f ca="1">A25</f>
        <v>Cavalry</v>
      </c>
      <c r="B37" s="57">
        <f>Military!H$75</f>
        <v>400</v>
      </c>
      <c r="C37" s="139">
        <f ca="1">B37*B25+E99*C100</f>
        <v>2400</v>
      </c>
      <c r="D37" s="1460"/>
      <c r="E37" s="138">
        <f ca="1">C37*(1+$D$34)</f>
        <v>2520</v>
      </c>
      <c r="F37" s="140">
        <f ca="1">B37*C25</f>
        <v>1200</v>
      </c>
      <c r="G37" s="1460"/>
      <c r="H37" s="140">
        <f ca="1">F37*(1+$G$34)</f>
        <v>1200</v>
      </c>
      <c r="I37" s="871" t="str">
        <f ca="1">A37</f>
        <v>Cavalry</v>
      </c>
      <c r="J37" s="819"/>
      <c r="K37" s="1433" t="s">
        <v>517</v>
      </c>
      <c r="L37" s="1434"/>
      <c r="M37" s="1434"/>
      <c r="N37" s="1434"/>
      <c r="O37" s="972"/>
      <c r="R37" s="1354" t="s">
        <v>704</v>
      </c>
    </row>
    <row r="38" spans="1:18" ht="13.5" thickTop="1">
      <c r="A38" s="870"/>
      <c r="B38" s="900"/>
      <c r="C38" s="856">
        <f ca="1">SUM(C34:C37)</f>
        <v>4400</v>
      </c>
      <c r="D38" s="16"/>
      <c r="E38" s="857">
        <f ca="1">SUM(E34:E37)</f>
        <v>4620</v>
      </c>
      <c r="F38" s="858">
        <f ca="1">SUM(F34:F37)</f>
        <v>7200</v>
      </c>
      <c r="G38" s="853"/>
      <c r="H38" s="858">
        <f ca="1">SUM(H34:H37)</f>
        <v>7200</v>
      </c>
      <c r="I38" s="872"/>
      <c r="J38" s="819"/>
      <c r="K38" s="1434"/>
      <c r="L38" s="1434"/>
      <c r="M38" s="1434"/>
      <c r="N38" s="1434"/>
      <c r="O38" s="972"/>
      <c r="R38" s="1354" t="s">
        <v>761</v>
      </c>
    </row>
    <row r="39" spans="1:18">
      <c r="A39" s="52" t="s">
        <v>24</v>
      </c>
      <c r="B39" s="442">
        <f ca="1">F39</f>
        <v>3695</v>
      </c>
      <c r="C39" s="733"/>
      <c r="D39" s="107"/>
      <c r="E39" s="452"/>
      <c r="F39" s="26">
        <f ca="1">Military!Z75</f>
        <v>3695</v>
      </c>
      <c r="G39" s="315"/>
      <c r="H39" s="26">
        <f ca="1">F39*(1+$G$34)</f>
        <v>3695</v>
      </c>
      <c r="I39" s="871" t="s">
        <v>487</v>
      </c>
      <c r="J39" s="819"/>
      <c r="K39" s="1428" t="s">
        <v>515</v>
      </c>
      <c r="L39" s="1429"/>
      <c r="M39" s="1429"/>
      <c r="N39" s="1429"/>
      <c r="O39" s="972"/>
      <c r="R39" s="1354" t="s">
        <v>750</v>
      </c>
    </row>
    <row r="40" spans="1:18" ht="13.5" thickBot="1">
      <c r="A40" s="52" t="s">
        <v>486</v>
      </c>
      <c r="B40" s="107">
        <f>E52</f>
        <v>0</v>
      </c>
      <c r="C40" s="733"/>
      <c r="D40" s="107"/>
      <c r="E40" s="452"/>
      <c r="F40" s="832">
        <f ca="1">MIN(Population!C75/2,Constants!B13*20*Construction!BD75)</f>
        <v>0</v>
      </c>
      <c r="G40" s="315"/>
      <c r="H40" s="833">
        <f ca="1">F40*(1+$G$34)</f>
        <v>0</v>
      </c>
      <c r="I40" s="871" t="s">
        <v>394</v>
      </c>
      <c r="J40" s="819"/>
      <c r="K40" s="1429"/>
      <c r="L40" s="1429"/>
      <c r="M40" s="1429"/>
      <c r="N40" s="1429"/>
      <c r="O40" s="972"/>
      <c r="R40" s="1354" t="s">
        <v>757</v>
      </c>
    </row>
    <row r="41" spans="1:18" ht="13.5" thickTop="1">
      <c r="A41" s="25"/>
      <c r="B41" s="681"/>
      <c r="C41" s="883"/>
      <c r="D41" s="681"/>
      <c r="E41" s="901"/>
      <c r="F41" s="859">
        <f ca="1">F39+F38+F40</f>
        <v>10895</v>
      </c>
      <c r="G41" s="25"/>
      <c r="H41" s="860">
        <f ca="1">H39+H38+H40</f>
        <v>10895</v>
      </c>
      <c r="I41" s="298"/>
      <c r="J41" s="819"/>
      <c r="K41" s="1430"/>
      <c r="L41" s="1430"/>
      <c r="M41" s="1430"/>
      <c r="N41" s="1430"/>
      <c r="O41" s="972"/>
      <c r="R41" s="1354" t="s">
        <v>758</v>
      </c>
    </row>
    <row r="42" spans="1:18">
      <c r="A42" s="877"/>
      <c r="B42" s="819"/>
      <c r="C42" s="877"/>
      <c r="D42" s="1462"/>
      <c r="E42" s="1462"/>
      <c r="F42" s="1462"/>
      <c r="G42" s="1462"/>
      <c r="H42" s="1462"/>
      <c r="I42" s="877"/>
      <c r="J42" s="819"/>
      <c r="K42" s="819"/>
      <c r="L42" s="819"/>
      <c r="M42" s="819"/>
      <c r="N42" s="819"/>
      <c r="O42" s="972"/>
      <c r="R42" s="1354" t="s">
        <v>760</v>
      </c>
    </row>
    <row r="43" spans="1:18">
      <c r="A43" s="870" t="str">
        <f>A26</f>
        <v>Spy</v>
      </c>
      <c r="B43" s="71">
        <f>Military!I75</f>
        <v>100</v>
      </c>
      <c r="C43" s="16"/>
      <c r="D43" s="819"/>
      <c r="E43" s="819"/>
      <c r="F43" s="819"/>
      <c r="G43" s="819"/>
      <c r="I43" s="877"/>
      <c r="J43" s="819"/>
      <c r="K43" s="885" t="s">
        <v>495</v>
      </c>
      <c r="L43" s="819"/>
      <c r="M43" s="819"/>
      <c r="N43" s="819"/>
      <c r="O43" s="972"/>
    </row>
    <row r="44" spans="1:18">
      <c r="A44" s="868" t="str">
        <f>A27</f>
        <v>Wizard</v>
      </c>
      <c r="B44" s="57">
        <f>Military!J75</f>
        <v>100</v>
      </c>
      <c r="C44" s="877"/>
      <c r="D44" s="885" t="s">
        <v>268</v>
      </c>
      <c r="E44" s="819"/>
      <c r="F44" s="819"/>
      <c r="G44" s="819"/>
      <c r="H44" s="885" t="s">
        <v>270</v>
      </c>
      <c r="I44" s="819"/>
      <c r="J44" s="819"/>
      <c r="K44" s="1405" t="s">
        <v>522</v>
      </c>
      <c r="L44" s="1406"/>
      <c r="M44" s="1406"/>
      <c r="N44" s="1406"/>
      <c r="O44" s="972"/>
    </row>
    <row r="45" spans="1:18">
      <c r="A45" s="869" t="str">
        <f>A28</f>
        <v>Archmage</v>
      </c>
      <c r="B45" s="73">
        <f>Military!K75</f>
        <v>0</v>
      </c>
      <c r="C45" s="877"/>
      <c r="D45" s="188" t="s">
        <v>1</v>
      </c>
      <c r="E45" s="15">
        <f>Construction!BS75</f>
        <v>1000</v>
      </c>
      <c r="F45" s="103">
        <v>1</v>
      </c>
      <c r="G45" s="819"/>
      <c r="H45" s="50" t="s">
        <v>271</v>
      </c>
      <c r="I45" s="318" t="s">
        <v>201</v>
      </c>
      <c r="J45" s="319" t="s">
        <v>240</v>
      </c>
      <c r="K45" s="1406"/>
      <c r="L45" s="1406"/>
      <c r="M45" s="1406"/>
      <c r="N45" s="1406"/>
      <c r="O45" s="972"/>
    </row>
    <row r="46" spans="1:18">
      <c r="A46" s="877"/>
      <c r="B46" s="819"/>
      <c r="C46" s="877"/>
      <c r="D46" s="874" t="str">
        <f>Construction!AX2</f>
        <v>Hom</v>
      </c>
      <c r="E46" s="861">
        <f>Construction!AX75</f>
        <v>0</v>
      </c>
      <c r="F46" s="862">
        <f t="shared" ref="F46:F64" si="0">E46/$E$45</f>
        <v>0</v>
      </c>
      <c r="G46" s="819"/>
      <c r="H46" s="301" t="s">
        <v>265</v>
      </c>
      <c r="I46" s="471">
        <f ca="1">C38/E45</f>
        <v>4.4000000000000004</v>
      </c>
      <c r="J46" s="472">
        <f ca="1">E38/E45</f>
        <v>4.62</v>
      </c>
      <c r="K46" s="1406"/>
      <c r="L46" s="1406"/>
      <c r="M46" s="1406"/>
      <c r="N46" s="1406"/>
      <c r="O46" s="972"/>
    </row>
    <row r="47" spans="1:18">
      <c r="A47" s="12" t="s">
        <v>281</v>
      </c>
      <c r="B47" s="55">
        <f ca="1">Production!N75*boat_size</f>
        <v>6000</v>
      </c>
      <c r="C47" s="877"/>
      <c r="D47" s="766" t="str">
        <f>Construction!AY2</f>
        <v>Alc</v>
      </c>
      <c r="E47" s="16">
        <f>Construction!AY75</f>
        <v>0</v>
      </c>
      <c r="F47" s="303">
        <f t="shared" si="0"/>
        <v>0</v>
      </c>
      <c r="G47" s="819"/>
      <c r="H47" s="63" t="s">
        <v>266</v>
      </c>
      <c r="I47" s="473">
        <f ca="1">F38/E45</f>
        <v>7.2</v>
      </c>
      <c r="J47" s="474">
        <f ca="1">H38/E45</f>
        <v>7.2</v>
      </c>
      <c r="K47" s="1406"/>
      <c r="L47" s="1406"/>
      <c r="M47" s="1406"/>
      <c r="N47" s="1406"/>
      <c r="O47" s="972"/>
    </row>
    <row r="48" spans="1:18">
      <c r="A48" s="163" t="s">
        <v>392</v>
      </c>
      <c r="B48" s="55">
        <f>SUM(Imps!M3:'Imps'!M75)</f>
        <v>2</v>
      </c>
      <c r="C48" s="877"/>
      <c r="D48" s="766" t="str">
        <f>Construction!AZ2</f>
        <v>Far</v>
      </c>
      <c r="E48" s="16">
        <f>Construction!AZ75</f>
        <v>80</v>
      </c>
      <c r="F48" s="303">
        <f t="shared" si="0"/>
        <v>0.08</v>
      </c>
      <c r="G48" s="819"/>
      <c r="H48" s="63" t="s">
        <v>267</v>
      </c>
      <c r="I48" s="475">
        <f>(B43+IF(race="Halfling",B37/3,IF(race="Lizardfolk",B36/5,0)))/E45</f>
        <v>0.1</v>
      </c>
      <c r="J48" s="474">
        <f ca="1">I48*(1+O25)</f>
        <v>0.1</v>
      </c>
      <c r="K48" s="1406"/>
      <c r="L48" s="1406"/>
      <c r="M48" s="1406"/>
      <c r="N48" s="1406"/>
      <c r="O48" s="972"/>
      <c r="R48" s="1354"/>
    </row>
    <row r="49" spans="1:15">
      <c r="C49" s="877"/>
      <c r="D49" s="766" t="str">
        <f>Construction!BA2</f>
        <v>Smi</v>
      </c>
      <c r="E49" s="16">
        <f>Construction!BA75</f>
        <v>200</v>
      </c>
      <c r="F49" s="303">
        <f t="shared" si="0"/>
        <v>0.2</v>
      </c>
      <c r="G49" s="819"/>
      <c r="H49" s="298" t="s">
        <v>269</v>
      </c>
      <c r="I49" s="476">
        <f>(B45*2+B44)/E45</f>
        <v>0.1</v>
      </c>
      <c r="J49" s="477">
        <f ca="1">I49*(1+O26+Constants!O55*Techs!AV75)</f>
        <v>0.1</v>
      </c>
      <c r="K49" s="1406"/>
      <c r="L49" s="1406"/>
      <c r="M49" s="1406"/>
      <c r="N49" s="1406"/>
      <c r="O49" s="972"/>
    </row>
    <row r="50" spans="1:15">
      <c r="A50" s="188" t="s">
        <v>1</v>
      </c>
      <c r="B50" s="71">
        <f>E45</f>
        <v>1000</v>
      </c>
      <c r="C50" s="877"/>
      <c r="D50" s="766" t="str">
        <f>Construction!BB2</f>
        <v>Mas</v>
      </c>
      <c r="E50" s="16">
        <f>Construction!BB75</f>
        <v>0</v>
      </c>
      <c r="F50" s="303">
        <f t="shared" si="0"/>
        <v>0</v>
      </c>
      <c r="G50" s="819"/>
      <c r="H50" s="819"/>
      <c r="I50" s="819"/>
      <c r="J50" s="819"/>
      <c r="K50" s="885" t="s">
        <v>504</v>
      </c>
      <c r="L50" s="819"/>
      <c r="M50" s="819"/>
      <c r="N50" s="819"/>
      <c r="O50" s="972"/>
    </row>
    <row r="51" spans="1:15">
      <c r="A51" s="52" t="s">
        <v>21</v>
      </c>
      <c r="B51" s="57">
        <f ca="1">Population!C75</f>
        <v>3945</v>
      </c>
      <c r="C51" s="877"/>
      <c r="D51" s="766" t="str">
        <f>Construction!BC2</f>
        <v>Ly</v>
      </c>
      <c r="E51" s="16">
        <f>Construction!BC75</f>
        <v>50</v>
      </c>
      <c r="F51" s="303">
        <f t="shared" si="0"/>
        <v>0.05</v>
      </c>
      <c r="G51" s="819"/>
      <c r="H51" s="885" t="s">
        <v>2</v>
      </c>
      <c r="I51" s="819"/>
      <c r="J51" s="819"/>
      <c r="K51" s="1404" t="s">
        <v>749</v>
      </c>
      <c r="L51" s="1404"/>
      <c r="M51" s="1404"/>
      <c r="N51" s="1404"/>
      <c r="O51" s="972"/>
    </row>
    <row r="52" spans="1:15">
      <c r="A52" s="52" t="s">
        <v>24</v>
      </c>
      <c r="B52" s="57">
        <f ca="1">B39</f>
        <v>3695</v>
      </c>
      <c r="C52" s="877"/>
      <c r="D52" s="766" t="str">
        <f>Construction!BD2</f>
        <v>Hav</v>
      </c>
      <c r="E52" s="16">
        <f>Construction!BD75</f>
        <v>0</v>
      </c>
      <c r="F52" s="303">
        <f t="shared" si="0"/>
        <v>0</v>
      </c>
      <c r="G52" s="819"/>
      <c r="H52" s="50" t="s">
        <v>0</v>
      </c>
      <c r="I52" s="50" t="s">
        <v>229</v>
      </c>
      <c r="J52" s="854" t="s">
        <v>400</v>
      </c>
      <c r="K52" s="1404"/>
      <c r="L52" s="1404"/>
      <c r="M52" s="1404"/>
      <c r="N52" s="1404"/>
      <c r="O52" s="972"/>
    </row>
    <row r="53" spans="1:15">
      <c r="A53" s="52" t="s">
        <v>244</v>
      </c>
      <c r="B53" s="57">
        <f ca="1">Production!G75</f>
        <v>39460</v>
      </c>
      <c r="C53" s="877"/>
      <c r="D53" s="766" t="str">
        <f>Construction!BE2</f>
        <v>OM</v>
      </c>
      <c r="E53" s="16">
        <f>Construction!BE75</f>
        <v>0</v>
      </c>
      <c r="F53" s="303">
        <f t="shared" si="0"/>
        <v>0</v>
      </c>
      <c r="G53" s="819"/>
      <c r="H53" s="282">
        <v>61</v>
      </c>
      <c r="I53" s="316">
        <f ca="1">Production!H63</f>
        <v>3586571</v>
      </c>
      <c r="J53" s="954">
        <f ca="1">Production!H63+SUM(Military!AU3:AU63)</f>
        <v>4586571</v>
      </c>
      <c r="K53" s="952"/>
      <c r="L53" s="819"/>
      <c r="M53" s="819"/>
      <c r="N53" s="819"/>
      <c r="O53" s="972"/>
    </row>
    <row r="54" spans="1:15">
      <c r="A54" s="52" t="s">
        <v>280</v>
      </c>
      <c r="B54" s="57">
        <f ca="1">H38</f>
        <v>7200</v>
      </c>
      <c r="C54" s="877"/>
      <c r="D54" s="766" t="str">
        <f>Construction!BF2</f>
        <v>GN</v>
      </c>
      <c r="E54" s="16">
        <f>Construction!BF75</f>
        <v>0</v>
      </c>
      <c r="F54" s="303">
        <f t="shared" si="0"/>
        <v>0</v>
      </c>
      <c r="G54" s="819"/>
      <c r="H54" s="282">
        <v>64</v>
      </c>
      <c r="I54" s="316">
        <f ca="1">Production!H66</f>
        <v>3618524</v>
      </c>
      <c r="J54" s="955">
        <f ca="1">Production!H66+SUM(Military!AU4:AU66)</f>
        <v>4618524</v>
      </c>
      <c r="K54" s="953"/>
      <c r="L54" s="819"/>
      <c r="M54" s="819"/>
      <c r="N54" s="819"/>
      <c r="O54" s="972"/>
    </row>
    <row r="55" spans="1:15">
      <c r="A55" s="52" t="s">
        <v>279</v>
      </c>
      <c r="B55" s="57">
        <f ca="1">E38</f>
        <v>4620</v>
      </c>
      <c r="C55" s="877"/>
      <c r="D55" s="766" t="str">
        <f>Construction!BI2</f>
        <v>Bar</v>
      </c>
      <c r="E55" s="16">
        <f>Construction!BI75</f>
        <v>0</v>
      </c>
      <c r="F55" s="303">
        <f t="shared" si="0"/>
        <v>0</v>
      </c>
      <c r="G55" s="819"/>
      <c r="H55" s="302" t="s">
        <v>243</v>
      </c>
      <c r="I55" s="317">
        <f ca="1">Production!H75</f>
        <v>3714383</v>
      </c>
      <c r="J55" s="956">
        <f ca="1">Production!H75+SUM(Military!AU3:AU75)</f>
        <v>4714383</v>
      </c>
      <c r="K55" s="953"/>
      <c r="L55" s="819"/>
      <c r="M55" s="819"/>
      <c r="N55" s="819"/>
      <c r="O55" s="972"/>
    </row>
    <row r="56" spans="1:15">
      <c r="A56" s="52" t="s">
        <v>6</v>
      </c>
      <c r="B56" s="57">
        <f ca="1">Production!S75</f>
        <v>10651</v>
      </c>
      <c r="C56" s="877"/>
      <c r="D56" s="766" t="str">
        <f>Construction!BG2</f>
        <v>Fac</v>
      </c>
      <c r="E56" s="16">
        <f>Construction!BG75</f>
        <v>0</v>
      </c>
      <c r="F56" s="303">
        <f t="shared" si="0"/>
        <v>0</v>
      </c>
      <c r="G56" s="819"/>
      <c r="H56" s="819"/>
      <c r="I56" s="819"/>
      <c r="J56" s="819"/>
      <c r="K56" s="953"/>
      <c r="L56" s="819"/>
      <c r="M56" s="819"/>
      <c r="N56" s="819"/>
      <c r="O56" s="972"/>
    </row>
    <row r="57" spans="1:15">
      <c r="A57" s="52" t="s">
        <v>2</v>
      </c>
      <c r="B57" s="57">
        <f ca="1">Production!H$75</f>
        <v>3714383</v>
      </c>
      <c r="C57" s="877"/>
      <c r="D57" s="766" t="str">
        <f>Construction!BH2</f>
        <v>GT</v>
      </c>
      <c r="E57" s="16">
        <f>Construction!BH75</f>
        <v>0</v>
      </c>
      <c r="F57" s="303">
        <f t="shared" si="0"/>
        <v>0</v>
      </c>
      <c r="G57" s="819"/>
      <c r="H57" s="886" t="s">
        <v>290</v>
      </c>
      <c r="I57" s="819"/>
      <c r="J57" s="819"/>
      <c r="K57" s="819"/>
      <c r="L57" s="819"/>
      <c r="M57" s="819"/>
      <c r="N57" s="819"/>
      <c r="O57" s="972"/>
    </row>
    <row r="58" spans="1:15">
      <c r="A58" s="52" t="s">
        <v>5</v>
      </c>
      <c r="B58" s="57">
        <f ca="1">Production!I$75</f>
        <v>260842</v>
      </c>
      <c r="C58" s="877"/>
      <c r="D58" s="766" t="str">
        <f>Construction!BJ2</f>
        <v>Shr</v>
      </c>
      <c r="E58" s="16">
        <f>Construction!BJ75</f>
        <v>0</v>
      </c>
      <c r="F58" s="303">
        <f t="shared" si="0"/>
        <v>0</v>
      </c>
      <c r="G58" s="819"/>
      <c r="H58" s="70" t="s">
        <v>291</v>
      </c>
      <c r="I58" s="89" t="s">
        <v>229</v>
      </c>
      <c r="J58" s="866" t="s">
        <v>399</v>
      </c>
      <c r="K58" s="819"/>
      <c r="L58" s="819"/>
      <c r="M58" s="819"/>
      <c r="N58" s="819"/>
      <c r="O58" s="972"/>
    </row>
    <row r="59" spans="1:15">
      <c r="A59" s="52" t="s">
        <v>7</v>
      </c>
      <c r="B59" s="57">
        <f ca="1">Production!J$75</f>
        <v>275411</v>
      </c>
      <c r="C59" s="877"/>
      <c r="D59" s="766" t="str">
        <f>Construction!BK2</f>
        <v>Tow</v>
      </c>
      <c r="E59" s="16">
        <f>Construction!BK75</f>
        <v>50</v>
      </c>
      <c r="F59" s="303">
        <f t="shared" si="0"/>
        <v>0.05</v>
      </c>
      <c r="G59" s="819"/>
      <c r="H59" s="70" t="s">
        <v>292</v>
      </c>
      <c r="I59" s="89">
        <f ca="1">SUM(Construction!AP3:AP87)</f>
        <v>323000</v>
      </c>
      <c r="J59" s="866">
        <f ca="1">I59/I$64</f>
        <v>0.22842998585572843</v>
      </c>
      <c r="K59" s="819"/>
      <c r="L59" s="819"/>
      <c r="M59" s="819"/>
      <c r="N59" s="819"/>
      <c r="O59" s="972"/>
    </row>
    <row r="60" spans="1:15">
      <c r="A60" s="52" t="s">
        <v>12</v>
      </c>
      <c r="B60" s="57">
        <f ca="1">Production!K$75</f>
        <v>52578</v>
      </c>
      <c r="C60" s="877"/>
      <c r="D60" s="766" t="str">
        <f>Construction!BL2</f>
        <v>Tem</v>
      </c>
      <c r="E60" s="16">
        <f>Construction!BL75</f>
        <v>0</v>
      </c>
      <c r="F60" s="303">
        <f t="shared" si="0"/>
        <v>0</v>
      </c>
      <c r="G60" s="819"/>
      <c r="H60" s="52" t="s">
        <v>293</v>
      </c>
      <c r="I60" s="56">
        <f>SUM(Explore!AH3:AH87)</f>
        <v>0</v>
      </c>
      <c r="J60" s="767">
        <f ca="1">I60/I$64</f>
        <v>0</v>
      </c>
      <c r="K60" s="819"/>
      <c r="L60" s="819"/>
      <c r="M60" s="819"/>
      <c r="N60" s="819"/>
      <c r="O60" s="972"/>
    </row>
    <row r="61" spans="1:15">
      <c r="A61" s="52" t="s">
        <v>3</v>
      </c>
      <c r="B61" s="57">
        <f ca="1">Production!L$75</f>
        <v>231000</v>
      </c>
      <c r="C61" s="877"/>
      <c r="D61" s="766" t="str">
        <f>Construction!BM2</f>
        <v>WG</v>
      </c>
      <c r="E61" s="16">
        <f>Construction!BM75</f>
        <v>0</v>
      </c>
      <c r="F61" s="303">
        <f t="shared" si="0"/>
        <v>0</v>
      </c>
      <c r="G61" s="819"/>
      <c r="H61" s="52" t="s">
        <v>22</v>
      </c>
      <c r="I61" s="56">
        <f ca="1">SUM(Military!AU3:AU87)</f>
        <v>1000000</v>
      </c>
      <c r="J61" s="767">
        <f ca="1">I61/I$64</f>
        <v>0.70721357850070721</v>
      </c>
      <c r="K61" s="819"/>
      <c r="L61" s="819"/>
      <c r="M61" s="819"/>
      <c r="N61" s="819"/>
      <c r="O61" s="972"/>
    </row>
    <row r="62" spans="1:15">
      <c r="A62" s="52" t="s">
        <v>4</v>
      </c>
      <c r="B62" s="57">
        <f ca="1">Production!M$75</f>
        <v>20000</v>
      </c>
      <c r="C62" s="877"/>
      <c r="D62" s="766" t="str">
        <f>Construction!BN2</f>
        <v>DM</v>
      </c>
      <c r="E62" s="16">
        <f>Construction!BN75</f>
        <v>0</v>
      </c>
      <c r="F62" s="303">
        <f t="shared" si="0"/>
        <v>0</v>
      </c>
      <c r="G62" s="819"/>
      <c r="H62" s="52" t="s">
        <v>203</v>
      </c>
      <c r="I62" s="56">
        <f ca="1">SUM(Rezone!Y3:Y87)</f>
        <v>91000</v>
      </c>
      <c r="J62" s="767">
        <f ca="1">I62/I$64</f>
        <v>6.4356435643564358E-2</v>
      </c>
      <c r="K62" s="819"/>
      <c r="L62" s="819"/>
      <c r="M62" s="819"/>
      <c r="N62" s="819"/>
      <c r="O62" s="972"/>
    </row>
    <row r="63" spans="1:15">
      <c r="A63" s="52" t="s">
        <v>85</v>
      </c>
      <c r="B63" s="57">
        <f ca="1">Production!N$75</f>
        <v>200</v>
      </c>
      <c r="C63" s="877"/>
      <c r="D63" s="766" t="str">
        <f>Construction!BO2</f>
        <v>Sch</v>
      </c>
      <c r="E63" s="16">
        <f>Construction!BO75</f>
        <v>0</v>
      </c>
      <c r="F63" s="303">
        <f t="shared" si="0"/>
        <v>0</v>
      </c>
      <c r="G63" s="819"/>
      <c r="H63" s="72" t="s">
        <v>294</v>
      </c>
      <c r="I63" s="90">
        <f>Imps!AR75+Imps!AW75+Imps!BB75+Imps!BG75+Imps!BL75+Imps!BQ75</f>
        <v>0</v>
      </c>
      <c r="J63" s="767">
        <f ca="1">I63/I$64</f>
        <v>0</v>
      </c>
      <c r="K63" s="819"/>
      <c r="L63" s="819"/>
      <c r="M63" s="819"/>
      <c r="N63" s="819"/>
      <c r="O63" s="972"/>
    </row>
    <row r="64" spans="1:15">
      <c r="A64" s="52" t="s">
        <v>288</v>
      </c>
      <c r="B64" s="57">
        <f>SUM(Explore!T64:Z75)+SUM(Explore!S76:S86)*15</f>
        <v>0</v>
      </c>
      <c r="C64" s="819"/>
      <c r="D64" s="875" t="str">
        <f>Construction!BP2</f>
        <v>Doc</v>
      </c>
      <c r="E64" s="25">
        <f>Construction!BP75</f>
        <v>0</v>
      </c>
      <c r="F64" s="304">
        <f t="shared" si="0"/>
        <v>0</v>
      </c>
      <c r="G64" s="819"/>
      <c r="H64" s="50" t="s">
        <v>199</v>
      </c>
      <c r="I64" s="54">
        <f ca="1">SUM(I59:I63)</f>
        <v>1414000</v>
      </c>
      <c r="J64" s="867">
        <f>1</f>
        <v>1</v>
      </c>
      <c r="K64" s="819"/>
      <c r="L64" s="819"/>
      <c r="M64" s="819"/>
      <c r="N64" s="819"/>
      <c r="O64" s="972"/>
    </row>
    <row r="65" spans="1:15">
      <c r="A65" s="72" t="s">
        <v>289</v>
      </c>
      <c r="B65" s="73">
        <f>Construction!C75</f>
        <v>0</v>
      </c>
      <c r="C65" s="819"/>
      <c r="D65" s="188" t="str">
        <f>B67</f>
        <v>Plain</v>
      </c>
      <c r="E65" s="863">
        <f ca="1">Construction!DF75</f>
        <v>280</v>
      </c>
      <c r="F65" s="865">
        <f ca="1">E65/E45</f>
        <v>0.28000000000000003</v>
      </c>
      <c r="G65" s="819"/>
      <c r="I65" s="819"/>
      <c r="K65" s="819"/>
      <c r="L65" s="819"/>
      <c r="M65" s="819"/>
      <c r="N65" s="819"/>
      <c r="O65" s="972"/>
    </row>
    <row r="66" spans="1:15">
      <c r="A66" s="70" t="s">
        <v>396</v>
      </c>
      <c r="B66" s="301" t="str">
        <f>VLOOKUP($B$14,Races!$A$4:$B$140,2,FALSE)</f>
        <v>Good</v>
      </c>
      <c r="C66" s="819"/>
      <c r="D66" s="52" t="s">
        <v>376</v>
      </c>
      <c r="E66" s="26">
        <f>E45-SUM(E46:E64)-B65</f>
        <v>620</v>
      </c>
      <c r="F66" s="864">
        <f>E66/E45</f>
        <v>0.62</v>
      </c>
      <c r="G66" s="819"/>
      <c r="H66" s="819"/>
      <c r="I66" s="819"/>
      <c r="J66" s="819"/>
      <c r="K66" s="819"/>
      <c r="L66" s="819"/>
      <c r="M66" s="819"/>
      <c r="N66" s="819"/>
      <c r="O66" s="972"/>
    </row>
    <row r="67" spans="1:15">
      <c r="A67" s="72" t="s">
        <v>395</v>
      </c>
      <c r="B67" s="298" t="str">
        <f>VLOOKUP($B$14,Races!$A$4:$C$140,3,FALSE)</f>
        <v>Plain</v>
      </c>
      <c r="C67" s="819"/>
      <c r="D67" s="72" t="s">
        <v>377</v>
      </c>
      <c r="E67" s="24">
        <f>B65</f>
        <v>0</v>
      </c>
      <c r="F67" s="75">
        <f>E67/E45</f>
        <v>0</v>
      </c>
      <c r="G67" s="819"/>
      <c r="H67" s="819"/>
      <c r="I67" s="819"/>
      <c r="J67" s="819"/>
      <c r="K67" s="819"/>
      <c r="L67" s="819"/>
      <c r="M67" s="819"/>
      <c r="N67" s="819"/>
      <c r="O67" s="972"/>
    </row>
    <row r="68" spans="1:15">
      <c r="A68" s="877"/>
      <c r="B68" s="819"/>
      <c r="C68" s="819"/>
      <c r="D68" s="819"/>
      <c r="E68" s="819"/>
      <c r="F68" s="819"/>
      <c r="G68" s="819"/>
      <c r="H68" s="819"/>
      <c r="I68" s="819"/>
      <c r="J68" s="819"/>
      <c r="K68" s="819"/>
      <c r="L68" s="819"/>
      <c r="M68" s="819"/>
      <c r="N68" s="819"/>
      <c r="O68" s="972"/>
    </row>
    <row r="69" spans="1:15">
      <c r="A69" s="877"/>
      <c r="B69" s="819"/>
      <c r="C69" s="819"/>
      <c r="D69" s="819"/>
      <c r="E69" s="819"/>
      <c r="F69" s="819"/>
      <c r="G69" s="819"/>
      <c r="H69" s="819"/>
      <c r="I69" s="819"/>
      <c r="J69" s="819"/>
      <c r="K69" s="819"/>
      <c r="L69" s="819"/>
      <c r="M69" s="819"/>
      <c r="N69" s="819"/>
      <c r="O69" s="972"/>
    </row>
    <row r="70" spans="1:15">
      <c r="A70" s="877"/>
      <c r="B70" s="877"/>
      <c r="C70" s="973"/>
      <c r="D70" s="973"/>
      <c r="E70" s="973"/>
      <c r="F70" s="973"/>
      <c r="G70" s="973"/>
      <c r="H70" s="973"/>
      <c r="I70" s="973"/>
      <c r="J70" s="973"/>
      <c r="K70" s="973"/>
      <c r="L70" s="973"/>
      <c r="M70" s="973"/>
      <c r="N70" s="973"/>
      <c r="O70" s="974"/>
    </row>
    <row r="71" spans="1:15">
      <c r="A71" s="1457" t="s">
        <v>301</v>
      </c>
      <c r="B71" s="1458"/>
      <c r="C71" s="757"/>
      <c r="D71" s="757"/>
      <c r="E71" s="757"/>
      <c r="O71" s="16"/>
    </row>
    <row r="72" spans="1:15">
      <c r="A72" s="758" t="s">
        <v>302</v>
      </c>
      <c r="B72" s="759"/>
      <c r="C72" s="757"/>
      <c r="D72" s="757"/>
      <c r="E72" s="759"/>
      <c r="O72" s="16"/>
    </row>
    <row r="73" spans="1:15">
      <c r="A73" s="760" t="s">
        <v>304</v>
      </c>
      <c r="B73" s="760" t="s">
        <v>305</v>
      </c>
      <c r="C73" s="760" t="s">
        <v>307</v>
      </c>
      <c r="D73" s="760" t="s">
        <v>306</v>
      </c>
      <c r="E73" s="757"/>
      <c r="G73" s="16"/>
      <c r="H73" s="16"/>
      <c r="I73" s="1352"/>
      <c r="J73" s="1033"/>
      <c r="M73" s="1"/>
      <c r="O73" s="16"/>
    </row>
    <row r="74" spans="1:15">
      <c r="A74" s="757" t="s">
        <v>95</v>
      </c>
      <c r="B74" s="757" t="s">
        <v>130</v>
      </c>
      <c r="C74" s="761"/>
      <c r="D74" s="761">
        <f ca="1">IF(Constants!F127="none",$F$65/Constants!C127,MIN(Constants!F127,$F$65/Constants!C127))</f>
        <v>1.4000000000000001</v>
      </c>
      <c r="E74" s="757" t="b">
        <f>$B$14=A74</f>
        <v>0</v>
      </c>
      <c r="O74" s="16"/>
    </row>
    <row r="75" spans="1:15">
      <c r="A75" s="757"/>
      <c r="B75" s="757" t="s">
        <v>131</v>
      </c>
      <c r="C75" s="761">
        <f ca="1">IF(Constants!F128="none",$F$65/Constants!C128,MIN(Constants!F128,$F$65/Constants!C128))</f>
        <v>1.4000000000000001</v>
      </c>
      <c r="D75" s="761">
        <f ca="1">IF(Constants!F129="none",$F$65/Constants!C129,MIN(Constants!F129,$F$65/Constants!C129))</f>
        <v>1.4000000000000001</v>
      </c>
      <c r="E75" s="757"/>
    </row>
    <row r="76" spans="1:15">
      <c r="A76" s="757" t="s">
        <v>99</v>
      </c>
      <c r="B76" s="757" t="s">
        <v>146</v>
      </c>
      <c r="C76" s="761"/>
      <c r="D76" s="761">
        <f ca="1">MIN(Constants!F130,$F$65/Constants!C130)</f>
        <v>1.4000000000000001</v>
      </c>
      <c r="E76" s="757" t="b">
        <f>$B$14=A76</f>
        <v>0</v>
      </c>
    </row>
    <row r="77" spans="1:15">
      <c r="A77" s="757" t="s">
        <v>97</v>
      </c>
      <c r="B77" s="757" t="s">
        <v>138</v>
      </c>
      <c r="C77" s="761"/>
      <c r="D77" s="761">
        <f ca="1">MIN(Constants!F131,$F$65/Constants!C131)</f>
        <v>1.4000000000000001</v>
      </c>
      <c r="E77" s="757" t="b">
        <f>$B$14=A77</f>
        <v>0</v>
      </c>
    </row>
    <row r="78" spans="1:15">
      <c r="A78" s="757" t="s">
        <v>102</v>
      </c>
      <c r="B78" s="757" t="s">
        <v>154</v>
      </c>
      <c r="C78" s="761">
        <f>MIN(Constants!F132,F61/Constants!C132)</f>
        <v>0</v>
      </c>
      <c r="D78" s="761">
        <f>MIN(Constants!F133,F61/Constants!C133)</f>
        <v>0</v>
      </c>
      <c r="E78" s="757" t="b">
        <f>$B$14=A78</f>
        <v>0</v>
      </c>
    </row>
    <row r="79" spans="1:15">
      <c r="A79" s="757" t="s">
        <v>347</v>
      </c>
      <c r="B79" s="757" t="s">
        <v>350</v>
      </c>
      <c r="C79" s="757"/>
      <c r="D79" s="761">
        <f ca="1">MIN(Constants!F134,F65/Constants!C134)</f>
        <v>1.4000000000000001</v>
      </c>
      <c r="E79" s="757" t="b">
        <f>$B$14=A79</f>
        <v>0</v>
      </c>
      <c r="G79" s="107"/>
      <c r="H79" s="107"/>
      <c r="I79" s="107"/>
    </row>
    <row r="80" spans="1:15">
      <c r="A80" s="757"/>
      <c r="B80" s="757" t="s">
        <v>351</v>
      </c>
      <c r="C80" s="757">
        <f>MIN(Constants!F135,I49*Constants!C135)</f>
        <v>9.0000000000000011E-2</v>
      </c>
      <c r="D80" s="757"/>
      <c r="E80" s="757"/>
      <c r="G80" s="107"/>
      <c r="H80" s="107"/>
      <c r="I80" s="107"/>
    </row>
    <row r="81" spans="1:14">
      <c r="A81" s="757" t="s">
        <v>150</v>
      </c>
      <c r="B81" s="757" t="s">
        <v>391</v>
      </c>
      <c r="C81" s="757"/>
      <c r="D81" s="761">
        <f>MIN(Constants!F136,Production!O27/Constants!C136)</f>
        <v>0.83333333333333337</v>
      </c>
      <c r="E81" s="757" t="b">
        <f>$B$14=A81</f>
        <v>0</v>
      </c>
      <c r="G81" s="107"/>
      <c r="H81" s="449"/>
      <c r="I81" s="107"/>
      <c r="J81" s="951"/>
      <c r="K81" s="98"/>
      <c r="M81" s="1"/>
      <c r="N81" s="98"/>
    </row>
    <row r="82" spans="1:14">
      <c r="A82" s="757" t="s">
        <v>579</v>
      </c>
      <c r="B82" s="757" t="s">
        <v>491</v>
      </c>
      <c r="C82" s="757"/>
      <c r="D82" s="761">
        <f ca="1">MIN(nox_nightshade_cap,E65/E45/nox_nightshade_swamp_bonus)</f>
        <v>2.8000000000000003</v>
      </c>
      <c r="E82" s="757" t="b">
        <f>$B$14=A82</f>
        <v>0</v>
      </c>
      <c r="G82" s="107"/>
      <c r="H82" s="449"/>
      <c r="I82" s="449"/>
      <c r="J82" s="951"/>
      <c r="K82" s="98"/>
      <c r="M82" s="1"/>
      <c r="N82" s="98"/>
    </row>
    <row r="83" spans="1:14">
      <c r="A83" s="1393" t="s">
        <v>604</v>
      </c>
      <c r="B83" s="1394" t="s">
        <v>608</v>
      </c>
      <c r="C83" s="1395">
        <f>MIN(flying_ant_cap,F52/flying_ant_bonus)</f>
        <v>0</v>
      </c>
      <c r="D83" s="1395"/>
      <c r="E83" s="757" t="b">
        <f t="shared" ref="E83:E86" si="1">$B$14=A83</f>
        <v>0</v>
      </c>
      <c r="F83" s="1354"/>
      <c r="G83" s="1392"/>
      <c r="H83" s="449"/>
      <c r="I83" s="449"/>
      <c r="J83" s="951"/>
      <c r="K83" s="98"/>
      <c r="M83" s="1"/>
    </row>
    <row r="84" spans="1:14">
      <c r="A84" s="1397" t="s">
        <v>614</v>
      </c>
      <c r="B84" s="1396" t="s">
        <v>617</v>
      </c>
      <c r="C84" s="1398"/>
      <c r="D84" s="1398">
        <f ca="1">MIN(goat_witch_cap,F65/goat_witch_bonus)</f>
        <v>2.8000000000000003</v>
      </c>
      <c r="E84" s="1399" t="b">
        <f t="shared" si="1"/>
        <v>0</v>
      </c>
      <c r="F84" s="1400"/>
      <c r="G84" s="1392"/>
      <c r="H84" s="449"/>
      <c r="I84" s="449"/>
      <c r="J84" s="951"/>
      <c r="K84" s="98"/>
      <c r="M84" s="1"/>
    </row>
    <row r="85" spans="1:14">
      <c r="A85" s="1397" t="s">
        <v>614</v>
      </c>
      <c r="B85" s="1396" t="s">
        <v>618</v>
      </c>
      <c r="C85" s="1398"/>
      <c r="D85" s="1398">
        <f ca="1">MIN(minotaur_cap,F65/minotaur_bonus)</f>
        <v>2.8000000000000003</v>
      </c>
      <c r="E85" s="1399" t="b">
        <f t="shared" si="1"/>
        <v>0</v>
      </c>
      <c r="F85" s="35"/>
      <c r="G85" s="1392"/>
      <c r="H85" s="449"/>
      <c r="I85" s="449"/>
      <c r="J85" s="951"/>
      <c r="K85" s="98"/>
      <c r="M85" s="1"/>
    </row>
    <row r="86" spans="1:14">
      <c r="A86" s="1396" t="s">
        <v>629</v>
      </c>
      <c r="B86" s="1396" t="s">
        <v>632</v>
      </c>
      <c r="C86" s="1398">
        <f>MIN(fanatic_cap,F60/fanatic_bonus)</f>
        <v>0</v>
      </c>
      <c r="D86" s="1398">
        <f>MIN(fanatic_cap,F60/fanatic_bonus)</f>
        <v>0</v>
      </c>
      <c r="E86" s="1399" t="b">
        <f t="shared" si="1"/>
        <v>0</v>
      </c>
      <c r="F86" s="35"/>
      <c r="G86" s="1392"/>
      <c r="H86" s="449"/>
      <c r="I86" s="107"/>
      <c r="J86" s="951"/>
      <c r="K86" s="98"/>
      <c r="M86" s="1"/>
    </row>
    <row r="87" spans="1:14">
      <c r="A87" s="1396" t="s">
        <v>629</v>
      </c>
      <c r="B87" s="1396" t="s">
        <v>633</v>
      </c>
      <c r="C87" s="1398">
        <f>MIN(holy_warrior_cap,F58/holy_warrior_bonus)</f>
        <v>0</v>
      </c>
      <c r="D87" s="1398"/>
      <c r="E87" s="1399" t="b">
        <f>$B$14=A87</f>
        <v>0</v>
      </c>
      <c r="F87" s="35"/>
      <c r="G87" s="1392"/>
      <c r="H87" s="449"/>
      <c r="I87" s="449"/>
      <c r="J87" s="11"/>
      <c r="K87" s="98"/>
      <c r="M87" s="1"/>
    </row>
    <row r="88" spans="1:14">
      <c r="A88" s="1396" t="s">
        <v>104</v>
      </c>
      <c r="B88" s="1396" t="s">
        <v>159</v>
      </c>
      <c r="C88" s="1398">
        <f>MIN(banshee_cap,F47/banshee_bonus)</f>
        <v>0</v>
      </c>
      <c r="D88" s="1398">
        <f>MIN(banshee_cap,F47/banshee_bonus)</f>
        <v>0</v>
      </c>
      <c r="E88" s="1399" t="b">
        <f>$B$14=A88</f>
        <v>0</v>
      </c>
      <c r="F88" s="1400"/>
      <c r="G88" s="1392"/>
      <c r="H88" s="107"/>
      <c r="I88" s="449"/>
      <c r="J88" s="11"/>
      <c r="K88" s="98"/>
      <c r="M88" s="1"/>
    </row>
    <row r="89" spans="1:14">
      <c r="A89" s="1396" t="s">
        <v>104</v>
      </c>
      <c r="B89" s="1396" t="s">
        <v>158</v>
      </c>
      <c r="C89" s="1398">
        <f>MIN(phantom_cap,F47/phantom_bonus)</f>
        <v>0</v>
      </c>
      <c r="D89" s="1398">
        <f>MIN(phantom_cap,F47/phantom_bonus)</f>
        <v>0</v>
      </c>
      <c r="E89" s="1399" t="b">
        <f t="shared" ref="E89:E94" si="2">$B$14=A89</f>
        <v>0</v>
      </c>
      <c r="F89" s="1400"/>
      <c r="G89" s="1392"/>
      <c r="H89" s="449"/>
      <c r="I89" s="449"/>
      <c r="J89" s="11"/>
      <c r="K89" s="98"/>
      <c r="M89" s="1"/>
    </row>
    <row r="90" spans="1:14">
      <c r="A90" s="1396" t="s">
        <v>103</v>
      </c>
      <c r="B90" s="1396" t="s">
        <v>672</v>
      </c>
      <c r="C90" s="1398">
        <f>MIN(wraith_cap,I49/wraith_bonus)</f>
        <v>0.1</v>
      </c>
      <c r="D90" s="1398"/>
      <c r="E90" s="1399" t="b">
        <f t="shared" si="2"/>
        <v>0</v>
      </c>
      <c r="F90" s="1400"/>
      <c r="G90" s="1392"/>
      <c r="H90" s="449"/>
      <c r="I90" s="107"/>
      <c r="J90" s="1189"/>
      <c r="M90" s="1"/>
    </row>
    <row r="91" spans="1:14">
      <c r="A91" s="1396" t="s">
        <v>96</v>
      </c>
      <c r="B91" s="1396" t="s">
        <v>134</v>
      </c>
      <c r="C91" s="1398">
        <f>MIN(staff_cap,I48/staff_bonus)</f>
        <v>0.1</v>
      </c>
      <c r="D91" s="1398"/>
      <c r="E91" s="1399" t="b">
        <f t="shared" si="2"/>
        <v>0</v>
      </c>
      <c r="F91" s="1400"/>
      <c r="G91" s="1392"/>
      <c r="H91" s="1390"/>
      <c r="I91" s="107"/>
      <c r="J91" s="1189"/>
      <c r="K91" s="1354"/>
      <c r="M91" s="1"/>
    </row>
    <row r="92" spans="1:14">
      <c r="A92" s="1396" t="s">
        <v>624</v>
      </c>
      <c r="B92" s="1396" t="s">
        <v>627</v>
      </c>
      <c r="C92" s="1401">
        <f>MIN(valkyrja_cap,Production!O27/valkyrja_bonus)</f>
        <v>1</v>
      </c>
      <c r="D92" s="1402"/>
      <c r="E92" s="1399" t="b">
        <f t="shared" si="2"/>
        <v>0</v>
      </c>
      <c r="F92" s="1400"/>
      <c r="G92" s="1392"/>
      <c r="H92" s="107"/>
      <c r="I92" s="1392"/>
      <c r="J92" s="1031"/>
      <c r="M92" s="1"/>
    </row>
    <row r="93" spans="1:14">
      <c r="A93" s="1396" t="s">
        <v>645</v>
      </c>
      <c r="B93" s="1396" t="s">
        <v>647</v>
      </c>
      <c r="C93" s="1401"/>
      <c r="D93" s="1403">
        <f>MIN(warlock_cap,Production!O27/warlock_bonus)</f>
        <v>1.25</v>
      </c>
      <c r="E93" s="1399" t="b">
        <f t="shared" si="2"/>
        <v>0</v>
      </c>
      <c r="F93" s="1400"/>
      <c r="G93" s="1392"/>
      <c r="H93" s="1390"/>
      <c r="I93" s="1392"/>
      <c r="J93" s="1031"/>
      <c r="M93" s="1"/>
    </row>
    <row r="94" spans="1:14">
      <c r="A94" s="1396" t="s">
        <v>107</v>
      </c>
      <c r="B94" s="1394" t="s">
        <v>172</v>
      </c>
      <c r="C94" s="1395">
        <f ca="1">MIN(lizardman_cap,F65/lizardman_bonus)</f>
        <v>3</v>
      </c>
      <c r="D94" s="1395"/>
      <c r="E94" s="757" t="b">
        <f t="shared" si="2"/>
        <v>0</v>
      </c>
      <c r="F94" s="1354"/>
      <c r="G94" s="1392"/>
      <c r="H94" s="1390"/>
      <c r="I94" s="107"/>
      <c r="J94" s="11"/>
      <c r="K94" s="1354"/>
      <c r="M94" s="1"/>
    </row>
    <row r="95" spans="1:14">
      <c r="G95" s="1392"/>
    </row>
    <row r="96" spans="1:14">
      <c r="G96" s="1392"/>
      <c r="H96" s="107"/>
      <c r="I96" s="107"/>
    </row>
    <row r="97" spans="1:15">
      <c r="G97" s="1392"/>
      <c r="H97" s="107"/>
      <c r="I97" s="107"/>
    </row>
    <row r="98" spans="1:15">
      <c r="A98" s="758" t="s">
        <v>303</v>
      </c>
      <c r="B98" s="757"/>
      <c r="C98" s="757"/>
      <c r="D98" s="757"/>
      <c r="E98" s="762"/>
      <c r="G98" s="107"/>
      <c r="H98" s="107"/>
      <c r="I98" s="107"/>
    </row>
    <row r="99" spans="1:15">
      <c r="A99" s="757" t="s">
        <v>106</v>
      </c>
      <c r="B99" s="757" t="s">
        <v>345</v>
      </c>
      <c r="C99" s="757"/>
      <c r="D99" s="757">
        <f>MIN(B36,B37)*2</f>
        <v>800</v>
      </c>
      <c r="E99" s="757" t="b">
        <f>$B$14=A99</f>
        <v>0</v>
      </c>
    </row>
    <row r="100" spans="1:15">
      <c r="A100" s="757"/>
      <c r="B100" s="757" t="s">
        <v>346</v>
      </c>
      <c r="C100" s="757">
        <f>MIN(B37,B34)*2</f>
        <v>0</v>
      </c>
      <c r="D100" s="757"/>
      <c r="E100" s="757"/>
    </row>
    <row r="101" spans="1:15">
      <c r="O101" s="16"/>
    </row>
    <row r="102" spans="1:15">
      <c r="O102" s="16"/>
    </row>
    <row r="103" spans="1:15">
      <c r="O103" s="16"/>
    </row>
    <row r="104" spans="1:15">
      <c r="O104" s="16"/>
    </row>
    <row r="105" spans="1:15">
      <c r="O105" s="16"/>
    </row>
    <row r="106" spans="1:15">
      <c r="O106" s="16"/>
    </row>
    <row r="107" spans="1:15">
      <c r="O107" s="16"/>
    </row>
    <row r="111" spans="1:15">
      <c r="O111" s="16"/>
    </row>
    <row r="112" spans="1:15">
      <c r="O112" s="16"/>
    </row>
    <row r="113" spans="15:15">
      <c r="O113" s="16"/>
    </row>
    <row r="114" spans="15:15">
      <c r="O114" s="16"/>
    </row>
    <row r="115" spans="15:15">
      <c r="O115" s="16"/>
    </row>
    <row r="116" spans="15:15">
      <c r="O116" s="16"/>
    </row>
    <row r="117" spans="15:15">
      <c r="O117" s="16"/>
    </row>
    <row r="118" spans="15:15">
      <c r="O118" s="16"/>
    </row>
    <row r="119" spans="15:15">
      <c r="O119" s="16"/>
    </row>
    <row r="120" spans="15:15">
      <c r="O120" s="16"/>
    </row>
    <row r="121" spans="15:15">
      <c r="O121" s="16"/>
    </row>
    <row r="122" spans="15:15">
      <c r="O122" s="16"/>
    </row>
    <row r="123" spans="15:15">
      <c r="O123" s="16"/>
    </row>
    <row r="124" spans="15:15">
      <c r="O124" s="16"/>
    </row>
    <row r="125" spans="15:15">
      <c r="O125" s="16"/>
    </row>
    <row r="126" spans="15:15">
      <c r="O126" s="16"/>
    </row>
    <row r="127" spans="15:15">
      <c r="O127" s="16"/>
    </row>
    <row r="128" spans="15:15">
      <c r="O128" s="16"/>
    </row>
    <row r="129" spans="15:15">
      <c r="O129" s="16"/>
    </row>
    <row r="130" spans="15:15">
      <c r="O130" s="16"/>
    </row>
    <row r="131" spans="15:15">
      <c r="O131" s="16"/>
    </row>
    <row r="132" spans="15:15">
      <c r="O132" s="16"/>
    </row>
    <row r="133" spans="15:15">
      <c r="O133" s="16"/>
    </row>
    <row r="134" spans="15:15">
      <c r="O134" s="16"/>
    </row>
    <row r="135" spans="15:15">
      <c r="O135" s="16"/>
    </row>
    <row r="136" spans="15:15">
      <c r="O136" s="16"/>
    </row>
    <row r="137" spans="15:15">
      <c r="O137" s="16"/>
    </row>
    <row r="138" spans="15:15">
      <c r="O138" s="16"/>
    </row>
    <row r="139" spans="15:15">
      <c r="O139" s="16"/>
    </row>
    <row r="140" spans="15:15">
      <c r="O140" s="16"/>
    </row>
    <row r="141" spans="15:15">
      <c r="O141" s="16"/>
    </row>
    <row r="142" spans="15:15">
      <c r="O142" s="16"/>
    </row>
    <row r="143" spans="15:15">
      <c r="O143" s="16"/>
    </row>
    <row r="144" spans="15:15">
      <c r="O144" s="16"/>
    </row>
    <row r="145" spans="15:15">
      <c r="O145" s="16"/>
    </row>
    <row r="146" spans="15:15">
      <c r="O146" s="16"/>
    </row>
    <row r="147" spans="15:15">
      <c r="O147" s="16"/>
    </row>
    <row r="148" spans="15:15">
      <c r="O148" s="16"/>
    </row>
    <row r="149" spans="15:15">
      <c r="O149" s="16"/>
    </row>
    <row r="150" spans="15:15">
      <c r="O150" s="16"/>
    </row>
    <row r="151" spans="15:15">
      <c r="O151" s="16"/>
    </row>
    <row r="152" spans="15:15">
      <c r="O152" s="16"/>
    </row>
    <row r="153" spans="15:15">
      <c r="O153" s="16"/>
    </row>
    <row r="154" spans="15:15">
      <c r="O154" s="16"/>
    </row>
    <row r="155" spans="15:15">
      <c r="O155" s="16"/>
    </row>
    <row r="156" spans="15:15">
      <c r="O156" s="16"/>
    </row>
    <row r="157" spans="15:15">
      <c r="O157" s="16"/>
    </row>
    <row r="158" spans="15:15">
      <c r="O158" s="16"/>
    </row>
    <row r="159" spans="15:15">
      <c r="O159" s="16"/>
    </row>
    <row r="160" spans="15:15">
      <c r="O160" s="16"/>
    </row>
    <row r="161" spans="15:15">
      <c r="O161" s="16"/>
    </row>
    <row r="162" spans="15:15">
      <c r="O162" s="16"/>
    </row>
    <row r="163" spans="15:15">
      <c r="O163" s="16"/>
    </row>
    <row r="164" spans="15:15">
      <c r="O164" s="16"/>
    </row>
    <row r="165" spans="15:15">
      <c r="O165" s="16"/>
    </row>
    <row r="166" spans="15:15">
      <c r="O166" s="16"/>
    </row>
    <row r="167" spans="15:15">
      <c r="O167" s="16"/>
    </row>
    <row r="168" spans="15:15">
      <c r="O168" s="16"/>
    </row>
    <row r="169" spans="15:15">
      <c r="O169" s="16"/>
    </row>
    <row r="170" spans="15:15">
      <c r="O170" s="16"/>
    </row>
    <row r="171" spans="15:15">
      <c r="O171" s="16"/>
    </row>
    <row r="172" spans="15:15">
      <c r="O172" s="16"/>
    </row>
    <row r="173" spans="15:15">
      <c r="O173" s="16"/>
    </row>
    <row r="174" spans="15:15">
      <c r="O174" s="16"/>
    </row>
    <row r="175" spans="15:15">
      <c r="O175" s="16"/>
    </row>
    <row r="176" spans="15:15">
      <c r="O176" s="16"/>
    </row>
    <row r="177" spans="15:15">
      <c r="O177" s="16"/>
    </row>
    <row r="178" spans="15:15">
      <c r="O178" s="16"/>
    </row>
    <row r="179" spans="15:15">
      <c r="O179" s="16"/>
    </row>
    <row r="180" spans="15:15">
      <c r="O180" s="16"/>
    </row>
    <row r="181" spans="15:15">
      <c r="O181" s="16"/>
    </row>
    <row r="182" spans="15:15">
      <c r="O182" s="16"/>
    </row>
    <row r="183" spans="15:15">
      <c r="O183" s="16"/>
    </row>
    <row r="184" spans="15:15">
      <c r="O184" s="16"/>
    </row>
    <row r="185" spans="15:15">
      <c r="O185" s="16"/>
    </row>
    <row r="186" spans="15:15">
      <c r="O186" s="16"/>
    </row>
    <row r="187" spans="15:15">
      <c r="O187" s="16"/>
    </row>
    <row r="188" spans="15:15">
      <c r="O188" s="16"/>
    </row>
    <row r="189" spans="15:15">
      <c r="O189" s="16"/>
    </row>
    <row r="190" spans="15:15">
      <c r="O190" s="16"/>
    </row>
    <row r="191" spans="15:15">
      <c r="O191" s="16"/>
    </row>
    <row r="192" spans="15:15">
      <c r="O192" s="16"/>
    </row>
    <row r="193" spans="15:15">
      <c r="O193" s="16"/>
    </row>
    <row r="194" spans="15:15">
      <c r="O194" s="16"/>
    </row>
    <row r="195" spans="15:15">
      <c r="O195" s="16"/>
    </row>
    <row r="196" spans="15:15">
      <c r="O196" s="16"/>
    </row>
    <row r="197" spans="15:15">
      <c r="O197" s="16"/>
    </row>
    <row r="198" spans="15:15">
      <c r="O198" s="16"/>
    </row>
    <row r="199" spans="15:15">
      <c r="O199" s="16"/>
    </row>
    <row r="200" spans="15:15">
      <c r="O200" s="16"/>
    </row>
    <row r="201" spans="15:15">
      <c r="O201" s="16"/>
    </row>
    <row r="202" spans="15:15">
      <c r="O202" s="16"/>
    </row>
    <row r="203" spans="15:15">
      <c r="O203" s="16"/>
    </row>
    <row r="204" spans="15:15">
      <c r="O204" s="16"/>
    </row>
    <row r="205" spans="15:15">
      <c r="O205" s="16"/>
    </row>
    <row r="206" spans="15:15">
      <c r="O206" s="16"/>
    </row>
    <row r="207" spans="15:15">
      <c r="O207" s="16"/>
    </row>
    <row r="208" spans="15:15">
      <c r="O208" s="16"/>
    </row>
    <row r="209" spans="15:15">
      <c r="O209" s="16"/>
    </row>
    <row r="210" spans="15:15">
      <c r="O210" s="16"/>
    </row>
    <row r="211" spans="15:15">
      <c r="O211" s="16"/>
    </row>
    <row r="212" spans="15:15">
      <c r="O212" s="16"/>
    </row>
    <row r="213" spans="15:15">
      <c r="O213" s="16"/>
    </row>
    <row r="214" spans="15:15">
      <c r="O214" s="16"/>
    </row>
    <row r="215" spans="15:15">
      <c r="O215" s="16"/>
    </row>
    <row r="216" spans="15:15">
      <c r="O216" s="16"/>
    </row>
    <row r="217" spans="15:15">
      <c r="O217" s="16"/>
    </row>
    <row r="218" spans="15:15">
      <c r="O218" s="16"/>
    </row>
    <row r="219" spans="15:15">
      <c r="O219" s="16"/>
    </row>
    <row r="220" spans="15:15">
      <c r="O220" s="16"/>
    </row>
    <row r="221" spans="15:15">
      <c r="O221" s="16"/>
    </row>
    <row r="222" spans="15:15">
      <c r="O222" s="16"/>
    </row>
    <row r="223" spans="15:15">
      <c r="O223" s="16"/>
    </row>
    <row r="224" spans="15:15">
      <c r="O224" s="16"/>
    </row>
    <row r="225" spans="15:15">
      <c r="O225" s="16"/>
    </row>
    <row r="226" spans="15:15">
      <c r="O226" s="16"/>
    </row>
    <row r="227" spans="15:15">
      <c r="O227" s="16"/>
    </row>
    <row r="228" spans="15:15">
      <c r="O228" s="16"/>
    </row>
    <row r="229" spans="15:15">
      <c r="O229" s="16"/>
    </row>
    <row r="230" spans="15:15">
      <c r="O230" s="16"/>
    </row>
    <row r="231" spans="15:15">
      <c r="O231" s="16"/>
    </row>
    <row r="232" spans="15:15">
      <c r="O232" s="16"/>
    </row>
    <row r="233" spans="15:15">
      <c r="O233" s="16"/>
    </row>
    <row r="234" spans="15:15">
      <c r="O234" s="16"/>
    </row>
    <row r="235" spans="15:15">
      <c r="O235" s="16"/>
    </row>
    <row r="236" spans="15:15">
      <c r="O236" s="16"/>
    </row>
    <row r="237" spans="15:15">
      <c r="O237" s="16"/>
    </row>
    <row r="238" spans="15:15">
      <c r="O238" s="16"/>
    </row>
    <row r="239" spans="15:15">
      <c r="O239" s="16"/>
    </row>
    <row r="240" spans="15:15">
      <c r="O240" s="16"/>
    </row>
    <row r="241" spans="15:15">
      <c r="O241" s="16"/>
    </row>
    <row r="242" spans="15:15">
      <c r="O242" s="16"/>
    </row>
    <row r="243" spans="15:15">
      <c r="O243" s="16"/>
    </row>
    <row r="244" spans="15:15">
      <c r="O244" s="16"/>
    </row>
    <row r="245" spans="15:15">
      <c r="O245" s="16"/>
    </row>
    <row r="246" spans="15:15">
      <c r="O246" s="16"/>
    </row>
    <row r="247" spans="15:15">
      <c r="O247" s="16"/>
    </row>
    <row r="248" spans="15:15">
      <c r="O248" s="16"/>
    </row>
    <row r="249" spans="15:15">
      <c r="O249" s="16"/>
    </row>
    <row r="250" spans="15:15">
      <c r="O250" s="16"/>
    </row>
    <row r="251" spans="15:15">
      <c r="O251" s="16"/>
    </row>
    <row r="252" spans="15:15">
      <c r="O252" s="16"/>
    </row>
    <row r="253" spans="15:15">
      <c r="O253" s="16"/>
    </row>
    <row r="254" spans="15:15">
      <c r="O254" s="16"/>
    </row>
    <row r="255" spans="15:15">
      <c r="O255" s="16"/>
    </row>
    <row r="256" spans="15:15">
      <c r="O256" s="16"/>
    </row>
    <row r="257" spans="15:15">
      <c r="O257" s="16"/>
    </row>
    <row r="258" spans="15:15">
      <c r="O258" s="16"/>
    </row>
    <row r="259" spans="15:15">
      <c r="O259" s="16"/>
    </row>
    <row r="260" spans="15:15">
      <c r="O260" s="16"/>
    </row>
    <row r="261" spans="15:15">
      <c r="O261" s="16"/>
    </row>
    <row r="262" spans="15:15">
      <c r="O262" s="16"/>
    </row>
    <row r="263" spans="15:15">
      <c r="O263" s="16"/>
    </row>
    <row r="264" spans="15:15">
      <c r="O264" s="16"/>
    </row>
    <row r="265" spans="15:15">
      <c r="O265" s="16"/>
    </row>
    <row r="266" spans="15:15">
      <c r="O266" s="16"/>
    </row>
    <row r="267" spans="15:15">
      <c r="O267" s="16"/>
    </row>
    <row r="268" spans="15:15">
      <c r="O268" s="16"/>
    </row>
    <row r="269" spans="15:15">
      <c r="O269" s="16"/>
    </row>
    <row r="270" spans="15:15">
      <c r="O270" s="16"/>
    </row>
    <row r="271" spans="15:15">
      <c r="O271" s="16"/>
    </row>
    <row r="272" spans="15:15">
      <c r="O272" s="16"/>
    </row>
    <row r="273" spans="15:15">
      <c r="O273" s="16"/>
    </row>
    <row r="274" spans="15:15">
      <c r="O274" s="16"/>
    </row>
    <row r="275" spans="15:15">
      <c r="O275" s="16"/>
    </row>
    <row r="276" spans="15:15">
      <c r="O276" s="16"/>
    </row>
    <row r="277" spans="15:15">
      <c r="O277" s="16"/>
    </row>
    <row r="278" spans="15:15">
      <c r="O278" s="16"/>
    </row>
    <row r="279" spans="15:15">
      <c r="O279" s="16"/>
    </row>
    <row r="280" spans="15:15">
      <c r="O280" s="16"/>
    </row>
    <row r="281" spans="15:15">
      <c r="O281" s="16"/>
    </row>
    <row r="282" spans="15:15">
      <c r="O282" s="16"/>
    </row>
    <row r="283" spans="15:15">
      <c r="O283" s="16"/>
    </row>
    <row r="284" spans="15:15">
      <c r="O284" s="16"/>
    </row>
    <row r="285" spans="15:15">
      <c r="O285" s="16"/>
    </row>
    <row r="286" spans="15:15">
      <c r="O286" s="16"/>
    </row>
    <row r="287" spans="15:15">
      <c r="O287" s="16"/>
    </row>
    <row r="288" spans="15:15">
      <c r="O288" s="16"/>
    </row>
    <row r="289" spans="15:15">
      <c r="O289" s="16"/>
    </row>
    <row r="290" spans="15:15">
      <c r="O290" s="16"/>
    </row>
    <row r="291" spans="15:15">
      <c r="O291" s="16"/>
    </row>
    <row r="292" spans="15:15">
      <c r="O292" s="16"/>
    </row>
    <row r="293" spans="15:15">
      <c r="O293" s="16"/>
    </row>
    <row r="294" spans="15:15">
      <c r="O294" s="16"/>
    </row>
    <row r="295" spans="15:15">
      <c r="O295" s="16"/>
    </row>
    <row r="296" spans="15:15">
      <c r="O296" s="16"/>
    </row>
    <row r="297" spans="15:15">
      <c r="O297" s="16"/>
    </row>
    <row r="298" spans="15:15">
      <c r="O298" s="16"/>
    </row>
    <row r="299" spans="15:15">
      <c r="O299" s="16"/>
    </row>
    <row r="300" spans="15:15">
      <c r="O300" s="16"/>
    </row>
    <row r="301" spans="15:15">
      <c r="O301" s="16"/>
    </row>
    <row r="302" spans="15:15">
      <c r="O302" s="16"/>
    </row>
    <row r="303" spans="15:15">
      <c r="O303" s="16"/>
    </row>
    <row r="304" spans="15:15">
      <c r="O304" s="16"/>
    </row>
    <row r="305" spans="15:15">
      <c r="O305" s="16"/>
    </row>
    <row r="306" spans="15:15">
      <c r="O306" s="16"/>
    </row>
    <row r="307" spans="15:15">
      <c r="O307" s="16"/>
    </row>
    <row r="308" spans="15:15">
      <c r="O308" s="16"/>
    </row>
    <row r="309" spans="15:15">
      <c r="O309" s="16"/>
    </row>
    <row r="310" spans="15:15">
      <c r="O310" s="16"/>
    </row>
  </sheetData>
  <mergeCells count="21">
    <mergeCell ref="A71:B71"/>
    <mergeCell ref="D34:D37"/>
    <mergeCell ref="G34:G37"/>
    <mergeCell ref="D42:H42"/>
    <mergeCell ref="F32:H32"/>
    <mergeCell ref="K51:N52"/>
    <mergeCell ref="K44:N49"/>
    <mergeCell ref="M1:O1"/>
    <mergeCell ref="A2:L7"/>
    <mergeCell ref="J8:L12"/>
    <mergeCell ref="D14:E14"/>
    <mergeCell ref="K39:N41"/>
    <mergeCell ref="A31:O31"/>
    <mergeCell ref="K37:N38"/>
    <mergeCell ref="A13:O13"/>
    <mergeCell ref="C32:E32"/>
    <mergeCell ref="M2:O12"/>
    <mergeCell ref="K34:N36"/>
    <mergeCell ref="A1:L1"/>
    <mergeCell ref="A8:I8"/>
    <mergeCell ref="A9:I12"/>
  </mergeCells>
  <phoneticPr fontId="0" type="noConversion"/>
  <conditionalFormatting sqref="D42">
    <cfRule type="expression" dxfId="106" priority="1" stopIfTrue="1">
      <formula>$D$42&lt;&gt;""</formula>
    </cfRule>
  </conditionalFormatting>
  <conditionalFormatting sqref="E18">
    <cfRule type="cellIs" dxfId="105" priority="2" stopIfTrue="1" operator="equal">
      <formula>"""Yes"""</formula>
    </cfRule>
    <cfRule type="expression" dxfId="104" priority="3" stopIfTrue="1">
      <formula>ISERROR(E18)</formula>
    </cfRule>
  </conditionalFormatting>
  <conditionalFormatting sqref="E17">
    <cfRule type="cellIs" dxfId="103" priority="4" stopIfTrue="1" operator="lessThan">
      <formula>1</formula>
    </cfRule>
  </conditionalFormatting>
  <dataValidations count="1">
    <dataValidation type="list" allowBlank="1" showInputMessage="1" showErrorMessage="1" sqref="B14">
      <formula1>races</formula1>
    </dataValidation>
  </dataValidations>
  <pageMargins left="0.75" right="0.75" top="1" bottom="1" header="0.5" footer="0.5"/>
  <pageSetup paperSize="9" orientation="portrait" horizontalDpi="300" verticalDpi="300" r:id="rId1"/>
  <headerFooter alignWithMargins="0"/>
  <legacyDrawing r:id="rId2"/>
</worksheet>
</file>

<file path=xl/worksheets/sheet10.xml><?xml version="1.0" encoding="utf-8"?>
<worksheet xmlns="http://schemas.openxmlformats.org/spreadsheetml/2006/main" xmlns:r="http://schemas.openxmlformats.org/officeDocument/2006/relationships">
  <sheetPr codeName="Sheet9"/>
  <dimension ref="A1:CF1269"/>
  <sheetViews>
    <sheetView zoomScale="85" workbookViewId="0">
      <pane ySplit="2" topLeftCell="A3" activePane="bottomLeft" state="frozenSplit"/>
      <selection activeCell="A3" sqref="A3"/>
      <selection pane="bottomLeft" activeCell="P3" sqref="P3"/>
    </sheetView>
  </sheetViews>
  <sheetFormatPr defaultRowHeight="12.75"/>
  <cols>
    <col min="1" max="1" width="5.140625" style="323" bestFit="1" customWidth="1"/>
    <col min="2" max="2" width="3.85546875" bestFit="1" customWidth="1"/>
    <col min="3" max="3" width="11.28515625" bestFit="1" customWidth="1"/>
    <col min="4" max="5" width="7.7109375" bestFit="1" customWidth="1"/>
    <col min="6" max="6" width="6.7109375" bestFit="1" customWidth="1"/>
    <col min="7" max="7" width="2.140625" bestFit="1" customWidth="1"/>
    <col min="8" max="8" width="7.7109375" bestFit="1" customWidth="1"/>
    <col min="9" max="9" width="9.28515625" customWidth="1"/>
    <col min="10" max="10" width="9.7109375" customWidth="1"/>
    <col min="11" max="11" width="4.5703125" style="320" customWidth="1"/>
    <col min="12" max="12" width="5.7109375" customWidth="1"/>
    <col min="13" max="13" width="5.5703125" customWidth="1"/>
    <col min="14" max="14" width="5.140625" style="16" customWidth="1"/>
    <col min="15" max="15" width="9" customWidth="1"/>
    <col min="16" max="16" width="7.42578125" customWidth="1"/>
    <col min="17" max="17" width="7.7109375" customWidth="1"/>
    <col min="18" max="18" width="9" customWidth="1"/>
    <col min="19" max="19" width="7.42578125" customWidth="1"/>
    <col min="20" max="20" width="13.5703125" customWidth="1"/>
    <col min="21" max="21" width="9" customWidth="1"/>
    <col min="22" max="22" width="7.42578125" customWidth="1"/>
    <col min="23" max="23" width="10.42578125" customWidth="1"/>
    <col min="24" max="24" width="2.42578125" customWidth="1"/>
    <col min="25" max="25" width="9.42578125" bestFit="1" customWidth="1"/>
    <col min="26" max="26" width="7" customWidth="1"/>
    <col min="27" max="27" width="7.5703125" bestFit="1" customWidth="1"/>
    <col min="28" max="29" width="7.42578125" bestFit="1" customWidth="1"/>
    <col min="30" max="30" width="8" bestFit="1" customWidth="1"/>
    <col min="31" max="31" width="2.140625" bestFit="1" customWidth="1"/>
    <col min="32" max="33" width="7.7109375" bestFit="1" customWidth="1"/>
    <col min="34" max="34" width="7.5703125" bestFit="1" customWidth="1"/>
    <col min="35" max="35" width="6.85546875" bestFit="1" customWidth="1"/>
    <col min="36" max="36" width="5.7109375" bestFit="1" customWidth="1"/>
    <col min="37" max="37" width="8" bestFit="1" customWidth="1"/>
    <col min="38" max="38" width="3.28515625" customWidth="1"/>
    <col min="39" max="39" width="8.28515625" bestFit="1" customWidth="1"/>
    <col min="40" max="40" width="7.140625" customWidth="1"/>
    <col min="41" max="41" width="4.140625" bestFit="1" customWidth="1"/>
    <col min="42" max="42" width="6" bestFit="1" customWidth="1"/>
    <col min="43" max="43" width="2.140625" bestFit="1" customWidth="1"/>
    <col min="44" max="44" width="8.28515625" bestFit="1" customWidth="1"/>
    <col min="45" max="45" width="7.42578125" bestFit="1" customWidth="1"/>
    <col min="46" max="46" width="4.140625" bestFit="1" customWidth="1"/>
    <col min="47" max="47" width="6" bestFit="1" customWidth="1"/>
    <col min="48" max="48" width="2.140625" bestFit="1" customWidth="1"/>
    <col min="49" max="49" width="8.28515625" bestFit="1" customWidth="1"/>
    <col min="50" max="50" width="7.140625" bestFit="1" customWidth="1"/>
    <col min="51" max="51" width="4.140625" bestFit="1" customWidth="1"/>
    <col min="52" max="52" width="6" bestFit="1" customWidth="1"/>
    <col min="53" max="53" width="2.140625" bestFit="1" customWidth="1"/>
    <col min="54" max="54" width="8.28515625" bestFit="1" customWidth="1"/>
    <col min="55" max="55" width="7.140625" bestFit="1" customWidth="1"/>
    <col min="56" max="56" width="4.140625" bestFit="1" customWidth="1"/>
    <col min="57" max="57" width="6" bestFit="1" customWidth="1"/>
    <col min="58" max="58" width="2.140625" bestFit="1" customWidth="1"/>
    <col min="59" max="59" width="8.28515625" bestFit="1" customWidth="1"/>
    <col min="60" max="60" width="7.140625" bestFit="1" customWidth="1"/>
    <col min="61" max="61" width="4.140625" bestFit="1" customWidth="1"/>
    <col min="62" max="62" width="6" bestFit="1" customWidth="1"/>
    <col min="63" max="63" width="2.140625" bestFit="1" customWidth="1"/>
    <col min="64" max="64" width="8.28515625" bestFit="1" customWidth="1"/>
    <col min="65" max="65" width="7.140625" bestFit="1" customWidth="1"/>
    <col min="66" max="66" width="4.140625" bestFit="1" customWidth="1"/>
    <col min="67" max="67" width="6" bestFit="1" customWidth="1"/>
    <col min="68" max="68" width="2.140625" bestFit="1" customWidth="1"/>
    <col min="69" max="69" width="8.28515625" bestFit="1" customWidth="1"/>
    <col min="70" max="70" width="7.140625" bestFit="1" customWidth="1"/>
    <col min="71" max="71" width="4.140625" bestFit="1" customWidth="1"/>
    <col min="72" max="72" width="6" bestFit="1" customWidth="1"/>
    <col min="73" max="73" width="2.140625" bestFit="1" customWidth="1"/>
    <col min="74" max="74" width="8.7109375" bestFit="1" customWidth="1"/>
    <col min="75" max="75" width="5.5703125" bestFit="1" customWidth="1"/>
    <col min="76" max="76" width="5.85546875" bestFit="1" customWidth="1"/>
    <col min="77" max="77" width="5.7109375" bestFit="1" customWidth="1"/>
    <col min="78" max="78" width="9.85546875" bestFit="1" customWidth="1"/>
    <col min="79" max="79" width="10.7109375" customWidth="1"/>
    <col min="80" max="80" width="11" customWidth="1"/>
    <col min="81" max="81" width="10" customWidth="1"/>
    <col min="82" max="82" width="10.85546875" bestFit="1" customWidth="1"/>
  </cols>
  <sheetData>
    <row r="1" spans="1:84" s="34" customFormat="1">
      <c r="A1" s="321"/>
      <c r="C1" s="1464" t="s">
        <v>80</v>
      </c>
      <c r="D1" s="1464"/>
      <c r="E1" s="1464"/>
      <c r="F1" s="1464"/>
      <c r="H1" s="34" t="s">
        <v>295</v>
      </c>
      <c r="K1" s="446"/>
      <c r="N1" s="496"/>
      <c r="O1" s="34" t="s">
        <v>228</v>
      </c>
      <c r="Y1" s="34" t="s">
        <v>37</v>
      </c>
      <c r="AF1" s="1467" t="s">
        <v>222</v>
      </c>
      <c r="AG1" s="1467"/>
      <c r="AM1" s="1467" t="s">
        <v>230</v>
      </c>
      <c r="AN1" s="1467"/>
      <c r="AR1" s="1467" t="s">
        <v>231</v>
      </c>
      <c r="AS1" s="1467"/>
      <c r="AT1" s="1406"/>
      <c r="AW1" s="1467" t="s">
        <v>232</v>
      </c>
      <c r="AX1" s="1467"/>
      <c r="AY1" s="1467"/>
      <c r="BB1" s="1467" t="s">
        <v>233</v>
      </c>
      <c r="BC1" s="1467"/>
      <c r="BD1" s="1467"/>
      <c r="BE1" s="1467"/>
      <c r="BG1" s="1467" t="s">
        <v>234</v>
      </c>
      <c r="BH1" s="1467"/>
      <c r="BI1" s="1467"/>
      <c r="BL1" s="1467" t="s">
        <v>235</v>
      </c>
      <c r="BM1" s="1406"/>
      <c r="BN1" s="1406"/>
      <c r="BQ1" s="1467" t="s">
        <v>236</v>
      </c>
      <c r="BR1" s="1467"/>
      <c r="BS1" s="1467"/>
      <c r="BV1" s="34" t="s">
        <v>324</v>
      </c>
    </row>
    <row r="2" spans="1:84" s="825" customFormat="1" ht="13.5" thickBot="1">
      <c r="A2" s="818" t="s">
        <v>1</v>
      </c>
      <c r="C2" s="825" t="s">
        <v>2</v>
      </c>
      <c r="D2" s="825" t="s">
        <v>7</v>
      </c>
      <c r="E2" s="825" t="s">
        <v>3</v>
      </c>
      <c r="F2" s="825" t="s">
        <v>4</v>
      </c>
      <c r="H2" s="825" t="s">
        <v>287</v>
      </c>
      <c r="I2" s="825" t="s">
        <v>237</v>
      </c>
      <c r="J2" s="825" t="s">
        <v>23</v>
      </c>
      <c r="K2" s="825" t="s">
        <v>0</v>
      </c>
      <c r="L2" s="825" t="s">
        <v>327</v>
      </c>
      <c r="M2" s="825" t="s">
        <v>323</v>
      </c>
      <c r="N2" s="825" t="s">
        <v>1</v>
      </c>
      <c r="O2" s="825" t="s">
        <v>330</v>
      </c>
      <c r="P2" s="825" t="s">
        <v>229</v>
      </c>
      <c r="Q2" s="825" t="s">
        <v>331</v>
      </c>
      <c r="R2" s="825" t="s">
        <v>330</v>
      </c>
      <c r="S2" s="825" t="s">
        <v>229</v>
      </c>
      <c r="T2" s="825" t="s">
        <v>331</v>
      </c>
      <c r="U2" s="825" t="s">
        <v>330</v>
      </c>
      <c r="V2" s="825" t="s">
        <v>229</v>
      </c>
      <c r="W2" s="825" t="s">
        <v>331</v>
      </c>
      <c r="Y2" s="825" t="s">
        <v>221</v>
      </c>
      <c r="Z2" s="825" t="s">
        <v>223</v>
      </c>
      <c r="AA2" s="825" t="s">
        <v>224</v>
      </c>
      <c r="AB2" s="825" t="s">
        <v>225</v>
      </c>
      <c r="AC2" s="825" t="s">
        <v>226</v>
      </c>
      <c r="AD2" s="825" t="s">
        <v>227</v>
      </c>
      <c r="AF2" s="825" t="s">
        <v>221</v>
      </c>
      <c r="AG2" s="825" t="s">
        <v>223</v>
      </c>
      <c r="AH2" s="825" t="s">
        <v>224</v>
      </c>
      <c r="AI2" s="825" t="s">
        <v>225</v>
      </c>
      <c r="AJ2" s="825" t="s">
        <v>226</v>
      </c>
      <c r="AK2" s="825" t="s">
        <v>227</v>
      </c>
      <c r="AM2" s="825" t="s">
        <v>2</v>
      </c>
      <c r="AN2" s="825" t="s">
        <v>7</v>
      </c>
      <c r="AO2" s="825" t="s">
        <v>3</v>
      </c>
      <c r="AP2" s="825" t="s">
        <v>4</v>
      </c>
      <c r="AR2" s="825" t="s">
        <v>2</v>
      </c>
      <c r="AS2" s="825" t="s">
        <v>7</v>
      </c>
      <c r="AT2" s="825" t="s">
        <v>3</v>
      </c>
      <c r="AU2" s="825" t="s">
        <v>4</v>
      </c>
      <c r="AW2" s="825" t="s">
        <v>2</v>
      </c>
      <c r="AX2" s="825" t="s">
        <v>7</v>
      </c>
      <c r="AY2" s="825" t="s">
        <v>3</v>
      </c>
      <c r="AZ2" s="825" t="s">
        <v>4</v>
      </c>
      <c r="BB2" s="825" t="s">
        <v>2</v>
      </c>
      <c r="BC2" s="825" t="s">
        <v>7</v>
      </c>
      <c r="BD2" s="825" t="s">
        <v>3</v>
      </c>
      <c r="BE2" s="825" t="s">
        <v>4</v>
      </c>
      <c r="BG2" s="825" t="s">
        <v>2</v>
      </c>
      <c r="BH2" s="825" t="s">
        <v>7</v>
      </c>
      <c r="BI2" s="825" t="s">
        <v>3</v>
      </c>
      <c r="BJ2" s="825" t="s">
        <v>4</v>
      </c>
      <c r="BL2" s="825" t="s">
        <v>2</v>
      </c>
      <c r="BM2" s="825" t="s">
        <v>7</v>
      </c>
      <c r="BN2" s="825" t="s">
        <v>3</v>
      </c>
      <c r="BO2" s="825" t="s">
        <v>4</v>
      </c>
      <c r="BQ2" s="825" t="s">
        <v>2</v>
      </c>
      <c r="BR2" s="825" t="s">
        <v>7</v>
      </c>
      <c r="BS2" s="825" t="s">
        <v>3</v>
      </c>
      <c r="BT2" s="825" t="s">
        <v>4</v>
      </c>
      <c r="BV2" s="1175" t="s">
        <v>325</v>
      </c>
      <c r="BW2" s="825" t="s">
        <v>323</v>
      </c>
      <c r="BY2" s="825" t="s">
        <v>327</v>
      </c>
      <c r="BZ2" s="825" t="s">
        <v>326</v>
      </c>
    </row>
    <row r="3" spans="1:84" s="1011" customFormat="1">
      <c r="A3" s="1167">
        <f>Construction!E3</f>
        <v>1000</v>
      </c>
      <c r="C3" s="1069">
        <f ca="1">Production!H3</f>
        <v>3936000</v>
      </c>
      <c r="D3" s="1080">
        <f ca="1">Production!J3</f>
        <v>302400</v>
      </c>
      <c r="E3" s="1080">
        <f ca="1">Production!L3</f>
        <v>300000</v>
      </c>
      <c r="F3" s="236">
        <f ca="1">Production!M3</f>
        <v>20000</v>
      </c>
      <c r="G3" s="1080"/>
      <c r="H3" s="1069">
        <f ca="1">Military!Z3</f>
        <v>4725</v>
      </c>
      <c r="I3" s="545">
        <f ca="1">Population!I3</f>
        <v>0.32653061224489793</v>
      </c>
      <c r="J3" s="544">
        <f ca="1">Population!F3/Population!U3</f>
        <v>2.2058823529411766</v>
      </c>
      <c r="K3" s="1009">
        <f>Rezone!J3</f>
        <v>1</v>
      </c>
      <c r="L3" s="587">
        <f>BY3</f>
        <v>43692</v>
      </c>
      <c r="M3" s="1168">
        <f t="shared" ref="M3:M14" si="0">IF(ISERROR(BV3),0,BV3*1)</f>
        <v>1</v>
      </c>
      <c r="N3" s="1169">
        <f t="shared" ref="N3:N14" si="1">A3</f>
        <v>1000</v>
      </c>
      <c r="O3" s="1170" t="s">
        <v>2</v>
      </c>
      <c r="P3" s="426"/>
      <c r="Q3" s="497" t="s">
        <v>221</v>
      </c>
      <c r="R3" s="1170" t="s">
        <v>7</v>
      </c>
      <c r="S3" s="426"/>
      <c r="T3" s="427" t="s">
        <v>221</v>
      </c>
      <c r="U3" s="1170" t="s">
        <v>3</v>
      </c>
      <c r="V3" s="426"/>
      <c r="W3" s="427" t="s">
        <v>221</v>
      </c>
      <c r="Y3" s="1088">
        <f ca="1">science_cap*(1-EXP(-AF3/(science_param*($A4-Explore!$S4*20)+15000)))*(1+(mason_bonus*Construction!BB3/Construction!BS3))+IF(Overview!$B$14="Beastfolk",Construction!DA3/Construction!E3,0)*(1 + Production!O3/100*prestige_pop_multiplier)</f>
        <v>0</v>
      </c>
      <c r="Z3" s="1090">
        <f ca="1">keep_cap*(1-EXP(-AG3/(keep_param*($A4-Explore!$S4*20)+15000)))*(1+(mason_bonus*Construction!BB3/Construction!BS3))+IF(Overview!$B$14="Beastfolk",Construction!DF3/Construction!E3,0)*(1 + Production!O3/100*prestige_pop_multiplier)</f>
        <v>0</v>
      </c>
      <c r="AA3" s="1073">
        <f ca="1">harbor_towers_cap*(1-EXP(-AH3/(harbor_towers_param*($A4-Explore!$S4*20)+15000)))*(1+(mason_bonus*Construction!BB3/Construction!BS3))+IF(Overview!$B$14="Beastfolk",2*Construction!DC3/Construction!E3,0)*(1 + Production!O3/100*prestige_pop_multiplier)</f>
        <v>0</v>
      </c>
      <c r="AB3" s="1073">
        <f ca="1">walls_forges_cap*(1-EXP(-AI3/(walls_forges_param*($A4-Explore!$S4*20)+15000)))*(1+(mason_bonus*Construction!BB3/Construction!BS3))+IF(Overview!$B$14="Beastfolk",0.2*Construction!CY3/Construction!E3,0)</f>
        <v>0</v>
      </c>
      <c r="AC3" s="1073">
        <f ca="1">walls_forges_cap*(1-EXP(-AJ3/(walls_forges_param*($A4-Explore!$S4*20)+15000)))*(1+(mason_bonus*Construction!BB3/Construction!BS3))+IF(Overview!$B$14="Beastfolk",5*Construction!DB3/Construction!E3,0)</f>
        <v>0</v>
      </c>
      <c r="AD3" s="1070">
        <f ca="1">harbor_towers_cap*(1-EXP(-AK3/(harbor_towers_param*($A4-Explore!$S4*20)+15000)))*(1+(mason_bonus*Construction!BB3/Construction!BS3))+IF(Overview!$B$14="Beastfolk",Construction!DE3/Construction!E3)*(1 + Production!O3/100*prestige_pop_multiplier)</f>
        <v>0</v>
      </c>
      <c r="AF3" s="1069">
        <f ca="1">(1+Overview!$O$28+IF(Magic!BA3&gt;0,0.1,0))*SUM(AR3:AU3)</f>
        <v>0</v>
      </c>
      <c r="AG3" s="1080">
        <f ca="1">(1+Overview!$O$28+IF(Magic!BA3&gt;0,0.1,0))*SUM(AW3:AZ3)</f>
        <v>0</v>
      </c>
      <c r="AH3" s="1080">
        <f ca="1">(1+Overview!$O$28+IF(Magic!BA3&gt;0,0.1,0))*SUM(BB3:BE3)</f>
        <v>0</v>
      </c>
      <c r="AI3" s="1080">
        <f ca="1">(1+Overview!$O$28+IF(Magic!BA3&gt;0,0.1,0))*SUM(BG3:BJ3)</f>
        <v>0</v>
      </c>
      <c r="AJ3" s="1080">
        <f ca="1">(1+Overview!$O$28+IF(Magic!BA3&gt;0,0.1,0))*SUM(BL3:BO3)</f>
        <v>0</v>
      </c>
      <c r="AK3" s="236">
        <f ca="1">(1+Overview!$O$28+IF(Magic!BA3&gt;0,0.1,0))*SUM(BQ3:BT3)</f>
        <v>0</v>
      </c>
      <c r="AM3" s="538">
        <f t="shared" ref="AM3:AP14" si="2">IF(AND($O3=AM$2,$Q3&lt;&gt;""),$P3) + IF(AND($R3=AM$2,$T3&lt;&gt;""),$S3) + IF(AND($U3=AM$2,$W3&lt;&gt;""),$V3)</f>
        <v>0</v>
      </c>
      <c r="AN3" s="1011">
        <f t="shared" si="2"/>
        <v>0</v>
      </c>
      <c r="AO3" s="1011">
        <f t="shared" si="2"/>
        <v>0</v>
      </c>
      <c r="AP3" s="1071">
        <f t="shared" si="2"/>
        <v>0</v>
      </c>
      <c r="AR3" s="1069">
        <f>IF($O3=AR$2,IF($Q3=$Y$2,$P3)) + IF($R3=AR$2,IF($T3=$Y$2,$S3)) + IF($U3=AR$2,IF($W3=$Y$2,$V3))</f>
        <v>0</v>
      </c>
      <c r="AS3" s="1080">
        <f t="shared" ref="AS3:AT14" si="3">IF($O3=AS$2,IF($Q3=$Y$2,2*$P3)) + IF($R3=AS$2,IF($T3=$Y$2,2*$S3)) + IF($U3=AS$2,IF($W3=$Y$2,2*$V3))</f>
        <v>0</v>
      </c>
      <c r="AT3" s="1080">
        <f t="shared" si="3"/>
        <v>0</v>
      </c>
      <c r="AU3" s="236">
        <f t="shared" ref="AU3:AU14" si="4">IF($O3=AU$2,IF($Q3=$Y$2,12*$P3)) + IF($R3=AU$2,IF($T3=$Y$2,12*$S3)) + IF($U3=AU$2,IF($W3=$Y$2,12*$V3))</f>
        <v>0</v>
      </c>
      <c r="AW3" s="1069">
        <f t="shared" ref="AW3:AW14" si="5">IF($O3=AW$2,IF($Q3=$Z$2,$P3)) + IF($R3=AW$2,IF($T3=$Z$2,$S3)) + IF($U3=AW$2,IF($W3=$Z$2,$V3))</f>
        <v>0</v>
      </c>
      <c r="AX3" s="1080">
        <f t="shared" ref="AX3:AY14" si="6">IF($O3=AX$2,IF($Q3=$Z$2,2*$P3)) + IF($R3=AX$2,IF($T3=$Z$2,2*$S3)) + IF($U3=AX$2,IF($W3=$Z$2,2*$V3))</f>
        <v>0</v>
      </c>
      <c r="AY3" s="1080">
        <f t="shared" si="6"/>
        <v>0</v>
      </c>
      <c r="AZ3" s="236">
        <f t="shared" ref="AZ3:AZ14" si="7">IF($O3=AZ$2,IF($Q3=$Z$2,12*$P3)) + IF($R3=AZ$2,IF($T3=$Z$2,12*$S3)) + IF($U3=AZ$2,IF($W3=$Z$2,12*$V3))</f>
        <v>0</v>
      </c>
      <c r="BB3" s="1069">
        <f t="shared" ref="BB3:BB14" si="8">IF($O3=BB$2,IF($Q3=$AA$2,$P3)) + IF($R3=BB$2,IF($T3=$AA$2,$S3)) + IF($U3=BB$2,IF($W3=$AA$2,$V3))</f>
        <v>0</v>
      </c>
      <c r="BC3" s="1080">
        <f t="shared" ref="BC3:BC14" si="9">IF($O3=BC$2,IF($Q3=$AA$2,2*$P3)) + IF($R3=BC$2,IF($T3=$AA$2,2*$S3)) + IF($U3=BC$2,IF($W3=$AA$2,2*$V3))</f>
        <v>0</v>
      </c>
      <c r="BD3" s="1080">
        <f t="shared" ref="BD3:BD14" si="10">IF($O3=BF$2,IF($Q3=$AA$2,2*$P3)) + IF($R3=BF$2,IF($T3=$AA$2,2*$S3)) + IF($U3=BF$2,IF($W3=$AA$2,2*$V3))</f>
        <v>0</v>
      </c>
      <c r="BE3" s="236">
        <f t="shared" ref="BE3:BE14" si="11">IF($O3=BE$2,IF($Q3=$AA$2,12*$P3)) + IF($R3=BE$2,IF($T3=$AA$2,12*$S3)) + IF($U3=BE$2,IF($W3=$AA$2,12*$V3))</f>
        <v>0</v>
      </c>
      <c r="BG3" s="1069">
        <f t="shared" ref="BG3:BG14" si="12">IF($O3=BG$2,IF($Q3=$AB$2,$P3)) + IF($R3=BG$2,IF($T3=$AB$2,$S3)) + IF($U3=BG$2,IF($W3=$AB$2,$V3))</f>
        <v>0</v>
      </c>
      <c r="BH3" s="1080">
        <f t="shared" ref="BH3:BI14" si="13">IF($O3=BH$2,IF($Q3=$AB$2,2*$P3)) + IF($R3=BH$2,IF($T3=$AB$2,2*$S3)) + IF($U3=BH$2,IF($W3=$AB$2,2*$V3))</f>
        <v>0</v>
      </c>
      <c r="BI3" s="1080">
        <f t="shared" si="13"/>
        <v>0</v>
      </c>
      <c r="BJ3" s="236">
        <f t="shared" ref="BJ3:BJ14" si="14">IF($O3=BJ$2,IF($Q3=$AB$2,12*$P3)) + IF($R3=BJ$2,IF($T3=$AB$2,12*$S3)) + IF($U3=BJ$2,IF($W3=$AB$2,12*$V3))</f>
        <v>0</v>
      </c>
      <c r="BL3" s="1069">
        <f t="shared" ref="BL3:BL14" si="15">IF($O3=BL$2,IF($Q3=$AC$2,$P3)) + IF($R3=BL$2,IF($T3=$AC$2,$S3)) + IF($U3=BL$2,IF($W3=$AC$2,$V3))</f>
        <v>0</v>
      </c>
      <c r="BM3" s="1080">
        <f t="shared" ref="BM3:BN14" si="16">IF($O3=BM$2,IF($Q3=$AC$2,2*$P3)) + IF($R3=BM$2,IF($T3=$AC$2,2*$S3)) + IF($U3=BM$2,IF($W3=$AC$2,2*$V3))</f>
        <v>0</v>
      </c>
      <c r="BN3" s="1080">
        <f t="shared" si="16"/>
        <v>0</v>
      </c>
      <c r="BO3" s="236">
        <f t="shared" ref="BO3:BO14" si="17">IF($O3=BO$2,IF($Q3=$AC$2,12*$P3)) + IF($R3=BO$2,IF($T3=$AC$2,12*$S3)) + IF($U3=BO$2,IF($W3=$AC$2,12*$V3))</f>
        <v>0</v>
      </c>
      <c r="BQ3" s="1069">
        <f t="shared" ref="BQ3:BQ14" si="18">IF($O3=BQ$2,IF($Q3=$AD$2,$P3)) + IF($R3=BQ$2,IF($T3=$AD$2,$S3)) + IF($U3=BQ$2,IF($W3=$AD$2,$V3))</f>
        <v>0</v>
      </c>
      <c r="BR3" s="1080">
        <f t="shared" ref="BR3:BS14" si="19">IF($O3=BR$2,IF($Q3=$AD$2,2*$P3)) + IF($R3=BR$2,IF($T3=$AD$2,2*$S3)) + IF($U3=BR$2,IF($W3=$AD$2,2*$V3))</f>
        <v>0</v>
      </c>
      <c r="BS3" s="1080">
        <f t="shared" si="19"/>
        <v>0</v>
      </c>
      <c r="BT3" s="236">
        <f t="shared" ref="BT3:BT14" si="20">IF($O3=BT$2,IF($Q3=$AD$2,12*$P3)) + IF($R3=BT$2,IF($T3=$AD$2,12*$S3)) + IF($U3=BT$2,IF($W3=$AD$2,12*$V3))</f>
        <v>0</v>
      </c>
      <c r="BV3" s="538" t="b">
        <f>OR(Production!C3,Construction!N3:'Construction'!AF3,Construction!BV3:CN3,Explore!S3:Z3,Military!AF3:AL3,Military!X3,Military!BE3:BL3,Rezone!L3:R3,Magic!G3:Q3)</f>
        <v>1</v>
      </c>
      <c r="BW3" s="1153">
        <f t="shared" ref="BW3:BW14" si="21">M3</f>
        <v>1</v>
      </c>
      <c r="BX3" s="1153"/>
      <c r="BY3" s="1171">
        <f>Overview!E15</f>
        <v>43692</v>
      </c>
      <c r="BZ3" s="1172">
        <f>BY3-(5+Overview!B16)/24</f>
        <v>43691.833333333336</v>
      </c>
      <c r="CA3" s="1068"/>
      <c r="CB3" s="1173"/>
      <c r="CC3" s="1174"/>
    </row>
    <row r="4" spans="1:84" s="191" customFormat="1">
      <c r="A4" s="511">
        <f>Construction!E4</f>
        <v>1000</v>
      </c>
      <c r="B4" s="170"/>
      <c r="C4" s="172">
        <f ca="1">Production!H4</f>
        <v>3945720</v>
      </c>
      <c r="D4" s="168">
        <f ca="1">Production!J4</f>
        <v>301876</v>
      </c>
      <c r="E4" s="168">
        <f ca="1">Production!L4</f>
        <v>300000</v>
      </c>
      <c r="F4" s="166">
        <f ca="1">Production!M4</f>
        <v>20000</v>
      </c>
      <c r="G4" s="164"/>
      <c r="H4" s="172">
        <f ca="1">Military!Z4</f>
        <v>4835</v>
      </c>
      <c r="I4" s="540">
        <f ca="1">Population!I4</f>
        <v>0.34736461223012904</v>
      </c>
      <c r="J4" s="165">
        <f ca="1">Population!F4/Population!U4</f>
        <v>1.6448863636363635</v>
      </c>
      <c r="K4" s="1005">
        <f>Rezone!J4</f>
        <v>2</v>
      </c>
      <c r="L4" s="584">
        <f t="shared" ref="L4:L14" si="22">L3+1/24</f>
        <v>43692.041666666664</v>
      </c>
      <c r="M4" s="648">
        <f t="shared" si="0"/>
        <v>0</v>
      </c>
      <c r="N4" s="530">
        <f t="shared" si="1"/>
        <v>1000</v>
      </c>
      <c r="O4" s="406" t="s">
        <v>4</v>
      </c>
      <c r="P4" s="370"/>
      <c r="Q4" s="408" t="s">
        <v>223</v>
      </c>
      <c r="R4" s="406" t="s">
        <v>7</v>
      </c>
      <c r="S4" s="370"/>
      <c r="T4" s="408" t="s">
        <v>223</v>
      </c>
      <c r="U4" s="413" t="s">
        <v>3</v>
      </c>
      <c r="V4" s="414"/>
      <c r="W4" s="415" t="s">
        <v>223</v>
      </c>
      <c r="X4" s="170"/>
      <c r="Y4" s="503">
        <f ca="1">science_cap*(1-EXP(-AF4/(science_param*($A5-Explore!$S5*20)+15000)))*(1+(mason_bonus*Construction!BB4/Construction!BS4))+IF(Overview!$B$14="Beastfolk",Construction!DA4/Construction!E4,0)*(1 + Production!O4/100*prestige_pop_multiplier)</f>
        <v>0</v>
      </c>
      <c r="Z4" s="455">
        <f ca="1">keep_cap*(1-EXP(-AG4/(keep_param*($A5-Explore!$S5*20)+15000)))*(1+(mason_bonus*Construction!BB4/Construction!BS4))+IF(Overview!$B$14="Beastfolk",Construction!DF4/Construction!E4,0)*(1 + Production!O4/100*prestige_pop_multiplier)</f>
        <v>0</v>
      </c>
      <c r="AA4" s="455">
        <f ca="1">harbor_towers_cap*(1-EXP(-AH4/(harbor_towers_param*($A5-Explore!$S5*20)+15000)))*(1+(mason_bonus*Construction!BB4/Construction!BS4))+IF(Overview!$B$14="Beastfolk",2*Construction!DC4/Construction!E4,0)*(1 + Production!O4/100*prestige_pop_multiplier)</f>
        <v>0</v>
      </c>
      <c r="AB4" s="455">
        <f ca="1">walls_forges_cap*(1-EXP(-AI4/(walls_forges_param*($A5-Explore!$S5*20)+15000)))*(1+(mason_bonus*Construction!BB4/Construction!BS4))+IF(Overview!$B$14="Beastfolk",0.2*Construction!CY4/Construction!E4,0)</f>
        <v>0</v>
      </c>
      <c r="AC4" s="455">
        <f ca="1">walls_forges_cap*(1-EXP(-AJ4/(walls_forges_param*($A5-Explore!$S5*20)+15000)))*(1+(mason_bonus*Construction!BB4/Construction!BS4))+IF(Overview!$B$14="Beastfolk",5*Construction!DB4/Construction!E4,0)</f>
        <v>0</v>
      </c>
      <c r="AD4" s="171">
        <f ca="1">harbor_towers_cap*(1-EXP(-AK4/(harbor_towers_param*($A5-Explore!$S5*20)+15000)))*(1+(mason_bonus*Construction!BB4/Construction!BS4))+IF(Overview!$B$14="Beastfolk",Construction!DE4/Construction!E4)*(1 + Production!O4/100*prestige_pop_multiplier)</f>
        <v>0</v>
      </c>
      <c r="AE4" s="170"/>
      <c r="AF4" s="56">
        <f ca="1">(1+Overview!$O$28+IF(Magic!BA4&gt;0,0.1,0))*SUM(AR4:AU4)</f>
        <v>0</v>
      </c>
      <c r="AG4" s="26">
        <f ca="1">(1+Overview!$O$28+IF(Magic!BA4&gt;0,0.1,0))*SUM(AW4:AZ4)</f>
        <v>0</v>
      </c>
      <c r="AH4" s="168">
        <f ca="1">(1+Overview!$O$28+IF(Magic!BA4&gt;0,0.1,0))*SUM(BB4:BE4)</f>
        <v>0</v>
      </c>
      <c r="AI4" s="168">
        <f ca="1">(1+Overview!$O$28+IF(Magic!BA4&gt;0,0.1,0))*SUM(BG4:BJ4)</f>
        <v>0</v>
      </c>
      <c r="AJ4" s="168">
        <f ca="1">(1+Overview!$O$28+IF(Magic!BA4&gt;0,0.1,0))*SUM(BL4:BO4)</f>
        <v>0</v>
      </c>
      <c r="AK4" s="167">
        <f ca="1">(1+Overview!$O$28+IF(Magic!BA4&gt;0,0.1,0))*SUM(BQ4:BT4)</f>
        <v>0</v>
      </c>
      <c r="AL4" s="170"/>
      <c r="AM4" s="188">
        <f t="shared" si="2"/>
        <v>0</v>
      </c>
      <c r="AN4" s="191">
        <f t="shared" si="2"/>
        <v>0</v>
      </c>
      <c r="AO4" s="191">
        <f t="shared" si="2"/>
        <v>0</v>
      </c>
      <c r="AP4" s="189">
        <f t="shared" si="2"/>
        <v>0</v>
      </c>
      <c r="AQ4" s="170"/>
      <c r="AR4" s="172">
        <f t="shared" ref="AR4:AR14" si="23">IF($O4=AR$2,IF($Q4=$Y$2,$P4)) + IF($R4=AR$2,IF($T4=$Y$2,$S4)) + IF($U4=AR$2,IF($W4=$Y$2,$V4))</f>
        <v>0</v>
      </c>
      <c r="AS4" s="168">
        <f t="shared" si="3"/>
        <v>0</v>
      </c>
      <c r="AT4" s="168">
        <f t="shared" si="3"/>
        <v>0</v>
      </c>
      <c r="AU4" s="167">
        <f t="shared" si="4"/>
        <v>0</v>
      </c>
      <c r="AV4" s="170"/>
      <c r="AW4" s="172">
        <f t="shared" si="5"/>
        <v>0</v>
      </c>
      <c r="AX4" s="168">
        <f t="shared" si="6"/>
        <v>0</v>
      </c>
      <c r="AY4" s="168">
        <f t="shared" si="6"/>
        <v>0</v>
      </c>
      <c r="AZ4" s="167">
        <f t="shared" si="7"/>
        <v>0</v>
      </c>
      <c r="BA4" s="170"/>
      <c r="BB4" s="172">
        <f t="shared" si="8"/>
        <v>0</v>
      </c>
      <c r="BC4" s="168">
        <f t="shared" si="9"/>
        <v>0</v>
      </c>
      <c r="BD4" s="168">
        <f t="shared" si="10"/>
        <v>0</v>
      </c>
      <c r="BE4" s="167">
        <f t="shared" si="11"/>
        <v>0</v>
      </c>
      <c r="BF4" s="170"/>
      <c r="BG4" s="172">
        <f t="shared" si="12"/>
        <v>0</v>
      </c>
      <c r="BH4" s="168">
        <f t="shared" si="13"/>
        <v>0</v>
      </c>
      <c r="BI4" s="168">
        <f t="shared" si="13"/>
        <v>0</v>
      </c>
      <c r="BJ4" s="167">
        <f t="shared" si="14"/>
        <v>0</v>
      </c>
      <c r="BK4" s="170"/>
      <c r="BL4" s="172">
        <f t="shared" si="15"/>
        <v>0</v>
      </c>
      <c r="BM4" s="168">
        <f t="shared" si="16"/>
        <v>0</v>
      </c>
      <c r="BN4" s="168">
        <f t="shared" si="16"/>
        <v>0</v>
      </c>
      <c r="BO4" s="167">
        <f t="shared" si="17"/>
        <v>0</v>
      </c>
      <c r="BP4" s="170"/>
      <c r="BQ4" s="172">
        <f t="shared" si="18"/>
        <v>0</v>
      </c>
      <c r="BR4" s="168">
        <f t="shared" si="19"/>
        <v>0</v>
      </c>
      <c r="BS4" s="168">
        <f t="shared" si="19"/>
        <v>0</v>
      </c>
      <c r="BT4" s="167">
        <f t="shared" si="20"/>
        <v>0</v>
      </c>
      <c r="BV4" s="188" t="e">
        <f>OR(Production!C4,Construction!N4:'Construction'!AF4,Construction!BV4:CN4,Explore!S4:Z4,Military!AF4:AL4,Military!X4,Military!BE4:BL4,Rezone!L4:R4,Magic!G4:Q4)</f>
        <v>#VALUE!</v>
      </c>
      <c r="BW4" s="549">
        <f t="shared" si="21"/>
        <v>0</v>
      </c>
      <c r="BX4" s="549"/>
      <c r="BY4" s="555">
        <f>BY3+1/24</f>
        <v>43692.041666666664</v>
      </c>
      <c r="BZ4" s="563">
        <f t="shared" ref="BZ4:BZ14" si="24">BZ3+1/24</f>
        <v>43691.875</v>
      </c>
      <c r="CA4" s="628"/>
      <c r="CB4" s="807"/>
      <c r="CC4" s="772"/>
    </row>
    <row r="5" spans="1:84" s="170" customFormat="1">
      <c r="A5" s="510">
        <f>Construction!E5</f>
        <v>1000</v>
      </c>
      <c r="C5" s="152">
        <f ca="1">Production!H5</f>
        <v>3955440</v>
      </c>
      <c r="D5" s="164">
        <f ca="1">Production!J5</f>
        <v>301357</v>
      </c>
      <c r="E5" s="164">
        <f ca="1">Production!L5</f>
        <v>300000</v>
      </c>
      <c r="F5" s="166">
        <f ca="1">Production!M5</f>
        <v>20000</v>
      </c>
      <c r="G5" s="164"/>
      <c r="H5" s="152">
        <f ca="1">Military!Z5</f>
        <v>4939</v>
      </c>
      <c r="I5" s="540">
        <f ca="1">Population!I5</f>
        <v>0.36955057261091329</v>
      </c>
      <c r="J5" s="165">
        <f ca="1">Population!F5/Population!U5</f>
        <v>1.5888054653679653</v>
      </c>
      <c r="K5" s="1005">
        <f>Rezone!J5</f>
        <v>3</v>
      </c>
      <c r="L5" s="584">
        <f t="shared" si="22"/>
        <v>43692.083333333328</v>
      </c>
      <c r="M5" s="649">
        <f t="shared" si="0"/>
        <v>0</v>
      </c>
      <c r="N5" s="531">
        <f t="shared" si="1"/>
        <v>1000</v>
      </c>
      <c r="O5" s="406" t="s">
        <v>4</v>
      </c>
      <c r="P5" s="370"/>
      <c r="Q5" s="408" t="s">
        <v>223</v>
      </c>
      <c r="R5" s="406" t="s">
        <v>7</v>
      </c>
      <c r="S5" s="370"/>
      <c r="T5" s="408" t="s">
        <v>223</v>
      </c>
      <c r="U5" s="406" t="s">
        <v>3</v>
      </c>
      <c r="V5" s="407"/>
      <c r="W5" s="409" t="s">
        <v>223</v>
      </c>
      <c r="Y5" s="503">
        <f ca="1">science_cap*(1-EXP(-AF5/(science_param*($A6-Explore!$S6*20)+15000)))*(1+(mason_bonus*Construction!BB5/Construction!BS5))+IF(Overview!$B$14="Beastfolk",Construction!DA5/Construction!E5,0)*(1 + Production!O5/100*prestige_pop_multiplier)</f>
        <v>0</v>
      </c>
      <c r="Z5" s="455">
        <f ca="1">keep_cap*(1-EXP(-AG5/(keep_param*($A6-Explore!$S6*20)+15000)))*(1+(mason_bonus*Construction!BB5/Construction!BS5))+IF(Overview!$B$14="Beastfolk",Construction!DF5/Construction!E5,0)*(1 + Production!O5/100*prestige_pop_multiplier)</f>
        <v>0</v>
      </c>
      <c r="AA5" s="455">
        <f ca="1">harbor_towers_cap*(1-EXP(-AH5/(harbor_towers_param*($A6-Explore!$S6*20)+15000)))*(1+(mason_bonus*Construction!BB5/Construction!BS5))+IF(Overview!$B$14="Beastfolk",2*Construction!DC5/Construction!E5,0)*(1 + Production!O5/100*prestige_pop_multiplier)</f>
        <v>0</v>
      </c>
      <c r="AB5" s="455">
        <f ca="1">walls_forges_cap*(1-EXP(-AI5/(walls_forges_param*($A6-Explore!$S6*20)+15000)))*(1+(mason_bonus*Construction!BB5/Construction!BS5))+IF(Overview!$B$14="Beastfolk",0.2*Construction!CY5/Construction!E5,0)</f>
        <v>0</v>
      </c>
      <c r="AC5" s="455">
        <f ca="1">walls_forges_cap*(1-EXP(-AJ5/(walls_forges_param*($A6-Explore!$S6*20)+15000)))*(1+(mason_bonus*Construction!BB5/Construction!BS5))+IF(Overview!$B$14="Beastfolk",5*Construction!DB5/Construction!E5,0)</f>
        <v>0</v>
      </c>
      <c r="AD5" s="171">
        <f ca="1">harbor_towers_cap*(1-EXP(-AK5/(harbor_towers_param*($A6-Explore!$S6*20)+15000)))*(1+(mason_bonus*Construction!BB5/Construction!BS5))+IF(Overview!$B$14="Beastfolk",Construction!DE5/Construction!E5)*(1 + Production!O5/100*prestige_pop_multiplier)</f>
        <v>0</v>
      </c>
      <c r="AF5" s="56">
        <f ca="1">(1+Overview!$O$28+IF(Magic!BA5&gt;0,0.1,0))*SUM(AR5:AU5)</f>
        <v>0</v>
      </c>
      <c r="AG5" s="26">
        <f ca="1">(1+Overview!$O$28+IF(Magic!BA5&gt;0,0.1,0))*SUM(AW5:AZ5)</f>
        <v>0</v>
      </c>
      <c r="AH5" s="164">
        <f ca="1">(1+Overview!$O$28+IF(Magic!BA5&gt;0,0.1,0))*SUM(BB5:BE5)</f>
        <v>0</v>
      </c>
      <c r="AI5" s="164">
        <f ca="1">(1+Overview!$O$28+IF(Magic!BA5&gt;0,0.1,0))*SUM(BG5:BJ5)</f>
        <v>0</v>
      </c>
      <c r="AJ5" s="164">
        <f ca="1">(1+Overview!$O$28+IF(Magic!BA5&gt;0,0.1,0))*SUM(BL5:BO5)</f>
        <v>0</v>
      </c>
      <c r="AK5" s="166">
        <f ca="1">(1+Overview!$O$28+IF(Magic!BA5&gt;0,0.1,0))*SUM(BQ5:BT5)</f>
        <v>0</v>
      </c>
      <c r="AM5" s="156">
        <f t="shared" si="2"/>
        <v>0</v>
      </c>
      <c r="AN5" s="170">
        <f t="shared" si="2"/>
        <v>0</v>
      </c>
      <c r="AO5" s="170">
        <f t="shared" si="2"/>
        <v>0</v>
      </c>
      <c r="AP5" s="157">
        <f t="shared" si="2"/>
        <v>0</v>
      </c>
      <c r="AR5" s="152">
        <f t="shared" si="23"/>
        <v>0</v>
      </c>
      <c r="AS5" s="164">
        <f t="shared" si="3"/>
        <v>0</v>
      </c>
      <c r="AT5" s="164">
        <f t="shared" si="3"/>
        <v>0</v>
      </c>
      <c r="AU5" s="166">
        <f t="shared" si="4"/>
        <v>0</v>
      </c>
      <c r="AW5" s="152">
        <f t="shared" si="5"/>
        <v>0</v>
      </c>
      <c r="AX5" s="164">
        <f t="shared" si="6"/>
        <v>0</v>
      </c>
      <c r="AY5" s="164">
        <f t="shared" si="6"/>
        <v>0</v>
      </c>
      <c r="AZ5" s="166">
        <f t="shared" si="7"/>
        <v>0</v>
      </c>
      <c r="BB5" s="152">
        <f t="shared" si="8"/>
        <v>0</v>
      </c>
      <c r="BC5" s="164">
        <f t="shared" si="9"/>
        <v>0</v>
      </c>
      <c r="BD5" s="164">
        <f t="shared" si="10"/>
        <v>0</v>
      </c>
      <c r="BE5" s="166">
        <f t="shared" si="11"/>
        <v>0</v>
      </c>
      <c r="BG5" s="152">
        <f t="shared" si="12"/>
        <v>0</v>
      </c>
      <c r="BH5" s="164">
        <f t="shared" si="13"/>
        <v>0</v>
      </c>
      <c r="BI5" s="164">
        <f t="shared" si="13"/>
        <v>0</v>
      </c>
      <c r="BJ5" s="166">
        <f t="shared" si="14"/>
        <v>0</v>
      </c>
      <c r="BL5" s="152">
        <f t="shared" si="15"/>
        <v>0</v>
      </c>
      <c r="BM5" s="164">
        <f t="shared" si="16"/>
        <v>0</v>
      </c>
      <c r="BN5" s="164">
        <f t="shared" si="16"/>
        <v>0</v>
      </c>
      <c r="BO5" s="166">
        <f t="shared" si="17"/>
        <v>0</v>
      </c>
      <c r="BQ5" s="152">
        <f t="shared" si="18"/>
        <v>0</v>
      </c>
      <c r="BR5" s="164">
        <f t="shared" si="19"/>
        <v>0</v>
      </c>
      <c r="BS5" s="164">
        <f t="shared" si="19"/>
        <v>0</v>
      </c>
      <c r="BT5" s="166">
        <f t="shared" si="20"/>
        <v>0</v>
      </c>
      <c r="BV5" s="156" t="e">
        <f>OR(Production!C5,Construction!N5:'Construction'!AF5,Construction!BV5:CN5,Explore!S5:Z5,Military!AF5:AL5,Military!X5,Military!BE5:BL5,Rezone!L5:R5,Magic!G5:Q5)</f>
        <v>#VALUE!</v>
      </c>
      <c r="BW5" s="548">
        <f t="shared" si="21"/>
        <v>0</v>
      </c>
      <c r="BX5" s="548"/>
      <c r="BY5" s="554">
        <f t="shared" ref="BY5:BY16" si="25">BY4+1/24</f>
        <v>43692.083333333328</v>
      </c>
      <c r="BZ5" s="562">
        <f t="shared" si="24"/>
        <v>43691.916666666664</v>
      </c>
      <c r="CA5" s="629"/>
      <c r="CB5" s="807"/>
      <c r="CC5" s="774"/>
      <c r="CF5" s="673"/>
    </row>
    <row r="6" spans="1:84" s="16" customFormat="1">
      <c r="A6" s="513">
        <f>Construction!E6</f>
        <v>1000</v>
      </c>
      <c r="C6" s="56">
        <f ca="1">Production!H6</f>
        <v>3965160</v>
      </c>
      <c r="D6" s="26">
        <f ca="1">Production!J6</f>
        <v>300843</v>
      </c>
      <c r="E6" s="26">
        <f ca="1">Production!L6</f>
        <v>300000</v>
      </c>
      <c r="F6" s="57">
        <f ca="1">Production!M6</f>
        <v>20000</v>
      </c>
      <c r="G6" s="26"/>
      <c r="H6" s="56">
        <f ca="1">Military!Z6</f>
        <v>5036</v>
      </c>
      <c r="I6" s="540">
        <f ca="1">Population!I6</f>
        <v>0.39312106388387913</v>
      </c>
      <c r="J6" s="165">
        <f ca="1">Population!F6/Population!U6</f>
        <v>1.5360913825757576</v>
      </c>
      <c r="K6" s="1005">
        <f>Rezone!J6</f>
        <v>4</v>
      </c>
      <c r="L6" s="584">
        <f t="shared" si="22"/>
        <v>43692.124999999993</v>
      </c>
      <c r="M6" s="316">
        <f t="shared" si="0"/>
        <v>0</v>
      </c>
      <c r="N6" s="641">
        <f t="shared" si="1"/>
        <v>1000</v>
      </c>
      <c r="O6" s="423" t="s">
        <v>4</v>
      </c>
      <c r="P6" s="370"/>
      <c r="Q6" s="424" t="s">
        <v>223</v>
      </c>
      <c r="R6" s="423" t="s">
        <v>7</v>
      </c>
      <c r="S6" s="370"/>
      <c r="T6" s="424" t="s">
        <v>223</v>
      </c>
      <c r="U6" s="406" t="s">
        <v>3</v>
      </c>
      <c r="V6" s="407"/>
      <c r="W6" s="409" t="s">
        <v>223</v>
      </c>
      <c r="Y6" s="503">
        <f ca="1">science_cap*(1-EXP(-AF6/(science_param*($A7-Explore!$S7*20)+15000)))*(1+(mason_bonus*Construction!BB6/Construction!BS6))+IF(Overview!$B$14="Beastfolk",Construction!DA6/Construction!E6,0)*(1 + Production!O6/100*prestige_pop_multiplier)</f>
        <v>0</v>
      </c>
      <c r="Z6" s="455">
        <f ca="1">keep_cap*(1-EXP(-AG6/(keep_param*($A7-Explore!$S7*20)+15000)))*(1+(mason_bonus*Construction!BB6/Construction!BS6))+IF(Overview!$B$14="Beastfolk",Construction!DF6/Construction!E6,0)*(1 + Production!O6/100*prestige_pop_multiplier)</f>
        <v>0</v>
      </c>
      <c r="AA6" s="455">
        <f ca="1">harbor_towers_cap*(1-EXP(-AH6/(harbor_towers_param*($A7-Explore!$S7*20)+15000)))*(1+(mason_bonus*Construction!BB6/Construction!BS6))+IF(Overview!$B$14="Beastfolk",2*Construction!DC6/Construction!E6,0)*(1 + Production!O6/100*prestige_pop_multiplier)</f>
        <v>0</v>
      </c>
      <c r="AB6" s="455">
        <f ca="1">walls_forges_cap*(1-EXP(-AI6/(walls_forges_param*($A7-Explore!$S7*20)+15000)))*(1+(mason_bonus*Construction!BB6/Construction!BS6))+IF(Overview!$B$14="Beastfolk",0.2*Construction!CY6/Construction!E6,0)</f>
        <v>0</v>
      </c>
      <c r="AC6" s="455">
        <f ca="1">walls_forges_cap*(1-EXP(-AJ6/(walls_forges_param*($A7-Explore!$S7*20)+15000)))*(1+(mason_bonus*Construction!BB6/Construction!BS6))+IF(Overview!$B$14="Beastfolk",5*Construction!DB6/Construction!E6,0)</f>
        <v>0</v>
      </c>
      <c r="AD6" s="171">
        <f ca="1">harbor_towers_cap*(1-EXP(-AK6/(harbor_towers_param*($A7-Explore!$S7*20)+15000)))*(1+(mason_bonus*Construction!BB6/Construction!BS6))+IF(Overview!$B$14="Beastfolk",Construction!DE6/Construction!E6)*(1 + Production!O6/100*prestige_pop_multiplier)</f>
        <v>0</v>
      </c>
      <c r="AF6" s="56">
        <f ca="1">(1+Overview!$O$28+IF(Magic!BA6&gt;0,0.1,0))*SUM(AR6:AU6)</f>
        <v>0</v>
      </c>
      <c r="AG6" s="26">
        <f ca="1">(1+Overview!$O$28+IF(Magic!BA6&gt;0,0.1,0))*SUM(AW6:AZ6)</f>
        <v>0</v>
      </c>
      <c r="AH6" s="164">
        <f ca="1">(1+Overview!$O$28+IF(Magic!BA6&gt;0,0.1,0))*SUM(BB6:BE6)</f>
        <v>0</v>
      </c>
      <c r="AI6" s="164">
        <f ca="1">(1+Overview!$O$28+IF(Magic!BA6&gt;0,0.1,0))*SUM(BG6:BJ6)</f>
        <v>0</v>
      </c>
      <c r="AJ6" s="164">
        <f ca="1">(1+Overview!$O$28+IF(Magic!BA6&gt;0,0.1,0))*SUM(BL6:BO6)</f>
        <v>0</v>
      </c>
      <c r="AK6" s="166">
        <f ca="1">(1+Overview!$O$28+IF(Magic!BA6&gt;0,0.1,0))*SUM(BQ6:BT6)</f>
        <v>0</v>
      </c>
      <c r="AM6" s="52">
        <f t="shared" si="2"/>
        <v>0</v>
      </c>
      <c r="AN6" s="16">
        <f t="shared" si="2"/>
        <v>0</v>
      </c>
      <c r="AO6" s="16">
        <f t="shared" si="2"/>
        <v>0</v>
      </c>
      <c r="AP6" s="53">
        <f t="shared" si="2"/>
        <v>0</v>
      </c>
      <c r="AR6" s="56">
        <f t="shared" si="23"/>
        <v>0</v>
      </c>
      <c r="AS6" s="26">
        <f t="shared" si="3"/>
        <v>0</v>
      </c>
      <c r="AT6" s="26">
        <f t="shared" si="3"/>
        <v>0</v>
      </c>
      <c r="AU6" s="57">
        <f t="shared" si="4"/>
        <v>0</v>
      </c>
      <c r="AW6" s="56">
        <f t="shared" si="5"/>
        <v>0</v>
      </c>
      <c r="AX6" s="26">
        <f t="shared" si="6"/>
        <v>0</v>
      </c>
      <c r="AY6" s="26">
        <f t="shared" si="6"/>
        <v>0</v>
      </c>
      <c r="AZ6" s="57">
        <f t="shared" si="7"/>
        <v>0</v>
      </c>
      <c r="BB6" s="56">
        <f t="shared" si="8"/>
        <v>0</v>
      </c>
      <c r="BC6" s="26">
        <f t="shared" si="9"/>
        <v>0</v>
      </c>
      <c r="BD6" s="26">
        <f t="shared" si="10"/>
        <v>0</v>
      </c>
      <c r="BE6" s="57">
        <f t="shared" si="11"/>
        <v>0</v>
      </c>
      <c r="BG6" s="56">
        <f t="shared" si="12"/>
        <v>0</v>
      </c>
      <c r="BH6" s="26">
        <f t="shared" si="13"/>
        <v>0</v>
      </c>
      <c r="BI6" s="26">
        <f t="shared" si="13"/>
        <v>0</v>
      </c>
      <c r="BJ6" s="57">
        <f t="shared" si="14"/>
        <v>0</v>
      </c>
      <c r="BL6" s="56">
        <f t="shared" si="15"/>
        <v>0</v>
      </c>
      <c r="BM6" s="26">
        <f t="shared" si="16"/>
        <v>0</v>
      </c>
      <c r="BN6" s="26">
        <f t="shared" si="16"/>
        <v>0</v>
      </c>
      <c r="BO6" s="57">
        <f t="shared" si="17"/>
        <v>0</v>
      </c>
      <c r="BQ6" s="56">
        <f t="shared" si="18"/>
        <v>0</v>
      </c>
      <c r="BR6" s="26">
        <f t="shared" si="19"/>
        <v>0</v>
      </c>
      <c r="BS6" s="26">
        <f t="shared" si="19"/>
        <v>0</v>
      </c>
      <c r="BT6" s="57">
        <f t="shared" si="20"/>
        <v>0</v>
      </c>
      <c r="BV6" s="52" t="e">
        <f>OR(Production!C6,Construction!N6:'Construction'!AF6,Construction!BV6:CN6,Explore!S6:Z6,Military!AF6:AL6,Military!X6,Military!BE6:BL6,Rezone!L6:R6,Magic!G6:Q6)</f>
        <v>#VALUE!</v>
      </c>
      <c r="BW6" s="527">
        <f t="shared" si="21"/>
        <v>0</v>
      </c>
      <c r="BX6" s="527"/>
      <c r="BY6" s="557">
        <f t="shared" si="25"/>
        <v>43692.124999999993</v>
      </c>
      <c r="BZ6" s="565">
        <f t="shared" si="24"/>
        <v>43691.958333333328</v>
      </c>
      <c r="CA6" s="529"/>
      <c r="CB6" s="807"/>
      <c r="CC6" s="812"/>
      <c r="CD6" s="170"/>
      <c r="CF6" s="674"/>
    </row>
    <row r="7" spans="1:84" s="16" customFormat="1">
      <c r="A7" s="513">
        <f>Construction!E7</f>
        <v>1000</v>
      </c>
      <c r="C7" s="56">
        <f ca="1">Production!H7</f>
        <v>3974880</v>
      </c>
      <c r="D7" s="26">
        <f ca="1">Production!J7</f>
        <v>300335</v>
      </c>
      <c r="E7" s="26">
        <f ca="1">Production!L7</f>
        <v>300000</v>
      </c>
      <c r="F7" s="57">
        <f ca="1">Production!M7</f>
        <v>20000</v>
      </c>
      <c r="G7" s="26"/>
      <c r="H7" s="56">
        <f ca="1">Military!Z7</f>
        <v>5128</v>
      </c>
      <c r="I7" s="540">
        <f ca="1">Population!I7</f>
        <v>0.41823455461514292</v>
      </c>
      <c r="J7" s="165">
        <f ca="1">Population!F7/Population!U7</f>
        <v>1.4865378956980519</v>
      </c>
      <c r="K7" s="1005">
        <f>Rezone!J7</f>
        <v>5</v>
      </c>
      <c r="L7" s="584">
        <f t="shared" si="22"/>
        <v>43692.166666666657</v>
      </c>
      <c r="M7" s="316">
        <f t="shared" si="0"/>
        <v>0</v>
      </c>
      <c r="N7" s="641">
        <f t="shared" si="1"/>
        <v>1000</v>
      </c>
      <c r="O7" s="423" t="s">
        <v>4</v>
      </c>
      <c r="P7" s="370"/>
      <c r="Q7" s="424" t="s">
        <v>223</v>
      </c>
      <c r="R7" s="423" t="s">
        <v>7</v>
      </c>
      <c r="S7" s="370"/>
      <c r="T7" s="424" t="s">
        <v>223</v>
      </c>
      <c r="U7" s="406" t="s">
        <v>3</v>
      </c>
      <c r="V7" s="407"/>
      <c r="W7" s="409" t="s">
        <v>223</v>
      </c>
      <c r="Y7" s="503">
        <f ca="1">science_cap*(1-EXP(-AF7/(science_param*($A8-Explore!$S8*20)+15000)))*(1+(mason_bonus*Construction!BB7/Construction!BS7))+IF(Overview!$B$14="Beastfolk",Construction!DA7/Construction!E7,0)*(1 + Production!O7/100*prestige_pop_multiplier)</f>
        <v>0</v>
      </c>
      <c r="Z7" s="455">
        <f ca="1">keep_cap*(1-EXP(-AG7/(keep_param*($A8-Explore!$S8*20)+15000)))*(1+(mason_bonus*Construction!BB7/Construction!BS7))+IF(Overview!$B$14="Beastfolk",Construction!DF7/Construction!E7,0)*(1 + Production!O7/100*prestige_pop_multiplier)</f>
        <v>0</v>
      </c>
      <c r="AA7" s="455">
        <f ca="1">harbor_towers_cap*(1-EXP(-AH7/(harbor_towers_param*($A8-Explore!$S8*20)+15000)))*(1+(mason_bonus*Construction!BB7/Construction!BS7))+IF(Overview!$B$14="Beastfolk",2*Construction!DC7/Construction!E7,0)*(1 + Production!O7/100*prestige_pop_multiplier)</f>
        <v>0</v>
      </c>
      <c r="AB7" s="455">
        <f ca="1">walls_forges_cap*(1-EXP(-AI7/(walls_forges_param*($A8-Explore!$S8*20)+15000)))*(1+(mason_bonus*Construction!BB7/Construction!BS7))+IF(Overview!$B$14="Beastfolk",0.2*Construction!CY7/Construction!E7,0)</f>
        <v>0</v>
      </c>
      <c r="AC7" s="455">
        <f ca="1">walls_forges_cap*(1-EXP(-AJ7/(walls_forges_param*($A8-Explore!$S8*20)+15000)))*(1+(mason_bonus*Construction!BB7/Construction!BS7))+IF(Overview!$B$14="Beastfolk",5*Construction!DB7/Construction!E7,0)</f>
        <v>0</v>
      </c>
      <c r="AD7" s="171">
        <f ca="1">harbor_towers_cap*(1-EXP(-AK7/(harbor_towers_param*($A8-Explore!$S8*20)+15000)))*(1+(mason_bonus*Construction!BB7/Construction!BS7))+IF(Overview!$B$14="Beastfolk",Construction!DE7/Construction!E7)*(1 + Production!O7/100*prestige_pop_multiplier)</f>
        <v>0</v>
      </c>
      <c r="AF7" s="56">
        <f ca="1">(1+Overview!$O$28+IF(Magic!BA7&gt;0,0.1,0))*SUM(AR7:AU7)</f>
        <v>0</v>
      </c>
      <c r="AG7" s="26">
        <f ca="1">(1+Overview!$O$28+IF(Magic!BA7&gt;0,0.1,0))*SUM(AW7:AZ7)</f>
        <v>0</v>
      </c>
      <c r="AH7" s="164">
        <f ca="1">(1+Overview!$O$28+IF(Magic!BA7&gt;0,0.1,0))*SUM(BB7:BE7)</f>
        <v>0</v>
      </c>
      <c r="AI7" s="164">
        <f ca="1">(1+Overview!$O$28+IF(Magic!BA7&gt;0,0.1,0))*SUM(BG7:BJ7)</f>
        <v>0</v>
      </c>
      <c r="AJ7" s="164">
        <f ca="1">(1+Overview!$O$28+IF(Magic!BA7&gt;0,0.1,0))*SUM(BL7:BO7)</f>
        <v>0</v>
      </c>
      <c r="AK7" s="166">
        <f ca="1">(1+Overview!$O$28+IF(Magic!BA7&gt;0,0.1,0))*SUM(BQ7:BT7)</f>
        <v>0</v>
      </c>
      <c r="AM7" s="52">
        <f t="shared" si="2"/>
        <v>0</v>
      </c>
      <c r="AN7" s="16">
        <f t="shared" si="2"/>
        <v>0</v>
      </c>
      <c r="AO7" s="16">
        <f t="shared" si="2"/>
        <v>0</v>
      </c>
      <c r="AP7" s="53">
        <f t="shared" si="2"/>
        <v>0</v>
      </c>
      <c r="AR7" s="56">
        <f t="shared" si="23"/>
        <v>0</v>
      </c>
      <c r="AS7" s="26">
        <f t="shared" si="3"/>
        <v>0</v>
      </c>
      <c r="AT7" s="26">
        <f t="shared" si="3"/>
        <v>0</v>
      </c>
      <c r="AU7" s="57">
        <f t="shared" si="4"/>
        <v>0</v>
      </c>
      <c r="AW7" s="56">
        <f t="shared" si="5"/>
        <v>0</v>
      </c>
      <c r="AX7" s="26">
        <f t="shared" si="6"/>
        <v>0</v>
      </c>
      <c r="AY7" s="26">
        <f t="shared" si="6"/>
        <v>0</v>
      </c>
      <c r="AZ7" s="57">
        <f t="shared" si="7"/>
        <v>0</v>
      </c>
      <c r="BB7" s="56">
        <f t="shared" si="8"/>
        <v>0</v>
      </c>
      <c r="BC7" s="26">
        <f t="shared" si="9"/>
        <v>0</v>
      </c>
      <c r="BD7" s="26">
        <f t="shared" si="10"/>
        <v>0</v>
      </c>
      <c r="BE7" s="57">
        <f t="shared" si="11"/>
        <v>0</v>
      </c>
      <c r="BG7" s="56">
        <f t="shared" si="12"/>
        <v>0</v>
      </c>
      <c r="BH7" s="26">
        <f t="shared" si="13"/>
        <v>0</v>
      </c>
      <c r="BI7" s="26">
        <f t="shared" si="13"/>
        <v>0</v>
      </c>
      <c r="BJ7" s="57">
        <f t="shared" si="14"/>
        <v>0</v>
      </c>
      <c r="BL7" s="56">
        <f t="shared" si="15"/>
        <v>0</v>
      </c>
      <c r="BM7" s="26">
        <f t="shared" si="16"/>
        <v>0</v>
      </c>
      <c r="BN7" s="26">
        <f t="shared" si="16"/>
        <v>0</v>
      </c>
      <c r="BO7" s="57">
        <f t="shared" si="17"/>
        <v>0</v>
      </c>
      <c r="BQ7" s="56">
        <f t="shared" si="18"/>
        <v>0</v>
      </c>
      <c r="BR7" s="26">
        <f t="shared" si="19"/>
        <v>0</v>
      </c>
      <c r="BS7" s="26">
        <f t="shared" si="19"/>
        <v>0</v>
      </c>
      <c r="BT7" s="57">
        <f t="shared" si="20"/>
        <v>0</v>
      </c>
      <c r="BV7" s="52" t="e">
        <f>OR(Production!C7,Construction!N7:'Construction'!AF7,Construction!BV7:CN7,Explore!S7:Z7,Military!AF7:AL7,Military!X7,Military!BE7:BL7,Rezone!L7:R7,Magic!G7:Q7)</f>
        <v>#VALUE!</v>
      </c>
      <c r="BW7" s="527">
        <f t="shared" si="21"/>
        <v>0</v>
      </c>
      <c r="BX7" s="527"/>
      <c r="BY7" s="557">
        <f t="shared" si="25"/>
        <v>43692.166666666657</v>
      </c>
      <c r="BZ7" s="565">
        <f t="shared" si="24"/>
        <v>43691.999999999993</v>
      </c>
      <c r="CA7" s="529"/>
      <c r="CB7" s="807"/>
      <c r="CC7" s="812"/>
      <c r="CD7" s="170"/>
      <c r="CF7" s="675"/>
    </row>
    <row r="8" spans="1:84" s="16" customFormat="1">
      <c r="A8" s="513">
        <f>Construction!E8</f>
        <v>1000</v>
      </c>
      <c r="C8" s="56">
        <f ca="1">Production!H8</f>
        <v>3984600</v>
      </c>
      <c r="D8" s="26">
        <f ca="1">Production!J8</f>
        <v>299832</v>
      </c>
      <c r="E8" s="26">
        <f ca="1">Production!L8</f>
        <v>300000</v>
      </c>
      <c r="F8" s="57">
        <f ca="1">Production!M8</f>
        <v>20000</v>
      </c>
      <c r="G8" s="26"/>
      <c r="H8" s="56">
        <f ca="1">Military!Z8</f>
        <v>5214</v>
      </c>
      <c r="I8" s="540">
        <f ca="1">Population!I8</f>
        <v>0.4449261924848712</v>
      </c>
      <c r="J8" s="165">
        <f ca="1">Population!F8/Population!U8</f>
        <v>1.4399599186620671</v>
      </c>
      <c r="K8" s="1005">
        <f>Rezone!J8</f>
        <v>6</v>
      </c>
      <c r="L8" s="584">
        <f t="shared" si="22"/>
        <v>43692.208333333321</v>
      </c>
      <c r="M8" s="316">
        <f t="shared" si="0"/>
        <v>0</v>
      </c>
      <c r="N8" s="641">
        <f t="shared" si="1"/>
        <v>1000</v>
      </c>
      <c r="O8" s="423" t="s">
        <v>4</v>
      </c>
      <c r="P8" s="370"/>
      <c r="Q8" s="424" t="s">
        <v>223</v>
      </c>
      <c r="R8" s="423" t="s">
        <v>7</v>
      </c>
      <c r="S8" s="370"/>
      <c r="T8" s="424" t="s">
        <v>223</v>
      </c>
      <c r="U8" s="406" t="s">
        <v>3</v>
      </c>
      <c r="V8" s="407"/>
      <c r="W8" s="409" t="s">
        <v>223</v>
      </c>
      <c r="Y8" s="503">
        <f ca="1">science_cap*(1-EXP(-AF8/(science_param*($A9-Explore!$S9*20)+15000)))*(1+(mason_bonus*Construction!BB8/Construction!BS8))+IF(Overview!$B$14="Beastfolk",Construction!DA8/Construction!E8,0)*(1 + Production!O8/100*prestige_pop_multiplier)</f>
        <v>0</v>
      </c>
      <c r="Z8" s="455">
        <f ca="1">keep_cap*(1-EXP(-AG8/(keep_param*($A9-Explore!$S9*20)+15000)))*(1+(mason_bonus*Construction!BB8/Construction!BS8))+IF(Overview!$B$14="Beastfolk",Construction!DF8/Construction!E8,0)*(1 + Production!O8/100*prestige_pop_multiplier)</f>
        <v>0</v>
      </c>
      <c r="AA8" s="455">
        <f ca="1">harbor_towers_cap*(1-EXP(-AH8/(harbor_towers_param*($A9-Explore!$S9*20)+15000)))*(1+(mason_bonus*Construction!BB8/Construction!BS8))+IF(Overview!$B$14="Beastfolk",2*Construction!DC8/Construction!E8,0)*(1 + Production!O8/100*prestige_pop_multiplier)</f>
        <v>0</v>
      </c>
      <c r="AB8" s="455">
        <f ca="1">walls_forges_cap*(1-EXP(-AI8/(walls_forges_param*($A9-Explore!$S9*20)+15000)))*(1+(mason_bonus*Construction!BB8/Construction!BS8))+IF(Overview!$B$14="Beastfolk",0.2*Construction!CY8/Construction!E8,0)</f>
        <v>0</v>
      </c>
      <c r="AC8" s="455">
        <f ca="1">walls_forges_cap*(1-EXP(-AJ8/(walls_forges_param*($A9-Explore!$S9*20)+15000)))*(1+(mason_bonus*Construction!BB8/Construction!BS8))+IF(Overview!$B$14="Beastfolk",5*Construction!DB8/Construction!E8,0)</f>
        <v>0</v>
      </c>
      <c r="AD8" s="171">
        <f ca="1">harbor_towers_cap*(1-EXP(-AK8/(harbor_towers_param*($A9-Explore!$S9*20)+15000)))*(1+(mason_bonus*Construction!BB8/Construction!BS8))+IF(Overview!$B$14="Beastfolk",Construction!DE8/Construction!E8)*(1 + Production!O8/100*prestige_pop_multiplier)</f>
        <v>0</v>
      </c>
      <c r="AF8" s="56">
        <f ca="1">(1+Overview!$O$28+IF(Magic!BA8&gt;0,0.1,0))*SUM(AR8:AU8)</f>
        <v>0</v>
      </c>
      <c r="AG8" s="26">
        <f ca="1">(1+Overview!$O$28+IF(Magic!BA8&gt;0,0.1,0))*SUM(AW8:AZ8)</f>
        <v>0</v>
      </c>
      <c r="AH8" s="164">
        <f ca="1">(1+Overview!$O$28+IF(Magic!BA8&gt;0,0.1,0))*SUM(BB8:BE8)</f>
        <v>0</v>
      </c>
      <c r="AI8" s="164">
        <f ca="1">(1+Overview!$O$28+IF(Magic!BA8&gt;0,0.1,0))*SUM(BG8:BJ8)</f>
        <v>0</v>
      </c>
      <c r="AJ8" s="164">
        <f ca="1">(1+Overview!$O$28+IF(Magic!BA8&gt;0,0.1,0))*SUM(BL8:BO8)</f>
        <v>0</v>
      </c>
      <c r="AK8" s="166">
        <f ca="1">(1+Overview!$O$28+IF(Magic!BA8&gt;0,0.1,0))*SUM(BQ8:BT8)</f>
        <v>0</v>
      </c>
      <c r="AM8" s="52">
        <f t="shared" si="2"/>
        <v>0</v>
      </c>
      <c r="AN8" s="16">
        <f t="shared" si="2"/>
        <v>0</v>
      </c>
      <c r="AO8" s="16">
        <f t="shared" si="2"/>
        <v>0</v>
      </c>
      <c r="AP8" s="53">
        <f t="shared" si="2"/>
        <v>0</v>
      </c>
      <c r="AR8" s="56">
        <f t="shared" si="23"/>
        <v>0</v>
      </c>
      <c r="AS8" s="26">
        <f t="shared" si="3"/>
        <v>0</v>
      </c>
      <c r="AT8" s="26">
        <f t="shared" si="3"/>
        <v>0</v>
      </c>
      <c r="AU8" s="57">
        <f t="shared" si="4"/>
        <v>0</v>
      </c>
      <c r="AW8" s="56">
        <f t="shared" si="5"/>
        <v>0</v>
      </c>
      <c r="AX8" s="26">
        <f t="shared" si="6"/>
        <v>0</v>
      </c>
      <c r="AY8" s="26">
        <f t="shared" si="6"/>
        <v>0</v>
      </c>
      <c r="AZ8" s="57">
        <f t="shared" si="7"/>
        <v>0</v>
      </c>
      <c r="BB8" s="56">
        <f t="shared" si="8"/>
        <v>0</v>
      </c>
      <c r="BC8" s="26">
        <f t="shared" si="9"/>
        <v>0</v>
      </c>
      <c r="BD8" s="26">
        <f t="shared" si="10"/>
        <v>0</v>
      </c>
      <c r="BE8" s="57">
        <f t="shared" si="11"/>
        <v>0</v>
      </c>
      <c r="BG8" s="56">
        <f t="shared" si="12"/>
        <v>0</v>
      </c>
      <c r="BH8" s="26">
        <f t="shared" si="13"/>
        <v>0</v>
      </c>
      <c r="BI8" s="26">
        <f t="shared" si="13"/>
        <v>0</v>
      </c>
      <c r="BJ8" s="57">
        <f t="shared" si="14"/>
        <v>0</v>
      </c>
      <c r="BL8" s="56">
        <f t="shared" si="15"/>
        <v>0</v>
      </c>
      <c r="BM8" s="26">
        <f t="shared" si="16"/>
        <v>0</v>
      </c>
      <c r="BN8" s="26">
        <f t="shared" si="16"/>
        <v>0</v>
      </c>
      <c r="BO8" s="57">
        <f t="shared" si="17"/>
        <v>0</v>
      </c>
      <c r="BQ8" s="56">
        <f t="shared" si="18"/>
        <v>0</v>
      </c>
      <c r="BR8" s="26">
        <f t="shared" si="19"/>
        <v>0</v>
      </c>
      <c r="BS8" s="26">
        <f t="shared" si="19"/>
        <v>0</v>
      </c>
      <c r="BT8" s="57">
        <f t="shared" si="20"/>
        <v>0</v>
      </c>
      <c r="BV8" s="52" t="e">
        <f>OR(Production!C8,Construction!N8:'Construction'!AF8,Construction!BV8:CN8,Explore!S8:Z8,Military!AF8:AL8,Military!X8,Military!BE8:BL8,Rezone!L8:R8,Magic!G8:Q8)</f>
        <v>#VALUE!</v>
      </c>
      <c r="BW8" s="527">
        <f t="shared" si="21"/>
        <v>0</v>
      </c>
      <c r="BX8" s="527"/>
      <c r="BY8" s="557">
        <f t="shared" si="25"/>
        <v>43692.208333333321</v>
      </c>
      <c r="BZ8" s="565">
        <f t="shared" si="24"/>
        <v>43692.041666666657</v>
      </c>
      <c r="CA8" s="529"/>
      <c r="CB8" s="807"/>
      <c r="CC8" s="812"/>
      <c r="CD8" s="170"/>
      <c r="CF8" s="675"/>
    </row>
    <row r="9" spans="1:84" s="16" customFormat="1">
      <c r="A9" s="513">
        <f>Construction!E9</f>
        <v>1000</v>
      </c>
      <c r="C9" s="56">
        <f ca="1">Production!H9</f>
        <v>3994320</v>
      </c>
      <c r="D9" s="26">
        <f ca="1">Production!J9</f>
        <v>299334</v>
      </c>
      <c r="E9" s="26">
        <f ca="1">Production!L9</f>
        <v>300000</v>
      </c>
      <c r="F9" s="57">
        <f ca="1">Production!M9</f>
        <v>20000</v>
      </c>
      <c r="G9" s="26"/>
      <c r="H9" s="56">
        <f ca="1">Military!Z9</f>
        <v>5295</v>
      </c>
      <c r="I9" s="540">
        <f ca="1">Population!I9</f>
        <v>0.47333119476417135</v>
      </c>
      <c r="J9" s="165">
        <f ca="1">Population!F9/Population!U9</f>
        <v>1.3961762084432494</v>
      </c>
      <c r="K9" s="1005">
        <f>Rezone!J9</f>
        <v>7</v>
      </c>
      <c r="L9" s="584">
        <f t="shared" si="22"/>
        <v>43692.249999999985</v>
      </c>
      <c r="M9" s="316">
        <f t="shared" si="0"/>
        <v>0</v>
      </c>
      <c r="N9" s="641">
        <f t="shared" si="1"/>
        <v>1000</v>
      </c>
      <c r="O9" s="423" t="s">
        <v>4</v>
      </c>
      <c r="P9" s="370"/>
      <c r="Q9" s="424" t="s">
        <v>223</v>
      </c>
      <c r="R9" s="423" t="s">
        <v>7</v>
      </c>
      <c r="S9" s="370"/>
      <c r="T9" s="424" t="s">
        <v>223</v>
      </c>
      <c r="U9" s="406" t="s">
        <v>3</v>
      </c>
      <c r="V9" s="407"/>
      <c r="W9" s="409" t="s">
        <v>223</v>
      </c>
      <c r="Y9" s="503">
        <f ca="1">science_cap*(1-EXP(-AF9/(science_param*($A10-Explore!$S10*20)+15000)))*(1+(mason_bonus*Construction!BB9/Construction!BS9))+IF(Overview!$B$14="Beastfolk",Construction!DA9/Construction!E9,0)*(1 + Production!O9/100*prestige_pop_multiplier)</f>
        <v>0</v>
      </c>
      <c r="Z9" s="455">
        <f ca="1">keep_cap*(1-EXP(-AG9/(keep_param*($A10-Explore!$S10*20)+15000)))*(1+(mason_bonus*Construction!BB9/Construction!BS9))+IF(Overview!$B$14="Beastfolk",Construction!DF9/Construction!E9,0)*(1 + Production!O9/100*prestige_pop_multiplier)</f>
        <v>0</v>
      </c>
      <c r="AA9" s="455">
        <f ca="1">harbor_towers_cap*(1-EXP(-AH9/(harbor_towers_param*($A10-Explore!$S10*20)+15000)))*(1+(mason_bonus*Construction!BB9/Construction!BS9))+IF(Overview!$B$14="Beastfolk",2*Construction!DC9/Construction!E9,0)*(1 + Production!O9/100*prestige_pop_multiplier)</f>
        <v>0</v>
      </c>
      <c r="AB9" s="455">
        <f ca="1">walls_forges_cap*(1-EXP(-AI9/(walls_forges_param*($A10-Explore!$S10*20)+15000)))*(1+(mason_bonus*Construction!BB9/Construction!BS9))+IF(Overview!$B$14="Beastfolk",0.2*Construction!CY9/Construction!E9,0)</f>
        <v>0</v>
      </c>
      <c r="AC9" s="455">
        <f ca="1">walls_forges_cap*(1-EXP(-AJ9/(walls_forges_param*($A10-Explore!$S10*20)+15000)))*(1+(mason_bonus*Construction!BB9/Construction!BS9))+IF(Overview!$B$14="Beastfolk",5*Construction!DB9/Construction!E9,0)</f>
        <v>0</v>
      </c>
      <c r="AD9" s="171">
        <f ca="1">harbor_towers_cap*(1-EXP(-AK9/(harbor_towers_param*($A10-Explore!$S10*20)+15000)))*(1+(mason_bonus*Construction!BB9/Construction!BS9))+IF(Overview!$B$14="Beastfolk",Construction!DE9/Construction!E9)*(1 + Production!O9/100*prestige_pop_multiplier)</f>
        <v>0</v>
      </c>
      <c r="AF9" s="56">
        <f ca="1">(1+Overview!$O$28+IF(Magic!BA9&gt;0,0.1,0))*SUM(AR9:AU9)</f>
        <v>0</v>
      </c>
      <c r="AG9" s="26">
        <f ca="1">(1+Overview!$O$28+IF(Magic!BA9&gt;0,0.1,0))*SUM(AW9:AZ9)</f>
        <v>0</v>
      </c>
      <c r="AH9" s="164">
        <f ca="1">(1+Overview!$O$28+IF(Magic!BA9&gt;0,0.1,0))*SUM(BB9:BE9)</f>
        <v>0</v>
      </c>
      <c r="AI9" s="164">
        <f ca="1">(1+Overview!$O$28+IF(Magic!BA9&gt;0,0.1,0))*SUM(BG9:BJ9)</f>
        <v>0</v>
      </c>
      <c r="AJ9" s="164">
        <f ca="1">(1+Overview!$O$28+IF(Magic!BA9&gt;0,0.1,0))*SUM(BL9:BO9)</f>
        <v>0</v>
      </c>
      <c r="AK9" s="166">
        <f ca="1">(1+Overview!$O$28+IF(Magic!BA9&gt;0,0.1,0))*SUM(BQ9:BT9)</f>
        <v>0</v>
      </c>
      <c r="AM9" s="52">
        <f t="shared" si="2"/>
        <v>0</v>
      </c>
      <c r="AN9" s="16">
        <f t="shared" si="2"/>
        <v>0</v>
      </c>
      <c r="AO9" s="16">
        <f t="shared" si="2"/>
        <v>0</v>
      </c>
      <c r="AP9" s="53">
        <f t="shared" si="2"/>
        <v>0</v>
      </c>
      <c r="AR9" s="56">
        <f t="shared" si="23"/>
        <v>0</v>
      </c>
      <c r="AS9" s="26">
        <f t="shared" si="3"/>
        <v>0</v>
      </c>
      <c r="AT9" s="26">
        <f t="shared" si="3"/>
        <v>0</v>
      </c>
      <c r="AU9" s="57">
        <f t="shared" si="4"/>
        <v>0</v>
      </c>
      <c r="AW9" s="56">
        <f t="shared" si="5"/>
        <v>0</v>
      </c>
      <c r="AX9" s="26">
        <f t="shared" si="6"/>
        <v>0</v>
      </c>
      <c r="AY9" s="26">
        <f t="shared" si="6"/>
        <v>0</v>
      </c>
      <c r="AZ9" s="57">
        <f t="shared" si="7"/>
        <v>0</v>
      </c>
      <c r="BB9" s="56">
        <f t="shared" si="8"/>
        <v>0</v>
      </c>
      <c r="BC9" s="26">
        <f t="shared" si="9"/>
        <v>0</v>
      </c>
      <c r="BD9" s="26">
        <f t="shared" si="10"/>
        <v>0</v>
      </c>
      <c r="BE9" s="57">
        <f t="shared" si="11"/>
        <v>0</v>
      </c>
      <c r="BG9" s="56">
        <f t="shared" si="12"/>
        <v>0</v>
      </c>
      <c r="BH9" s="26">
        <f t="shared" si="13"/>
        <v>0</v>
      </c>
      <c r="BI9" s="26">
        <f t="shared" si="13"/>
        <v>0</v>
      </c>
      <c r="BJ9" s="57">
        <f t="shared" si="14"/>
        <v>0</v>
      </c>
      <c r="BL9" s="56">
        <f t="shared" si="15"/>
        <v>0</v>
      </c>
      <c r="BM9" s="26">
        <f t="shared" si="16"/>
        <v>0</v>
      </c>
      <c r="BN9" s="26">
        <f t="shared" si="16"/>
        <v>0</v>
      </c>
      <c r="BO9" s="57">
        <f t="shared" si="17"/>
        <v>0</v>
      </c>
      <c r="BQ9" s="56">
        <f t="shared" si="18"/>
        <v>0</v>
      </c>
      <c r="BR9" s="26">
        <f t="shared" si="19"/>
        <v>0</v>
      </c>
      <c r="BS9" s="26">
        <f t="shared" si="19"/>
        <v>0</v>
      </c>
      <c r="BT9" s="57">
        <f t="shared" si="20"/>
        <v>0</v>
      </c>
      <c r="BV9" s="52" t="e">
        <f>OR(Production!C9,Construction!N9:'Construction'!AF9,Construction!BV9:CN9,Explore!S9:Z9,Military!AF9:AL9,Military!X9,Military!BE9:BL9,Rezone!L9:R9,Magic!G9:Q9)</f>
        <v>#VALUE!</v>
      </c>
      <c r="BW9" s="527">
        <f t="shared" si="21"/>
        <v>0</v>
      </c>
      <c r="BX9" s="527"/>
      <c r="BY9" s="557">
        <f t="shared" si="25"/>
        <v>43692.249999999985</v>
      </c>
      <c r="BZ9" s="565">
        <f t="shared" si="24"/>
        <v>43692.083333333321</v>
      </c>
      <c r="CA9" s="529"/>
      <c r="CB9" s="807"/>
      <c r="CC9" s="812"/>
      <c r="CD9" s="170"/>
    </row>
    <row r="10" spans="1:84" s="16" customFormat="1">
      <c r="A10" s="513">
        <f>Construction!E10</f>
        <v>1000</v>
      </c>
      <c r="C10" s="56">
        <f ca="1">Production!H10</f>
        <v>4004040</v>
      </c>
      <c r="D10" s="26">
        <f ca="1">Production!J10</f>
        <v>298841</v>
      </c>
      <c r="E10" s="26">
        <f ca="1">Production!L10</f>
        <v>300000</v>
      </c>
      <c r="F10" s="57">
        <f ca="1">Production!M10</f>
        <v>20000</v>
      </c>
      <c r="G10" s="26"/>
      <c r="H10" s="56">
        <f ca="1">Military!Z10</f>
        <v>5295</v>
      </c>
      <c r="I10" s="540">
        <f ca="1">Population!I10</f>
        <v>0.49824336290965404</v>
      </c>
      <c r="J10" s="165">
        <f ca="1">Population!F10/Population!U10</f>
        <v>1.3550199954236846</v>
      </c>
      <c r="K10" s="1005">
        <f>Rezone!J10</f>
        <v>8</v>
      </c>
      <c r="L10" s="584">
        <f t="shared" si="22"/>
        <v>43692.29166666665</v>
      </c>
      <c r="M10" s="316">
        <f t="shared" si="0"/>
        <v>0</v>
      </c>
      <c r="N10" s="641">
        <f t="shared" si="1"/>
        <v>1000</v>
      </c>
      <c r="O10" s="423" t="s">
        <v>4</v>
      </c>
      <c r="P10" s="370"/>
      <c r="Q10" s="424" t="s">
        <v>223</v>
      </c>
      <c r="R10" s="423" t="s">
        <v>7</v>
      </c>
      <c r="S10" s="370"/>
      <c r="T10" s="424" t="s">
        <v>223</v>
      </c>
      <c r="U10" s="406" t="s">
        <v>3</v>
      </c>
      <c r="V10" s="407"/>
      <c r="W10" s="409" t="s">
        <v>223</v>
      </c>
      <c r="Y10" s="503">
        <f ca="1">science_cap*(1-EXP(-AF10/(science_param*($A11-Explore!$S11*20)+15000)))*(1+(mason_bonus*Construction!BB10/Construction!BS10))+IF(Overview!$B$14="Beastfolk",Construction!DA10/Construction!E10,0)*(1 + Production!O10/100*prestige_pop_multiplier)</f>
        <v>0</v>
      </c>
      <c r="Z10" s="455">
        <f ca="1">keep_cap*(1-EXP(-AG10/(keep_param*($A11-Explore!$S11*20)+15000)))*(1+(mason_bonus*Construction!BB10/Construction!BS10))+IF(Overview!$B$14="Beastfolk",Construction!DF10/Construction!E10,0)*(1 + Production!O10/100*prestige_pop_multiplier)</f>
        <v>0</v>
      </c>
      <c r="AA10" s="455">
        <f ca="1">harbor_towers_cap*(1-EXP(-AH10/(harbor_towers_param*($A11-Explore!$S11*20)+15000)))*(1+(mason_bonus*Construction!BB10/Construction!BS10))+IF(Overview!$B$14="Beastfolk",2*Construction!DC10/Construction!E10,0)*(1 + Production!O10/100*prestige_pop_multiplier)</f>
        <v>0</v>
      </c>
      <c r="AB10" s="455">
        <f ca="1">walls_forges_cap*(1-EXP(-AI10/(walls_forges_param*($A11-Explore!$S11*20)+15000)))*(1+(mason_bonus*Construction!BB10/Construction!BS10))+IF(Overview!$B$14="Beastfolk",0.2*Construction!CY10/Construction!E10,0)</f>
        <v>0</v>
      </c>
      <c r="AC10" s="455">
        <f ca="1">walls_forges_cap*(1-EXP(-AJ10/(walls_forges_param*($A11-Explore!$S11*20)+15000)))*(1+(mason_bonus*Construction!BB10/Construction!BS10))+IF(Overview!$B$14="Beastfolk",5*Construction!DB10/Construction!E10,0)</f>
        <v>0</v>
      </c>
      <c r="AD10" s="171">
        <f ca="1">harbor_towers_cap*(1-EXP(-AK10/(harbor_towers_param*($A11-Explore!$S11*20)+15000)))*(1+(mason_bonus*Construction!BB10/Construction!BS10))+IF(Overview!$B$14="Beastfolk",Construction!DE10/Construction!E10)*(1 + Production!O10/100*prestige_pop_multiplier)</f>
        <v>0</v>
      </c>
      <c r="AF10" s="56">
        <f ca="1">(1+Overview!$O$28+IF(Magic!BA10&gt;0,0.1,0))*SUM(AR10:AU10)</f>
        <v>0</v>
      </c>
      <c r="AG10" s="26">
        <f ca="1">(1+Overview!$O$28+IF(Magic!BA10&gt;0,0.1,0))*SUM(AW10:AZ10)</f>
        <v>0</v>
      </c>
      <c r="AH10" s="164">
        <f ca="1">(1+Overview!$O$28+IF(Magic!BA10&gt;0,0.1,0))*SUM(BB10:BE10)</f>
        <v>0</v>
      </c>
      <c r="AI10" s="164">
        <f ca="1">(1+Overview!$O$28+IF(Magic!BA10&gt;0,0.1,0))*SUM(BG10:BJ10)</f>
        <v>0</v>
      </c>
      <c r="AJ10" s="164">
        <f ca="1">(1+Overview!$O$28+IF(Magic!BA10&gt;0,0.1,0))*SUM(BL10:BO10)</f>
        <v>0</v>
      </c>
      <c r="AK10" s="166">
        <f ca="1">(1+Overview!$O$28+IF(Magic!BA10&gt;0,0.1,0))*SUM(BQ10:BT10)</f>
        <v>0</v>
      </c>
      <c r="AM10" s="52">
        <f t="shared" si="2"/>
        <v>0</v>
      </c>
      <c r="AN10" s="16">
        <f t="shared" si="2"/>
        <v>0</v>
      </c>
      <c r="AO10" s="16">
        <f t="shared" si="2"/>
        <v>0</v>
      </c>
      <c r="AP10" s="53">
        <f t="shared" si="2"/>
        <v>0</v>
      </c>
      <c r="AR10" s="56">
        <f t="shared" si="23"/>
        <v>0</v>
      </c>
      <c r="AS10" s="26">
        <f t="shared" si="3"/>
        <v>0</v>
      </c>
      <c r="AT10" s="26">
        <f t="shared" si="3"/>
        <v>0</v>
      </c>
      <c r="AU10" s="57">
        <f t="shared" si="4"/>
        <v>0</v>
      </c>
      <c r="AW10" s="56">
        <f t="shared" si="5"/>
        <v>0</v>
      </c>
      <c r="AX10" s="26">
        <f t="shared" si="6"/>
        <v>0</v>
      </c>
      <c r="AY10" s="26">
        <f t="shared" si="6"/>
        <v>0</v>
      </c>
      <c r="AZ10" s="57">
        <f t="shared" si="7"/>
        <v>0</v>
      </c>
      <c r="BB10" s="56">
        <f t="shared" si="8"/>
        <v>0</v>
      </c>
      <c r="BC10" s="26">
        <f t="shared" si="9"/>
        <v>0</v>
      </c>
      <c r="BD10" s="26">
        <f t="shared" si="10"/>
        <v>0</v>
      </c>
      <c r="BE10" s="57">
        <f t="shared" si="11"/>
        <v>0</v>
      </c>
      <c r="BG10" s="56">
        <f t="shared" si="12"/>
        <v>0</v>
      </c>
      <c r="BH10" s="26">
        <f t="shared" si="13"/>
        <v>0</v>
      </c>
      <c r="BI10" s="26">
        <f t="shared" si="13"/>
        <v>0</v>
      </c>
      <c r="BJ10" s="57">
        <f t="shared" si="14"/>
        <v>0</v>
      </c>
      <c r="BL10" s="56">
        <f t="shared" si="15"/>
        <v>0</v>
      </c>
      <c r="BM10" s="26">
        <f t="shared" si="16"/>
        <v>0</v>
      </c>
      <c r="BN10" s="26">
        <f t="shared" si="16"/>
        <v>0</v>
      </c>
      <c r="BO10" s="57">
        <f t="shared" si="17"/>
        <v>0</v>
      </c>
      <c r="BQ10" s="56">
        <f t="shared" si="18"/>
        <v>0</v>
      </c>
      <c r="BR10" s="26">
        <f t="shared" si="19"/>
        <v>0</v>
      </c>
      <c r="BS10" s="26">
        <f t="shared" si="19"/>
        <v>0</v>
      </c>
      <c r="BT10" s="57">
        <f t="shared" si="20"/>
        <v>0</v>
      </c>
      <c r="BV10" s="52" t="e">
        <f>OR(Production!C10,Construction!N10:'Construction'!AF10,Construction!BV10:CN10,Explore!S10:Z10,Military!AF10:AL10,Military!X10,Military!BE10:BL10,Rezone!L10:R10,Magic!G10:Q10)</f>
        <v>#VALUE!</v>
      </c>
      <c r="BW10" s="527">
        <f t="shared" si="21"/>
        <v>0</v>
      </c>
      <c r="BX10" s="527"/>
      <c r="BY10" s="557">
        <f t="shared" si="25"/>
        <v>43692.29166666665</v>
      </c>
      <c r="BZ10" s="565">
        <f t="shared" si="24"/>
        <v>43692.124999999985</v>
      </c>
      <c r="CA10" s="529"/>
      <c r="CB10" s="807"/>
      <c r="CC10" s="812"/>
      <c r="CD10" s="170"/>
    </row>
    <row r="11" spans="1:84" s="16" customFormat="1">
      <c r="A11" s="513">
        <f>Construction!E11</f>
        <v>1000</v>
      </c>
      <c r="C11" s="56">
        <f ca="1">Production!H11</f>
        <v>4013760</v>
      </c>
      <c r="D11" s="26">
        <f ca="1">Production!J11</f>
        <v>298353</v>
      </c>
      <c r="E11" s="26">
        <f ca="1">Production!L11</f>
        <v>300000</v>
      </c>
      <c r="F11" s="57">
        <f ca="1">Production!M11</f>
        <v>20000</v>
      </c>
      <c r="G11" s="26"/>
      <c r="H11" s="56">
        <f ca="1">Military!Z11</f>
        <v>5295</v>
      </c>
      <c r="I11" s="540">
        <f ca="1">Population!I11</f>
        <v>0.52446669779963584</v>
      </c>
      <c r="J11" s="165">
        <f ca="1">Population!F11/Population!U11</f>
        <v>1.3159215930550976</v>
      </c>
      <c r="K11" s="1005">
        <f>Rezone!J11</f>
        <v>9</v>
      </c>
      <c r="L11" s="584">
        <f t="shared" si="22"/>
        <v>43692.333333333314</v>
      </c>
      <c r="M11" s="316">
        <f t="shared" si="0"/>
        <v>0</v>
      </c>
      <c r="N11" s="641">
        <f t="shared" si="1"/>
        <v>1000</v>
      </c>
      <c r="O11" s="423" t="s">
        <v>4</v>
      </c>
      <c r="P11" s="370"/>
      <c r="Q11" s="424" t="s">
        <v>223</v>
      </c>
      <c r="R11" s="423" t="s">
        <v>7</v>
      </c>
      <c r="S11" s="370"/>
      <c r="T11" s="424" t="s">
        <v>223</v>
      </c>
      <c r="U11" s="406" t="s">
        <v>3</v>
      </c>
      <c r="V11" s="407"/>
      <c r="W11" s="409" t="s">
        <v>223</v>
      </c>
      <c r="Y11" s="503">
        <f ca="1">science_cap*(1-EXP(-AF11/(science_param*($A12-Explore!$S12*20)+15000)))*(1+(mason_bonus*Construction!BB11/Construction!BS11))+IF(Overview!$B$14="Beastfolk",Construction!DA11/Construction!E11,0)*(1 + Production!O11/100*prestige_pop_multiplier)</f>
        <v>0</v>
      </c>
      <c r="Z11" s="455">
        <f ca="1">keep_cap*(1-EXP(-AG11/(keep_param*($A12-Explore!$S12*20)+15000)))*(1+(mason_bonus*Construction!BB11/Construction!BS11))+IF(Overview!$B$14="Beastfolk",Construction!DF11/Construction!E11,0)*(1 + Production!O11/100*prestige_pop_multiplier)</f>
        <v>0</v>
      </c>
      <c r="AA11" s="455">
        <f ca="1">harbor_towers_cap*(1-EXP(-AH11/(harbor_towers_param*($A12-Explore!$S12*20)+15000)))*(1+(mason_bonus*Construction!BB11/Construction!BS11))+IF(Overview!$B$14="Beastfolk",2*Construction!DC11/Construction!E11,0)*(1 + Production!O11/100*prestige_pop_multiplier)</f>
        <v>0</v>
      </c>
      <c r="AB11" s="455">
        <f ca="1">walls_forges_cap*(1-EXP(-AI11/(walls_forges_param*($A12-Explore!$S12*20)+15000)))*(1+(mason_bonus*Construction!BB11/Construction!BS11))+IF(Overview!$B$14="Beastfolk",0.2*Construction!CY11/Construction!E11,0)</f>
        <v>0</v>
      </c>
      <c r="AC11" s="455">
        <f ca="1">walls_forges_cap*(1-EXP(-AJ11/(walls_forges_param*($A12-Explore!$S12*20)+15000)))*(1+(mason_bonus*Construction!BB11/Construction!BS11))+IF(Overview!$B$14="Beastfolk",5*Construction!DB11/Construction!E11,0)</f>
        <v>0</v>
      </c>
      <c r="AD11" s="171">
        <f ca="1">harbor_towers_cap*(1-EXP(-AK11/(harbor_towers_param*($A12-Explore!$S12*20)+15000)))*(1+(mason_bonus*Construction!BB11/Construction!BS11))+IF(Overview!$B$14="Beastfolk",Construction!DE11/Construction!E11)*(1 + Production!O11/100*prestige_pop_multiplier)</f>
        <v>0</v>
      </c>
      <c r="AF11" s="56">
        <f ca="1">(1+Overview!$O$28+IF(Magic!BA11&gt;0,0.1,0))*SUM(AR11:AU11)</f>
        <v>0</v>
      </c>
      <c r="AG11" s="26">
        <f ca="1">(1+Overview!$O$28+IF(Magic!BA11&gt;0,0.1,0))*SUM(AW11:AZ11)</f>
        <v>0</v>
      </c>
      <c r="AH11" s="164">
        <f ca="1">(1+Overview!$O$28+IF(Magic!BA11&gt;0,0.1,0))*SUM(BB11:BE11)</f>
        <v>0</v>
      </c>
      <c r="AI11" s="164">
        <f ca="1">(1+Overview!$O$28+IF(Magic!BA11&gt;0,0.1,0))*SUM(BG11:BJ11)</f>
        <v>0</v>
      </c>
      <c r="AJ11" s="164">
        <f ca="1">(1+Overview!$O$28+IF(Magic!BA11&gt;0,0.1,0))*SUM(BL11:BO11)</f>
        <v>0</v>
      </c>
      <c r="AK11" s="166">
        <f ca="1">(1+Overview!$O$28+IF(Magic!BA11&gt;0,0.1,0))*SUM(BQ11:BT11)</f>
        <v>0</v>
      </c>
      <c r="AM11" s="52">
        <f t="shared" si="2"/>
        <v>0</v>
      </c>
      <c r="AN11" s="16">
        <f t="shared" si="2"/>
        <v>0</v>
      </c>
      <c r="AO11" s="16">
        <f t="shared" si="2"/>
        <v>0</v>
      </c>
      <c r="AP11" s="53">
        <f t="shared" si="2"/>
        <v>0</v>
      </c>
      <c r="AR11" s="56">
        <f t="shared" si="23"/>
        <v>0</v>
      </c>
      <c r="AS11" s="26">
        <f t="shared" si="3"/>
        <v>0</v>
      </c>
      <c r="AT11" s="26">
        <f t="shared" si="3"/>
        <v>0</v>
      </c>
      <c r="AU11" s="57">
        <f t="shared" si="4"/>
        <v>0</v>
      </c>
      <c r="AW11" s="56">
        <f t="shared" si="5"/>
        <v>0</v>
      </c>
      <c r="AX11" s="26">
        <f t="shared" si="6"/>
        <v>0</v>
      </c>
      <c r="AY11" s="26">
        <f t="shared" si="6"/>
        <v>0</v>
      </c>
      <c r="AZ11" s="57">
        <f t="shared" si="7"/>
        <v>0</v>
      </c>
      <c r="BB11" s="56">
        <f t="shared" si="8"/>
        <v>0</v>
      </c>
      <c r="BC11" s="26">
        <f t="shared" si="9"/>
        <v>0</v>
      </c>
      <c r="BD11" s="26">
        <f t="shared" si="10"/>
        <v>0</v>
      </c>
      <c r="BE11" s="57">
        <f t="shared" si="11"/>
        <v>0</v>
      </c>
      <c r="BG11" s="56">
        <f t="shared" si="12"/>
        <v>0</v>
      </c>
      <c r="BH11" s="26">
        <f t="shared" si="13"/>
        <v>0</v>
      </c>
      <c r="BI11" s="26">
        <f t="shared" si="13"/>
        <v>0</v>
      </c>
      <c r="BJ11" s="57">
        <f t="shared" si="14"/>
        <v>0</v>
      </c>
      <c r="BL11" s="56">
        <f t="shared" si="15"/>
        <v>0</v>
      </c>
      <c r="BM11" s="26">
        <f t="shared" si="16"/>
        <v>0</v>
      </c>
      <c r="BN11" s="26">
        <f t="shared" si="16"/>
        <v>0</v>
      </c>
      <c r="BO11" s="57">
        <f t="shared" si="17"/>
        <v>0</v>
      </c>
      <c r="BQ11" s="56">
        <f t="shared" si="18"/>
        <v>0</v>
      </c>
      <c r="BR11" s="26">
        <f t="shared" si="19"/>
        <v>0</v>
      </c>
      <c r="BS11" s="26">
        <f t="shared" si="19"/>
        <v>0</v>
      </c>
      <c r="BT11" s="57">
        <f t="shared" si="20"/>
        <v>0</v>
      </c>
      <c r="BV11" s="52" t="e">
        <f>OR(Production!C11,Construction!N11:'Construction'!AF11,Construction!BV11:CN11,Explore!S11:Z11,Military!AF11:AL11,Military!X11,Military!BE11:BL11,Rezone!L11:R11,Magic!G11:Q11)</f>
        <v>#VALUE!</v>
      </c>
      <c r="BW11" s="527">
        <f t="shared" si="21"/>
        <v>0</v>
      </c>
      <c r="BX11" s="527"/>
      <c r="BY11" s="557">
        <f t="shared" si="25"/>
        <v>43692.333333333314</v>
      </c>
      <c r="BZ11" s="565">
        <f t="shared" si="24"/>
        <v>43692.16666666665</v>
      </c>
      <c r="CA11" s="529"/>
      <c r="CB11" s="807"/>
      <c r="CC11" s="812"/>
      <c r="CD11" s="170"/>
    </row>
    <row r="12" spans="1:84" s="16" customFormat="1">
      <c r="A12" s="513">
        <f>Construction!E12</f>
        <v>1000</v>
      </c>
      <c r="C12" s="56">
        <f ca="1">Production!H12</f>
        <v>4023480</v>
      </c>
      <c r="D12" s="26">
        <f ca="1">Production!J12</f>
        <v>297869</v>
      </c>
      <c r="E12" s="26">
        <f ca="1">Production!L12</f>
        <v>300000</v>
      </c>
      <c r="F12" s="57">
        <f ca="1">Production!M12</f>
        <v>20000</v>
      </c>
      <c r="G12" s="26"/>
      <c r="H12" s="56">
        <f ca="1">Military!Z12</f>
        <v>5295</v>
      </c>
      <c r="I12" s="540">
        <f ca="1">Population!I12</f>
        <v>0.55207020821014297</v>
      </c>
      <c r="J12" s="165">
        <f ca="1">Population!F12/Population!U12</f>
        <v>1.2787781108049403</v>
      </c>
      <c r="K12" s="1005">
        <f>Rezone!J12</f>
        <v>10</v>
      </c>
      <c r="L12" s="584">
        <f t="shared" si="22"/>
        <v>43692.374999999978</v>
      </c>
      <c r="M12" s="316">
        <f t="shared" si="0"/>
        <v>0</v>
      </c>
      <c r="N12" s="641">
        <f t="shared" si="1"/>
        <v>1000</v>
      </c>
      <c r="O12" s="423" t="s">
        <v>4</v>
      </c>
      <c r="P12" s="370"/>
      <c r="Q12" s="424" t="s">
        <v>223</v>
      </c>
      <c r="R12" s="423" t="s">
        <v>7</v>
      </c>
      <c r="S12" s="370"/>
      <c r="T12" s="425" t="s">
        <v>223</v>
      </c>
      <c r="U12" s="408" t="s">
        <v>3</v>
      </c>
      <c r="V12" s="407"/>
      <c r="W12" s="409" t="s">
        <v>223</v>
      </c>
      <c r="Y12" s="503">
        <f ca="1">science_cap*(1-EXP(-AF12/(science_param*($A13-Explore!$S13*20)+15000)))*(1+(mason_bonus*Construction!BB12/Construction!BS12))+IF(Overview!$B$14="Beastfolk",Construction!DA12/Construction!E12,0)*(1 + Production!O12/100*prestige_pop_multiplier)</f>
        <v>0</v>
      </c>
      <c r="Z12" s="455">
        <f ca="1">keep_cap*(1-EXP(-AG12/(keep_param*($A13-Explore!$S13*20)+15000)))*(1+(mason_bonus*Construction!BB12/Construction!BS12))+IF(Overview!$B$14="Beastfolk",Construction!DF12/Construction!E12,0)*(1 + Production!O12/100*prestige_pop_multiplier)</f>
        <v>0</v>
      </c>
      <c r="AA12" s="455">
        <f ca="1">harbor_towers_cap*(1-EXP(-AH12/(harbor_towers_param*($A13-Explore!$S13*20)+15000)))*(1+(mason_bonus*Construction!BB12/Construction!BS12))+IF(Overview!$B$14="Beastfolk",2*Construction!DC12/Construction!E12,0)*(1 + Production!O12/100*prestige_pop_multiplier)</f>
        <v>0</v>
      </c>
      <c r="AB12" s="455">
        <f ca="1">walls_forges_cap*(1-EXP(-AI12/(walls_forges_param*($A13-Explore!$S13*20)+15000)))*(1+(mason_bonus*Construction!BB12/Construction!BS12))+IF(Overview!$B$14="Beastfolk",0.2*Construction!CY12/Construction!E12,0)</f>
        <v>0</v>
      </c>
      <c r="AC12" s="455">
        <f ca="1">walls_forges_cap*(1-EXP(-AJ12/(walls_forges_param*($A13-Explore!$S13*20)+15000)))*(1+(mason_bonus*Construction!BB12/Construction!BS12))+IF(Overview!$B$14="Beastfolk",5*Construction!DB12/Construction!E12,0)</f>
        <v>0</v>
      </c>
      <c r="AD12" s="171">
        <f ca="1">harbor_towers_cap*(1-EXP(-AK12/(harbor_towers_param*($A13-Explore!$S13*20)+15000)))*(1+(mason_bonus*Construction!BB12/Construction!BS12))+IF(Overview!$B$14="Beastfolk",Construction!DE12/Construction!E12)*(1 + Production!O12/100*prestige_pop_multiplier)</f>
        <v>0</v>
      </c>
      <c r="AF12" s="56">
        <f ca="1">(1+Overview!$O$28+IF(Magic!BA12&gt;0,0.1,0))*SUM(AR12:AU12)</f>
        <v>0</v>
      </c>
      <c r="AG12" s="26">
        <f ca="1">(1+Overview!$O$28+IF(Magic!BA12&gt;0,0.1,0))*SUM(AW12:AZ12)</f>
        <v>0</v>
      </c>
      <c r="AH12" s="164">
        <f ca="1">(1+Overview!$O$28+IF(Magic!BA12&gt;0,0.1,0))*SUM(BB12:BE12)</f>
        <v>0</v>
      </c>
      <c r="AI12" s="164">
        <f ca="1">(1+Overview!$O$28+IF(Magic!BA12&gt;0,0.1,0))*SUM(BG12:BJ12)</f>
        <v>0</v>
      </c>
      <c r="AJ12" s="164">
        <f ca="1">(1+Overview!$O$28+IF(Magic!BA12&gt;0,0.1,0))*SUM(BL12:BO12)</f>
        <v>0</v>
      </c>
      <c r="AK12" s="166">
        <f ca="1">(1+Overview!$O$28+IF(Magic!BA12&gt;0,0.1,0))*SUM(BQ12:BT12)</f>
        <v>0</v>
      </c>
      <c r="AM12" s="52">
        <f t="shared" si="2"/>
        <v>0</v>
      </c>
      <c r="AN12" s="16">
        <f t="shared" si="2"/>
        <v>0</v>
      </c>
      <c r="AO12" s="16">
        <f t="shared" si="2"/>
        <v>0</v>
      </c>
      <c r="AP12" s="53">
        <f t="shared" si="2"/>
        <v>0</v>
      </c>
      <c r="AR12" s="56">
        <f t="shared" si="23"/>
        <v>0</v>
      </c>
      <c r="AS12" s="26">
        <f t="shared" si="3"/>
        <v>0</v>
      </c>
      <c r="AT12" s="26">
        <f t="shared" si="3"/>
        <v>0</v>
      </c>
      <c r="AU12" s="57">
        <f t="shared" si="4"/>
        <v>0</v>
      </c>
      <c r="AW12" s="56">
        <f t="shared" si="5"/>
        <v>0</v>
      </c>
      <c r="AX12" s="26">
        <f t="shared" si="6"/>
        <v>0</v>
      </c>
      <c r="AY12" s="26">
        <f t="shared" si="6"/>
        <v>0</v>
      </c>
      <c r="AZ12" s="57">
        <f t="shared" si="7"/>
        <v>0</v>
      </c>
      <c r="BB12" s="56">
        <f t="shared" si="8"/>
        <v>0</v>
      </c>
      <c r="BC12" s="26">
        <f t="shared" si="9"/>
        <v>0</v>
      </c>
      <c r="BD12" s="26">
        <f t="shared" si="10"/>
        <v>0</v>
      </c>
      <c r="BE12" s="57">
        <f t="shared" si="11"/>
        <v>0</v>
      </c>
      <c r="BG12" s="56">
        <f t="shared" si="12"/>
        <v>0</v>
      </c>
      <c r="BH12" s="26">
        <f t="shared" si="13"/>
        <v>0</v>
      </c>
      <c r="BI12" s="26">
        <f t="shared" si="13"/>
        <v>0</v>
      </c>
      <c r="BJ12" s="57">
        <f t="shared" si="14"/>
        <v>0</v>
      </c>
      <c r="BL12" s="56">
        <f t="shared" si="15"/>
        <v>0</v>
      </c>
      <c r="BM12" s="26">
        <f t="shared" si="16"/>
        <v>0</v>
      </c>
      <c r="BN12" s="26">
        <f t="shared" si="16"/>
        <v>0</v>
      </c>
      <c r="BO12" s="57">
        <f t="shared" si="17"/>
        <v>0</v>
      </c>
      <c r="BQ12" s="56">
        <f t="shared" si="18"/>
        <v>0</v>
      </c>
      <c r="BR12" s="26">
        <f t="shared" si="19"/>
        <v>0</v>
      </c>
      <c r="BS12" s="26">
        <f t="shared" si="19"/>
        <v>0</v>
      </c>
      <c r="BT12" s="57">
        <f t="shared" si="20"/>
        <v>0</v>
      </c>
      <c r="BV12" s="52" t="e">
        <f>OR(Production!C12,Construction!N12:'Construction'!AF12,Construction!BV12:CN12,Explore!S12:Z12,Military!AF12:AL12,Military!X12,Military!BE12:BL12,Rezone!L12:R12,Magic!G12:Q12)</f>
        <v>#VALUE!</v>
      </c>
      <c r="BW12" s="527">
        <f t="shared" si="21"/>
        <v>0</v>
      </c>
      <c r="BX12" s="527"/>
      <c r="BY12" s="557">
        <f t="shared" si="25"/>
        <v>43692.374999999978</v>
      </c>
      <c r="BZ12" s="565">
        <f t="shared" si="24"/>
        <v>43692.208333333314</v>
      </c>
      <c r="CA12" s="529"/>
      <c r="CB12" s="807"/>
      <c r="CC12" s="812"/>
      <c r="CD12" s="170"/>
    </row>
    <row r="13" spans="1:84" s="16" customFormat="1">
      <c r="A13" s="513">
        <f>Construction!E13</f>
        <v>1000</v>
      </c>
      <c r="C13" s="56">
        <f ca="1">Production!H13</f>
        <v>4033200</v>
      </c>
      <c r="D13" s="26">
        <f ca="1">Production!J13</f>
        <v>297390</v>
      </c>
      <c r="E13" s="26">
        <f ca="1">Production!L13</f>
        <v>300000</v>
      </c>
      <c r="F13" s="57">
        <f ca="1">Production!M13</f>
        <v>20000</v>
      </c>
      <c r="G13" s="26"/>
      <c r="H13" s="56">
        <f ca="1">Military!Z13</f>
        <v>5295</v>
      </c>
      <c r="I13" s="540">
        <f ca="1">Population!I13</f>
        <v>0.58112653495804523</v>
      </c>
      <c r="J13" s="165">
        <f ca="1">Population!F13/Population!U13</f>
        <v>1.2434918026672905</v>
      </c>
      <c r="K13" s="1005">
        <f>Rezone!J13</f>
        <v>11</v>
      </c>
      <c r="L13" s="584">
        <f t="shared" si="22"/>
        <v>43692.416666666642</v>
      </c>
      <c r="M13" s="316">
        <f t="shared" si="0"/>
        <v>0</v>
      </c>
      <c r="N13" s="641">
        <f t="shared" si="1"/>
        <v>1000</v>
      </c>
      <c r="O13" s="423" t="s">
        <v>4</v>
      </c>
      <c r="P13" s="370"/>
      <c r="Q13" s="424" t="s">
        <v>223</v>
      </c>
      <c r="R13" s="423" t="s">
        <v>7</v>
      </c>
      <c r="S13" s="370"/>
      <c r="T13" s="425" t="s">
        <v>223</v>
      </c>
      <c r="U13" s="408" t="s">
        <v>3</v>
      </c>
      <c r="V13" s="407"/>
      <c r="W13" s="409" t="s">
        <v>223</v>
      </c>
      <c r="Y13" s="503">
        <f ca="1">science_cap*(1-EXP(-AF13/(science_param*($A14-Explore!$S14*20)+15000)))*(1+(mason_bonus*Construction!BB13/Construction!BS13))+IF(Overview!$B$14="Beastfolk",Construction!DA13/Construction!E13,0)*(1 + Production!O13/100*prestige_pop_multiplier)</f>
        <v>0</v>
      </c>
      <c r="Z13" s="455">
        <f ca="1">keep_cap*(1-EXP(-AG13/(keep_param*($A14-Explore!$S14*20)+15000)))*(1+(mason_bonus*Construction!BB13/Construction!BS13))+IF(Overview!$B$14="Beastfolk",Construction!DF13/Construction!E13,0)*(1 + Production!O13/100*prestige_pop_multiplier)</f>
        <v>0</v>
      </c>
      <c r="AA13" s="455">
        <f ca="1">harbor_towers_cap*(1-EXP(-AH13/(harbor_towers_param*($A14-Explore!$S14*20)+15000)))*(1+(mason_bonus*Construction!BB13/Construction!BS13))+IF(Overview!$B$14="Beastfolk",2*Construction!DC13/Construction!E13,0)*(1 + Production!O13/100*prestige_pop_multiplier)</f>
        <v>0</v>
      </c>
      <c r="AB13" s="455">
        <f ca="1">walls_forges_cap*(1-EXP(-AI13/(walls_forges_param*($A14-Explore!$S14*20)+15000)))*(1+(mason_bonus*Construction!BB13/Construction!BS13))+IF(Overview!$B$14="Beastfolk",0.2*Construction!CY13/Construction!E13,0)</f>
        <v>0</v>
      </c>
      <c r="AC13" s="455">
        <f ca="1">walls_forges_cap*(1-EXP(-AJ13/(walls_forges_param*($A14-Explore!$S14*20)+15000)))*(1+(mason_bonus*Construction!BB13/Construction!BS13))+IF(Overview!$B$14="Beastfolk",5*Construction!DB13/Construction!E13,0)</f>
        <v>0</v>
      </c>
      <c r="AD13" s="171">
        <f ca="1">harbor_towers_cap*(1-EXP(-AK13/(harbor_towers_param*($A14-Explore!$S14*20)+15000)))*(1+(mason_bonus*Construction!BB13/Construction!BS13))+IF(Overview!$B$14="Beastfolk",Construction!DE13/Construction!E13)*(1 + Production!O13/100*prestige_pop_multiplier)</f>
        <v>0</v>
      </c>
      <c r="AF13" s="56">
        <f ca="1">(1+Overview!$O$28+IF(Magic!BA13&gt;0,0.1,0))*SUM(AR13:AU13)</f>
        <v>0</v>
      </c>
      <c r="AG13" s="26">
        <f ca="1">(1+Overview!$O$28+IF(Magic!BA13&gt;0,0.1,0))*SUM(AW13:AZ13)</f>
        <v>0</v>
      </c>
      <c r="AH13" s="164">
        <f ca="1">(1+Overview!$O$28+IF(Magic!BA13&gt;0,0.1,0))*SUM(BB13:BE13)</f>
        <v>0</v>
      </c>
      <c r="AI13" s="164">
        <f ca="1">(1+Overview!$O$28+IF(Magic!BA13&gt;0,0.1,0))*SUM(BG13:BJ13)</f>
        <v>0</v>
      </c>
      <c r="AJ13" s="164">
        <f ca="1">(1+Overview!$O$28+IF(Magic!BA13&gt;0,0.1,0))*SUM(BL13:BO13)</f>
        <v>0</v>
      </c>
      <c r="AK13" s="166">
        <f ca="1">(1+Overview!$O$28+IF(Magic!BA13&gt;0,0.1,0))*SUM(BQ13:BT13)</f>
        <v>0</v>
      </c>
      <c r="AM13" s="52">
        <f t="shared" si="2"/>
        <v>0</v>
      </c>
      <c r="AN13" s="16">
        <f t="shared" si="2"/>
        <v>0</v>
      </c>
      <c r="AO13" s="16">
        <f t="shared" si="2"/>
        <v>0</v>
      </c>
      <c r="AP13" s="53">
        <f t="shared" si="2"/>
        <v>0</v>
      </c>
      <c r="AR13" s="56">
        <f t="shared" si="23"/>
        <v>0</v>
      </c>
      <c r="AS13" s="26">
        <f t="shared" si="3"/>
        <v>0</v>
      </c>
      <c r="AT13" s="26">
        <f t="shared" si="3"/>
        <v>0</v>
      </c>
      <c r="AU13" s="57">
        <f t="shared" si="4"/>
        <v>0</v>
      </c>
      <c r="AW13" s="56">
        <f t="shared" si="5"/>
        <v>0</v>
      </c>
      <c r="AX13" s="26">
        <f t="shared" si="6"/>
        <v>0</v>
      </c>
      <c r="AY13" s="26">
        <f t="shared" si="6"/>
        <v>0</v>
      </c>
      <c r="AZ13" s="57">
        <f t="shared" si="7"/>
        <v>0</v>
      </c>
      <c r="BB13" s="56">
        <f t="shared" si="8"/>
        <v>0</v>
      </c>
      <c r="BC13" s="26">
        <f t="shared" si="9"/>
        <v>0</v>
      </c>
      <c r="BD13" s="26">
        <f t="shared" si="10"/>
        <v>0</v>
      </c>
      <c r="BE13" s="57">
        <f t="shared" si="11"/>
        <v>0</v>
      </c>
      <c r="BG13" s="56">
        <f t="shared" si="12"/>
        <v>0</v>
      </c>
      <c r="BH13" s="26">
        <f t="shared" si="13"/>
        <v>0</v>
      </c>
      <c r="BI13" s="26">
        <f t="shared" si="13"/>
        <v>0</v>
      </c>
      <c r="BJ13" s="57">
        <f t="shared" si="14"/>
        <v>0</v>
      </c>
      <c r="BL13" s="56">
        <f t="shared" si="15"/>
        <v>0</v>
      </c>
      <c r="BM13" s="26">
        <f t="shared" si="16"/>
        <v>0</v>
      </c>
      <c r="BN13" s="26">
        <f t="shared" si="16"/>
        <v>0</v>
      </c>
      <c r="BO13" s="57">
        <f t="shared" si="17"/>
        <v>0</v>
      </c>
      <c r="BQ13" s="56">
        <f t="shared" si="18"/>
        <v>0</v>
      </c>
      <c r="BR13" s="26">
        <f t="shared" si="19"/>
        <v>0</v>
      </c>
      <c r="BS13" s="26">
        <f t="shared" si="19"/>
        <v>0</v>
      </c>
      <c r="BT13" s="57">
        <f t="shared" si="20"/>
        <v>0</v>
      </c>
      <c r="BV13" s="52" t="e">
        <f>OR(Production!C13,Construction!N13:'Construction'!AF13,Construction!BV13:CN13,Explore!S13:Z13,Military!AF13:AL13,Military!X13,Military!BE13:BL13,Rezone!L13:R13,Magic!G13:Q13)</f>
        <v>#VALUE!</v>
      </c>
      <c r="BW13" s="527">
        <f t="shared" si="21"/>
        <v>0</v>
      </c>
      <c r="BX13" s="527"/>
      <c r="BY13" s="557">
        <f t="shared" si="25"/>
        <v>43692.416666666642</v>
      </c>
      <c r="BZ13" s="565">
        <f t="shared" si="24"/>
        <v>43692.249999999978</v>
      </c>
      <c r="CA13" s="529"/>
      <c r="CB13" s="807"/>
      <c r="CC13" s="812"/>
      <c r="CD13" s="170"/>
    </row>
    <row r="14" spans="1:84" s="170" customFormat="1">
      <c r="A14" s="510">
        <f>Construction!E14</f>
        <v>1000</v>
      </c>
      <c r="C14" s="152">
        <f ca="1">Production!H14</f>
        <v>4042920</v>
      </c>
      <c r="D14" s="164">
        <f ca="1">Production!J14</f>
        <v>296916</v>
      </c>
      <c r="E14" s="164">
        <f ca="1">Production!L14</f>
        <v>300000</v>
      </c>
      <c r="F14" s="166">
        <f ca="1">Production!M14</f>
        <v>20000</v>
      </c>
      <c r="G14" s="164"/>
      <c r="H14" s="152">
        <f ca="1">Military!Z14</f>
        <v>5295</v>
      </c>
      <c r="I14" s="540">
        <f ca="1">Population!I14</f>
        <v>1</v>
      </c>
      <c r="J14" s="165">
        <f ca="1">Population!F14/Population!U14</f>
        <v>1.2099698099365235</v>
      </c>
      <c r="K14" s="1005">
        <f>Rezone!J14</f>
        <v>12</v>
      </c>
      <c r="L14" s="584">
        <f t="shared" si="22"/>
        <v>43692.458333333307</v>
      </c>
      <c r="M14" s="649">
        <f t="shared" si="0"/>
        <v>0</v>
      </c>
      <c r="N14" s="531">
        <f t="shared" si="1"/>
        <v>1000</v>
      </c>
      <c r="O14" s="406" t="s">
        <v>4</v>
      </c>
      <c r="P14" s="370"/>
      <c r="Q14" s="408" t="s">
        <v>223</v>
      </c>
      <c r="R14" s="423" t="s">
        <v>7</v>
      </c>
      <c r="S14" s="370"/>
      <c r="T14" s="408" t="s">
        <v>223</v>
      </c>
      <c r="U14" s="406" t="s">
        <v>3</v>
      </c>
      <c r="V14" s="407"/>
      <c r="W14" s="409" t="s">
        <v>223</v>
      </c>
      <c r="Y14" s="503">
        <f ca="1">science_cap*(1-EXP(-AF14/(science_param*($A15-Explore!$S15*20)+15000)))*(1+(mason_bonus*Construction!BB14/Construction!BS14))+IF(Overview!$B$14="Beastfolk",Construction!DA14/Construction!E14,0)*(1 + Production!O14/100*prestige_pop_multiplier)</f>
        <v>0</v>
      </c>
      <c r="Z14" s="455">
        <f ca="1">keep_cap*(1-EXP(-AG14/(keep_param*($A15-Explore!$S15*20)+15000)))*(1+(mason_bonus*Construction!BB14/Construction!BS14))+IF(Overview!$B$14="Beastfolk",Construction!DF14/Construction!E14,0)*(1 + Production!O14/100*prestige_pop_multiplier)</f>
        <v>0</v>
      </c>
      <c r="AA14" s="455">
        <f ca="1">harbor_towers_cap*(1-EXP(-AH14/(harbor_towers_param*($A15-Explore!$S15*20)+15000)))*(1+(mason_bonus*Construction!BB14/Construction!BS14))+IF(Overview!$B$14="Beastfolk",2*Construction!DC14/Construction!E14,0)*(1 + Production!O14/100*prestige_pop_multiplier)</f>
        <v>0</v>
      </c>
      <c r="AB14" s="455">
        <f ca="1">walls_forges_cap*(1-EXP(-AI14/(walls_forges_param*($A15-Explore!$S15*20)+15000)))*(1+(mason_bonus*Construction!BB14/Construction!BS14))+IF(Overview!$B$14="Beastfolk",0.2*Construction!CY14/Construction!E14,0)</f>
        <v>0</v>
      </c>
      <c r="AC14" s="455">
        <f ca="1">walls_forges_cap*(1-EXP(-AJ14/(walls_forges_param*($A15-Explore!$S15*20)+15000)))*(1+(mason_bonus*Construction!BB14/Construction!BS14))+IF(Overview!$B$14="Beastfolk",5*Construction!DB14/Construction!E14,0)</f>
        <v>0</v>
      </c>
      <c r="AD14" s="171">
        <f ca="1">harbor_towers_cap*(1-EXP(-AK14/(harbor_towers_param*($A15-Explore!$S15*20)+15000)))*(1+(mason_bonus*Construction!BB14/Construction!BS14))+IF(Overview!$B$14="Beastfolk",Construction!DE14/Construction!E14)*(1 + Production!O14/100*prestige_pop_multiplier)</f>
        <v>0</v>
      </c>
      <c r="AF14" s="56">
        <f ca="1">(1+Overview!$O$28+IF(Magic!BA14&gt;0,0.1,0))*SUM(AR14:AU14)</f>
        <v>0</v>
      </c>
      <c r="AG14" s="26">
        <f ca="1">(1+Overview!$O$28+IF(Magic!BA14&gt;0,0.1,0))*SUM(AW14:AZ14)</f>
        <v>0</v>
      </c>
      <c r="AH14" s="164">
        <f ca="1">(1+Overview!$O$28+IF(Magic!BA14&gt;0,0.1,0))*SUM(BB14:BE14)</f>
        <v>0</v>
      </c>
      <c r="AI14" s="164">
        <f ca="1">(1+Overview!$O$28+IF(Magic!BA14&gt;0,0.1,0))*SUM(BG14:BJ14)</f>
        <v>0</v>
      </c>
      <c r="AJ14" s="164">
        <f ca="1">(1+Overview!$O$28+IF(Magic!BA14&gt;0,0.1,0))*SUM(BL14:BO14)</f>
        <v>0</v>
      </c>
      <c r="AK14" s="166">
        <f ca="1">(1+Overview!$O$28+IF(Magic!BA14&gt;0,0.1,0))*SUM(BQ14:BT14)</f>
        <v>0</v>
      </c>
      <c r="AM14" s="156">
        <f t="shared" si="2"/>
        <v>0</v>
      </c>
      <c r="AN14" s="170">
        <f t="shared" si="2"/>
        <v>0</v>
      </c>
      <c r="AO14" s="170">
        <f t="shared" si="2"/>
        <v>0</v>
      </c>
      <c r="AP14" s="157">
        <f t="shared" si="2"/>
        <v>0</v>
      </c>
      <c r="AR14" s="152">
        <f t="shared" si="23"/>
        <v>0</v>
      </c>
      <c r="AS14" s="164">
        <f t="shared" si="3"/>
        <v>0</v>
      </c>
      <c r="AT14" s="164">
        <f t="shared" si="3"/>
        <v>0</v>
      </c>
      <c r="AU14" s="166">
        <f t="shared" si="4"/>
        <v>0</v>
      </c>
      <c r="AW14" s="152">
        <f t="shared" si="5"/>
        <v>0</v>
      </c>
      <c r="AX14" s="164">
        <f t="shared" si="6"/>
        <v>0</v>
      </c>
      <c r="AY14" s="164">
        <f t="shared" si="6"/>
        <v>0</v>
      </c>
      <c r="AZ14" s="166">
        <f t="shared" si="7"/>
        <v>0</v>
      </c>
      <c r="BB14" s="152">
        <f t="shared" si="8"/>
        <v>0</v>
      </c>
      <c r="BC14" s="164">
        <f t="shared" si="9"/>
        <v>0</v>
      </c>
      <c r="BD14" s="164">
        <f t="shared" si="10"/>
        <v>0</v>
      </c>
      <c r="BE14" s="166">
        <f t="shared" si="11"/>
        <v>0</v>
      </c>
      <c r="BG14" s="152">
        <f t="shared" si="12"/>
        <v>0</v>
      </c>
      <c r="BH14" s="164">
        <f t="shared" si="13"/>
        <v>0</v>
      </c>
      <c r="BI14" s="164">
        <f t="shared" si="13"/>
        <v>0</v>
      </c>
      <c r="BJ14" s="166">
        <f t="shared" si="14"/>
        <v>0</v>
      </c>
      <c r="BL14" s="152">
        <f t="shared" si="15"/>
        <v>0</v>
      </c>
      <c r="BM14" s="164">
        <f t="shared" si="16"/>
        <v>0</v>
      </c>
      <c r="BN14" s="164">
        <f t="shared" si="16"/>
        <v>0</v>
      </c>
      <c r="BO14" s="166">
        <f t="shared" si="17"/>
        <v>0</v>
      </c>
      <c r="BQ14" s="152">
        <f t="shared" si="18"/>
        <v>0</v>
      </c>
      <c r="BR14" s="164">
        <f t="shared" si="19"/>
        <v>0</v>
      </c>
      <c r="BS14" s="164">
        <f t="shared" si="19"/>
        <v>0</v>
      </c>
      <c r="BT14" s="166">
        <f t="shared" si="20"/>
        <v>0</v>
      </c>
      <c r="BV14" s="156" t="e">
        <f>OR(Production!C14,Construction!N14:'Construction'!AF14,Construction!BV14:CN14,Explore!S14:Z14,Military!AF14:AL14,Military!X14,Military!BE14:BL14,Rezone!L14:R14,Magic!G14:Q14)</f>
        <v>#VALUE!</v>
      </c>
      <c r="BW14" s="548">
        <f t="shared" si="21"/>
        <v>0</v>
      </c>
      <c r="BX14" s="548"/>
      <c r="BY14" s="554">
        <f t="shared" si="25"/>
        <v>43692.458333333307</v>
      </c>
      <c r="BZ14" s="562">
        <f t="shared" si="24"/>
        <v>43692.291666666642</v>
      </c>
      <c r="CA14" s="629"/>
      <c r="CB14" s="807"/>
      <c r="CC14" s="774"/>
    </row>
    <row r="15" spans="1:84" s="163" customFormat="1">
      <c r="A15" s="509">
        <f>Construction!E15</f>
        <v>1000</v>
      </c>
      <c r="C15" s="151">
        <f ca="1">Production!H15</f>
        <v>3058809</v>
      </c>
      <c r="D15" s="153">
        <f ca="1">Production!J15</f>
        <v>296447</v>
      </c>
      <c r="E15" s="153">
        <f ca="1">Production!L15</f>
        <v>231000</v>
      </c>
      <c r="F15" s="158">
        <f ca="1">Production!M15</f>
        <v>20000</v>
      </c>
      <c r="G15" s="153"/>
      <c r="H15" s="151">
        <f ca="1">Military!Z15</f>
        <v>3695</v>
      </c>
      <c r="I15" s="155">
        <f ca="1">Population!I15</f>
        <v>1</v>
      </c>
      <c r="J15" s="154">
        <f ca="1">Population!F15/Population!U15</f>
        <v>1.1781239168422946</v>
      </c>
      <c r="K15" s="1006">
        <f>Rezone!J15</f>
        <v>13</v>
      </c>
      <c r="L15" s="583">
        <f>L14+1/24</f>
        <v>43692.499999999971</v>
      </c>
      <c r="M15" s="647">
        <f t="shared" ref="M15:M78" si="26">IF(ISERROR(BV15),0,BV15*1)</f>
        <v>1</v>
      </c>
      <c r="N15" s="640">
        <f t="shared" ref="N15:N67" si="27">A15</f>
        <v>1000</v>
      </c>
      <c r="O15" s="709" t="s">
        <v>4</v>
      </c>
      <c r="P15" s="429"/>
      <c r="Q15" s="411" t="s">
        <v>223</v>
      </c>
      <c r="R15" s="428" t="s">
        <v>7</v>
      </c>
      <c r="S15" s="429"/>
      <c r="T15" s="412" t="s">
        <v>223</v>
      </c>
      <c r="U15" s="709" t="s">
        <v>3</v>
      </c>
      <c r="V15" s="410"/>
      <c r="W15" s="412" t="s">
        <v>223</v>
      </c>
      <c r="Y15" s="502">
        <f ca="1">science_cap*(1-EXP(-AF15/(science_param*($A16-Explore!$S16*20)+15000)))*(1+(mason_bonus*Construction!BB15/Construction!BS15))+IF(Overview!$B$14="Beastfolk",Construction!DA15/Construction!E15,0)*(1 + Production!O15/100*prestige_pop_multiplier)</f>
        <v>0</v>
      </c>
      <c r="Z15" s="447">
        <f ca="1">keep_cap*(1-EXP(-AG15/(keep_param*($A16-Explore!$S16*20)+15000)))*(1+(mason_bonus*Construction!BB15/Construction!BS15))+IF(Overview!$B$14="Beastfolk",Construction!DF15/Construction!E15,0)*(1 + Production!O15/100*prestige_pop_multiplier)</f>
        <v>0</v>
      </c>
      <c r="AA15" s="447">
        <f ca="1">harbor_towers_cap*(1-EXP(-AH15/(harbor_towers_param*($A16-Explore!$S16*20)+15000)))*(1+(mason_bonus*Construction!BB15/Construction!BS15))+IF(Overview!$B$14="Beastfolk",2*Construction!DC15/Construction!E15,0)*(1 + Production!O15/100*prestige_pop_multiplier)</f>
        <v>0</v>
      </c>
      <c r="AB15" s="447">
        <f ca="1">walls_forges_cap*(1-EXP(-AI15/(walls_forges_param*($A16-Explore!$S16*20)+15000)))*(1+(mason_bonus*Construction!BB15/Construction!BS15))+IF(Overview!$B$14="Beastfolk",0.2*Construction!CY15/Construction!E15,0)</f>
        <v>0</v>
      </c>
      <c r="AC15" s="447">
        <f ca="1">walls_forges_cap*(1-EXP(-AJ15/(walls_forges_param*($A16-Explore!$S16*20)+15000)))*(1+(mason_bonus*Construction!BB15/Construction!BS15))+IF(Overview!$B$14="Beastfolk",5*Construction!DB15/Construction!E15,0)</f>
        <v>0</v>
      </c>
      <c r="AD15" s="162">
        <f ca="1">harbor_towers_cap*(1-EXP(-AK15/(harbor_towers_param*($A16-Explore!$S16*20)+15000)))*(1+(mason_bonus*Construction!BB15/Construction!BS15))+IF(Overview!$B$14="Beastfolk",Construction!DE15/Construction!E15)*(1 + Production!O15/100*prestige_pop_multiplier)</f>
        <v>0</v>
      </c>
      <c r="AF15" s="54">
        <f ca="1">(1+Overview!$O$28+IF(Magic!BA15&gt;0,0.1,0))*SUM(AR15:AU15)</f>
        <v>0</v>
      </c>
      <c r="AG15" s="13">
        <f ca="1">(1+Overview!$O$28+IF(Magic!BA15&gt;0,0.1,0))*SUM(AW15:AZ15)</f>
        <v>0</v>
      </c>
      <c r="AH15" s="153">
        <f ca="1">(1+Overview!$O$28+IF(Magic!BA15&gt;0,0.1,0))*SUM(BB15:BE15)</f>
        <v>0</v>
      </c>
      <c r="AI15" s="153">
        <f ca="1">(1+Overview!$O$28+IF(Magic!BA15&gt;0,0.1,0))*SUM(BG15:BJ15)</f>
        <v>0</v>
      </c>
      <c r="AJ15" s="153">
        <f ca="1">(1+Overview!$O$28+IF(Magic!BA15&gt;0,0.1,0))*SUM(BL15:BO15)</f>
        <v>0</v>
      </c>
      <c r="AK15" s="158">
        <f ca="1">(1+Overview!$O$28+IF(Magic!BA15&gt;0,0.1,0))*SUM(BQ15:BT15)</f>
        <v>0</v>
      </c>
      <c r="AM15" s="184">
        <f t="shared" ref="AM15:AP19" si="28">IF(AND($O15=AM$2,$Q15&lt;&gt;""),$P15) + IF(AND($R15=AM$2,$T15&lt;&gt;""),$S15) + IF(AND($U15=AM$2,$W15&lt;&gt;""),$V15)</f>
        <v>0</v>
      </c>
      <c r="AN15" s="163">
        <f t="shared" si="28"/>
        <v>0</v>
      </c>
      <c r="AO15" s="163">
        <f t="shared" si="28"/>
        <v>0</v>
      </c>
      <c r="AP15" s="185">
        <f t="shared" si="28"/>
        <v>0</v>
      </c>
      <c r="AR15" s="151">
        <f t="shared" ref="AR15:AR67" si="29">IF($O15=AR$2,IF($Q15=$Y$2,$P15)) + IF($R15=AR$2,IF($T15=$Y$2,$S15)) + IF($U15=AR$2,IF($W15=$Y$2,$V15))</f>
        <v>0</v>
      </c>
      <c r="AS15" s="153">
        <f t="shared" ref="AS15:AT19" si="30">IF($O15=AS$2,IF($Q15=$Y$2,2*$P15)) + IF($R15=AS$2,IF($T15=$Y$2,2*$S15)) + IF($U15=AS$2,IF($W15=$Y$2,2*$V15))</f>
        <v>0</v>
      </c>
      <c r="AT15" s="153">
        <f t="shared" si="30"/>
        <v>0</v>
      </c>
      <c r="AU15" s="158">
        <f t="shared" ref="AU15:AU67" si="31">IF($O15=AU$2,IF($Q15=$Y$2,12*$P15)) + IF($R15=AU$2,IF($T15=$Y$2,12*$S15)) + IF($U15=AU$2,IF($W15=$Y$2,12*$V15))</f>
        <v>0</v>
      </c>
      <c r="AW15" s="151">
        <f t="shared" ref="AW15:AW67" si="32">IF($O15=AW$2,IF($Q15=$Z$2,$P15)) + IF($R15=AW$2,IF($T15=$Z$2,$S15)) + IF($U15=AW$2,IF($W15=$Z$2,$V15))</f>
        <v>0</v>
      </c>
      <c r="AX15" s="153">
        <f t="shared" ref="AX15:AY19" si="33">IF($O15=AX$2,IF($Q15=$Z$2,2*$P15)) + IF($R15=AX$2,IF($T15=$Z$2,2*$S15)) + IF($U15=AX$2,IF($W15=$Z$2,2*$V15))</f>
        <v>0</v>
      </c>
      <c r="AY15" s="153">
        <f t="shared" si="33"/>
        <v>0</v>
      </c>
      <c r="AZ15" s="158">
        <f t="shared" ref="AZ15:AZ67" si="34">IF($O15=AZ$2,IF($Q15=$Z$2,12*$P15)) + IF($R15=AZ$2,IF($T15=$Z$2,12*$S15)) + IF($U15=AZ$2,IF($W15=$Z$2,12*$V15))</f>
        <v>0</v>
      </c>
      <c r="BB15" s="151">
        <f t="shared" ref="BB15:BB67" si="35">IF($O15=BB$2,IF($Q15=$AA$2,$P15)) + IF($R15=BB$2,IF($T15=$AA$2,$S15)) + IF($U15=BB$2,IF($W15=$AA$2,$V15))</f>
        <v>0</v>
      </c>
      <c r="BC15" s="153">
        <f t="shared" ref="BC15:BC67" si="36">IF($O15=BC$2,IF($Q15=$AA$2,2*$P15)) + IF($R15=BC$2,IF($T15=$AA$2,2*$S15)) + IF($U15=BC$2,IF($W15=$AA$2,2*$V15))</f>
        <v>0</v>
      </c>
      <c r="BD15" s="153">
        <f>IF($O15=BF$2,IF($Q15=$AA$2,2*$P15)) + IF($R15=BF$2,IF($T15=$AA$2,2*$S15)) + IF($U15=BF$2,IF($W15=$AA$2,2*$V15))</f>
        <v>0</v>
      </c>
      <c r="BE15" s="158">
        <f t="shared" ref="BE15:BE67" si="37">IF($O15=BE$2,IF($Q15=$AA$2,12*$P15)) + IF($R15=BE$2,IF($T15=$AA$2,12*$S15)) + IF($U15=BE$2,IF($W15=$AA$2,12*$V15))</f>
        <v>0</v>
      </c>
      <c r="BG15" s="151">
        <f t="shared" ref="BG15:BG67" si="38">IF($O15=BG$2,IF($Q15=$AB$2,$P15)) + IF($R15=BG$2,IF($T15=$AB$2,$S15)) + IF($U15=BG$2,IF($W15=$AB$2,$V15))</f>
        <v>0</v>
      </c>
      <c r="BH15" s="153">
        <f t="shared" ref="BH15:BI19" si="39">IF($O15=BH$2,IF($Q15=$AB$2,2*$P15)) + IF($R15=BH$2,IF($T15=$AB$2,2*$S15)) + IF($U15=BH$2,IF($W15=$AB$2,2*$V15))</f>
        <v>0</v>
      </c>
      <c r="BI15" s="153">
        <f t="shared" si="39"/>
        <v>0</v>
      </c>
      <c r="BJ15" s="158">
        <f t="shared" ref="BJ15:BJ67" si="40">IF($O15=BJ$2,IF($Q15=$AB$2,12*$P15)) + IF($R15=BJ$2,IF($T15=$AB$2,12*$S15)) + IF($U15=BJ$2,IF($W15=$AB$2,12*$V15))</f>
        <v>0</v>
      </c>
      <c r="BL15" s="151">
        <f t="shared" ref="BL15:BL67" si="41">IF($O15=BL$2,IF($Q15=$AC$2,$P15)) + IF($R15=BL$2,IF($T15=$AC$2,$S15)) + IF($U15=BL$2,IF($W15=$AC$2,$V15))</f>
        <v>0</v>
      </c>
      <c r="BM15" s="153">
        <f t="shared" ref="BM15:BN19" si="42">IF($O15=BM$2,IF($Q15=$AC$2,2*$P15)) + IF($R15=BM$2,IF($T15=$AC$2,2*$S15)) + IF($U15=BM$2,IF($W15=$AC$2,2*$V15))</f>
        <v>0</v>
      </c>
      <c r="BN15" s="153">
        <f t="shared" si="42"/>
        <v>0</v>
      </c>
      <c r="BO15" s="158">
        <f t="shared" ref="BO15:BO67" si="43">IF($O15=BO$2,IF($Q15=$AC$2,12*$P15)) + IF($R15=BO$2,IF($T15=$AC$2,12*$S15)) + IF($U15=BO$2,IF($W15=$AC$2,12*$V15))</f>
        <v>0</v>
      </c>
      <c r="BQ15" s="151">
        <f t="shared" ref="BQ15:BQ67" si="44">IF($O15=BQ$2,IF($Q15=$AD$2,$P15)) + IF($R15=BQ$2,IF($T15=$AD$2,$S15)) + IF($U15=BQ$2,IF($W15=$AD$2,$V15))</f>
        <v>0</v>
      </c>
      <c r="BR15" s="153">
        <f t="shared" ref="BR15:BS19" si="45">IF($O15=BR$2,IF($Q15=$AD$2,2*$P15)) + IF($R15=BR$2,IF($T15=$AD$2,2*$S15)) + IF($U15=BR$2,IF($W15=$AD$2,2*$V15))</f>
        <v>0</v>
      </c>
      <c r="BS15" s="153">
        <f t="shared" si="45"/>
        <v>0</v>
      </c>
      <c r="BT15" s="158">
        <f t="shared" ref="BT15:BT67" si="46">IF($O15=BT$2,IF($Q15=$AD$2,12*$P15)) + IF($R15=BT$2,IF($T15=$AD$2,12*$S15)) + IF($U15=BT$2,IF($W15=$AD$2,12*$V15))</f>
        <v>0</v>
      </c>
      <c r="BV15" s="184" t="b">
        <f>OR(Production!C15,Construction!N15:'Construction'!AF15,Construction!BV15:CN15,Explore!S15:Z15,Military!AF15:AL15,Military!X15,Military!BE15:BL15,Rezone!L15:R15,Magic!G15:Q15)</f>
        <v>1</v>
      </c>
      <c r="BW15" s="319">
        <f t="shared" ref="BW15:BW67" si="47">M15</f>
        <v>1</v>
      </c>
      <c r="BX15" s="319"/>
      <c r="BY15" s="553">
        <f t="shared" si="25"/>
        <v>43692.499999999971</v>
      </c>
      <c r="BZ15" s="561">
        <f t="shared" ref="BZ15:BZ68" si="48">BZ14+1/24</f>
        <v>43692.333333333307</v>
      </c>
      <c r="CA15" s="627"/>
      <c r="CB15" s="808"/>
      <c r="CC15" s="773"/>
    </row>
    <row r="16" spans="1:84" s="170" customFormat="1">
      <c r="A16" s="510">
        <f>Construction!E16</f>
        <v>1000</v>
      </c>
      <c r="C16" s="152">
        <f ca="1">Production!H16</f>
        <v>3073904</v>
      </c>
      <c r="D16" s="164">
        <f ca="1">Production!J16</f>
        <v>295983</v>
      </c>
      <c r="E16" s="164">
        <f ca="1">Production!L16</f>
        <v>231000</v>
      </c>
      <c r="F16" s="166">
        <f ca="1">Production!M16</f>
        <v>20000</v>
      </c>
      <c r="G16" s="164"/>
      <c r="H16" s="152">
        <f ca="1">Military!Z16</f>
        <v>3695</v>
      </c>
      <c r="I16" s="540">
        <f ca="1">Population!I16</f>
        <v>1</v>
      </c>
      <c r="J16" s="165">
        <f ca="1">Population!F16/Population!U16</f>
        <v>1.1478703184027772</v>
      </c>
      <c r="K16" s="1005">
        <f>Rezone!J16</f>
        <v>14</v>
      </c>
      <c r="L16" s="584">
        <f t="shared" ref="L16:L79" si="49">L15+1/24</f>
        <v>43692.541666666635</v>
      </c>
      <c r="M16" s="649">
        <f t="shared" si="26"/>
        <v>0</v>
      </c>
      <c r="N16" s="531">
        <f t="shared" si="27"/>
        <v>1000</v>
      </c>
      <c r="O16" s="406" t="s">
        <v>4</v>
      </c>
      <c r="P16" s="370"/>
      <c r="Q16" s="408" t="s">
        <v>223</v>
      </c>
      <c r="R16" s="423" t="s">
        <v>7</v>
      </c>
      <c r="S16" s="370"/>
      <c r="T16" s="408" t="s">
        <v>223</v>
      </c>
      <c r="U16" s="406" t="s">
        <v>3</v>
      </c>
      <c r="V16" s="407"/>
      <c r="W16" s="409" t="s">
        <v>223</v>
      </c>
      <c r="Y16" s="503">
        <f ca="1">science_cap*(1-EXP(-AF16/(science_param*($A17-Explore!$S17*20)+15000)))*(1+(mason_bonus*Construction!BB16/Construction!BS16))+IF(Overview!$B$14="Beastfolk",Construction!DA16/Construction!E16,0)*(1 + Production!O16/100*prestige_pop_multiplier)</f>
        <v>0</v>
      </c>
      <c r="Z16" s="455">
        <f ca="1">keep_cap*(1-EXP(-AG16/(keep_param*($A17-Explore!$S17*20)+15000)))*(1+(mason_bonus*Construction!BB16/Construction!BS16))+IF(Overview!$B$14="Beastfolk",Construction!DF16/Construction!E16,0)*(1 + Production!O16/100*prestige_pop_multiplier)</f>
        <v>0</v>
      </c>
      <c r="AA16" s="455">
        <f ca="1">harbor_towers_cap*(1-EXP(-AH16/(harbor_towers_param*($A17-Explore!$S17*20)+15000)))*(1+(mason_bonus*Construction!BB16/Construction!BS16))+IF(Overview!$B$14="Beastfolk",2*Construction!DC16/Construction!E16,0)*(1 + Production!O16/100*prestige_pop_multiplier)</f>
        <v>0</v>
      </c>
      <c r="AB16" s="455">
        <f ca="1">walls_forges_cap*(1-EXP(-AI16/(walls_forges_param*($A17-Explore!$S17*20)+15000)))*(1+(mason_bonus*Construction!BB16/Construction!BS16))+IF(Overview!$B$14="Beastfolk",0.2*Construction!CY16/Construction!E16,0)</f>
        <v>0</v>
      </c>
      <c r="AC16" s="455">
        <f ca="1">walls_forges_cap*(1-EXP(-AJ16/(walls_forges_param*($A17-Explore!$S17*20)+15000)))*(1+(mason_bonus*Construction!BB16/Construction!BS16))+IF(Overview!$B$14="Beastfolk",5*Construction!DB16/Construction!E16,0)</f>
        <v>0</v>
      </c>
      <c r="AD16" s="171">
        <f ca="1">harbor_towers_cap*(1-EXP(-AK16/(harbor_towers_param*($A17-Explore!$S17*20)+15000)))*(1+(mason_bonus*Construction!BB16/Construction!BS16))+IF(Overview!$B$14="Beastfolk",Construction!DE16/Construction!E16)*(1 + Production!O16/100*prestige_pop_multiplier)</f>
        <v>0</v>
      </c>
      <c r="AF16" s="56">
        <f ca="1">(1+Overview!$O$28+IF(Magic!BA16&gt;0,0.1,0))*SUM(AR16:AU16)</f>
        <v>0</v>
      </c>
      <c r="AG16" s="26">
        <f ca="1">(1+Overview!$O$28+IF(Magic!BA16&gt;0,0.1,0))*SUM(AW16:AZ16)</f>
        <v>0</v>
      </c>
      <c r="AH16" s="164">
        <f ca="1">(1+Overview!$O$28+IF(Magic!BA16&gt;0,0.1,0))*SUM(BB16:BE16)</f>
        <v>0</v>
      </c>
      <c r="AI16" s="164">
        <f ca="1">(1+Overview!$O$28+IF(Magic!BA16&gt;0,0.1,0))*SUM(BG16:BJ16)</f>
        <v>0</v>
      </c>
      <c r="AJ16" s="164">
        <f ca="1">(1+Overview!$O$28+IF(Magic!BA16&gt;0,0.1,0))*SUM(BL16:BO16)</f>
        <v>0</v>
      </c>
      <c r="AK16" s="166">
        <f ca="1">(1+Overview!$O$28+IF(Magic!BA16&gt;0,0.1,0))*SUM(BQ16:BT16)</f>
        <v>0</v>
      </c>
      <c r="AM16" s="156">
        <f t="shared" si="28"/>
        <v>0</v>
      </c>
      <c r="AN16" s="170">
        <f t="shared" si="28"/>
        <v>0</v>
      </c>
      <c r="AO16" s="170">
        <f t="shared" si="28"/>
        <v>0</v>
      </c>
      <c r="AP16" s="157">
        <f t="shared" si="28"/>
        <v>0</v>
      </c>
      <c r="AR16" s="152">
        <f t="shared" si="29"/>
        <v>0</v>
      </c>
      <c r="AS16" s="164">
        <f t="shared" si="30"/>
        <v>0</v>
      </c>
      <c r="AT16" s="164">
        <f t="shared" si="30"/>
        <v>0</v>
      </c>
      <c r="AU16" s="166">
        <f t="shared" si="31"/>
        <v>0</v>
      </c>
      <c r="AW16" s="152">
        <f t="shared" si="32"/>
        <v>0</v>
      </c>
      <c r="AX16" s="164">
        <f t="shared" si="33"/>
        <v>0</v>
      </c>
      <c r="AY16" s="164">
        <f t="shared" si="33"/>
        <v>0</v>
      </c>
      <c r="AZ16" s="166">
        <f t="shared" si="34"/>
        <v>0</v>
      </c>
      <c r="BB16" s="152">
        <f t="shared" si="35"/>
        <v>0</v>
      </c>
      <c r="BC16" s="164">
        <f t="shared" si="36"/>
        <v>0</v>
      </c>
      <c r="BD16" s="164">
        <f t="shared" ref="BD16:BD74" si="50">IF($O16=BF$2,IF($Q16=$AA$2,2*$P16)) + IF($R16=BF$2,IF($T16=$AA$2,2*$S16)) + IF($U16=BF$2,IF($W16=$AA$2,2*$V16))</f>
        <v>0</v>
      </c>
      <c r="BE16" s="166">
        <f t="shared" si="37"/>
        <v>0</v>
      </c>
      <c r="BG16" s="152">
        <f t="shared" si="38"/>
        <v>0</v>
      </c>
      <c r="BH16" s="164">
        <f t="shared" si="39"/>
        <v>0</v>
      </c>
      <c r="BI16" s="164">
        <f t="shared" si="39"/>
        <v>0</v>
      </c>
      <c r="BJ16" s="166">
        <f t="shared" si="40"/>
        <v>0</v>
      </c>
      <c r="BL16" s="152">
        <f t="shared" si="41"/>
        <v>0</v>
      </c>
      <c r="BM16" s="164">
        <f t="shared" si="42"/>
        <v>0</v>
      </c>
      <c r="BN16" s="164">
        <f t="shared" si="42"/>
        <v>0</v>
      </c>
      <c r="BO16" s="166">
        <f t="shared" si="43"/>
        <v>0</v>
      </c>
      <c r="BQ16" s="152">
        <f t="shared" si="44"/>
        <v>0</v>
      </c>
      <c r="BR16" s="164">
        <f t="shared" si="45"/>
        <v>0</v>
      </c>
      <c r="BS16" s="164">
        <f t="shared" si="45"/>
        <v>0</v>
      </c>
      <c r="BT16" s="166">
        <f t="shared" si="46"/>
        <v>0</v>
      </c>
      <c r="BV16" s="156" t="e">
        <f>OR(Production!C16,Construction!N16:'Construction'!AF16,Construction!BV16:CN16,Explore!S16:Z16,Military!AF16:AL16,Military!X16,Military!BE16:BL16,Rezone!L16:R16,Magic!G16:Q16)</f>
        <v>#VALUE!</v>
      </c>
      <c r="BW16" s="548">
        <f t="shared" si="47"/>
        <v>0</v>
      </c>
      <c r="BX16" s="548"/>
      <c r="BY16" s="554">
        <f t="shared" si="25"/>
        <v>43692.541666666635</v>
      </c>
      <c r="BZ16" s="562">
        <f t="shared" si="48"/>
        <v>43692.374999999971</v>
      </c>
      <c r="CA16" s="629"/>
      <c r="CB16" s="809"/>
      <c r="CC16" s="774"/>
      <c r="CD16" s="532"/>
    </row>
    <row r="17" spans="1:84" s="170" customFormat="1">
      <c r="A17" s="510">
        <f>Construction!E17</f>
        <v>1000</v>
      </c>
      <c r="C17" s="152">
        <f ca="1">Production!H17</f>
        <v>3088244</v>
      </c>
      <c r="D17" s="164">
        <f ca="1">Production!J17</f>
        <v>295523</v>
      </c>
      <c r="E17" s="164">
        <f ca="1">Production!L17</f>
        <v>231000</v>
      </c>
      <c r="F17" s="166">
        <f ca="1">Production!M17</f>
        <v>20000</v>
      </c>
      <c r="G17" s="164"/>
      <c r="H17" s="152">
        <f ca="1">Military!Z17</f>
        <v>3695</v>
      </c>
      <c r="I17" s="540">
        <f ca="1">Population!I17</f>
        <v>1</v>
      </c>
      <c r="J17" s="165">
        <f ca="1">Population!F17/Population!U17</f>
        <v>1.1191293998852361</v>
      </c>
      <c r="K17" s="1005">
        <f>Rezone!J17</f>
        <v>15</v>
      </c>
      <c r="L17" s="584">
        <f t="shared" si="49"/>
        <v>43692.583333333299</v>
      </c>
      <c r="M17" s="649">
        <f t="shared" si="26"/>
        <v>0</v>
      </c>
      <c r="N17" s="531">
        <f t="shared" si="27"/>
        <v>1000</v>
      </c>
      <c r="O17" s="406" t="s">
        <v>4</v>
      </c>
      <c r="P17" s="370"/>
      <c r="Q17" s="408" t="s">
        <v>223</v>
      </c>
      <c r="R17" s="423" t="s">
        <v>7</v>
      </c>
      <c r="S17" s="370"/>
      <c r="T17" s="408" t="s">
        <v>223</v>
      </c>
      <c r="U17" s="406" t="s">
        <v>3</v>
      </c>
      <c r="V17" s="407"/>
      <c r="W17" s="409" t="s">
        <v>223</v>
      </c>
      <c r="Y17" s="503">
        <f ca="1">science_cap*(1-EXP(-AF17/(science_param*($A18-Explore!$S18*20)+15000)))*(1+(mason_bonus*Construction!BB17/Construction!BS17))+IF(Overview!$B$14="Beastfolk",Construction!DA17/Construction!E17,0)*(1 + Production!O17/100*prestige_pop_multiplier)</f>
        <v>0</v>
      </c>
      <c r="Z17" s="455">
        <f ca="1">keep_cap*(1-EXP(-AG17/(keep_param*($A18-Explore!$S18*20)+15000)))*(1+(mason_bonus*Construction!BB17/Construction!BS17))+IF(Overview!$B$14="Beastfolk",Construction!DF17/Construction!E17,0)*(1 + Production!O17/100*prestige_pop_multiplier)</f>
        <v>0</v>
      </c>
      <c r="AA17" s="455">
        <f ca="1">harbor_towers_cap*(1-EXP(-AH17/(harbor_towers_param*($A18-Explore!$S18*20)+15000)))*(1+(mason_bonus*Construction!BB17/Construction!BS17))+IF(Overview!$B$14="Beastfolk",2*Construction!DC17/Construction!E17,0)*(1 + Production!O17/100*prestige_pop_multiplier)</f>
        <v>0</v>
      </c>
      <c r="AB17" s="455">
        <f ca="1">walls_forges_cap*(1-EXP(-AI17/(walls_forges_param*($A18-Explore!$S18*20)+15000)))*(1+(mason_bonus*Construction!BB17/Construction!BS17))+IF(Overview!$B$14="Beastfolk",0.2*Construction!CY17/Construction!E17,0)</f>
        <v>0</v>
      </c>
      <c r="AC17" s="455">
        <f ca="1">walls_forges_cap*(1-EXP(-AJ17/(walls_forges_param*($A18-Explore!$S18*20)+15000)))*(1+(mason_bonus*Construction!BB17/Construction!BS17))+IF(Overview!$B$14="Beastfolk",5*Construction!DB17/Construction!E17,0)</f>
        <v>0</v>
      </c>
      <c r="AD17" s="171">
        <f ca="1">harbor_towers_cap*(1-EXP(-AK17/(harbor_towers_param*($A18-Explore!$S18*20)+15000)))*(1+(mason_bonus*Construction!BB17/Construction!BS17))+IF(Overview!$B$14="Beastfolk",Construction!DE17/Construction!E17)*(1 + Production!O17/100*prestige_pop_multiplier)</f>
        <v>0</v>
      </c>
      <c r="AF17" s="56">
        <f ca="1">(1+Overview!$O$28+IF(Magic!BA17&gt;0,0.1,0))*SUM(AR17:AU17)</f>
        <v>0</v>
      </c>
      <c r="AG17" s="26">
        <f ca="1">(1+Overview!$O$28+IF(Magic!BA17&gt;0,0.1,0))*SUM(AW17:AZ17)</f>
        <v>0</v>
      </c>
      <c r="AH17" s="164">
        <f ca="1">(1+Overview!$O$28+IF(Magic!BA17&gt;0,0.1,0))*SUM(BB17:BE17)</f>
        <v>0</v>
      </c>
      <c r="AI17" s="164">
        <f ca="1">(1+Overview!$O$28+IF(Magic!BA17&gt;0,0.1,0))*SUM(BG17:BJ17)</f>
        <v>0</v>
      </c>
      <c r="AJ17" s="164">
        <f ca="1">(1+Overview!$O$28+IF(Magic!BA17&gt;0,0.1,0))*SUM(BL17:BO17)</f>
        <v>0</v>
      </c>
      <c r="AK17" s="166">
        <f ca="1">(1+Overview!$O$28+IF(Magic!BA17&gt;0,0.1,0))*SUM(BQ17:BT17)</f>
        <v>0</v>
      </c>
      <c r="AM17" s="156">
        <f t="shared" si="28"/>
        <v>0</v>
      </c>
      <c r="AN17" s="170">
        <f t="shared" si="28"/>
        <v>0</v>
      </c>
      <c r="AO17" s="170">
        <f t="shared" si="28"/>
        <v>0</v>
      </c>
      <c r="AP17" s="157">
        <f t="shared" si="28"/>
        <v>0</v>
      </c>
      <c r="AR17" s="152">
        <f t="shared" si="29"/>
        <v>0</v>
      </c>
      <c r="AS17" s="164">
        <f t="shared" si="30"/>
        <v>0</v>
      </c>
      <c r="AT17" s="164">
        <f t="shared" si="30"/>
        <v>0</v>
      </c>
      <c r="AU17" s="166">
        <f t="shared" si="31"/>
        <v>0</v>
      </c>
      <c r="AW17" s="152">
        <f t="shared" si="32"/>
        <v>0</v>
      </c>
      <c r="AX17" s="164">
        <f t="shared" si="33"/>
        <v>0</v>
      </c>
      <c r="AY17" s="164">
        <f t="shared" si="33"/>
        <v>0</v>
      </c>
      <c r="AZ17" s="166">
        <f t="shared" si="34"/>
        <v>0</v>
      </c>
      <c r="BB17" s="152">
        <f t="shared" si="35"/>
        <v>0</v>
      </c>
      <c r="BC17" s="164">
        <f t="shared" si="36"/>
        <v>0</v>
      </c>
      <c r="BD17" s="164">
        <f t="shared" si="50"/>
        <v>0</v>
      </c>
      <c r="BE17" s="166">
        <f t="shared" si="37"/>
        <v>0</v>
      </c>
      <c r="BG17" s="152">
        <f t="shared" si="38"/>
        <v>0</v>
      </c>
      <c r="BH17" s="164">
        <f t="shared" si="39"/>
        <v>0</v>
      </c>
      <c r="BI17" s="164">
        <f t="shared" si="39"/>
        <v>0</v>
      </c>
      <c r="BJ17" s="166">
        <f t="shared" si="40"/>
        <v>0</v>
      </c>
      <c r="BL17" s="152">
        <f t="shared" si="41"/>
        <v>0</v>
      </c>
      <c r="BM17" s="164">
        <f t="shared" si="42"/>
        <v>0</v>
      </c>
      <c r="BN17" s="164">
        <f t="shared" si="42"/>
        <v>0</v>
      </c>
      <c r="BO17" s="166">
        <f t="shared" si="43"/>
        <v>0</v>
      </c>
      <c r="BQ17" s="152">
        <f t="shared" si="44"/>
        <v>0</v>
      </c>
      <c r="BR17" s="164">
        <f t="shared" si="45"/>
        <v>0</v>
      </c>
      <c r="BS17" s="164">
        <f t="shared" si="45"/>
        <v>0</v>
      </c>
      <c r="BT17" s="166">
        <f t="shared" si="46"/>
        <v>0</v>
      </c>
      <c r="BV17" s="156" t="e">
        <f>OR(Production!C17,Construction!N17:'Construction'!AF17,Construction!BV17:CN17,Explore!S17:Z17,Military!AF17:AL17,Military!X17,Military!BE17:BL17,Rezone!L17:R17,Magic!G17:Q17)</f>
        <v>#VALUE!</v>
      </c>
      <c r="BW17" s="548">
        <f t="shared" si="47"/>
        <v>0</v>
      </c>
      <c r="BX17" s="548"/>
      <c r="BY17" s="554">
        <f t="shared" ref="BY17:BY68" si="51">BY16+1/24</f>
        <v>43692.583333333299</v>
      </c>
      <c r="BZ17" s="562">
        <f t="shared" si="48"/>
        <v>43692.416666666635</v>
      </c>
      <c r="CA17" s="806"/>
      <c r="CB17" s="807"/>
      <c r="CC17" s="774"/>
      <c r="CF17" s="673"/>
    </row>
    <row r="18" spans="1:84" s="16" customFormat="1">
      <c r="A18" s="513">
        <f>Construction!E18</f>
        <v>1000</v>
      </c>
      <c r="C18" s="56">
        <f ca="1">Production!H18</f>
        <v>3101867</v>
      </c>
      <c r="D18" s="26">
        <f ca="1">Production!J18</f>
        <v>295068</v>
      </c>
      <c r="E18" s="26">
        <f ca="1">Production!L18</f>
        <v>231000</v>
      </c>
      <c r="F18" s="57">
        <f ca="1">Production!M18</f>
        <v>20000</v>
      </c>
      <c r="G18" s="26"/>
      <c r="H18" s="56">
        <f ca="1">Military!Z18</f>
        <v>3695</v>
      </c>
      <c r="I18" s="540">
        <f ca="1">Population!I18</f>
        <v>1</v>
      </c>
      <c r="J18" s="165">
        <f ca="1">Population!F18/Population!U18</f>
        <v>1.0918255272935715</v>
      </c>
      <c r="K18" s="1005">
        <f>Rezone!J18</f>
        <v>16</v>
      </c>
      <c r="L18" s="584">
        <f t="shared" si="49"/>
        <v>43692.624999999964</v>
      </c>
      <c r="M18" s="316">
        <f t="shared" si="26"/>
        <v>0</v>
      </c>
      <c r="N18" s="641">
        <f t="shared" si="27"/>
        <v>1000</v>
      </c>
      <c r="O18" s="423" t="s">
        <v>4</v>
      </c>
      <c r="P18" s="370"/>
      <c r="Q18" s="424" t="s">
        <v>223</v>
      </c>
      <c r="R18" s="423" t="s">
        <v>7</v>
      </c>
      <c r="S18" s="370"/>
      <c r="T18" s="424" t="s">
        <v>223</v>
      </c>
      <c r="U18" s="406" t="s">
        <v>3</v>
      </c>
      <c r="V18" s="407"/>
      <c r="W18" s="409" t="s">
        <v>223</v>
      </c>
      <c r="Y18" s="503">
        <f ca="1">science_cap*(1-EXP(-AF18/(science_param*($A19-Explore!$S19*20)+15000)))*(1+(mason_bonus*Construction!BB18/Construction!BS18))+IF(Overview!$B$14="Beastfolk",Construction!DA18/Construction!E18,0)*(1 + Production!O18/100*prestige_pop_multiplier)</f>
        <v>0</v>
      </c>
      <c r="Z18" s="455">
        <f ca="1">keep_cap*(1-EXP(-AG18/(keep_param*($A19-Explore!$S19*20)+15000)))*(1+(mason_bonus*Construction!BB18/Construction!BS18))+IF(Overview!$B$14="Beastfolk",Construction!DF18/Construction!E18,0)*(1 + Production!O18/100*prestige_pop_multiplier)</f>
        <v>0</v>
      </c>
      <c r="AA18" s="455">
        <f ca="1">harbor_towers_cap*(1-EXP(-AH18/(harbor_towers_param*($A19-Explore!$S19*20)+15000)))*(1+(mason_bonus*Construction!BB18/Construction!BS18))+IF(Overview!$B$14="Beastfolk",2*Construction!DC18/Construction!E18,0)*(1 + Production!O18/100*prestige_pop_multiplier)</f>
        <v>0</v>
      </c>
      <c r="AB18" s="455">
        <f ca="1">walls_forges_cap*(1-EXP(-AI18/(walls_forges_param*($A19-Explore!$S19*20)+15000)))*(1+(mason_bonus*Construction!BB18/Construction!BS18))+IF(Overview!$B$14="Beastfolk",0.2*Construction!CY18/Construction!E18,0)</f>
        <v>0</v>
      </c>
      <c r="AC18" s="455">
        <f ca="1">walls_forges_cap*(1-EXP(-AJ18/(walls_forges_param*($A19-Explore!$S19*20)+15000)))*(1+(mason_bonus*Construction!BB18/Construction!BS18))+IF(Overview!$B$14="Beastfolk",5*Construction!DB18/Construction!E18,0)</f>
        <v>0</v>
      </c>
      <c r="AD18" s="171">
        <f ca="1">harbor_towers_cap*(1-EXP(-AK18/(harbor_towers_param*($A19-Explore!$S19*20)+15000)))*(1+(mason_bonus*Construction!BB18/Construction!BS18))+IF(Overview!$B$14="Beastfolk",Construction!DE18/Construction!E18)*(1 + Production!O18/100*prestige_pop_multiplier)</f>
        <v>0</v>
      </c>
      <c r="AF18" s="56">
        <f ca="1">(1+Overview!$O$28+IF(Magic!BA18&gt;0,0.1,0))*SUM(AR18:AU18)</f>
        <v>0</v>
      </c>
      <c r="AG18" s="26">
        <f ca="1">(1+Overview!$O$28+IF(Magic!BA18&gt;0,0.1,0))*SUM(AW18:AZ18)</f>
        <v>0</v>
      </c>
      <c r="AH18" s="164">
        <f ca="1">(1+Overview!$O$28+IF(Magic!BA18&gt;0,0.1,0))*SUM(BB18:BE18)</f>
        <v>0</v>
      </c>
      <c r="AI18" s="164">
        <f ca="1">(1+Overview!$O$28+IF(Magic!BA18&gt;0,0.1,0))*SUM(BG18:BJ18)</f>
        <v>0</v>
      </c>
      <c r="AJ18" s="164">
        <f ca="1">(1+Overview!$O$28+IF(Magic!BA18&gt;0,0.1,0))*SUM(BL18:BO18)</f>
        <v>0</v>
      </c>
      <c r="AK18" s="166">
        <f ca="1">(1+Overview!$O$28+IF(Magic!BA18&gt;0,0.1,0))*SUM(BQ18:BT18)</f>
        <v>0</v>
      </c>
      <c r="AM18" s="52">
        <f t="shared" si="28"/>
        <v>0</v>
      </c>
      <c r="AN18" s="16">
        <f t="shared" si="28"/>
        <v>0</v>
      </c>
      <c r="AO18" s="16">
        <f t="shared" si="28"/>
        <v>0</v>
      </c>
      <c r="AP18" s="53">
        <f t="shared" si="28"/>
        <v>0</v>
      </c>
      <c r="AR18" s="56">
        <f t="shared" si="29"/>
        <v>0</v>
      </c>
      <c r="AS18" s="26">
        <f t="shared" si="30"/>
        <v>0</v>
      </c>
      <c r="AT18" s="26">
        <f t="shared" si="30"/>
        <v>0</v>
      </c>
      <c r="AU18" s="57">
        <f t="shared" si="31"/>
        <v>0</v>
      </c>
      <c r="AW18" s="56">
        <f t="shared" si="32"/>
        <v>0</v>
      </c>
      <c r="AX18" s="26">
        <f t="shared" si="33"/>
        <v>0</v>
      </c>
      <c r="AY18" s="26">
        <f t="shared" si="33"/>
        <v>0</v>
      </c>
      <c r="AZ18" s="57">
        <f t="shared" si="34"/>
        <v>0</v>
      </c>
      <c r="BB18" s="56">
        <f t="shared" si="35"/>
        <v>0</v>
      </c>
      <c r="BC18" s="26">
        <f t="shared" si="36"/>
        <v>0</v>
      </c>
      <c r="BD18" s="26">
        <f t="shared" si="50"/>
        <v>0</v>
      </c>
      <c r="BE18" s="57">
        <f t="shared" si="37"/>
        <v>0</v>
      </c>
      <c r="BG18" s="56">
        <f t="shared" si="38"/>
        <v>0</v>
      </c>
      <c r="BH18" s="26">
        <f t="shared" si="39"/>
        <v>0</v>
      </c>
      <c r="BI18" s="26">
        <f t="shared" si="39"/>
        <v>0</v>
      </c>
      <c r="BJ18" s="57">
        <f t="shared" si="40"/>
        <v>0</v>
      </c>
      <c r="BL18" s="56">
        <f t="shared" si="41"/>
        <v>0</v>
      </c>
      <c r="BM18" s="26">
        <f t="shared" si="42"/>
        <v>0</v>
      </c>
      <c r="BN18" s="26">
        <f t="shared" si="42"/>
        <v>0</v>
      </c>
      <c r="BO18" s="57">
        <f t="shared" si="43"/>
        <v>0</v>
      </c>
      <c r="BQ18" s="56">
        <f t="shared" si="44"/>
        <v>0</v>
      </c>
      <c r="BR18" s="26">
        <f t="shared" si="45"/>
        <v>0</v>
      </c>
      <c r="BS18" s="26">
        <f t="shared" si="45"/>
        <v>0</v>
      </c>
      <c r="BT18" s="57">
        <f t="shared" si="46"/>
        <v>0</v>
      </c>
      <c r="BV18" s="52" t="e">
        <f>OR(Production!C18,Construction!N18:'Construction'!AF18,Construction!BV18:CN18,Explore!S18:Z18,Military!AF18:AL18,Military!X18,Military!BE18:BL18,Rezone!L18:R18,Magic!G18:Q18)</f>
        <v>#VALUE!</v>
      </c>
      <c r="BW18" s="527">
        <f t="shared" si="47"/>
        <v>0</v>
      </c>
      <c r="BX18" s="527"/>
      <c r="BY18" s="557">
        <f t="shared" si="51"/>
        <v>43692.624999999964</v>
      </c>
      <c r="BZ18" s="565">
        <f t="shared" si="48"/>
        <v>43692.458333333299</v>
      </c>
      <c r="CA18" s="529"/>
      <c r="CB18" s="807"/>
      <c r="CC18" s="812"/>
      <c r="CD18" s="170"/>
      <c r="CF18" s="674"/>
    </row>
    <row r="19" spans="1:84" s="16" customFormat="1">
      <c r="A19" s="513">
        <f>Construction!E19</f>
        <v>1000</v>
      </c>
      <c r="C19" s="56">
        <f ca="1">Production!H19</f>
        <v>3114809</v>
      </c>
      <c r="D19" s="26">
        <f ca="1">Production!J19</f>
        <v>294617</v>
      </c>
      <c r="E19" s="26">
        <f ca="1">Production!L19</f>
        <v>231000</v>
      </c>
      <c r="F19" s="57">
        <f ca="1">Production!M19</f>
        <v>20000</v>
      </c>
      <c r="G19" s="26"/>
      <c r="H19" s="56">
        <f ca="1">Military!Z19</f>
        <v>3695</v>
      </c>
      <c r="I19" s="540">
        <f ca="1">Population!I19</f>
        <v>1</v>
      </c>
      <c r="J19" s="165">
        <f ca="1">Population!F19/Population!U19</f>
        <v>1.0658868483314905</v>
      </c>
      <c r="K19" s="1005">
        <f>Rezone!J19</f>
        <v>17</v>
      </c>
      <c r="L19" s="584">
        <f t="shared" si="49"/>
        <v>43692.666666666628</v>
      </c>
      <c r="M19" s="316">
        <f t="shared" si="26"/>
        <v>0</v>
      </c>
      <c r="N19" s="641">
        <f t="shared" si="27"/>
        <v>1000</v>
      </c>
      <c r="O19" s="423" t="s">
        <v>4</v>
      </c>
      <c r="P19" s="370"/>
      <c r="Q19" s="424" t="s">
        <v>223</v>
      </c>
      <c r="R19" s="406" t="s">
        <v>7</v>
      </c>
      <c r="S19" s="370"/>
      <c r="T19" s="424" t="s">
        <v>223</v>
      </c>
      <c r="U19" s="406" t="s">
        <v>3</v>
      </c>
      <c r="V19" s="407"/>
      <c r="W19" s="409" t="s">
        <v>223</v>
      </c>
      <c r="Y19" s="503">
        <f ca="1">science_cap*(1-EXP(-AF19/(science_param*($A20-Explore!$S20*20)+15000)))*(1+(mason_bonus*Construction!BB19/Construction!BS19))+IF(Overview!$B$14="Beastfolk",Construction!DA19/Construction!E19,0)*(1 + Production!O19/100*prestige_pop_multiplier)</f>
        <v>0</v>
      </c>
      <c r="Z19" s="455">
        <f ca="1">keep_cap*(1-EXP(-AG19/(keep_param*($A20-Explore!$S20*20)+15000)))*(1+(mason_bonus*Construction!BB19/Construction!BS19))+IF(Overview!$B$14="Beastfolk",Construction!DF19/Construction!E19,0)*(1 + Production!O19/100*prestige_pop_multiplier)</f>
        <v>0</v>
      </c>
      <c r="AA19" s="455">
        <f ca="1">harbor_towers_cap*(1-EXP(-AH19/(harbor_towers_param*($A20-Explore!$S20*20)+15000)))*(1+(mason_bonus*Construction!BB19/Construction!BS19))+IF(Overview!$B$14="Beastfolk",2*Construction!DC19/Construction!E19,0)*(1 + Production!O19/100*prestige_pop_multiplier)</f>
        <v>0</v>
      </c>
      <c r="AB19" s="455">
        <f ca="1">walls_forges_cap*(1-EXP(-AI19/(walls_forges_param*($A20-Explore!$S20*20)+15000)))*(1+(mason_bonus*Construction!BB19/Construction!BS19))+IF(Overview!$B$14="Beastfolk",0.2*Construction!CY19/Construction!E19,0)</f>
        <v>0</v>
      </c>
      <c r="AC19" s="455">
        <f ca="1">walls_forges_cap*(1-EXP(-AJ19/(walls_forges_param*($A20-Explore!$S20*20)+15000)))*(1+(mason_bonus*Construction!BB19/Construction!BS19))+IF(Overview!$B$14="Beastfolk",5*Construction!DB19/Construction!E19,0)</f>
        <v>0</v>
      </c>
      <c r="AD19" s="171">
        <f ca="1">harbor_towers_cap*(1-EXP(-AK19/(harbor_towers_param*($A20-Explore!$S20*20)+15000)))*(1+(mason_bonus*Construction!BB19/Construction!BS19))+IF(Overview!$B$14="Beastfolk",Construction!DE19/Construction!E19)*(1 + Production!O19/100*prestige_pop_multiplier)</f>
        <v>0</v>
      </c>
      <c r="AF19" s="56">
        <f ca="1">(1+Overview!$O$28+IF(Magic!BA19&gt;0,0.1,0))*SUM(AR19:AU19)</f>
        <v>0</v>
      </c>
      <c r="AG19" s="26">
        <f ca="1">(1+Overview!$O$28+IF(Magic!BA19&gt;0,0.1,0))*SUM(AW19:AZ19)</f>
        <v>0</v>
      </c>
      <c r="AH19" s="164">
        <f ca="1">(1+Overview!$O$28+IF(Magic!BA19&gt;0,0.1,0))*SUM(BB19:BE19)</f>
        <v>0</v>
      </c>
      <c r="AI19" s="164">
        <f ca="1">(1+Overview!$O$28+IF(Magic!BA19&gt;0,0.1,0))*SUM(BG19:BJ19)</f>
        <v>0</v>
      </c>
      <c r="AJ19" s="164">
        <f ca="1">(1+Overview!$O$28+IF(Magic!BA19&gt;0,0.1,0))*SUM(BL19:BO19)</f>
        <v>0</v>
      </c>
      <c r="AK19" s="166">
        <f ca="1">(1+Overview!$O$28+IF(Magic!BA19&gt;0,0.1,0))*SUM(BQ19:BT19)</f>
        <v>0</v>
      </c>
      <c r="AM19" s="52">
        <f t="shared" si="28"/>
        <v>0</v>
      </c>
      <c r="AN19" s="16">
        <f t="shared" si="28"/>
        <v>0</v>
      </c>
      <c r="AO19" s="16">
        <f t="shared" si="28"/>
        <v>0</v>
      </c>
      <c r="AP19" s="53">
        <f t="shared" si="28"/>
        <v>0</v>
      </c>
      <c r="AR19" s="56">
        <f t="shared" si="29"/>
        <v>0</v>
      </c>
      <c r="AS19" s="26">
        <f t="shared" si="30"/>
        <v>0</v>
      </c>
      <c r="AT19" s="26">
        <f t="shared" si="30"/>
        <v>0</v>
      </c>
      <c r="AU19" s="57">
        <f t="shared" si="31"/>
        <v>0</v>
      </c>
      <c r="AW19" s="56">
        <f t="shared" si="32"/>
        <v>0</v>
      </c>
      <c r="AX19" s="26">
        <f t="shared" si="33"/>
        <v>0</v>
      </c>
      <c r="AY19" s="26">
        <f t="shared" si="33"/>
        <v>0</v>
      </c>
      <c r="AZ19" s="57">
        <f t="shared" si="34"/>
        <v>0</v>
      </c>
      <c r="BB19" s="56">
        <f t="shared" si="35"/>
        <v>0</v>
      </c>
      <c r="BC19" s="26">
        <f t="shared" si="36"/>
        <v>0</v>
      </c>
      <c r="BD19" s="26">
        <f t="shared" si="50"/>
        <v>0</v>
      </c>
      <c r="BE19" s="57">
        <f t="shared" si="37"/>
        <v>0</v>
      </c>
      <c r="BG19" s="56">
        <f t="shared" si="38"/>
        <v>0</v>
      </c>
      <c r="BH19" s="26">
        <f t="shared" si="39"/>
        <v>0</v>
      </c>
      <c r="BI19" s="26">
        <f t="shared" si="39"/>
        <v>0</v>
      </c>
      <c r="BJ19" s="57">
        <f t="shared" si="40"/>
        <v>0</v>
      </c>
      <c r="BL19" s="56">
        <f t="shared" si="41"/>
        <v>0</v>
      </c>
      <c r="BM19" s="26">
        <f t="shared" si="42"/>
        <v>0</v>
      </c>
      <c r="BN19" s="26">
        <f t="shared" si="42"/>
        <v>0</v>
      </c>
      <c r="BO19" s="57">
        <f t="shared" si="43"/>
        <v>0</v>
      </c>
      <c r="BQ19" s="56">
        <f t="shared" si="44"/>
        <v>0</v>
      </c>
      <c r="BR19" s="26">
        <f t="shared" si="45"/>
        <v>0</v>
      </c>
      <c r="BS19" s="26">
        <f t="shared" si="45"/>
        <v>0</v>
      </c>
      <c r="BT19" s="57">
        <f t="shared" si="46"/>
        <v>0</v>
      </c>
      <c r="BV19" s="52" t="e">
        <f>OR(Production!C19,Construction!N19:'Construction'!AF19,Construction!BV19:CN19,Explore!S19:Z19,Military!AF19:AL19,Military!X19,Military!BE19:BL19,Rezone!L19:R19,Magic!G19:Q19)</f>
        <v>#VALUE!</v>
      </c>
      <c r="BW19" s="527">
        <f t="shared" si="47"/>
        <v>0</v>
      </c>
      <c r="BX19" s="527"/>
      <c r="BY19" s="557">
        <f t="shared" si="51"/>
        <v>43692.666666666628</v>
      </c>
      <c r="BZ19" s="565">
        <f t="shared" si="48"/>
        <v>43692.499999999964</v>
      </c>
      <c r="CA19" s="529"/>
      <c r="CB19" s="807"/>
      <c r="CC19" s="812"/>
      <c r="CD19" s="170"/>
      <c r="CF19" s="675"/>
    </row>
    <row r="20" spans="1:84" s="16" customFormat="1">
      <c r="A20" s="513">
        <f>Construction!E20</f>
        <v>1000</v>
      </c>
      <c r="C20" s="56">
        <f ca="1">Production!H20</f>
        <v>3127104</v>
      </c>
      <c r="D20" s="26">
        <f ca="1">Production!J20</f>
        <v>294171</v>
      </c>
      <c r="E20" s="26">
        <f ca="1">Production!L20</f>
        <v>231000</v>
      </c>
      <c r="F20" s="57">
        <f ca="1">Production!M20</f>
        <v>20000</v>
      </c>
      <c r="G20" s="26"/>
      <c r="H20" s="56">
        <f ca="1">Military!Z20</f>
        <v>3695</v>
      </c>
      <c r="I20" s="540">
        <f ca="1">Population!I20</f>
        <v>1</v>
      </c>
      <c r="J20" s="165">
        <f ca="1">Population!F20/Population!U20</f>
        <v>1.0412451033175134</v>
      </c>
      <c r="K20" s="1005">
        <f>Rezone!J20</f>
        <v>18</v>
      </c>
      <c r="L20" s="584">
        <f t="shared" si="49"/>
        <v>43692.708333333292</v>
      </c>
      <c r="M20" s="316">
        <f t="shared" si="26"/>
        <v>0</v>
      </c>
      <c r="N20" s="641">
        <f t="shared" si="27"/>
        <v>1000</v>
      </c>
      <c r="O20" s="423" t="s">
        <v>4</v>
      </c>
      <c r="P20" s="370"/>
      <c r="Q20" s="424" t="s">
        <v>223</v>
      </c>
      <c r="R20" s="423" t="s">
        <v>7</v>
      </c>
      <c r="S20" s="370"/>
      <c r="T20" s="424" t="s">
        <v>223</v>
      </c>
      <c r="U20" s="406" t="s">
        <v>3</v>
      </c>
      <c r="V20" s="407"/>
      <c r="W20" s="409" t="s">
        <v>223</v>
      </c>
      <c r="Y20" s="503">
        <f ca="1">science_cap*(1-EXP(-AF20/(science_param*($A21-Explore!$S21*20)+15000)))*(1+(mason_bonus*Construction!BB20/Construction!BS20))+IF(Overview!$B$14="Beastfolk",Construction!DA20/Construction!E20,0)*(1 + Production!O20/100*prestige_pop_multiplier)</f>
        <v>0</v>
      </c>
      <c r="Z20" s="455">
        <f ca="1">keep_cap*(1-EXP(-AG20/(keep_param*($A21-Explore!$S21*20)+15000)))*(1+(mason_bonus*Construction!BB20/Construction!BS20))+IF(Overview!$B$14="Beastfolk",Construction!DF20/Construction!E20,0)*(1 + Production!O20/100*prestige_pop_multiplier)</f>
        <v>0</v>
      </c>
      <c r="AA20" s="455">
        <f ca="1">harbor_towers_cap*(1-EXP(-AH20/(harbor_towers_param*($A21-Explore!$S21*20)+15000)))*(1+(mason_bonus*Construction!BB20/Construction!BS20))+IF(Overview!$B$14="Beastfolk",2*Construction!DC20/Construction!E20,0)*(1 + Production!O20/100*prestige_pop_multiplier)</f>
        <v>0</v>
      </c>
      <c r="AB20" s="455">
        <f ca="1">walls_forges_cap*(1-EXP(-AI20/(walls_forges_param*($A21-Explore!$S21*20)+15000)))*(1+(mason_bonus*Construction!BB20/Construction!BS20))+IF(Overview!$B$14="Beastfolk",0.2*Construction!CY20/Construction!E20,0)</f>
        <v>0</v>
      </c>
      <c r="AC20" s="455">
        <f ca="1">walls_forges_cap*(1-EXP(-AJ20/(walls_forges_param*($A21-Explore!$S21*20)+15000)))*(1+(mason_bonus*Construction!BB20/Construction!BS20))+IF(Overview!$B$14="Beastfolk",5*Construction!DB20/Construction!E20,0)</f>
        <v>0</v>
      </c>
      <c r="AD20" s="171">
        <f ca="1">harbor_towers_cap*(1-EXP(-AK20/(harbor_towers_param*($A21-Explore!$S21*20)+15000)))*(1+(mason_bonus*Construction!BB20/Construction!BS20))+IF(Overview!$B$14="Beastfolk",Construction!DE20/Construction!E20)*(1 + Production!O20/100*prestige_pop_multiplier)</f>
        <v>0</v>
      </c>
      <c r="AF20" s="56">
        <f ca="1">(1+Overview!$O$28+IF(Magic!BA20&gt;0,0.1,0))*SUM(AR20:AU20)</f>
        <v>0</v>
      </c>
      <c r="AG20" s="26">
        <f ca="1">(1+Overview!$O$28+IF(Magic!BA20&gt;0,0.1,0))*SUM(AW20:AZ20)</f>
        <v>0</v>
      </c>
      <c r="AH20" s="164">
        <f ca="1">(1+Overview!$O$28+IF(Magic!BA20&gt;0,0.1,0))*SUM(BB20:BE20)</f>
        <v>0</v>
      </c>
      <c r="AI20" s="164">
        <f ca="1">(1+Overview!$O$28+IF(Magic!BA20&gt;0,0.1,0))*SUM(BG20:BJ20)</f>
        <v>0</v>
      </c>
      <c r="AJ20" s="164">
        <f ca="1">(1+Overview!$O$28+IF(Magic!BA20&gt;0,0.1,0))*SUM(BL20:BO20)</f>
        <v>0</v>
      </c>
      <c r="AK20" s="166">
        <f ca="1">(1+Overview!$O$28+IF(Magic!BA20&gt;0,0.1,0))*SUM(BQ20:BT20)</f>
        <v>0</v>
      </c>
      <c r="AM20" s="52">
        <f t="shared" ref="AM20:AP76" si="52">IF(AND($O20=AM$2,$Q20&lt;&gt;""),$P20) + IF(AND($R20=AM$2,$T20&lt;&gt;""),$S20) + IF(AND($U20=AM$2,$W20&lt;&gt;""),$V20)</f>
        <v>0</v>
      </c>
      <c r="AN20" s="16">
        <f t="shared" si="52"/>
        <v>0</v>
      </c>
      <c r="AO20" s="16">
        <f t="shared" si="52"/>
        <v>0</v>
      </c>
      <c r="AP20" s="53">
        <f t="shared" si="52"/>
        <v>0</v>
      </c>
      <c r="AR20" s="56">
        <f t="shared" si="29"/>
        <v>0</v>
      </c>
      <c r="AS20" s="26">
        <f t="shared" ref="AS20:AT76" si="53">IF($O20=AS$2,IF($Q20=$Y$2,2*$P20)) + IF($R20=AS$2,IF($T20=$Y$2,2*$S20)) + IF($U20=AS$2,IF($W20=$Y$2,2*$V20))</f>
        <v>0</v>
      </c>
      <c r="AT20" s="26">
        <f t="shared" si="53"/>
        <v>0</v>
      </c>
      <c r="AU20" s="57">
        <f t="shared" si="31"/>
        <v>0</v>
      </c>
      <c r="AW20" s="56">
        <f t="shared" si="32"/>
        <v>0</v>
      </c>
      <c r="AX20" s="26">
        <f t="shared" ref="AX20:AY76" si="54">IF($O20=AX$2,IF($Q20=$Z$2,2*$P20)) + IF($R20=AX$2,IF($T20=$Z$2,2*$S20)) + IF($U20=AX$2,IF($W20=$Z$2,2*$V20))</f>
        <v>0</v>
      </c>
      <c r="AY20" s="26">
        <f t="shared" si="54"/>
        <v>0</v>
      </c>
      <c r="AZ20" s="57">
        <f t="shared" si="34"/>
        <v>0</v>
      </c>
      <c r="BB20" s="56">
        <f t="shared" si="35"/>
        <v>0</v>
      </c>
      <c r="BC20" s="26">
        <f t="shared" si="36"/>
        <v>0</v>
      </c>
      <c r="BD20" s="26">
        <f t="shared" si="50"/>
        <v>0</v>
      </c>
      <c r="BE20" s="57">
        <f t="shared" si="37"/>
        <v>0</v>
      </c>
      <c r="BG20" s="56">
        <f t="shared" si="38"/>
        <v>0</v>
      </c>
      <c r="BH20" s="26">
        <f t="shared" ref="BH20:BI76" si="55">IF($O20=BH$2,IF($Q20=$AB$2,2*$P20)) + IF($R20=BH$2,IF($T20=$AB$2,2*$S20)) + IF($U20=BH$2,IF($W20=$AB$2,2*$V20))</f>
        <v>0</v>
      </c>
      <c r="BI20" s="26">
        <f t="shared" si="55"/>
        <v>0</v>
      </c>
      <c r="BJ20" s="57">
        <f t="shared" si="40"/>
        <v>0</v>
      </c>
      <c r="BL20" s="56">
        <f t="shared" si="41"/>
        <v>0</v>
      </c>
      <c r="BM20" s="26">
        <f t="shared" ref="BM20:BN76" si="56">IF($O20=BM$2,IF($Q20=$AC$2,2*$P20)) + IF($R20=BM$2,IF($T20=$AC$2,2*$S20)) + IF($U20=BM$2,IF($W20=$AC$2,2*$V20))</f>
        <v>0</v>
      </c>
      <c r="BN20" s="26">
        <f t="shared" si="56"/>
        <v>0</v>
      </c>
      <c r="BO20" s="57">
        <f t="shared" si="43"/>
        <v>0</v>
      </c>
      <c r="BQ20" s="56">
        <f t="shared" si="44"/>
        <v>0</v>
      </c>
      <c r="BR20" s="26">
        <f t="shared" ref="BR20:BS76" si="57">IF($O20=BR$2,IF($Q20=$AD$2,2*$P20)) + IF($R20=BR$2,IF($T20=$AD$2,2*$S20)) + IF($U20=BR$2,IF($W20=$AD$2,2*$V20))</f>
        <v>0</v>
      </c>
      <c r="BS20" s="26">
        <f t="shared" si="57"/>
        <v>0</v>
      </c>
      <c r="BT20" s="57">
        <f t="shared" si="46"/>
        <v>0</v>
      </c>
      <c r="BV20" s="52" t="e">
        <f>OR(Production!C20,Construction!N20:'Construction'!AF20,Construction!BV20:CN20,Explore!S20:Z20,Military!AF20:AL20,Military!X20,Military!BE20:BL20,Rezone!L20:R20,Magic!G20:Q20)</f>
        <v>#VALUE!</v>
      </c>
      <c r="BW20" s="527">
        <f t="shared" si="47"/>
        <v>0</v>
      </c>
      <c r="BX20" s="527"/>
      <c r="BY20" s="557">
        <f t="shared" si="51"/>
        <v>43692.708333333292</v>
      </c>
      <c r="BZ20" s="565">
        <f t="shared" si="48"/>
        <v>43692.541666666628</v>
      </c>
      <c r="CA20" s="529"/>
      <c r="CB20" s="807"/>
      <c r="CC20" s="812"/>
      <c r="CD20" s="170"/>
      <c r="CF20" s="675"/>
    </row>
    <row r="21" spans="1:84" s="16" customFormat="1">
      <c r="A21" s="513">
        <f>Construction!E21</f>
        <v>1000</v>
      </c>
      <c r="C21" s="56">
        <f ca="1">Production!H21</f>
        <v>3138784</v>
      </c>
      <c r="D21" s="26">
        <f ca="1">Production!J21</f>
        <v>293729</v>
      </c>
      <c r="E21" s="26">
        <f ca="1">Production!L21</f>
        <v>231000</v>
      </c>
      <c r="F21" s="57">
        <f ca="1">Production!M21</f>
        <v>20000</v>
      </c>
      <c r="G21" s="26"/>
      <c r="H21" s="56">
        <f ca="1">Military!Z21</f>
        <v>3695</v>
      </c>
      <c r="I21" s="540">
        <f ca="1">Population!I21</f>
        <v>1</v>
      </c>
      <c r="J21" s="165">
        <f ca="1">Population!F21/Population!U21</f>
        <v>1.0178354455542351</v>
      </c>
      <c r="K21" s="1005">
        <f>Rezone!J21</f>
        <v>19</v>
      </c>
      <c r="L21" s="584">
        <f t="shared" si="49"/>
        <v>43692.749999999956</v>
      </c>
      <c r="M21" s="316">
        <f t="shared" si="26"/>
        <v>0</v>
      </c>
      <c r="N21" s="641">
        <f t="shared" si="27"/>
        <v>1000</v>
      </c>
      <c r="O21" s="423" t="s">
        <v>4</v>
      </c>
      <c r="P21" s="370"/>
      <c r="Q21" s="424" t="s">
        <v>223</v>
      </c>
      <c r="R21" s="423" t="s">
        <v>7</v>
      </c>
      <c r="S21" s="370"/>
      <c r="T21" s="424" t="s">
        <v>223</v>
      </c>
      <c r="U21" s="406" t="s">
        <v>3</v>
      </c>
      <c r="V21" s="407"/>
      <c r="W21" s="409" t="s">
        <v>223</v>
      </c>
      <c r="Y21" s="503">
        <f ca="1">science_cap*(1-EXP(-AF21/(science_param*($A22-Explore!$S22*20)+15000)))*(1+(mason_bonus*Construction!BB21/Construction!BS21))+IF(Overview!$B$14="Beastfolk",Construction!DA21/Construction!E21,0)*(1 + Production!O21/100*prestige_pop_multiplier)</f>
        <v>0</v>
      </c>
      <c r="Z21" s="455">
        <f ca="1">keep_cap*(1-EXP(-AG21/(keep_param*($A22-Explore!$S22*20)+15000)))*(1+(mason_bonus*Construction!BB21/Construction!BS21))+IF(Overview!$B$14="Beastfolk",Construction!DF21/Construction!E21,0)*(1 + Production!O21/100*prestige_pop_multiplier)</f>
        <v>0</v>
      </c>
      <c r="AA21" s="455">
        <f ca="1">harbor_towers_cap*(1-EXP(-AH21/(harbor_towers_param*($A22-Explore!$S22*20)+15000)))*(1+(mason_bonus*Construction!BB21/Construction!BS21))+IF(Overview!$B$14="Beastfolk",2*Construction!DC21/Construction!E21,0)*(1 + Production!O21/100*prestige_pop_multiplier)</f>
        <v>0</v>
      </c>
      <c r="AB21" s="455">
        <f ca="1">walls_forges_cap*(1-EXP(-AI21/(walls_forges_param*($A22-Explore!$S22*20)+15000)))*(1+(mason_bonus*Construction!BB21/Construction!BS21))+IF(Overview!$B$14="Beastfolk",0.2*Construction!CY21/Construction!E21,0)</f>
        <v>0</v>
      </c>
      <c r="AC21" s="455">
        <f ca="1">walls_forges_cap*(1-EXP(-AJ21/(walls_forges_param*($A22-Explore!$S22*20)+15000)))*(1+(mason_bonus*Construction!BB21/Construction!BS21))+IF(Overview!$B$14="Beastfolk",5*Construction!DB21/Construction!E21,0)</f>
        <v>0</v>
      </c>
      <c r="AD21" s="171">
        <f ca="1">harbor_towers_cap*(1-EXP(-AK21/(harbor_towers_param*($A22-Explore!$S22*20)+15000)))*(1+(mason_bonus*Construction!BB21/Construction!BS21))+IF(Overview!$B$14="Beastfolk",Construction!DE21/Construction!E21)*(1 + Production!O21/100*prestige_pop_multiplier)</f>
        <v>0</v>
      </c>
      <c r="AF21" s="56">
        <f ca="1">(1+Overview!$O$28+IF(Magic!BA21&gt;0,0.1,0))*SUM(AR21:AU21)</f>
        <v>0</v>
      </c>
      <c r="AG21" s="26">
        <f ca="1">(1+Overview!$O$28+IF(Magic!BA21&gt;0,0.1,0))*SUM(AW21:AZ21)</f>
        <v>0</v>
      </c>
      <c r="AH21" s="164">
        <f ca="1">(1+Overview!$O$28+IF(Magic!BA21&gt;0,0.1,0))*SUM(BB21:BE21)</f>
        <v>0</v>
      </c>
      <c r="AI21" s="164">
        <f ca="1">(1+Overview!$O$28+IF(Magic!BA21&gt;0,0.1,0))*SUM(BG21:BJ21)</f>
        <v>0</v>
      </c>
      <c r="AJ21" s="164">
        <f ca="1">(1+Overview!$O$28+IF(Magic!BA21&gt;0,0.1,0))*SUM(BL21:BO21)</f>
        <v>0</v>
      </c>
      <c r="AK21" s="166">
        <f ca="1">(1+Overview!$O$28+IF(Magic!BA21&gt;0,0.1,0))*SUM(BQ21:BT21)</f>
        <v>0</v>
      </c>
      <c r="AM21" s="52">
        <f t="shared" si="52"/>
        <v>0</v>
      </c>
      <c r="AN21" s="16">
        <f t="shared" si="52"/>
        <v>0</v>
      </c>
      <c r="AO21" s="16">
        <f t="shared" si="52"/>
        <v>0</v>
      </c>
      <c r="AP21" s="53">
        <f t="shared" si="52"/>
        <v>0</v>
      </c>
      <c r="AR21" s="56">
        <f t="shared" si="29"/>
        <v>0</v>
      </c>
      <c r="AS21" s="26">
        <f t="shared" si="53"/>
        <v>0</v>
      </c>
      <c r="AT21" s="26">
        <f t="shared" si="53"/>
        <v>0</v>
      </c>
      <c r="AU21" s="57">
        <f t="shared" si="31"/>
        <v>0</v>
      </c>
      <c r="AW21" s="56">
        <f t="shared" si="32"/>
        <v>0</v>
      </c>
      <c r="AX21" s="26">
        <f t="shared" si="54"/>
        <v>0</v>
      </c>
      <c r="AY21" s="26">
        <f t="shared" si="54"/>
        <v>0</v>
      </c>
      <c r="AZ21" s="57">
        <f t="shared" si="34"/>
        <v>0</v>
      </c>
      <c r="BB21" s="56">
        <f t="shared" si="35"/>
        <v>0</v>
      </c>
      <c r="BC21" s="26">
        <f t="shared" si="36"/>
        <v>0</v>
      </c>
      <c r="BD21" s="26">
        <f t="shared" si="50"/>
        <v>0</v>
      </c>
      <c r="BE21" s="57">
        <f t="shared" si="37"/>
        <v>0</v>
      </c>
      <c r="BG21" s="56">
        <f t="shared" si="38"/>
        <v>0</v>
      </c>
      <c r="BH21" s="26">
        <f t="shared" si="55"/>
        <v>0</v>
      </c>
      <c r="BI21" s="26">
        <f t="shared" si="55"/>
        <v>0</v>
      </c>
      <c r="BJ21" s="57">
        <f t="shared" si="40"/>
        <v>0</v>
      </c>
      <c r="BL21" s="56">
        <f t="shared" si="41"/>
        <v>0</v>
      </c>
      <c r="BM21" s="26">
        <f t="shared" si="56"/>
        <v>0</v>
      </c>
      <c r="BN21" s="26">
        <f t="shared" si="56"/>
        <v>0</v>
      </c>
      <c r="BO21" s="57">
        <f t="shared" si="43"/>
        <v>0</v>
      </c>
      <c r="BQ21" s="56">
        <f t="shared" si="44"/>
        <v>0</v>
      </c>
      <c r="BR21" s="26">
        <f t="shared" si="57"/>
        <v>0</v>
      </c>
      <c r="BS21" s="26">
        <f t="shared" si="57"/>
        <v>0</v>
      </c>
      <c r="BT21" s="57">
        <f t="shared" si="46"/>
        <v>0</v>
      </c>
      <c r="BV21" s="52" t="e">
        <f>OR(Production!C21,Construction!N21:'Construction'!AF21,Construction!BV21:CN21,Explore!S21:Z21,Military!AF21:AL21,Military!X21,Military!BE21:BL21,Rezone!L21:R21,Magic!G21:Q21)</f>
        <v>#VALUE!</v>
      </c>
      <c r="BW21" s="527">
        <f t="shared" si="47"/>
        <v>0</v>
      </c>
      <c r="BX21" s="527"/>
      <c r="BY21" s="557">
        <f t="shared" si="51"/>
        <v>43692.749999999956</v>
      </c>
      <c r="BZ21" s="565">
        <f t="shared" si="48"/>
        <v>43692.583333333292</v>
      </c>
      <c r="CA21" s="529"/>
      <c r="CB21" s="807"/>
      <c r="CC21" s="812"/>
      <c r="CD21" s="170"/>
    </row>
    <row r="22" spans="1:84" s="16" customFormat="1">
      <c r="A22" s="513">
        <f>Construction!E22</f>
        <v>1000</v>
      </c>
      <c r="C22" s="56">
        <f ca="1">Production!H22</f>
        <v>3149880</v>
      </c>
      <c r="D22" s="26">
        <f ca="1">Production!J22</f>
        <v>293292</v>
      </c>
      <c r="E22" s="26">
        <f ca="1">Production!L22</f>
        <v>231000</v>
      </c>
      <c r="F22" s="57">
        <f ca="1">Production!M22</f>
        <v>20000</v>
      </c>
      <c r="G22" s="26"/>
      <c r="H22" s="56">
        <f ca="1">Military!Z22</f>
        <v>3695</v>
      </c>
      <c r="I22" s="540">
        <f ca="1">Population!I22</f>
        <v>1</v>
      </c>
      <c r="J22" s="165">
        <f ca="1">Population!F22/Population!U22</f>
        <v>1</v>
      </c>
      <c r="K22" s="1005">
        <f>Rezone!J22</f>
        <v>20</v>
      </c>
      <c r="L22" s="584">
        <f t="shared" si="49"/>
        <v>43692.791666666621</v>
      </c>
      <c r="M22" s="316">
        <f t="shared" si="26"/>
        <v>0</v>
      </c>
      <c r="N22" s="641">
        <f t="shared" si="27"/>
        <v>1000</v>
      </c>
      <c r="O22" s="423" t="s">
        <v>4</v>
      </c>
      <c r="P22" s="370"/>
      <c r="Q22" s="424" t="s">
        <v>223</v>
      </c>
      <c r="R22" s="423" t="s">
        <v>7</v>
      </c>
      <c r="S22" s="370"/>
      <c r="T22" s="424" t="s">
        <v>223</v>
      </c>
      <c r="U22" s="406" t="s">
        <v>3</v>
      </c>
      <c r="V22" s="407"/>
      <c r="W22" s="409" t="s">
        <v>223</v>
      </c>
      <c r="Y22" s="503">
        <f ca="1">science_cap*(1-EXP(-AF22/(science_param*($A23-Explore!$S23*20)+15000)))*(1+(mason_bonus*Construction!BB22/Construction!BS22))+IF(Overview!$B$14="Beastfolk",Construction!DA22/Construction!E22,0)*(1 + Production!O22/100*prestige_pop_multiplier)</f>
        <v>0</v>
      </c>
      <c r="Z22" s="455">
        <f ca="1">keep_cap*(1-EXP(-AG22/(keep_param*($A23-Explore!$S23*20)+15000)))*(1+(mason_bonus*Construction!BB22/Construction!BS22))+IF(Overview!$B$14="Beastfolk",Construction!DF22/Construction!E22,0)*(1 + Production!O22/100*prestige_pop_multiplier)</f>
        <v>0</v>
      </c>
      <c r="AA22" s="455">
        <f ca="1">harbor_towers_cap*(1-EXP(-AH22/(harbor_towers_param*($A23-Explore!$S23*20)+15000)))*(1+(mason_bonus*Construction!BB22/Construction!BS22))+IF(Overview!$B$14="Beastfolk",2*Construction!DC22/Construction!E22,0)*(1 + Production!O22/100*prestige_pop_multiplier)</f>
        <v>0</v>
      </c>
      <c r="AB22" s="455">
        <f ca="1">walls_forges_cap*(1-EXP(-AI22/(walls_forges_param*($A23-Explore!$S23*20)+15000)))*(1+(mason_bonus*Construction!BB22/Construction!BS22))+IF(Overview!$B$14="Beastfolk",0.2*Construction!CY22/Construction!E22,0)</f>
        <v>0</v>
      </c>
      <c r="AC22" s="455">
        <f ca="1">walls_forges_cap*(1-EXP(-AJ22/(walls_forges_param*($A23-Explore!$S23*20)+15000)))*(1+(mason_bonus*Construction!BB22/Construction!BS22))+IF(Overview!$B$14="Beastfolk",5*Construction!DB22/Construction!E22,0)</f>
        <v>0</v>
      </c>
      <c r="AD22" s="171">
        <f ca="1">harbor_towers_cap*(1-EXP(-AK22/(harbor_towers_param*($A23-Explore!$S23*20)+15000)))*(1+(mason_bonus*Construction!BB22/Construction!BS22))+IF(Overview!$B$14="Beastfolk",Construction!DE22/Construction!E22)*(1 + Production!O22/100*prestige_pop_multiplier)</f>
        <v>0</v>
      </c>
      <c r="AF22" s="56">
        <f ca="1">(1+Overview!$O$28+IF(Magic!BA22&gt;0,0.1,0))*SUM(AR22:AU22)</f>
        <v>0</v>
      </c>
      <c r="AG22" s="26">
        <f ca="1">(1+Overview!$O$28+IF(Magic!BA22&gt;0,0.1,0))*SUM(AW22:AZ22)</f>
        <v>0</v>
      </c>
      <c r="AH22" s="164">
        <f ca="1">(1+Overview!$O$28+IF(Magic!BA22&gt;0,0.1,0))*SUM(BB22:BE22)</f>
        <v>0</v>
      </c>
      <c r="AI22" s="164">
        <f ca="1">(1+Overview!$O$28+IF(Magic!BA22&gt;0,0.1,0))*SUM(BG22:BJ22)</f>
        <v>0</v>
      </c>
      <c r="AJ22" s="164">
        <f ca="1">(1+Overview!$O$28+IF(Magic!BA22&gt;0,0.1,0))*SUM(BL22:BO22)</f>
        <v>0</v>
      </c>
      <c r="AK22" s="166">
        <f ca="1">(1+Overview!$O$28+IF(Magic!BA22&gt;0,0.1,0))*SUM(BQ22:BT22)</f>
        <v>0</v>
      </c>
      <c r="AM22" s="52">
        <f t="shared" si="52"/>
        <v>0</v>
      </c>
      <c r="AN22" s="16">
        <f t="shared" si="52"/>
        <v>0</v>
      </c>
      <c r="AO22" s="16">
        <f t="shared" si="52"/>
        <v>0</v>
      </c>
      <c r="AP22" s="53">
        <f t="shared" si="52"/>
        <v>0</v>
      </c>
      <c r="AR22" s="56">
        <f t="shared" si="29"/>
        <v>0</v>
      </c>
      <c r="AS22" s="26">
        <f t="shared" si="53"/>
        <v>0</v>
      </c>
      <c r="AT22" s="26">
        <f t="shared" si="53"/>
        <v>0</v>
      </c>
      <c r="AU22" s="57">
        <f t="shared" si="31"/>
        <v>0</v>
      </c>
      <c r="AW22" s="56">
        <f t="shared" si="32"/>
        <v>0</v>
      </c>
      <c r="AX22" s="26">
        <f t="shared" si="54"/>
        <v>0</v>
      </c>
      <c r="AY22" s="26">
        <f t="shared" si="54"/>
        <v>0</v>
      </c>
      <c r="AZ22" s="57">
        <f t="shared" si="34"/>
        <v>0</v>
      </c>
      <c r="BB22" s="56">
        <f t="shared" si="35"/>
        <v>0</v>
      </c>
      <c r="BC22" s="26">
        <f t="shared" si="36"/>
        <v>0</v>
      </c>
      <c r="BD22" s="26">
        <f t="shared" si="50"/>
        <v>0</v>
      </c>
      <c r="BE22" s="57">
        <f t="shared" si="37"/>
        <v>0</v>
      </c>
      <c r="BG22" s="56">
        <f t="shared" si="38"/>
        <v>0</v>
      </c>
      <c r="BH22" s="26">
        <f t="shared" si="55"/>
        <v>0</v>
      </c>
      <c r="BI22" s="26">
        <f t="shared" si="55"/>
        <v>0</v>
      </c>
      <c r="BJ22" s="57">
        <f t="shared" si="40"/>
        <v>0</v>
      </c>
      <c r="BL22" s="56">
        <f t="shared" si="41"/>
        <v>0</v>
      </c>
      <c r="BM22" s="26">
        <f t="shared" si="56"/>
        <v>0</v>
      </c>
      <c r="BN22" s="26">
        <f t="shared" si="56"/>
        <v>0</v>
      </c>
      <c r="BO22" s="57">
        <f t="shared" si="43"/>
        <v>0</v>
      </c>
      <c r="BQ22" s="56">
        <f t="shared" si="44"/>
        <v>0</v>
      </c>
      <c r="BR22" s="26">
        <f t="shared" si="57"/>
        <v>0</v>
      </c>
      <c r="BS22" s="26">
        <f t="shared" si="57"/>
        <v>0</v>
      </c>
      <c r="BT22" s="57">
        <f t="shared" si="46"/>
        <v>0</v>
      </c>
      <c r="BV22" s="52" t="e">
        <f>OR(Production!C22,Construction!N22:'Construction'!AF22,Construction!BV22:CN22,Explore!S22:Z22,Military!AF22:AL22,Military!X22,Military!BE22:BL22,Rezone!L22:R22,Magic!G22:Q22)</f>
        <v>#VALUE!</v>
      </c>
      <c r="BW22" s="527">
        <f t="shared" si="47"/>
        <v>0</v>
      </c>
      <c r="BX22" s="527"/>
      <c r="BY22" s="557">
        <f t="shared" si="51"/>
        <v>43692.791666666621</v>
      </c>
      <c r="BZ22" s="565">
        <f t="shared" si="48"/>
        <v>43692.624999999956</v>
      </c>
      <c r="CA22" s="529"/>
      <c r="CB22" s="807"/>
      <c r="CC22" s="812"/>
      <c r="CD22" s="170"/>
    </row>
    <row r="23" spans="1:84" s="16" customFormat="1">
      <c r="A23" s="513">
        <f>Construction!E23</f>
        <v>1000</v>
      </c>
      <c r="C23" s="56">
        <f ca="1">Production!H23</f>
        <v>3160531</v>
      </c>
      <c r="D23" s="26">
        <f ca="1">Production!J23</f>
        <v>292859</v>
      </c>
      <c r="E23" s="26">
        <f ca="1">Production!L23</f>
        <v>231000</v>
      </c>
      <c r="F23" s="57">
        <f ca="1">Production!M23</f>
        <v>20000</v>
      </c>
      <c r="G23" s="26"/>
      <c r="H23" s="56">
        <f ca="1">Military!Z23</f>
        <v>3695</v>
      </c>
      <c r="I23" s="540">
        <f ca="1">Population!I23</f>
        <v>1</v>
      </c>
      <c r="J23" s="165">
        <f ca="1">Population!F23/Population!U23</f>
        <v>1</v>
      </c>
      <c r="K23" s="1005">
        <f>Rezone!J23</f>
        <v>21</v>
      </c>
      <c r="L23" s="584">
        <f t="shared" si="49"/>
        <v>43692.833333333285</v>
      </c>
      <c r="M23" s="316">
        <f t="shared" si="26"/>
        <v>0</v>
      </c>
      <c r="N23" s="641">
        <f t="shared" si="27"/>
        <v>1000</v>
      </c>
      <c r="O23" s="423" t="s">
        <v>4</v>
      </c>
      <c r="P23" s="370"/>
      <c r="Q23" s="424" t="s">
        <v>223</v>
      </c>
      <c r="R23" s="423" t="s">
        <v>7</v>
      </c>
      <c r="S23" s="370"/>
      <c r="T23" s="424" t="s">
        <v>223</v>
      </c>
      <c r="U23" s="406" t="s">
        <v>3</v>
      </c>
      <c r="V23" s="407"/>
      <c r="W23" s="409" t="s">
        <v>223</v>
      </c>
      <c r="Y23" s="503">
        <f ca="1">science_cap*(1-EXP(-AF23/(science_param*($A24-Explore!$S24*20)+15000)))*(1+(mason_bonus*Construction!BB23/Construction!BS23))+IF(Overview!$B$14="Beastfolk",Construction!DA23/Construction!E23,0)*(1 + Production!O23/100*prestige_pop_multiplier)</f>
        <v>0</v>
      </c>
      <c r="Z23" s="455">
        <f ca="1">keep_cap*(1-EXP(-AG23/(keep_param*($A24-Explore!$S24*20)+15000)))*(1+(mason_bonus*Construction!BB23/Construction!BS23))+IF(Overview!$B$14="Beastfolk",Construction!DF23/Construction!E23,0)*(1 + Production!O23/100*prestige_pop_multiplier)</f>
        <v>0</v>
      </c>
      <c r="AA23" s="455">
        <f ca="1">harbor_towers_cap*(1-EXP(-AH23/(harbor_towers_param*($A24-Explore!$S24*20)+15000)))*(1+(mason_bonus*Construction!BB23/Construction!BS23))+IF(Overview!$B$14="Beastfolk",2*Construction!DC23/Construction!E23,0)*(1 + Production!O23/100*prestige_pop_multiplier)</f>
        <v>0</v>
      </c>
      <c r="AB23" s="455">
        <f ca="1">walls_forges_cap*(1-EXP(-AI23/(walls_forges_param*($A24-Explore!$S24*20)+15000)))*(1+(mason_bonus*Construction!BB23/Construction!BS23))+IF(Overview!$B$14="Beastfolk",0.2*Construction!CY23/Construction!E23,0)</f>
        <v>0</v>
      </c>
      <c r="AC23" s="455">
        <f ca="1">walls_forges_cap*(1-EXP(-AJ23/(walls_forges_param*($A24-Explore!$S24*20)+15000)))*(1+(mason_bonus*Construction!BB23/Construction!BS23))+IF(Overview!$B$14="Beastfolk",5*Construction!DB23/Construction!E23,0)</f>
        <v>0</v>
      </c>
      <c r="AD23" s="171">
        <f ca="1">harbor_towers_cap*(1-EXP(-AK23/(harbor_towers_param*($A24-Explore!$S24*20)+15000)))*(1+(mason_bonus*Construction!BB23/Construction!BS23))+IF(Overview!$B$14="Beastfolk",Construction!DE23/Construction!E23)*(1 + Production!O23/100*prestige_pop_multiplier)</f>
        <v>0</v>
      </c>
      <c r="AF23" s="56">
        <f ca="1">(1+Overview!$O$28+IF(Magic!BA23&gt;0,0.1,0))*SUM(AR23:AU23)</f>
        <v>0</v>
      </c>
      <c r="AG23" s="26">
        <f ca="1">(1+Overview!$O$28+IF(Magic!BA23&gt;0,0.1,0))*SUM(AW23:AZ23)</f>
        <v>0</v>
      </c>
      <c r="AH23" s="164">
        <f ca="1">(1+Overview!$O$28+IF(Magic!BA23&gt;0,0.1,0))*SUM(BB23:BE23)</f>
        <v>0</v>
      </c>
      <c r="AI23" s="164">
        <f ca="1">(1+Overview!$O$28+IF(Magic!BA23&gt;0,0.1,0))*SUM(BG23:BJ23)</f>
        <v>0</v>
      </c>
      <c r="AJ23" s="164">
        <f ca="1">(1+Overview!$O$28+IF(Magic!BA23&gt;0,0.1,0))*SUM(BL23:BO23)</f>
        <v>0</v>
      </c>
      <c r="AK23" s="166">
        <f ca="1">(1+Overview!$O$28+IF(Magic!BA23&gt;0,0.1,0))*SUM(BQ23:BT23)</f>
        <v>0</v>
      </c>
      <c r="AM23" s="52">
        <f t="shared" si="52"/>
        <v>0</v>
      </c>
      <c r="AN23" s="16">
        <f t="shared" si="52"/>
        <v>0</v>
      </c>
      <c r="AO23" s="16">
        <f t="shared" si="52"/>
        <v>0</v>
      </c>
      <c r="AP23" s="53">
        <f t="shared" si="52"/>
        <v>0</v>
      </c>
      <c r="AR23" s="56">
        <f t="shared" si="29"/>
        <v>0</v>
      </c>
      <c r="AS23" s="26">
        <f t="shared" si="53"/>
        <v>0</v>
      </c>
      <c r="AT23" s="26">
        <f t="shared" si="53"/>
        <v>0</v>
      </c>
      <c r="AU23" s="57">
        <f t="shared" si="31"/>
        <v>0</v>
      </c>
      <c r="AW23" s="56">
        <f t="shared" si="32"/>
        <v>0</v>
      </c>
      <c r="AX23" s="26">
        <f t="shared" si="54"/>
        <v>0</v>
      </c>
      <c r="AY23" s="26">
        <f t="shared" si="54"/>
        <v>0</v>
      </c>
      <c r="AZ23" s="57">
        <f t="shared" si="34"/>
        <v>0</v>
      </c>
      <c r="BB23" s="56">
        <f t="shared" si="35"/>
        <v>0</v>
      </c>
      <c r="BC23" s="26">
        <f t="shared" si="36"/>
        <v>0</v>
      </c>
      <c r="BD23" s="26">
        <f t="shared" si="50"/>
        <v>0</v>
      </c>
      <c r="BE23" s="57">
        <f t="shared" si="37"/>
        <v>0</v>
      </c>
      <c r="BG23" s="56">
        <f t="shared" si="38"/>
        <v>0</v>
      </c>
      <c r="BH23" s="26">
        <f t="shared" si="55"/>
        <v>0</v>
      </c>
      <c r="BI23" s="26">
        <f t="shared" si="55"/>
        <v>0</v>
      </c>
      <c r="BJ23" s="57">
        <f t="shared" si="40"/>
        <v>0</v>
      </c>
      <c r="BL23" s="56">
        <f t="shared" si="41"/>
        <v>0</v>
      </c>
      <c r="BM23" s="26">
        <f t="shared" si="56"/>
        <v>0</v>
      </c>
      <c r="BN23" s="26">
        <f t="shared" si="56"/>
        <v>0</v>
      </c>
      <c r="BO23" s="57">
        <f t="shared" si="43"/>
        <v>0</v>
      </c>
      <c r="BQ23" s="56">
        <f t="shared" si="44"/>
        <v>0</v>
      </c>
      <c r="BR23" s="26">
        <f t="shared" si="57"/>
        <v>0</v>
      </c>
      <c r="BS23" s="26">
        <f t="shared" si="57"/>
        <v>0</v>
      </c>
      <c r="BT23" s="57">
        <f t="shared" si="46"/>
        <v>0</v>
      </c>
      <c r="BV23" s="52" t="e">
        <f>OR(Production!C23,Construction!N23:'Construction'!AF23,Construction!BV23:CN23,Explore!S23:Z23,Military!AF23:AL23,Military!X23,Military!BE23:BL23,Rezone!L23:R23,Magic!G23:Q23)</f>
        <v>#VALUE!</v>
      </c>
      <c r="BW23" s="527">
        <f t="shared" si="47"/>
        <v>0</v>
      </c>
      <c r="BX23" s="527"/>
      <c r="BY23" s="557">
        <f t="shared" si="51"/>
        <v>43692.833333333285</v>
      </c>
      <c r="BZ23" s="565">
        <f t="shared" si="48"/>
        <v>43692.666666666621</v>
      </c>
      <c r="CA23" s="529"/>
      <c r="CB23" s="807"/>
      <c r="CC23" s="812"/>
      <c r="CD23" s="170"/>
    </row>
    <row r="24" spans="1:84" s="16" customFormat="1">
      <c r="A24" s="513">
        <f>Construction!E24</f>
        <v>1000</v>
      </c>
      <c r="C24" s="56">
        <f ca="1">Production!H24</f>
        <v>3171182</v>
      </c>
      <c r="D24" s="26">
        <f ca="1">Production!J24</f>
        <v>292430</v>
      </c>
      <c r="E24" s="26">
        <f ca="1">Production!L24</f>
        <v>231000</v>
      </c>
      <c r="F24" s="57">
        <f ca="1">Production!M24</f>
        <v>20000</v>
      </c>
      <c r="G24" s="26"/>
      <c r="H24" s="56">
        <f ca="1">Military!Z24</f>
        <v>3695</v>
      </c>
      <c r="I24" s="540">
        <f ca="1">Population!I24</f>
        <v>1</v>
      </c>
      <c r="J24" s="165">
        <f ca="1">Population!F24/Population!U24</f>
        <v>1</v>
      </c>
      <c r="K24" s="1005">
        <f>Rezone!J24</f>
        <v>22</v>
      </c>
      <c r="L24" s="584">
        <f t="shared" si="49"/>
        <v>43692.874999999949</v>
      </c>
      <c r="M24" s="316">
        <f t="shared" si="26"/>
        <v>0</v>
      </c>
      <c r="N24" s="641">
        <f t="shared" si="27"/>
        <v>1000</v>
      </c>
      <c r="O24" s="423" t="s">
        <v>4</v>
      </c>
      <c r="P24" s="370"/>
      <c r="Q24" s="424" t="s">
        <v>223</v>
      </c>
      <c r="R24" s="423" t="s">
        <v>7</v>
      </c>
      <c r="S24" s="370"/>
      <c r="T24" s="425" t="s">
        <v>223</v>
      </c>
      <c r="U24" s="408" t="s">
        <v>3</v>
      </c>
      <c r="V24" s="407"/>
      <c r="W24" s="409" t="s">
        <v>223</v>
      </c>
      <c r="Y24" s="503">
        <f ca="1">science_cap*(1-EXP(-AF24/(science_param*($A25-Explore!$S25*20)+15000)))*(1+(mason_bonus*Construction!BB24/Construction!BS24))+IF(Overview!$B$14="Beastfolk",Construction!DA24/Construction!E24,0)*(1 + Production!O24/100*prestige_pop_multiplier)</f>
        <v>0</v>
      </c>
      <c r="Z24" s="455">
        <f ca="1">keep_cap*(1-EXP(-AG24/(keep_param*($A25-Explore!$S25*20)+15000)))*(1+(mason_bonus*Construction!BB24/Construction!BS24))+IF(Overview!$B$14="Beastfolk",Construction!DF24/Construction!E24,0)*(1 + Production!O24/100*prestige_pop_multiplier)</f>
        <v>0</v>
      </c>
      <c r="AA24" s="455">
        <f ca="1">harbor_towers_cap*(1-EXP(-AH24/(harbor_towers_param*($A25-Explore!$S25*20)+15000)))*(1+(mason_bonus*Construction!BB24/Construction!BS24))+IF(Overview!$B$14="Beastfolk",2*Construction!DC24/Construction!E24,0)*(1 + Production!O24/100*prestige_pop_multiplier)</f>
        <v>0</v>
      </c>
      <c r="AB24" s="455">
        <f ca="1">walls_forges_cap*(1-EXP(-AI24/(walls_forges_param*($A25-Explore!$S25*20)+15000)))*(1+(mason_bonus*Construction!BB24/Construction!BS24))+IF(Overview!$B$14="Beastfolk",0.2*Construction!CY24/Construction!E24,0)</f>
        <v>0</v>
      </c>
      <c r="AC24" s="455">
        <f ca="1">walls_forges_cap*(1-EXP(-AJ24/(walls_forges_param*($A25-Explore!$S25*20)+15000)))*(1+(mason_bonus*Construction!BB24/Construction!BS24))+IF(Overview!$B$14="Beastfolk",5*Construction!DB24/Construction!E24,0)</f>
        <v>0</v>
      </c>
      <c r="AD24" s="171">
        <f ca="1">harbor_towers_cap*(1-EXP(-AK24/(harbor_towers_param*($A25-Explore!$S25*20)+15000)))*(1+(mason_bonus*Construction!BB24/Construction!BS24))+IF(Overview!$B$14="Beastfolk",Construction!DE24/Construction!E24)*(1 + Production!O24/100*prestige_pop_multiplier)</f>
        <v>0</v>
      </c>
      <c r="AF24" s="56">
        <f ca="1">(1+Overview!$O$28+IF(Magic!BA24&gt;0,0.1,0))*SUM(AR24:AU24)</f>
        <v>0</v>
      </c>
      <c r="AG24" s="26">
        <f ca="1">(1+Overview!$O$28+IF(Magic!BA24&gt;0,0.1,0))*SUM(AW24:AZ24)</f>
        <v>0</v>
      </c>
      <c r="AH24" s="164">
        <f ca="1">(1+Overview!$O$28+IF(Magic!BA24&gt;0,0.1,0))*SUM(BB24:BE24)</f>
        <v>0</v>
      </c>
      <c r="AI24" s="164">
        <f ca="1">(1+Overview!$O$28+IF(Magic!BA24&gt;0,0.1,0))*SUM(BG24:BJ24)</f>
        <v>0</v>
      </c>
      <c r="AJ24" s="164">
        <f ca="1">(1+Overview!$O$28+IF(Magic!BA24&gt;0,0.1,0))*SUM(BL24:BO24)</f>
        <v>0</v>
      </c>
      <c r="AK24" s="166">
        <f ca="1">(1+Overview!$O$28+IF(Magic!BA24&gt;0,0.1,0))*SUM(BQ24:BT24)</f>
        <v>0</v>
      </c>
      <c r="AM24" s="52">
        <f t="shared" si="52"/>
        <v>0</v>
      </c>
      <c r="AN24" s="16">
        <f t="shared" si="52"/>
        <v>0</v>
      </c>
      <c r="AO24" s="16">
        <f t="shared" si="52"/>
        <v>0</v>
      </c>
      <c r="AP24" s="53">
        <f t="shared" si="52"/>
        <v>0</v>
      </c>
      <c r="AR24" s="56">
        <f t="shared" si="29"/>
        <v>0</v>
      </c>
      <c r="AS24" s="26">
        <f t="shared" si="53"/>
        <v>0</v>
      </c>
      <c r="AT24" s="26">
        <f t="shared" si="53"/>
        <v>0</v>
      </c>
      <c r="AU24" s="57">
        <f t="shared" si="31"/>
        <v>0</v>
      </c>
      <c r="AW24" s="56">
        <f t="shared" si="32"/>
        <v>0</v>
      </c>
      <c r="AX24" s="26">
        <f t="shared" si="54"/>
        <v>0</v>
      </c>
      <c r="AY24" s="26">
        <f t="shared" si="54"/>
        <v>0</v>
      </c>
      <c r="AZ24" s="57">
        <f t="shared" si="34"/>
        <v>0</v>
      </c>
      <c r="BB24" s="56">
        <f t="shared" si="35"/>
        <v>0</v>
      </c>
      <c r="BC24" s="26">
        <f t="shared" si="36"/>
        <v>0</v>
      </c>
      <c r="BD24" s="26">
        <f t="shared" si="50"/>
        <v>0</v>
      </c>
      <c r="BE24" s="57">
        <f t="shared" si="37"/>
        <v>0</v>
      </c>
      <c r="BG24" s="56">
        <f t="shared" si="38"/>
        <v>0</v>
      </c>
      <c r="BH24" s="26">
        <f t="shared" si="55"/>
        <v>0</v>
      </c>
      <c r="BI24" s="26">
        <f t="shared" si="55"/>
        <v>0</v>
      </c>
      <c r="BJ24" s="57">
        <f t="shared" si="40"/>
        <v>0</v>
      </c>
      <c r="BL24" s="56">
        <f t="shared" si="41"/>
        <v>0</v>
      </c>
      <c r="BM24" s="26">
        <f t="shared" si="56"/>
        <v>0</v>
      </c>
      <c r="BN24" s="26">
        <f t="shared" si="56"/>
        <v>0</v>
      </c>
      <c r="BO24" s="57">
        <f t="shared" si="43"/>
        <v>0</v>
      </c>
      <c r="BQ24" s="56">
        <f t="shared" si="44"/>
        <v>0</v>
      </c>
      <c r="BR24" s="26">
        <f t="shared" si="57"/>
        <v>0</v>
      </c>
      <c r="BS24" s="26">
        <f t="shared" si="57"/>
        <v>0</v>
      </c>
      <c r="BT24" s="57">
        <f t="shared" si="46"/>
        <v>0</v>
      </c>
      <c r="BV24" s="52" t="e">
        <f>OR(Production!C24,Construction!N24:'Construction'!AF24,Construction!BV24:CN24,Explore!S24:Z24,Military!AF24:AL24,Military!X24,Military!BE24:BL24,Rezone!L24:R24,Magic!G24:Q24)</f>
        <v>#VALUE!</v>
      </c>
      <c r="BW24" s="527">
        <f t="shared" si="47"/>
        <v>0</v>
      </c>
      <c r="BX24" s="527"/>
      <c r="BY24" s="557">
        <f t="shared" si="51"/>
        <v>43692.874999999949</v>
      </c>
      <c r="BZ24" s="565">
        <f t="shared" si="48"/>
        <v>43692.708333333285</v>
      </c>
      <c r="CA24" s="529"/>
      <c r="CB24" s="807"/>
      <c r="CC24" s="812"/>
      <c r="CD24" s="170"/>
    </row>
    <row r="25" spans="1:84" s="16" customFormat="1">
      <c r="A25" s="513">
        <f>Construction!E25</f>
        <v>1000</v>
      </c>
      <c r="C25" s="56">
        <f ca="1">Production!H25</f>
        <v>3181833</v>
      </c>
      <c r="D25" s="26">
        <f ca="1">Production!J25</f>
        <v>292006</v>
      </c>
      <c r="E25" s="26">
        <f ca="1">Production!L25</f>
        <v>231000</v>
      </c>
      <c r="F25" s="57">
        <f ca="1">Production!M25</f>
        <v>20000</v>
      </c>
      <c r="G25" s="26"/>
      <c r="H25" s="56">
        <f ca="1">Military!Z25</f>
        <v>3695</v>
      </c>
      <c r="I25" s="540">
        <f ca="1">Population!I25</f>
        <v>1</v>
      </c>
      <c r="J25" s="165">
        <f ca="1">Population!F25/Population!U25</f>
        <v>1</v>
      </c>
      <c r="K25" s="1005">
        <f>Rezone!J25</f>
        <v>23</v>
      </c>
      <c r="L25" s="584">
        <f t="shared" si="49"/>
        <v>43692.916666666613</v>
      </c>
      <c r="M25" s="316">
        <f t="shared" si="26"/>
        <v>0</v>
      </c>
      <c r="N25" s="641">
        <f t="shared" si="27"/>
        <v>1000</v>
      </c>
      <c r="O25" s="423" t="s">
        <v>4</v>
      </c>
      <c r="P25" s="370"/>
      <c r="Q25" s="424" t="s">
        <v>223</v>
      </c>
      <c r="R25" s="423" t="s">
        <v>7</v>
      </c>
      <c r="S25" s="370"/>
      <c r="T25" s="425" t="s">
        <v>223</v>
      </c>
      <c r="U25" s="408" t="s">
        <v>3</v>
      </c>
      <c r="V25" s="407"/>
      <c r="W25" s="409" t="s">
        <v>223</v>
      </c>
      <c r="Y25" s="503">
        <f ca="1">science_cap*(1-EXP(-AF25/(science_param*($A26-Explore!$S26*20)+15000)))*(1+(mason_bonus*Construction!BB25/Construction!BS25))+IF(Overview!$B$14="Beastfolk",Construction!DA25/Construction!E25,0)*(1 + Production!O25/100*prestige_pop_multiplier)</f>
        <v>0</v>
      </c>
      <c r="Z25" s="455">
        <f ca="1">keep_cap*(1-EXP(-AG25/(keep_param*($A26-Explore!$S26*20)+15000)))*(1+(mason_bonus*Construction!BB25/Construction!BS25))+IF(Overview!$B$14="Beastfolk",Construction!DF25/Construction!E25,0)*(1 + Production!O25/100*prestige_pop_multiplier)</f>
        <v>0</v>
      </c>
      <c r="AA25" s="455">
        <f ca="1">harbor_towers_cap*(1-EXP(-AH25/(harbor_towers_param*($A26-Explore!$S26*20)+15000)))*(1+(mason_bonus*Construction!BB25/Construction!BS25))+IF(Overview!$B$14="Beastfolk",2*Construction!DC25/Construction!E25,0)*(1 + Production!O25/100*prestige_pop_multiplier)</f>
        <v>0</v>
      </c>
      <c r="AB25" s="455">
        <f ca="1">walls_forges_cap*(1-EXP(-AI25/(walls_forges_param*($A26-Explore!$S26*20)+15000)))*(1+(mason_bonus*Construction!BB25/Construction!BS25))+IF(Overview!$B$14="Beastfolk",0.2*Construction!CY25/Construction!E25,0)</f>
        <v>0</v>
      </c>
      <c r="AC25" s="455">
        <f ca="1">walls_forges_cap*(1-EXP(-AJ25/(walls_forges_param*($A26-Explore!$S26*20)+15000)))*(1+(mason_bonus*Construction!BB25/Construction!BS25))+IF(Overview!$B$14="Beastfolk",5*Construction!DB25/Construction!E25,0)</f>
        <v>0</v>
      </c>
      <c r="AD25" s="171">
        <f ca="1">harbor_towers_cap*(1-EXP(-AK25/(harbor_towers_param*($A26-Explore!$S26*20)+15000)))*(1+(mason_bonus*Construction!BB25/Construction!BS25))+IF(Overview!$B$14="Beastfolk",Construction!DE25/Construction!E25)*(1 + Production!O25/100*prestige_pop_multiplier)</f>
        <v>0</v>
      </c>
      <c r="AF25" s="56">
        <f ca="1">(1+Overview!$O$28+IF(Magic!BA25&gt;0,0.1,0))*SUM(AR25:AU25)</f>
        <v>0</v>
      </c>
      <c r="AG25" s="26">
        <f ca="1">(1+Overview!$O$28+IF(Magic!BA25&gt;0,0.1,0))*SUM(AW25:AZ25)</f>
        <v>0</v>
      </c>
      <c r="AH25" s="164">
        <f ca="1">(1+Overview!$O$28+IF(Magic!BA25&gt;0,0.1,0))*SUM(BB25:BE25)</f>
        <v>0</v>
      </c>
      <c r="AI25" s="164">
        <f ca="1">(1+Overview!$O$28+IF(Magic!BA25&gt;0,0.1,0))*SUM(BG25:BJ25)</f>
        <v>0</v>
      </c>
      <c r="AJ25" s="164">
        <f ca="1">(1+Overview!$O$28+IF(Magic!BA25&gt;0,0.1,0))*SUM(BL25:BO25)</f>
        <v>0</v>
      </c>
      <c r="AK25" s="166">
        <f ca="1">(1+Overview!$O$28+IF(Magic!BA25&gt;0,0.1,0))*SUM(BQ25:BT25)</f>
        <v>0</v>
      </c>
      <c r="AM25" s="52">
        <f t="shared" si="52"/>
        <v>0</v>
      </c>
      <c r="AN25" s="16">
        <f t="shared" si="52"/>
        <v>0</v>
      </c>
      <c r="AO25" s="16">
        <f t="shared" si="52"/>
        <v>0</v>
      </c>
      <c r="AP25" s="53">
        <f t="shared" si="52"/>
        <v>0</v>
      </c>
      <c r="AR25" s="56">
        <f t="shared" si="29"/>
        <v>0</v>
      </c>
      <c r="AS25" s="26">
        <f t="shared" si="53"/>
        <v>0</v>
      </c>
      <c r="AT25" s="26">
        <f t="shared" si="53"/>
        <v>0</v>
      </c>
      <c r="AU25" s="57">
        <f t="shared" si="31"/>
        <v>0</v>
      </c>
      <c r="AW25" s="56">
        <f t="shared" si="32"/>
        <v>0</v>
      </c>
      <c r="AX25" s="26">
        <f t="shared" si="54"/>
        <v>0</v>
      </c>
      <c r="AY25" s="26">
        <f t="shared" si="54"/>
        <v>0</v>
      </c>
      <c r="AZ25" s="57">
        <f t="shared" si="34"/>
        <v>0</v>
      </c>
      <c r="BB25" s="56">
        <f t="shared" si="35"/>
        <v>0</v>
      </c>
      <c r="BC25" s="26">
        <f t="shared" si="36"/>
        <v>0</v>
      </c>
      <c r="BD25" s="26">
        <f t="shared" si="50"/>
        <v>0</v>
      </c>
      <c r="BE25" s="57">
        <f t="shared" si="37"/>
        <v>0</v>
      </c>
      <c r="BG25" s="56">
        <f t="shared" si="38"/>
        <v>0</v>
      </c>
      <c r="BH25" s="26">
        <f t="shared" si="55"/>
        <v>0</v>
      </c>
      <c r="BI25" s="26">
        <f t="shared" si="55"/>
        <v>0</v>
      </c>
      <c r="BJ25" s="57">
        <f t="shared" si="40"/>
        <v>0</v>
      </c>
      <c r="BL25" s="56">
        <f t="shared" si="41"/>
        <v>0</v>
      </c>
      <c r="BM25" s="26">
        <f t="shared" si="56"/>
        <v>0</v>
      </c>
      <c r="BN25" s="26">
        <f t="shared" si="56"/>
        <v>0</v>
      </c>
      <c r="BO25" s="57">
        <f t="shared" si="43"/>
        <v>0</v>
      </c>
      <c r="BQ25" s="56">
        <f t="shared" si="44"/>
        <v>0</v>
      </c>
      <c r="BR25" s="26">
        <f t="shared" si="57"/>
        <v>0</v>
      </c>
      <c r="BS25" s="26">
        <f t="shared" si="57"/>
        <v>0</v>
      </c>
      <c r="BT25" s="57">
        <f t="shared" si="46"/>
        <v>0</v>
      </c>
      <c r="BV25" s="52" t="e">
        <f>OR(Production!C25,Construction!N25:'Construction'!AF25,Construction!BV25:CN25,Explore!S25:Z25,Military!AF25:AL25,Military!X25,Military!BE25:BL25,Rezone!L25:R25,Magic!G25:Q25)</f>
        <v>#VALUE!</v>
      </c>
      <c r="BW25" s="527">
        <f t="shared" si="47"/>
        <v>0</v>
      </c>
      <c r="BX25" s="527"/>
      <c r="BY25" s="557">
        <f t="shared" si="51"/>
        <v>43692.916666666613</v>
      </c>
      <c r="BZ25" s="565">
        <f t="shared" si="48"/>
        <v>43692.749999999949</v>
      </c>
      <c r="CA25" s="529"/>
      <c r="CB25" s="807"/>
      <c r="CC25" s="812"/>
      <c r="CD25" s="170"/>
    </row>
    <row r="26" spans="1:84" s="170" customFormat="1" ht="13.5" thickBot="1">
      <c r="A26" s="510">
        <f>Construction!E26</f>
        <v>1000</v>
      </c>
      <c r="C26" s="152">
        <f ca="1">Production!H26</f>
        <v>3192484</v>
      </c>
      <c r="D26" s="164">
        <f ca="1">Production!J26</f>
        <v>291586</v>
      </c>
      <c r="E26" s="164">
        <f ca="1">Production!L26</f>
        <v>231000</v>
      </c>
      <c r="F26" s="166">
        <f ca="1">Production!M26</f>
        <v>20000</v>
      </c>
      <c r="G26" s="164"/>
      <c r="H26" s="152">
        <f ca="1">Military!Z26</f>
        <v>3695</v>
      </c>
      <c r="I26" s="540">
        <f ca="1">Population!I26</f>
        <v>1</v>
      </c>
      <c r="J26" s="165">
        <f ca="1">Population!F26/Population!U26</f>
        <v>1</v>
      </c>
      <c r="K26" s="1005">
        <f>Rezone!J26</f>
        <v>24</v>
      </c>
      <c r="L26" s="584">
        <f t="shared" si="49"/>
        <v>43692.958333333278</v>
      </c>
      <c r="M26" s="649">
        <f t="shared" si="26"/>
        <v>0</v>
      </c>
      <c r="N26" s="531">
        <f t="shared" si="27"/>
        <v>1000</v>
      </c>
      <c r="O26" s="406" t="s">
        <v>4</v>
      </c>
      <c r="P26" s="370"/>
      <c r="Q26" s="408" t="s">
        <v>223</v>
      </c>
      <c r="R26" s="423" t="s">
        <v>7</v>
      </c>
      <c r="S26" s="370"/>
      <c r="T26" s="408" t="s">
        <v>223</v>
      </c>
      <c r="U26" s="406" t="s">
        <v>3</v>
      </c>
      <c r="V26" s="407"/>
      <c r="W26" s="409" t="s">
        <v>223</v>
      </c>
      <c r="Y26" s="503">
        <f ca="1">science_cap*(1-EXP(-AF26/(science_param*($A27-Explore!$S27*20)+15000)))*(1+(mason_bonus*Construction!BB26/Construction!BS26))+IF(Overview!$B$14="Beastfolk",Construction!DA26/Construction!E26,0)*(1 + Production!O26/100*prestige_pop_multiplier)</f>
        <v>0</v>
      </c>
      <c r="Z26" s="455">
        <f ca="1">keep_cap*(1-EXP(-AG26/(keep_param*($A27-Explore!$S27*20)+15000)))*(1+(mason_bonus*Construction!BB26/Construction!BS26))+IF(Overview!$B$14="Beastfolk",Construction!DF26/Construction!E26,0)*(1 + Production!O26/100*prestige_pop_multiplier)</f>
        <v>0</v>
      </c>
      <c r="AA26" s="455">
        <f ca="1">harbor_towers_cap*(1-EXP(-AH26/(harbor_towers_param*($A27-Explore!$S27*20)+15000)))*(1+(mason_bonus*Construction!BB26/Construction!BS26))+IF(Overview!$B$14="Beastfolk",2*Construction!DC26/Construction!E26,0)*(1 + Production!O26/100*prestige_pop_multiplier)</f>
        <v>0</v>
      </c>
      <c r="AB26" s="455">
        <f ca="1">walls_forges_cap*(1-EXP(-AI26/(walls_forges_param*($A27-Explore!$S27*20)+15000)))*(1+(mason_bonus*Construction!BB26/Construction!BS26))+IF(Overview!$B$14="Beastfolk",0.2*Construction!CY26/Construction!E26,0)</f>
        <v>0</v>
      </c>
      <c r="AC26" s="455">
        <f ca="1">walls_forges_cap*(1-EXP(-AJ26/(walls_forges_param*($A27-Explore!$S27*20)+15000)))*(1+(mason_bonus*Construction!BB26/Construction!BS26))+IF(Overview!$B$14="Beastfolk",5*Construction!DB26/Construction!E26,0)</f>
        <v>0</v>
      </c>
      <c r="AD26" s="171">
        <f ca="1">harbor_towers_cap*(1-EXP(-AK26/(harbor_towers_param*($A27-Explore!$S27*20)+15000)))*(1+(mason_bonus*Construction!BB26/Construction!BS26))+IF(Overview!$B$14="Beastfolk",Construction!DE26/Construction!E26)*(1 + Production!O26/100*prestige_pop_multiplier)</f>
        <v>0</v>
      </c>
      <c r="AF26" s="56">
        <f ca="1">(1+Overview!$O$28+IF(Magic!BA26&gt;0,0.1,0))*SUM(AR26:AU26)</f>
        <v>0</v>
      </c>
      <c r="AG26" s="26">
        <f ca="1">(1+Overview!$O$28+IF(Magic!BA26&gt;0,0.1,0))*SUM(AW26:AZ26)</f>
        <v>0</v>
      </c>
      <c r="AH26" s="164">
        <f ca="1">(1+Overview!$O$28+IF(Magic!BA26&gt;0,0.1,0))*SUM(BB26:BE26)</f>
        <v>0</v>
      </c>
      <c r="AI26" s="164">
        <f ca="1">(1+Overview!$O$28+IF(Magic!BA26&gt;0,0.1,0))*SUM(BG26:BJ26)</f>
        <v>0</v>
      </c>
      <c r="AJ26" s="164">
        <f ca="1">(1+Overview!$O$28+IF(Magic!BA26&gt;0,0.1,0))*SUM(BL26:BO26)</f>
        <v>0</v>
      </c>
      <c r="AK26" s="166">
        <f ca="1">(1+Overview!$O$28+IF(Magic!BA26&gt;0,0.1,0))*SUM(BQ26:BT26)</f>
        <v>0</v>
      </c>
      <c r="AM26" s="156">
        <f t="shared" si="52"/>
        <v>0</v>
      </c>
      <c r="AN26" s="170">
        <f t="shared" si="52"/>
        <v>0</v>
      </c>
      <c r="AO26" s="170">
        <f t="shared" si="52"/>
        <v>0</v>
      </c>
      <c r="AP26" s="157">
        <f t="shared" si="52"/>
        <v>0</v>
      </c>
      <c r="AR26" s="152">
        <f t="shared" si="29"/>
        <v>0</v>
      </c>
      <c r="AS26" s="164">
        <f t="shared" si="53"/>
        <v>0</v>
      </c>
      <c r="AT26" s="164">
        <f t="shared" si="53"/>
        <v>0</v>
      </c>
      <c r="AU26" s="166">
        <f t="shared" si="31"/>
        <v>0</v>
      </c>
      <c r="AW26" s="152">
        <f t="shared" si="32"/>
        <v>0</v>
      </c>
      <c r="AX26" s="164">
        <f t="shared" si="54"/>
        <v>0</v>
      </c>
      <c r="AY26" s="164">
        <f t="shared" si="54"/>
        <v>0</v>
      </c>
      <c r="AZ26" s="166">
        <f t="shared" si="34"/>
        <v>0</v>
      </c>
      <c r="BB26" s="152">
        <f t="shared" si="35"/>
        <v>0</v>
      </c>
      <c r="BC26" s="164">
        <f t="shared" si="36"/>
        <v>0</v>
      </c>
      <c r="BD26" s="164">
        <f t="shared" si="50"/>
        <v>0</v>
      </c>
      <c r="BE26" s="166">
        <f t="shared" si="37"/>
        <v>0</v>
      </c>
      <c r="BG26" s="152">
        <f t="shared" si="38"/>
        <v>0</v>
      </c>
      <c r="BH26" s="164">
        <f t="shared" si="55"/>
        <v>0</v>
      </c>
      <c r="BI26" s="164">
        <f t="shared" si="55"/>
        <v>0</v>
      </c>
      <c r="BJ26" s="166">
        <f t="shared" si="40"/>
        <v>0</v>
      </c>
      <c r="BL26" s="152">
        <f t="shared" si="41"/>
        <v>0</v>
      </c>
      <c r="BM26" s="164">
        <f t="shared" si="56"/>
        <v>0</v>
      </c>
      <c r="BN26" s="164">
        <f t="shared" si="56"/>
        <v>0</v>
      </c>
      <c r="BO26" s="166">
        <f t="shared" si="43"/>
        <v>0</v>
      </c>
      <c r="BQ26" s="152">
        <f t="shared" si="44"/>
        <v>0</v>
      </c>
      <c r="BR26" s="164">
        <f t="shared" si="57"/>
        <v>0</v>
      </c>
      <c r="BS26" s="164">
        <f t="shared" si="57"/>
        <v>0</v>
      </c>
      <c r="BT26" s="166">
        <f t="shared" si="46"/>
        <v>0</v>
      </c>
      <c r="BV26" s="156" t="e">
        <f>OR(Production!C26,Construction!N26:'Construction'!AF26,Construction!BV26:CN26,Explore!S26:Z26,Military!AF26:AL26,Military!X26,Military!BE26:BL26,Rezone!L26:R26,Magic!G26:Q26)</f>
        <v>#VALUE!</v>
      </c>
      <c r="BW26" s="548">
        <f t="shared" si="47"/>
        <v>0</v>
      </c>
      <c r="BX26" s="548"/>
      <c r="BY26" s="554">
        <f t="shared" si="51"/>
        <v>43692.958333333278</v>
      </c>
      <c r="BZ26" s="562">
        <f t="shared" si="48"/>
        <v>43692.791666666613</v>
      </c>
      <c r="CA26" s="629"/>
      <c r="CB26" s="807"/>
      <c r="CC26" s="774"/>
    </row>
    <row r="27" spans="1:84" s="1210" customFormat="1" ht="14.25" thickTop="1" thickBot="1">
      <c r="A27" s="1231">
        <f>Construction!E27</f>
        <v>1000</v>
      </c>
      <c r="C27" s="1199">
        <f ca="1">Production!H27</f>
        <v>3203135</v>
      </c>
      <c r="D27" s="1200">
        <f ca="1">Production!J27</f>
        <v>291170</v>
      </c>
      <c r="E27" s="1200">
        <f ca="1">Production!L27</f>
        <v>231000</v>
      </c>
      <c r="F27" s="1205">
        <f ca="1">Production!M27</f>
        <v>20000</v>
      </c>
      <c r="G27" s="1200"/>
      <c r="H27" s="1199">
        <f ca="1">Military!Z27</f>
        <v>3695</v>
      </c>
      <c r="I27" s="1209">
        <f ca="1">Population!I27</f>
        <v>1</v>
      </c>
      <c r="J27" s="1201">
        <f ca="1">Population!F27/Population!U27</f>
        <v>1</v>
      </c>
      <c r="K27" s="1263">
        <f>Rezone!J27</f>
        <v>25</v>
      </c>
      <c r="L27" s="1264">
        <f t="shared" si="49"/>
        <v>43692.999999999942</v>
      </c>
      <c r="M27" s="1265">
        <f t="shared" si="26"/>
        <v>0</v>
      </c>
      <c r="N27" s="1230">
        <f t="shared" si="27"/>
        <v>1000</v>
      </c>
      <c r="O27" s="1266" t="s">
        <v>4</v>
      </c>
      <c r="P27" s="1218"/>
      <c r="Q27" s="1267" t="s">
        <v>223</v>
      </c>
      <c r="R27" s="1268" t="s">
        <v>7</v>
      </c>
      <c r="S27" s="1218"/>
      <c r="T27" s="1267" t="s">
        <v>223</v>
      </c>
      <c r="U27" s="1266" t="s">
        <v>3</v>
      </c>
      <c r="V27" s="1200"/>
      <c r="W27" s="1269" t="s">
        <v>223</v>
      </c>
      <c r="Y27" s="1248">
        <f ca="1">science_cap*(1-EXP(-AF27/(science_param*($A28-Explore!$S28*20)+15000)))*(1+(mason_bonus*Construction!BB27/Construction!BS27))+IF(Overview!$B$14="Beastfolk",Construction!DA27/Construction!E27,0)*(1 + Production!O27/100*prestige_pop_multiplier)</f>
        <v>0</v>
      </c>
      <c r="Z27" s="1215">
        <f ca="1">keep_cap*(1-EXP(-AG27/(keep_param*($A28-Explore!$S28*20)+15000)))*(1+(mason_bonus*Construction!BB27/Construction!BS27))+IF(Overview!$B$14="Beastfolk",Construction!DF27/Construction!E27,0)*(1 + Production!O27/100*prestige_pop_multiplier)</f>
        <v>0</v>
      </c>
      <c r="AA27" s="1215">
        <f ca="1">harbor_towers_cap*(1-EXP(-AH27/(harbor_towers_param*($A28-Explore!$S28*20)+15000)))*(1+(mason_bonus*Construction!BB27/Construction!BS27))+IF(Overview!$B$14="Beastfolk",2*Construction!DC27/Construction!E27,0)*(1 + Production!O27/100*prestige_pop_multiplier)</f>
        <v>0</v>
      </c>
      <c r="AB27" s="1215">
        <f ca="1">walls_forges_cap*(1-EXP(-AI27/(walls_forges_param*($A28-Explore!$S28*20)+15000)))*(1+(mason_bonus*Construction!BB27/Construction!BS27))+IF(Overview!$B$14="Beastfolk",0.2*Construction!CY27/Construction!E27,0)</f>
        <v>0</v>
      </c>
      <c r="AC27" s="1215">
        <f ca="1">walls_forges_cap*(1-EXP(-AJ27/(walls_forges_param*($A28-Explore!$S28*20)+15000)))*(1+(mason_bonus*Construction!BB27/Construction!BS27))+IF(Overview!$B$14="Beastfolk",5*Construction!DB27/Construction!E27,0)</f>
        <v>0</v>
      </c>
      <c r="AD27" s="1236">
        <f ca="1">harbor_towers_cap*(1-EXP(-AK27/(harbor_towers_param*($A28-Explore!$S28*20)+15000)))*(1+(mason_bonus*Construction!BB27/Construction!BS27))+IF(Overview!$B$14="Beastfolk",Construction!DE27/Construction!E27)*(1 + Production!O27/100*prestige_pop_multiplier)</f>
        <v>0</v>
      </c>
      <c r="AF27" s="1270">
        <f ca="1">(1+Overview!$O$28+IF(Magic!BA27&gt;0,0.1,0))*SUM(AR27:AU27)</f>
        <v>0</v>
      </c>
      <c r="AG27" s="1218">
        <f ca="1">(1+Overview!$O$28+IF(Magic!BA27&gt;0,0.1,0))*SUM(AW27:AZ27)</f>
        <v>0</v>
      </c>
      <c r="AH27" s="1200">
        <f ca="1">(1+Overview!$O$28+IF(Magic!BA27&gt;0,0.1,0))*SUM(BB27:BE27)</f>
        <v>0</v>
      </c>
      <c r="AI27" s="1200">
        <f ca="1">(1+Overview!$O$28+IF(Magic!BA27&gt;0,0.1,0))*SUM(BG27:BJ27)</f>
        <v>0</v>
      </c>
      <c r="AJ27" s="1200">
        <f ca="1">(1+Overview!$O$28+IF(Magic!BA27&gt;0,0.1,0))*SUM(BL27:BO27)</f>
        <v>0</v>
      </c>
      <c r="AK27" s="1205">
        <f ca="1">(1+Overview!$O$28+IF(Magic!BA27&gt;0,0.1,0))*SUM(BQ27:BT27)</f>
        <v>0</v>
      </c>
      <c r="AM27" s="1206">
        <f t="shared" si="52"/>
        <v>0</v>
      </c>
      <c r="AN27" s="1210">
        <f t="shared" si="52"/>
        <v>0</v>
      </c>
      <c r="AO27" s="1210">
        <f t="shared" si="52"/>
        <v>0</v>
      </c>
      <c r="AP27" s="1229">
        <f t="shared" si="52"/>
        <v>0</v>
      </c>
      <c r="AR27" s="1199">
        <f t="shared" si="29"/>
        <v>0</v>
      </c>
      <c r="AS27" s="1200">
        <f t="shared" si="53"/>
        <v>0</v>
      </c>
      <c r="AT27" s="1200">
        <f t="shared" si="53"/>
        <v>0</v>
      </c>
      <c r="AU27" s="1205">
        <f t="shared" si="31"/>
        <v>0</v>
      </c>
      <c r="AW27" s="1199">
        <f t="shared" si="32"/>
        <v>0</v>
      </c>
      <c r="AX27" s="1200">
        <f t="shared" si="54"/>
        <v>0</v>
      </c>
      <c r="AY27" s="1200">
        <f t="shared" si="54"/>
        <v>0</v>
      </c>
      <c r="AZ27" s="1205">
        <f t="shared" si="34"/>
        <v>0</v>
      </c>
      <c r="BB27" s="1199">
        <f t="shared" si="35"/>
        <v>0</v>
      </c>
      <c r="BC27" s="1200">
        <f t="shared" si="36"/>
        <v>0</v>
      </c>
      <c r="BD27" s="1200">
        <f t="shared" si="50"/>
        <v>0</v>
      </c>
      <c r="BE27" s="1205">
        <f t="shared" si="37"/>
        <v>0</v>
      </c>
      <c r="BG27" s="1199">
        <f t="shared" si="38"/>
        <v>0</v>
      </c>
      <c r="BH27" s="1200">
        <f t="shared" si="55"/>
        <v>0</v>
      </c>
      <c r="BI27" s="1200">
        <f t="shared" si="55"/>
        <v>0</v>
      </c>
      <c r="BJ27" s="1205">
        <f t="shared" si="40"/>
        <v>0</v>
      </c>
      <c r="BL27" s="1199">
        <f t="shared" si="41"/>
        <v>0</v>
      </c>
      <c r="BM27" s="1200">
        <f t="shared" si="56"/>
        <v>0</v>
      </c>
      <c r="BN27" s="1200">
        <f t="shared" si="56"/>
        <v>0</v>
      </c>
      <c r="BO27" s="1205">
        <f t="shared" si="43"/>
        <v>0</v>
      </c>
      <c r="BQ27" s="1199">
        <f t="shared" si="44"/>
        <v>0</v>
      </c>
      <c r="BR27" s="1200">
        <f t="shared" si="57"/>
        <v>0</v>
      </c>
      <c r="BS27" s="1200">
        <f t="shared" si="57"/>
        <v>0</v>
      </c>
      <c r="BT27" s="1205">
        <f t="shared" si="46"/>
        <v>0</v>
      </c>
      <c r="BV27" s="1206" t="e">
        <f>OR(Production!C27,Construction!N27:'Construction'!AF27,Construction!BV27:CN27,Explore!S27:Z27,Military!AF27:AL27,Military!X27,Military!BE27:BL27,Rezone!L27:R27,Magic!G27:Q27)</f>
        <v>#VALUE!</v>
      </c>
      <c r="BW27" s="1235">
        <f t="shared" si="47"/>
        <v>0</v>
      </c>
      <c r="BX27" s="1235"/>
      <c r="BY27" s="1271">
        <f t="shared" si="51"/>
        <v>43692.999999999942</v>
      </c>
      <c r="BZ27" s="1272">
        <f t="shared" si="48"/>
        <v>43692.833333333278</v>
      </c>
      <c r="CA27" s="1245"/>
      <c r="CB27" s="1273"/>
      <c r="CC27" s="1274"/>
    </row>
    <row r="28" spans="1:84" s="170" customFormat="1" ht="13.5" thickTop="1">
      <c r="A28" s="510">
        <f>Construction!E28</f>
        <v>1000</v>
      </c>
      <c r="C28" s="152">
        <f ca="1">Production!H28</f>
        <v>3213786</v>
      </c>
      <c r="D28" s="164">
        <f ca="1">Production!J28</f>
        <v>290758</v>
      </c>
      <c r="E28" s="164">
        <f ca="1">Production!L28</f>
        <v>231000</v>
      </c>
      <c r="F28" s="166">
        <f ca="1">Production!M28</f>
        <v>20000</v>
      </c>
      <c r="G28" s="164"/>
      <c r="H28" s="152">
        <f ca="1">Military!Z28</f>
        <v>3695</v>
      </c>
      <c r="I28" s="540">
        <f ca="1">Population!I28</f>
        <v>1</v>
      </c>
      <c r="J28" s="165">
        <f ca="1">Population!F28/Population!U28</f>
        <v>1</v>
      </c>
      <c r="K28" s="1005">
        <f>Rezone!J28</f>
        <v>26</v>
      </c>
      <c r="L28" s="584">
        <f t="shared" si="49"/>
        <v>43693.041666666606</v>
      </c>
      <c r="M28" s="649">
        <f t="shared" si="26"/>
        <v>0</v>
      </c>
      <c r="N28" s="531">
        <f t="shared" si="27"/>
        <v>1000</v>
      </c>
      <c r="O28" s="406" t="s">
        <v>4</v>
      </c>
      <c r="P28" s="370"/>
      <c r="Q28" s="408" t="s">
        <v>223</v>
      </c>
      <c r="R28" s="423" t="s">
        <v>7</v>
      </c>
      <c r="S28" s="370"/>
      <c r="T28" s="408" t="s">
        <v>223</v>
      </c>
      <c r="U28" s="406" t="s">
        <v>3</v>
      </c>
      <c r="V28" s="407"/>
      <c r="W28" s="409" t="s">
        <v>223</v>
      </c>
      <c r="Y28" s="503">
        <f ca="1">science_cap*(1-EXP(-AF28/(science_param*($A29-Explore!$S29*20)+15000)))*(1+(mason_bonus*Construction!BB28/Construction!BS28))+IF(Overview!$B$14="Beastfolk",Construction!DA28/Construction!E28,0)*(1 + Production!O28/100*prestige_pop_multiplier)</f>
        <v>0</v>
      </c>
      <c r="Z28" s="455">
        <f ca="1">keep_cap*(1-EXP(-AG28/(keep_param*($A29-Explore!$S29*20)+15000)))*(1+(mason_bonus*Construction!BB28/Construction!BS28))+IF(Overview!$B$14="Beastfolk",Construction!DF28/Construction!E28,0)*(1 + Production!O28/100*prestige_pop_multiplier)</f>
        <v>0</v>
      </c>
      <c r="AA28" s="455">
        <f ca="1">harbor_towers_cap*(1-EXP(-AH28/(harbor_towers_param*($A29-Explore!$S29*20)+15000)))*(1+(mason_bonus*Construction!BB28/Construction!BS28))+IF(Overview!$B$14="Beastfolk",2*Construction!DC28/Construction!E28,0)*(1 + Production!O28/100*prestige_pop_multiplier)</f>
        <v>0</v>
      </c>
      <c r="AB28" s="455">
        <f ca="1">walls_forges_cap*(1-EXP(-AI28/(walls_forges_param*($A29-Explore!$S29*20)+15000)))*(1+(mason_bonus*Construction!BB28/Construction!BS28))+IF(Overview!$B$14="Beastfolk",0.2*Construction!CY28/Construction!E28,0)</f>
        <v>0</v>
      </c>
      <c r="AC28" s="455">
        <f ca="1">walls_forges_cap*(1-EXP(-AJ28/(walls_forges_param*($A29-Explore!$S29*20)+15000)))*(1+(mason_bonus*Construction!BB28/Construction!BS28))+IF(Overview!$B$14="Beastfolk",5*Construction!DB28/Construction!E28,0)</f>
        <v>0</v>
      </c>
      <c r="AD28" s="171">
        <f ca="1">harbor_towers_cap*(1-EXP(-AK28/(harbor_towers_param*($A29-Explore!$S29*20)+15000)))*(1+(mason_bonus*Construction!BB28/Construction!BS28))+IF(Overview!$B$14="Beastfolk",Construction!DE28/Construction!E28)*(1 + Production!O28/100*prestige_pop_multiplier)</f>
        <v>0</v>
      </c>
      <c r="AF28" s="56">
        <f ca="1">(1+Overview!$O$28+IF(Magic!BA28&gt;0,0.1,0))*SUM(AR28:AU28)</f>
        <v>0</v>
      </c>
      <c r="AG28" s="26">
        <f ca="1">(1+Overview!$O$28+IF(Magic!BA28&gt;0,0.1,0))*SUM(AW28:AZ28)</f>
        <v>0</v>
      </c>
      <c r="AH28" s="164">
        <f ca="1">(1+Overview!$O$28+IF(Magic!BA28&gt;0,0.1,0))*SUM(BB28:BE28)</f>
        <v>0</v>
      </c>
      <c r="AI28" s="164">
        <f ca="1">(1+Overview!$O$28+IF(Magic!BA28&gt;0,0.1,0))*SUM(BG28:BJ28)</f>
        <v>0</v>
      </c>
      <c r="AJ28" s="164">
        <f ca="1">(1+Overview!$O$28+IF(Magic!BA28&gt;0,0.1,0))*SUM(BL28:BO28)</f>
        <v>0</v>
      </c>
      <c r="AK28" s="166">
        <f ca="1">(1+Overview!$O$28+IF(Magic!BA28&gt;0,0.1,0))*SUM(BQ28:BT28)</f>
        <v>0</v>
      </c>
      <c r="AM28" s="156">
        <f t="shared" si="52"/>
        <v>0</v>
      </c>
      <c r="AN28" s="170">
        <f t="shared" si="52"/>
        <v>0</v>
      </c>
      <c r="AO28" s="170">
        <f t="shared" si="52"/>
        <v>0</v>
      </c>
      <c r="AP28" s="157">
        <f t="shared" si="52"/>
        <v>0</v>
      </c>
      <c r="AR28" s="152">
        <f t="shared" si="29"/>
        <v>0</v>
      </c>
      <c r="AS28" s="164">
        <f t="shared" si="53"/>
        <v>0</v>
      </c>
      <c r="AT28" s="164">
        <f t="shared" si="53"/>
        <v>0</v>
      </c>
      <c r="AU28" s="166">
        <f t="shared" si="31"/>
        <v>0</v>
      </c>
      <c r="AW28" s="152">
        <f t="shared" si="32"/>
        <v>0</v>
      </c>
      <c r="AX28" s="164">
        <f t="shared" si="54"/>
        <v>0</v>
      </c>
      <c r="AY28" s="164">
        <f t="shared" si="54"/>
        <v>0</v>
      </c>
      <c r="AZ28" s="166">
        <f t="shared" si="34"/>
        <v>0</v>
      </c>
      <c r="BB28" s="152">
        <f t="shared" si="35"/>
        <v>0</v>
      </c>
      <c r="BC28" s="164">
        <f t="shared" si="36"/>
        <v>0</v>
      </c>
      <c r="BD28" s="164">
        <f t="shared" si="50"/>
        <v>0</v>
      </c>
      <c r="BE28" s="166">
        <f t="shared" si="37"/>
        <v>0</v>
      </c>
      <c r="BG28" s="152">
        <f t="shared" si="38"/>
        <v>0</v>
      </c>
      <c r="BH28" s="164">
        <f t="shared" si="55"/>
        <v>0</v>
      </c>
      <c r="BI28" s="164">
        <f t="shared" si="55"/>
        <v>0</v>
      </c>
      <c r="BJ28" s="166">
        <f t="shared" si="40"/>
        <v>0</v>
      </c>
      <c r="BL28" s="152">
        <f t="shared" si="41"/>
        <v>0</v>
      </c>
      <c r="BM28" s="164">
        <f t="shared" si="56"/>
        <v>0</v>
      </c>
      <c r="BN28" s="164">
        <f t="shared" si="56"/>
        <v>0</v>
      </c>
      <c r="BO28" s="166">
        <f t="shared" si="43"/>
        <v>0</v>
      </c>
      <c r="BQ28" s="152">
        <f t="shared" si="44"/>
        <v>0</v>
      </c>
      <c r="BR28" s="164">
        <f t="shared" si="57"/>
        <v>0</v>
      </c>
      <c r="BS28" s="164">
        <f t="shared" si="57"/>
        <v>0</v>
      </c>
      <c r="BT28" s="166">
        <f t="shared" si="46"/>
        <v>0</v>
      </c>
      <c r="BV28" s="156" t="e">
        <f>OR(Production!C28,Construction!N28:'Construction'!AF28,Construction!BV28:CN28,Explore!S28:Z28,Military!AF28:AL28,Military!X28,Military!BE28:BL28,Rezone!L28:R28,Magic!G28:Q28)</f>
        <v>#VALUE!</v>
      </c>
      <c r="BW28" s="548">
        <f t="shared" si="47"/>
        <v>0</v>
      </c>
      <c r="BX28" s="548"/>
      <c r="BY28" s="554">
        <f t="shared" si="51"/>
        <v>43693.041666666606</v>
      </c>
      <c r="BZ28" s="562">
        <f t="shared" si="48"/>
        <v>43692.874999999942</v>
      </c>
      <c r="CA28" s="629"/>
      <c r="CB28" s="807"/>
      <c r="CC28" s="774"/>
    </row>
    <row r="29" spans="1:84" s="170" customFormat="1">
      <c r="A29" s="510">
        <f>Construction!E29</f>
        <v>1000</v>
      </c>
      <c r="C29" s="152">
        <f ca="1">Production!H29</f>
        <v>3224437</v>
      </c>
      <c r="D29" s="164">
        <f ca="1">Production!J29</f>
        <v>290350</v>
      </c>
      <c r="E29" s="164">
        <f ca="1">Production!L29</f>
        <v>231000</v>
      </c>
      <c r="F29" s="166">
        <f ca="1">Production!M29</f>
        <v>20000</v>
      </c>
      <c r="G29" s="164"/>
      <c r="H29" s="152">
        <f ca="1">Military!Z29</f>
        <v>3695</v>
      </c>
      <c r="I29" s="540">
        <f ca="1">Population!I29</f>
        <v>1</v>
      </c>
      <c r="J29" s="165">
        <f ca="1">Population!F29/Population!U29</f>
        <v>1</v>
      </c>
      <c r="K29" s="1005">
        <f>Rezone!J29</f>
        <v>27</v>
      </c>
      <c r="L29" s="584">
        <f t="shared" si="49"/>
        <v>43693.08333333327</v>
      </c>
      <c r="M29" s="649">
        <f t="shared" si="26"/>
        <v>0</v>
      </c>
      <c r="N29" s="531">
        <f t="shared" si="27"/>
        <v>1000</v>
      </c>
      <c r="O29" s="406" t="s">
        <v>4</v>
      </c>
      <c r="P29" s="370"/>
      <c r="Q29" s="408" t="s">
        <v>223</v>
      </c>
      <c r="R29" s="423" t="s">
        <v>7</v>
      </c>
      <c r="S29" s="370"/>
      <c r="T29" s="408" t="s">
        <v>223</v>
      </c>
      <c r="U29" s="406" t="s">
        <v>3</v>
      </c>
      <c r="V29" s="407"/>
      <c r="W29" s="409" t="s">
        <v>223</v>
      </c>
      <c r="Y29" s="503">
        <f ca="1">science_cap*(1-EXP(-AF29/(science_param*($A30-Explore!$S30*20)+15000)))*(1+(mason_bonus*Construction!BB29/Construction!BS29))+IF(Overview!$B$14="Beastfolk",Construction!DA29/Construction!E29,0)*(1 + Production!O29/100*prestige_pop_multiplier)</f>
        <v>0</v>
      </c>
      <c r="Z29" s="455">
        <f ca="1">keep_cap*(1-EXP(-AG29/(keep_param*($A30-Explore!$S30*20)+15000)))*(1+(mason_bonus*Construction!BB29/Construction!BS29))+IF(Overview!$B$14="Beastfolk",Construction!DF29/Construction!E29,0)*(1 + Production!O29/100*prestige_pop_multiplier)</f>
        <v>0</v>
      </c>
      <c r="AA29" s="455">
        <f ca="1">harbor_towers_cap*(1-EXP(-AH29/(harbor_towers_param*($A30-Explore!$S30*20)+15000)))*(1+(mason_bonus*Construction!BB29/Construction!BS29))+IF(Overview!$B$14="Beastfolk",2*Construction!DC29/Construction!E29,0)*(1 + Production!O29/100*prestige_pop_multiplier)</f>
        <v>0</v>
      </c>
      <c r="AB29" s="455">
        <f ca="1">walls_forges_cap*(1-EXP(-AI29/(walls_forges_param*($A30-Explore!$S30*20)+15000)))*(1+(mason_bonus*Construction!BB29/Construction!BS29))+IF(Overview!$B$14="Beastfolk",0.2*Construction!CY29/Construction!E29,0)</f>
        <v>0</v>
      </c>
      <c r="AC29" s="455">
        <f ca="1">walls_forges_cap*(1-EXP(-AJ29/(walls_forges_param*($A30-Explore!$S30*20)+15000)))*(1+(mason_bonus*Construction!BB29/Construction!BS29))+IF(Overview!$B$14="Beastfolk",5*Construction!DB29/Construction!E29,0)</f>
        <v>0</v>
      </c>
      <c r="AD29" s="171">
        <f ca="1">harbor_towers_cap*(1-EXP(-AK29/(harbor_towers_param*($A30-Explore!$S30*20)+15000)))*(1+(mason_bonus*Construction!BB29/Construction!BS29))+IF(Overview!$B$14="Beastfolk",Construction!DE29/Construction!E29)*(1 + Production!O29/100*prestige_pop_multiplier)</f>
        <v>0</v>
      </c>
      <c r="AF29" s="56">
        <f ca="1">(1+Overview!$O$28+IF(Magic!BA29&gt;0,0.1,0))*SUM(AR29:AU29)</f>
        <v>0</v>
      </c>
      <c r="AG29" s="26">
        <f ca="1">(1+Overview!$O$28+IF(Magic!BA29&gt;0,0.1,0))*SUM(AW29:AZ29)</f>
        <v>0</v>
      </c>
      <c r="AH29" s="164">
        <f ca="1">(1+Overview!$O$28+IF(Magic!BA29&gt;0,0.1,0))*SUM(BB29:BE29)</f>
        <v>0</v>
      </c>
      <c r="AI29" s="164">
        <f ca="1">(1+Overview!$O$28+IF(Magic!BA29&gt;0,0.1,0))*SUM(BG29:BJ29)</f>
        <v>0</v>
      </c>
      <c r="AJ29" s="164">
        <f ca="1">(1+Overview!$O$28+IF(Magic!BA29&gt;0,0.1,0))*SUM(BL29:BO29)</f>
        <v>0</v>
      </c>
      <c r="AK29" s="166">
        <f ca="1">(1+Overview!$O$28+IF(Magic!BA29&gt;0,0.1,0))*SUM(BQ29:BT29)</f>
        <v>0</v>
      </c>
      <c r="AM29" s="156">
        <f t="shared" si="52"/>
        <v>0</v>
      </c>
      <c r="AN29" s="170">
        <f t="shared" si="52"/>
        <v>0</v>
      </c>
      <c r="AO29" s="170">
        <f t="shared" si="52"/>
        <v>0</v>
      </c>
      <c r="AP29" s="157">
        <f t="shared" si="52"/>
        <v>0</v>
      </c>
      <c r="AR29" s="152">
        <f t="shared" si="29"/>
        <v>0</v>
      </c>
      <c r="AS29" s="164">
        <f t="shared" si="53"/>
        <v>0</v>
      </c>
      <c r="AT29" s="164">
        <f t="shared" si="53"/>
        <v>0</v>
      </c>
      <c r="AU29" s="166">
        <f t="shared" si="31"/>
        <v>0</v>
      </c>
      <c r="AW29" s="152">
        <f t="shared" si="32"/>
        <v>0</v>
      </c>
      <c r="AX29" s="164">
        <f t="shared" si="54"/>
        <v>0</v>
      </c>
      <c r="AY29" s="164">
        <f t="shared" si="54"/>
        <v>0</v>
      </c>
      <c r="AZ29" s="166">
        <f t="shared" si="34"/>
        <v>0</v>
      </c>
      <c r="BB29" s="152">
        <f t="shared" si="35"/>
        <v>0</v>
      </c>
      <c r="BC29" s="164">
        <f t="shared" si="36"/>
        <v>0</v>
      </c>
      <c r="BD29" s="164">
        <f t="shared" si="50"/>
        <v>0</v>
      </c>
      <c r="BE29" s="166">
        <f t="shared" si="37"/>
        <v>0</v>
      </c>
      <c r="BG29" s="152">
        <f t="shared" si="38"/>
        <v>0</v>
      </c>
      <c r="BH29" s="164">
        <f t="shared" si="55"/>
        <v>0</v>
      </c>
      <c r="BI29" s="164">
        <f t="shared" si="55"/>
        <v>0</v>
      </c>
      <c r="BJ29" s="166">
        <f t="shared" si="40"/>
        <v>0</v>
      </c>
      <c r="BL29" s="152">
        <f t="shared" si="41"/>
        <v>0</v>
      </c>
      <c r="BM29" s="164">
        <f t="shared" si="56"/>
        <v>0</v>
      </c>
      <c r="BN29" s="164">
        <f t="shared" si="56"/>
        <v>0</v>
      </c>
      <c r="BO29" s="166">
        <f t="shared" si="43"/>
        <v>0</v>
      </c>
      <c r="BQ29" s="152">
        <f t="shared" si="44"/>
        <v>0</v>
      </c>
      <c r="BR29" s="164">
        <f t="shared" si="57"/>
        <v>0</v>
      </c>
      <c r="BS29" s="164">
        <f t="shared" si="57"/>
        <v>0</v>
      </c>
      <c r="BT29" s="166">
        <f t="shared" si="46"/>
        <v>0</v>
      </c>
      <c r="BV29" s="156" t="e">
        <f>OR(Production!C29,Construction!N29:'Construction'!AF29,Construction!BV29:CN29,Explore!S29:Z29,Military!AF29:AL29,Military!X29,Military!BE29:BL29,Rezone!L29:R29,Magic!G29:Q29)</f>
        <v>#VALUE!</v>
      </c>
      <c r="BW29" s="548">
        <f t="shared" si="47"/>
        <v>0</v>
      </c>
      <c r="BX29" s="548"/>
      <c r="BY29" s="554">
        <f t="shared" si="51"/>
        <v>43693.08333333327</v>
      </c>
      <c r="BZ29" s="562">
        <f t="shared" si="48"/>
        <v>43692.916666666606</v>
      </c>
      <c r="CA29" s="629"/>
      <c r="CB29" s="807"/>
      <c r="CC29" s="774"/>
      <c r="CD29" s="449" t="s">
        <v>4</v>
      </c>
    </row>
    <row r="30" spans="1:84" s="16" customFormat="1">
      <c r="A30" s="513">
        <f>Construction!E30</f>
        <v>1000</v>
      </c>
      <c r="C30" s="56">
        <f ca="1">Production!H30</f>
        <v>3235088</v>
      </c>
      <c r="D30" s="26">
        <f ca="1">Production!J30</f>
        <v>289946</v>
      </c>
      <c r="E30" s="26">
        <f ca="1">Production!L30</f>
        <v>231000</v>
      </c>
      <c r="F30" s="57">
        <f ca="1">Production!M30</f>
        <v>20000</v>
      </c>
      <c r="G30" s="26"/>
      <c r="H30" s="56">
        <f ca="1">Military!Z30</f>
        <v>3695</v>
      </c>
      <c r="I30" s="540">
        <f ca="1">Population!I30</f>
        <v>1</v>
      </c>
      <c r="J30" s="165">
        <f ca="1">Population!F30/Population!U30</f>
        <v>1</v>
      </c>
      <c r="K30" s="1005">
        <f>Rezone!J30</f>
        <v>28</v>
      </c>
      <c r="L30" s="584">
        <f t="shared" si="49"/>
        <v>43693.124999999935</v>
      </c>
      <c r="M30" s="316">
        <f t="shared" si="26"/>
        <v>0</v>
      </c>
      <c r="N30" s="641">
        <f t="shared" si="27"/>
        <v>1000</v>
      </c>
      <c r="O30" s="423" t="s">
        <v>4</v>
      </c>
      <c r="P30" s="370"/>
      <c r="Q30" s="424" t="s">
        <v>223</v>
      </c>
      <c r="R30" s="423" t="s">
        <v>7</v>
      </c>
      <c r="S30" s="370"/>
      <c r="T30" s="424" t="s">
        <v>223</v>
      </c>
      <c r="U30" s="406" t="s">
        <v>3</v>
      </c>
      <c r="V30" s="407"/>
      <c r="W30" s="409" t="s">
        <v>223</v>
      </c>
      <c r="Y30" s="503">
        <f ca="1">science_cap*(1-EXP(-AF30/(science_param*($A31-Explore!$S31*20)+15000)))*(1+(mason_bonus*Construction!BB30/Construction!BS30))+IF(Overview!$B$14="Beastfolk",Construction!DA30/Construction!E30,0)*(1 + Production!O30/100*prestige_pop_multiplier)</f>
        <v>0</v>
      </c>
      <c r="Z30" s="455">
        <f ca="1">keep_cap*(1-EXP(-AG30/(keep_param*($A31-Explore!$S31*20)+15000)))*(1+(mason_bonus*Construction!BB30/Construction!BS30))+IF(Overview!$B$14="Beastfolk",Construction!DF30/Construction!E30,0)*(1 + Production!O30/100*prestige_pop_multiplier)</f>
        <v>0</v>
      </c>
      <c r="AA30" s="455">
        <f ca="1">harbor_towers_cap*(1-EXP(-AH30/(harbor_towers_param*($A31-Explore!$S31*20)+15000)))*(1+(mason_bonus*Construction!BB30/Construction!BS30))+IF(Overview!$B$14="Beastfolk",2*Construction!DC30/Construction!E30,0)*(1 + Production!O30/100*prestige_pop_multiplier)</f>
        <v>0</v>
      </c>
      <c r="AB30" s="455">
        <f ca="1">walls_forges_cap*(1-EXP(-AI30/(walls_forges_param*($A31-Explore!$S31*20)+15000)))*(1+(mason_bonus*Construction!BB30/Construction!BS30))+IF(Overview!$B$14="Beastfolk",0.2*Construction!CY30/Construction!E30,0)</f>
        <v>0</v>
      </c>
      <c r="AC30" s="455">
        <f ca="1">walls_forges_cap*(1-EXP(-AJ30/(walls_forges_param*($A31-Explore!$S31*20)+15000)))*(1+(mason_bonus*Construction!BB30/Construction!BS30))+IF(Overview!$B$14="Beastfolk",5*Construction!DB30/Construction!E30,0)</f>
        <v>0</v>
      </c>
      <c r="AD30" s="171">
        <f ca="1">harbor_towers_cap*(1-EXP(-AK30/(harbor_towers_param*($A31-Explore!$S31*20)+15000)))*(1+(mason_bonus*Construction!BB30/Construction!BS30))+IF(Overview!$B$14="Beastfolk",Construction!DE30/Construction!E30)*(1 + Production!O30/100*prestige_pop_multiplier)</f>
        <v>0</v>
      </c>
      <c r="AF30" s="56">
        <f ca="1">(1+Overview!$O$28+IF(Magic!BA30&gt;0,0.1,0))*SUM(AR30:AU30)</f>
        <v>0</v>
      </c>
      <c r="AG30" s="26">
        <f ca="1">(1+Overview!$O$28+IF(Magic!BA30&gt;0,0.1,0))*SUM(AW30:AZ30)</f>
        <v>0</v>
      </c>
      <c r="AH30" s="164">
        <f ca="1">(1+Overview!$O$28+IF(Magic!BA30&gt;0,0.1,0))*SUM(BB30:BE30)</f>
        <v>0</v>
      </c>
      <c r="AI30" s="164">
        <f ca="1">(1+Overview!$O$28+IF(Magic!BA30&gt;0,0.1,0))*SUM(BG30:BJ30)</f>
        <v>0</v>
      </c>
      <c r="AJ30" s="164">
        <f ca="1">(1+Overview!$O$28+IF(Magic!BA30&gt;0,0.1,0))*SUM(BL30:BO30)</f>
        <v>0</v>
      </c>
      <c r="AK30" s="166">
        <f ca="1">(1+Overview!$O$28+IF(Magic!BA30&gt;0,0.1,0))*SUM(BQ30:BT30)</f>
        <v>0</v>
      </c>
      <c r="AM30" s="52">
        <f t="shared" si="52"/>
        <v>0</v>
      </c>
      <c r="AN30" s="16">
        <f t="shared" si="52"/>
        <v>0</v>
      </c>
      <c r="AO30" s="16">
        <f t="shared" si="52"/>
        <v>0</v>
      </c>
      <c r="AP30" s="53">
        <f t="shared" si="52"/>
        <v>0</v>
      </c>
      <c r="AR30" s="56">
        <f t="shared" si="29"/>
        <v>0</v>
      </c>
      <c r="AS30" s="26">
        <f t="shared" si="53"/>
        <v>0</v>
      </c>
      <c r="AT30" s="26">
        <f t="shared" si="53"/>
        <v>0</v>
      </c>
      <c r="AU30" s="57">
        <f t="shared" si="31"/>
        <v>0</v>
      </c>
      <c r="AW30" s="56">
        <f t="shared" si="32"/>
        <v>0</v>
      </c>
      <c r="AX30" s="26">
        <f t="shared" si="54"/>
        <v>0</v>
      </c>
      <c r="AY30" s="26">
        <f t="shared" si="54"/>
        <v>0</v>
      </c>
      <c r="AZ30" s="57">
        <f t="shared" si="34"/>
        <v>0</v>
      </c>
      <c r="BB30" s="56">
        <f t="shared" si="35"/>
        <v>0</v>
      </c>
      <c r="BC30" s="26">
        <f t="shared" si="36"/>
        <v>0</v>
      </c>
      <c r="BD30" s="26">
        <f t="shared" si="50"/>
        <v>0</v>
      </c>
      <c r="BE30" s="57">
        <f t="shared" si="37"/>
        <v>0</v>
      </c>
      <c r="BG30" s="56">
        <f t="shared" si="38"/>
        <v>0</v>
      </c>
      <c r="BH30" s="26">
        <f t="shared" si="55"/>
        <v>0</v>
      </c>
      <c r="BI30" s="26">
        <f t="shared" si="55"/>
        <v>0</v>
      </c>
      <c r="BJ30" s="57">
        <f t="shared" si="40"/>
        <v>0</v>
      </c>
      <c r="BL30" s="56">
        <f t="shared" si="41"/>
        <v>0</v>
      </c>
      <c r="BM30" s="26">
        <f t="shared" si="56"/>
        <v>0</v>
      </c>
      <c r="BN30" s="26">
        <f t="shared" si="56"/>
        <v>0</v>
      </c>
      <c r="BO30" s="57">
        <f t="shared" si="43"/>
        <v>0</v>
      </c>
      <c r="BQ30" s="56">
        <f t="shared" si="44"/>
        <v>0</v>
      </c>
      <c r="BR30" s="26">
        <f t="shared" si="57"/>
        <v>0</v>
      </c>
      <c r="BS30" s="26">
        <f t="shared" si="57"/>
        <v>0</v>
      </c>
      <c r="BT30" s="57">
        <f t="shared" si="46"/>
        <v>0</v>
      </c>
      <c r="BV30" s="52" t="e">
        <f>OR(Production!C30,Construction!N30:'Construction'!AF30,Construction!BV30:CN30,Explore!S30:Z30,Military!AF30:AL30,Military!X30,Military!BE30:BL30,Rezone!L30:R30,Magic!G30:Q30)</f>
        <v>#VALUE!</v>
      </c>
      <c r="BW30" s="527">
        <f t="shared" si="47"/>
        <v>0</v>
      </c>
      <c r="BX30" s="527"/>
      <c r="BY30" s="557">
        <f t="shared" si="51"/>
        <v>43693.124999999935</v>
      </c>
      <c r="BZ30" s="565">
        <f t="shared" si="48"/>
        <v>43692.95833333327</v>
      </c>
      <c r="CA30" s="529"/>
      <c r="CB30" s="807"/>
      <c r="CC30" s="812"/>
      <c r="CD30" s="449" t="s">
        <v>7</v>
      </c>
    </row>
    <row r="31" spans="1:84" s="16" customFormat="1">
      <c r="A31" s="513">
        <f>Construction!E31</f>
        <v>1000</v>
      </c>
      <c r="C31" s="56">
        <f ca="1">Production!H31</f>
        <v>3245739</v>
      </c>
      <c r="D31" s="26">
        <f ca="1">Production!J31</f>
        <v>289547</v>
      </c>
      <c r="E31" s="26">
        <f ca="1">Production!L31</f>
        <v>231000</v>
      </c>
      <c r="F31" s="57">
        <f ca="1">Production!M31</f>
        <v>20000</v>
      </c>
      <c r="G31" s="26"/>
      <c r="H31" s="56">
        <f ca="1">Military!Z31</f>
        <v>3695</v>
      </c>
      <c r="I31" s="540">
        <f ca="1">Population!I31</f>
        <v>1</v>
      </c>
      <c r="J31" s="165">
        <f ca="1">Population!F31/Population!U31</f>
        <v>1</v>
      </c>
      <c r="K31" s="1005">
        <f>Rezone!J31</f>
        <v>29</v>
      </c>
      <c r="L31" s="584">
        <f t="shared" si="49"/>
        <v>43693.166666666599</v>
      </c>
      <c r="M31" s="316">
        <f t="shared" si="26"/>
        <v>0</v>
      </c>
      <c r="N31" s="641">
        <f t="shared" si="27"/>
        <v>1000</v>
      </c>
      <c r="O31" s="423" t="s">
        <v>4</v>
      </c>
      <c r="P31" s="370"/>
      <c r="Q31" s="424" t="s">
        <v>223</v>
      </c>
      <c r="R31" s="423" t="s">
        <v>7</v>
      </c>
      <c r="S31" s="370"/>
      <c r="T31" s="424" t="s">
        <v>223</v>
      </c>
      <c r="U31" s="406" t="s">
        <v>3</v>
      </c>
      <c r="V31" s="407"/>
      <c r="W31" s="409" t="s">
        <v>223</v>
      </c>
      <c r="Y31" s="503">
        <f ca="1">science_cap*(1-EXP(-AF31/(science_param*($A32-Explore!$S32*20)+15000)))*(1+(mason_bonus*Construction!BB31/Construction!BS31))+IF(Overview!$B$14="Beastfolk",Construction!DA31/Construction!E31,0)*(1 + Production!O31/100*prestige_pop_multiplier)</f>
        <v>0</v>
      </c>
      <c r="Z31" s="455">
        <f ca="1">keep_cap*(1-EXP(-AG31/(keep_param*($A32-Explore!$S32*20)+15000)))*(1+(mason_bonus*Construction!BB31/Construction!BS31))+IF(Overview!$B$14="Beastfolk",Construction!DF31/Construction!E31,0)*(1 + Production!O31/100*prestige_pop_multiplier)</f>
        <v>0</v>
      </c>
      <c r="AA31" s="455">
        <f ca="1">harbor_towers_cap*(1-EXP(-AH31/(harbor_towers_param*($A32-Explore!$S32*20)+15000)))*(1+(mason_bonus*Construction!BB31/Construction!BS31))+IF(Overview!$B$14="Beastfolk",2*Construction!DC31/Construction!E31,0)*(1 + Production!O31/100*prestige_pop_multiplier)</f>
        <v>0</v>
      </c>
      <c r="AB31" s="455">
        <f ca="1">walls_forges_cap*(1-EXP(-AI31/(walls_forges_param*($A32-Explore!$S32*20)+15000)))*(1+(mason_bonus*Construction!BB31/Construction!BS31))+IF(Overview!$B$14="Beastfolk",0.2*Construction!CY31/Construction!E31,0)</f>
        <v>0</v>
      </c>
      <c r="AC31" s="455">
        <f ca="1">walls_forges_cap*(1-EXP(-AJ31/(walls_forges_param*($A32-Explore!$S32*20)+15000)))*(1+(mason_bonus*Construction!BB31/Construction!BS31))+IF(Overview!$B$14="Beastfolk",5*Construction!DB31/Construction!E31,0)</f>
        <v>0</v>
      </c>
      <c r="AD31" s="171">
        <f ca="1">harbor_towers_cap*(1-EXP(-AK31/(harbor_towers_param*($A32-Explore!$S32*20)+15000)))*(1+(mason_bonus*Construction!BB31/Construction!BS31))+IF(Overview!$B$14="Beastfolk",Construction!DE31/Construction!E31)*(1 + Production!O31/100*prestige_pop_multiplier)</f>
        <v>0</v>
      </c>
      <c r="AF31" s="56">
        <f ca="1">(1+Overview!$O$28+IF(Magic!BA31&gt;0,0.1,0))*SUM(AR31:AU31)</f>
        <v>0</v>
      </c>
      <c r="AG31" s="26">
        <f ca="1">(1+Overview!$O$28+IF(Magic!BA31&gt;0,0.1,0))*SUM(AW31:AZ31)</f>
        <v>0</v>
      </c>
      <c r="AH31" s="164">
        <f ca="1">(1+Overview!$O$28+IF(Magic!BA31&gt;0,0.1,0))*SUM(BB31:BE31)</f>
        <v>0</v>
      </c>
      <c r="AI31" s="164">
        <f ca="1">(1+Overview!$O$28+IF(Magic!BA31&gt;0,0.1,0))*SUM(BG31:BJ31)</f>
        <v>0</v>
      </c>
      <c r="AJ31" s="164">
        <f ca="1">(1+Overview!$O$28+IF(Magic!BA31&gt;0,0.1,0))*SUM(BL31:BO31)</f>
        <v>0</v>
      </c>
      <c r="AK31" s="166">
        <f ca="1">(1+Overview!$O$28+IF(Magic!BA31&gt;0,0.1,0))*SUM(BQ31:BT31)</f>
        <v>0</v>
      </c>
      <c r="AM31" s="52">
        <f t="shared" si="52"/>
        <v>0</v>
      </c>
      <c r="AN31" s="16">
        <f t="shared" si="52"/>
        <v>0</v>
      </c>
      <c r="AO31" s="16">
        <f t="shared" si="52"/>
        <v>0</v>
      </c>
      <c r="AP31" s="53">
        <f t="shared" si="52"/>
        <v>0</v>
      </c>
      <c r="AR31" s="56">
        <f t="shared" si="29"/>
        <v>0</v>
      </c>
      <c r="AS31" s="26">
        <f t="shared" si="53"/>
        <v>0</v>
      </c>
      <c r="AT31" s="26">
        <f t="shared" si="53"/>
        <v>0</v>
      </c>
      <c r="AU31" s="57">
        <f t="shared" si="31"/>
        <v>0</v>
      </c>
      <c r="AW31" s="56">
        <f t="shared" si="32"/>
        <v>0</v>
      </c>
      <c r="AX31" s="26">
        <f t="shared" si="54"/>
        <v>0</v>
      </c>
      <c r="AY31" s="26">
        <f t="shared" si="54"/>
        <v>0</v>
      </c>
      <c r="AZ31" s="57">
        <f t="shared" si="34"/>
        <v>0</v>
      </c>
      <c r="BB31" s="56">
        <f t="shared" si="35"/>
        <v>0</v>
      </c>
      <c r="BC31" s="26">
        <f t="shared" si="36"/>
        <v>0</v>
      </c>
      <c r="BD31" s="26">
        <f t="shared" si="50"/>
        <v>0</v>
      </c>
      <c r="BE31" s="57">
        <f t="shared" si="37"/>
        <v>0</v>
      </c>
      <c r="BG31" s="56">
        <f t="shared" si="38"/>
        <v>0</v>
      </c>
      <c r="BH31" s="26">
        <f t="shared" si="55"/>
        <v>0</v>
      </c>
      <c r="BI31" s="26">
        <f t="shared" si="55"/>
        <v>0</v>
      </c>
      <c r="BJ31" s="57">
        <f t="shared" si="40"/>
        <v>0</v>
      </c>
      <c r="BL31" s="56">
        <f t="shared" si="41"/>
        <v>0</v>
      </c>
      <c r="BM31" s="26">
        <f t="shared" si="56"/>
        <v>0</v>
      </c>
      <c r="BN31" s="26">
        <f t="shared" si="56"/>
        <v>0</v>
      </c>
      <c r="BO31" s="57">
        <f t="shared" si="43"/>
        <v>0</v>
      </c>
      <c r="BQ31" s="56">
        <f t="shared" si="44"/>
        <v>0</v>
      </c>
      <c r="BR31" s="26">
        <f t="shared" si="57"/>
        <v>0</v>
      </c>
      <c r="BS31" s="26">
        <f t="shared" si="57"/>
        <v>0</v>
      </c>
      <c r="BT31" s="57">
        <f t="shared" si="46"/>
        <v>0</v>
      </c>
      <c r="BV31" s="52" t="e">
        <f>OR(Production!C31,Construction!N31:'Construction'!AF31,Construction!BV31:CN31,Explore!S31:Z31,Military!AF31:AL31,Military!X31,Military!BE31:BL31,Rezone!L31:R31,Magic!G31:Q31)</f>
        <v>#VALUE!</v>
      </c>
      <c r="BW31" s="527">
        <f t="shared" si="47"/>
        <v>0</v>
      </c>
      <c r="BX31" s="527"/>
      <c r="BY31" s="557">
        <f t="shared" si="51"/>
        <v>43693.166666666599</v>
      </c>
      <c r="BZ31" s="565">
        <f t="shared" si="48"/>
        <v>43692.999999999935</v>
      </c>
      <c r="CA31" s="529"/>
      <c r="CB31" s="807"/>
      <c r="CC31" s="812"/>
      <c r="CD31" s="449" t="s">
        <v>3</v>
      </c>
    </row>
    <row r="32" spans="1:84" s="16" customFormat="1">
      <c r="A32" s="513">
        <f>Construction!E32</f>
        <v>1000</v>
      </c>
      <c r="C32" s="56">
        <f ca="1">Production!H32</f>
        <v>3256390</v>
      </c>
      <c r="D32" s="26">
        <f ca="1">Production!J32</f>
        <v>289152</v>
      </c>
      <c r="E32" s="26">
        <f ca="1">Production!L32</f>
        <v>231000</v>
      </c>
      <c r="F32" s="57">
        <f ca="1">Production!M32</f>
        <v>20000</v>
      </c>
      <c r="G32" s="26"/>
      <c r="H32" s="56">
        <f ca="1">Military!Z32</f>
        <v>3695</v>
      </c>
      <c r="I32" s="540">
        <f ca="1">Population!I32</f>
        <v>1</v>
      </c>
      <c r="J32" s="165">
        <f ca="1">Population!F32/Population!U32</f>
        <v>1</v>
      </c>
      <c r="K32" s="1005">
        <f>Rezone!J32</f>
        <v>30</v>
      </c>
      <c r="L32" s="584">
        <f t="shared" si="49"/>
        <v>43693.208333333263</v>
      </c>
      <c r="M32" s="316">
        <f t="shared" si="26"/>
        <v>0</v>
      </c>
      <c r="N32" s="641">
        <f t="shared" si="27"/>
        <v>1000</v>
      </c>
      <c r="O32" s="423" t="s">
        <v>4</v>
      </c>
      <c r="P32" s="370"/>
      <c r="Q32" s="424" t="s">
        <v>223</v>
      </c>
      <c r="R32" s="423" t="s">
        <v>7</v>
      </c>
      <c r="S32" s="370"/>
      <c r="T32" s="424" t="s">
        <v>223</v>
      </c>
      <c r="U32" s="406" t="s">
        <v>3</v>
      </c>
      <c r="V32" s="407"/>
      <c r="W32" s="409" t="s">
        <v>223</v>
      </c>
      <c r="Y32" s="503">
        <f ca="1">science_cap*(1-EXP(-AF32/(science_param*($A33-Explore!$S33*20)+15000)))*(1+(mason_bonus*Construction!BB32/Construction!BS32))+IF(Overview!$B$14="Beastfolk",Construction!DA32/Construction!E32,0)*(1 + Production!O32/100*prestige_pop_multiplier)</f>
        <v>0</v>
      </c>
      <c r="Z32" s="455">
        <f ca="1">keep_cap*(1-EXP(-AG32/(keep_param*($A33-Explore!$S33*20)+15000)))*(1+(mason_bonus*Construction!BB32/Construction!BS32))+IF(Overview!$B$14="Beastfolk",Construction!DF32/Construction!E32,0)*(1 + Production!O32/100*prestige_pop_multiplier)</f>
        <v>0</v>
      </c>
      <c r="AA32" s="455">
        <f ca="1">harbor_towers_cap*(1-EXP(-AH32/(harbor_towers_param*($A33-Explore!$S33*20)+15000)))*(1+(mason_bonus*Construction!BB32/Construction!BS32))+IF(Overview!$B$14="Beastfolk",2*Construction!DC32/Construction!E32,0)*(1 + Production!O32/100*prestige_pop_multiplier)</f>
        <v>0</v>
      </c>
      <c r="AB32" s="455">
        <f ca="1">walls_forges_cap*(1-EXP(-AI32/(walls_forges_param*($A33-Explore!$S33*20)+15000)))*(1+(mason_bonus*Construction!BB32/Construction!BS32))+IF(Overview!$B$14="Beastfolk",0.2*Construction!CY32/Construction!E32,0)</f>
        <v>0</v>
      </c>
      <c r="AC32" s="455">
        <f ca="1">walls_forges_cap*(1-EXP(-AJ32/(walls_forges_param*($A33-Explore!$S33*20)+15000)))*(1+(mason_bonus*Construction!BB32/Construction!BS32))+IF(Overview!$B$14="Beastfolk",5*Construction!DB32/Construction!E32,0)</f>
        <v>0</v>
      </c>
      <c r="AD32" s="171">
        <f ca="1">harbor_towers_cap*(1-EXP(-AK32/(harbor_towers_param*($A33-Explore!$S33*20)+15000)))*(1+(mason_bonus*Construction!BB32/Construction!BS32))+IF(Overview!$B$14="Beastfolk",Construction!DE32/Construction!E32)*(1 + Production!O32/100*prestige_pop_multiplier)</f>
        <v>0</v>
      </c>
      <c r="AF32" s="56">
        <f ca="1">(1+Overview!$O$28+IF(Magic!BA32&gt;0,0.1,0))*SUM(AR32:AU32)</f>
        <v>0</v>
      </c>
      <c r="AG32" s="26">
        <f ca="1">(1+Overview!$O$28+IF(Magic!BA32&gt;0,0.1,0))*SUM(AW32:AZ32)</f>
        <v>0</v>
      </c>
      <c r="AH32" s="164">
        <f ca="1">(1+Overview!$O$28+IF(Magic!BA32&gt;0,0.1,0))*SUM(BB32:BE32)</f>
        <v>0</v>
      </c>
      <c r="AI32" s="164">
        <f ca="1">(1+Overview!$O$28+IF(Magic!BA32&gt;0,0.1,0))*SUM(BG32:BJ32)</f>
        <v>0</v>
      </c>
      <c r="AJ32" s="164">
        <f ca="1">(1+Overview!$O$28+IF(Magic!BA32&gt;0,0.1,0))*SUM(BL32:BO32)</f>
        <v>0</v>
      </c>
      <c r="AK32" s="166">
        <f ca="1">(1+Overview!$O$28+IF(Magic!BA32&gt;0,0.1,0))*SUM(BQ32:BT32)</f>
        <v>0</v>
      </c>
      <c r="AM32" s="52">
        <f t="shared" si="52"/>
        <v>0</v>
      </c>
      <c r="AN32" s="16">
        <f t="shared" si="52"/>
        <v>0</v>
      </c>
      <c r="AO32" s="16">
        <f t="shared" si="52"/>
        <v>0</v>
      </c>
      <c r="AP32" s="53">
        <f t="shared" si="52"/>
        <v>0</v>
      </c>
      <c r="AR32" s="56">
        <f t="shared" si="29"/>
        <v>0</v>
      </c>
      <c r="AS32" s="26">
        <f t="shared" si="53"/>
        <v>0</v>
      </c>
      <c r="AT32" s="26">
        <f t="shared" si="53"/>
        <v>0</v>
      </c>
      <c r="AU32" s="57">
        <f t="shared" si="31"/>
        <v>0</v>
      </c>
      <c r="AW32" s="56">
        <f t="shared" si="32"/>
        <v>0</v>
      </c>
      <c r="AX32" s="26">
        <f t="shared" si="54"/>
        <v>0</v>
      </c>
      <c r="AY32" s="26">
        <f t="shared" si="54"/>
        <v>0</v>
      </c>
      <c r="AZ32" s="57">
        <f t="shared" si="34"/>
        <v>0</v>
      </c>
      <c r="BB32" s="56">
        <f t="shared" si="35"/>
        <v>0</v>
      </c>
      <c r="BC32" s="26">
        <f t="shared" si="36"/>
        <v>0</v>
      </c>
      <c r="BD32" s="26">
        <f t="shared" si="50"/>
        <v>0</v>
      </c>
      <c r="BE32" s="57">
        <f t="shared" si="37"/>
        <v>0</v>
      </c>
      <c r="BG32" s="56">
        <f t="shared" si="38"/>
        <v>0</v>
      </c>
      <c r="BH32" s="26">
        <f t="shared" si="55"/>
        <v>0</v>
      </c>
      <c r="BI32" s="26">
        <f t="shared" si="55"/>
        <v>0</v>
      </c>
      <c r="BJ32" s="57">
        <f t="shared" si="40"/>
        <v>0</v>
      </c>
      <c r="BL32" s="56">
        <f t="shared" si="41"/>
        <v>0</v>
      </c>
      <c r="BM32" s="26">
        <f t="shared" si="56"/>
        <v>0</v>
      </c>
      <c r="BN32" s="26">
        <f t="shared" si="56"/>
        <v>0</v>
      </c>
      <c r="BO32" s="57">
        <f t="shared" si="43"/>
        <v>0</v>
      </c>
      <c r="BQ32" s="56">
        <f t="shared" si="44"/>
        <v>0</v>
      </c>
      <c r="BR32" s="26">
        <f t="shared" si="57"/>
        <v>0</v>
      </c>
      <c r="BS32" s="26">
        <f t="shared" si="57"/>
        <v>0</v>
      </c>
      <c r="BT32" s="57">
        <f t="shared" si="46"/>
        <v>0</v>
      </c>
      <c r="BV32" s="52" t="e">
        <f>OR(Production!C32,Construction!N32:'Construction'!AF32,Construction!BV32:CN32,Explore!S32:Z32,Military!AF32:AL32,Military!X32,Military!BE32:BL32,Rezone!L32:R32,Magic!G32:Q32)</f>
        <v>#VALUE!</v>
      </c>
      <c r="BW32" s="527">
        <f t="shared" si="47"/>
        <v>0</v>
      </c>
      <c r="BX32" s="527"/>
      <c r="BY32" s="557">
        <f t="shared" si="51"/>
        <v>43693.208333333263</v>
      </c>
      <c r="BZ32" s="565">
        <f t="shared" si="48"/>
        <v>43693.041666666599</v>
      </c>
      <c r="CA32" s="529"/>
      <c r="CB32" s="807"/>
      <c r="CC32" s="812"/>
      <c r="CD32" s="449" t="s">
        <v>2</v>
      </c>
    </row>
    <row r="33" spans="1:82" s="16" customFormat="1">
      <c r="A33" s="513">
        <f>Construction!E33</f>
        <v>1000</v>
      </c>
      <c r="C33" s="56">
        <f ca="1">Production!H33</f>
        <v>3267041</v>
      </c>
      <c r="D33" s="26">
        <f ca="1">Production!J33</f>
        <v>288760</v>
      </c>
      <c r="E33" s="26">
        <f ca="1">Production!L33</f>
        <v>231000</v>
      </c>
      <c r="F33" s="57">
        <f ca="1">Production!M33</f>
        <v>20000</v>
      </c>
      <c r="G33" s="26"/>
      <c r="H33" s="56">
        <f ca="1">Military!Z33</f>
        <v>3695</v>
      </c>
      <c r="I33" s="540">
        <f ca="1">Population!I33</f>
        <v>1</v>
      </c>
      <c r="J33" s="165">
        <f ca="1">Population!F33/Population!U33</f>
        <v>1</v>
      </c>
      <c r="K33" s="1005">
        <f>Rezone!J33</f>
        <v>31</v>
      </c>
      <c r="L33" s="584">
        <f t="shared" si="49"/>
        <v>43693.249999999927</v>
      </c>
      <c r="M33" s="316">
        <f t="shared" si="26"/>
        <v>0</v>
      </c>
      <c r="N33" s="641">
        <f t="shared" si="27"/>
        <v>1000</v>
      </c>
      <c r="O33" s="423" t="s">
        <v>4</v>
      </c>
      <c r="P33" s="370"/>
      <c r="Q33" s="424" t="s">
        <v>223</v>
      </c>
      <c r="R33" s="406" t="s">
        <v>7</v>
      </c>
      <c r="S33" s="370"/>
      <c r="T33" s="424" t="s">
        <v>223</v>
      </c>
      <c r="U33" s="406" t="s">
        <v>3</v>
      </c>
      <c r="V33" s="407"/>
      <c r="W33" s="409" t="s">
        <v>223</v>
      </c>
      <c r="Y33" s="503">
        <f ca="1">science_cap*(1-EXP(-AF33/(science_param*($A34-Explore!$S34*20)+15000)))*(1+(mason_bonus*Construction!BB33/Construction!BS33))+IF(Overview!$B$14="Beastfolk",Construction!DA33/Construction!E33,0)*(1 + Production!O33/100*prestige_pop_multiplier)</f>
        <v>0</v>
      </c>
      <c r="Z33" s="455">
        <f ca="1">keep_cap*(1-EXP(-AG33/(keep_param*($A34-Explore!$S34*20)+15000)))*(1+(mason_bonus*Construction!BB33/Construction!BS33))+IF(Overview!$B$14="Beastfolk",Construction!DF33/Construction!E33,0)*(1 + Production!O33/100*prestige_pop_multiplier)</f>
        <v>0</v>
      </c>
      <c r="AA33" s="455">
        <f ca="1">harbor_towers_cap*(1-EXP(-AH33/(harbor_towers_param*($A34-Explore!$S34*20)+15000)))*(1+(mason_bonus*Construction!BB33/Construction!BS33))+IF(Overview!$B$14="Beastfolk",2*Construction!DC33/Construction!E33,0)*(1 + Production!O33/100*prestige_pop_multiplier)</f>
        <v>0</v>
      </c>
      <c r="AB33" s="455">
        <f ca="1">walls_forges_cap*(1-EXP(-AI33/(walls_forges_param*($A34-Explore!$S34*20)+15000)))*(1+(mason_bonus*Construction!BB33/Construction!BS33))+IF(Overview!$B$14="Beastfolk",0.2*Construction!CY33/Construction!E33,0)</f>
        <v>0</v>
      </c>
      <c r="AC33" s="455">
        <f ca="1">walls_forges_cap*(1-EXP(-AJ33/(walls_forges_param*($A34-Explore!$S34*20)+15000)))*(1+(mason_bonus*Construction!BB33/Construction!BS33))+IF(Overview!$B$14="Beastfolk",5*Construction!DB33/Construction!E33,0)</f>
        <v>0</v>
      </c>
      <c r="AD33" s="171">
        <f ca="1">harbor_towers_cap*(1-EXP(-AK33/(harbor_towers_param*($A34-Explore!$S34*20)+15000)))*(1+(mason_bonus*Construction!BB33/Construction!BS33))+IF(Overview!$B$14="Beastfolk",Construction!DE33/Construction!E33)*(1 + Production!O33/100*prestige_pop_multiplier)</f>
        <v>0</v>
      </c>
      <c r="AF33" s="56">
        <f ca="1">(1+Overview!$O$28+IF(Magic!BA33&gt;0,0.1,0))*SUM(AR33:AU33)</f>
        <v>0</v>
      </c>
      <c r="AG33" s="26">
        <f ca="1">(1+Overview!$O$28+IF(Magic!BA33&gt;0,0.1,0))*SUM(AW33:AZ33)</f>
        <v>0</v>
      </c>
      <c r="AH33" s="164">
        <f ca="1">(1+Overview!$O$28+IF(Magic!BA33&gt;0,0.1,0))*SUM(BB33:BE33)</f>
        <v>0</v>
      </c>
      <c r="AI33" s="164">
        <f ca="1">(1+Overview!$O$28+IF(Magic!BA33&gt;0,0.1,0))*SUM(BG33:BJ33)</f>
        <v>0</v>
      </c>
      <c r="AJ33" s="164">
        <f ca="1">(1+Overview!$O$28+IF(Magic!BA33&gt;0,0.1,0))*SUM(BL33:BO33)</f>
        <v>0</v>
      </c>
      <c r="AK33" s="166">
        <f ca="1">(1+Overview!$O$28+IF(Magic!BA33&gt;0,0.1,0))*SUM(BQ33:BT33)</f>
        <v>0</v>
      </c>
      <c r="AM33" s="52">
        <f t="shared" si="52"/>
        <v>0</v>
      </c>
      <c r="AN33" s="16">
        <f t="shared" si="52"/>
        <v>0</v>
      </c>
      <c r="AO33" s="16">
        <f t="shared" si="52"/>
        <v>0</v>
      </c>
      <c r="AP33" s="53">
        <f t="shared" si="52"/>
        <v>0</v>
      </c>
      <c r="AR33" s="56">
        <f t="shared" si="29"/>
        <v>0</v>
      </c>
      <c r="AS33" s="26">
        <f t="shared" si="53"/>
        <v>0</v>
      </c>
      <c r="AT33" s="26">
        <f t="shared" si="53"/>
        <v>0</v>
      </c>
      <c r="AU33" s="57">
        <f t="shared" si="31"/>
        <v>0</v>
      </c>
      <c r="AW33" s="56">
        <f t="shared" si="32"/>
        <v>0</v>
      </c>
      <c r="AX33" s="26">
        <f t="shared" si="54"/>
        <v>0</v>
      </c>
      <c r="AY33" s="26">
        <f t="shared" si="54"/>
        <v>0</v>
      </c>
      <c r="AZ33" s="57">
        <f t="shared" si="34"/>
        <v>0</v>
      </c>
      <c r="BB33" s="56">
        <f t="shared" si="35"/>
        <v>0</v>
      </c>
      <c r="BC33" s="26">
        <f t="shared" si="36"/>
        <v>0</v>
      </c>
      <c r="BD33" s="26">
        <f t="shared" si="50"/>
        <v>0</v>
      </c>
      <c r="BE33" s="57">
        <f t="shared" si="37"/>
        <v>0</v>
      </c>
      <c r="BG33" s="56">
        <f t="shared" si="38"/>
        <v>0</v>
      </c>
      <c r="BH33" s="26">
        <f t="shared" si="55"/>
        <v>0</v>
      </c>
      <c r="BI33" s="26">
        <f t="shared" si="55"/>
        <v>0</v>
      </c>
      <c r="BJ33" s="57">
        <f t="shared" si="40"/>
        <v>0</v>
      </c>
      <c r="BL33" s="56">
        <f t="shared" si="41"/>
        <v>0</v>
      </c>
      <c r="BM33" s="26">
        <f t="shared" si="56"/>
        <v>0</v>
      </c>
      <c r="BN33" s="26">
        <f t="shared" si="56"/>
        <v>0</v>
      </c>
      <c r="BO33" s="57">
        <f t="shared" si="43"/>
        <v>0</v>
      </c>
      <c r="BQ33" s="56">
        <f t="shared" si="44"/>
        <v>0</v>
      </c>
      <c r="BR33" s="26">
        <f t="shared" si="57"/>
        <v>0</v>
      </c>
      <c r="BS33" s="26">
        <f t="shared" si="57"/>
        <v>0</v>
      </c>
      <c r="BT33" s="57">
        <f t="shared" si="46"/>
        <v>0</v>
      </c>
      <c r="BV33" s="52" t="e">
        <f>OR(Production!C33,Construction!N33:'Construction'!AF33,Construction!BV33:CN33,Explore!S33:Z33,Military!AF33:AL33,Military!X33,Military!BE33:BL33,Rezone!L33:R33,Magic!G33:Q33)</f>
        <v>#VALUE!</v>
      </c>
      <c r="BW33" s="527">
        <f t="shared" si="47"/>
        <v>0</v>
      </c>
      <c r="BX33" s="527"/>
      <c r="BY33" s="557">
        <f t="shared" si="51"/>
        <v>43693.249999999927</v>
      </c>
      <c r="BZ33" s="565">
        <f t="shared" si="48"/>
        <v>43693.083333333263</v>
      </c>
      <c r="CA33" s="529"/>
      <c r="CB33" s="807"/>
      <c r="CC33" s="812"/>
    </row>
    <row r="34" spans="1:82" s="16" customFormat="1">
      <c r="A34" s="513">
        <f>Construction!E34</f>
        <v>1000</v>
      </c>
      <c r="C34" s="56">
        <f ca="1">Production!H34</f>
        <v>3277692</v>
      </c>
      <c r="D34" s="26">
        <f ca="1">Production!J34</f>
        <v>288372</v>
      </c>
      <c r="E34" s="26">
        <f ca="1">Production!L34</f>
        <v>231000</v>
      </c>
      <c r="F34" s="57">
        <f ca="1">Production!M34</f>
        <v>20000</v>
      </c>
      <c r="G34" s="26"/>
      <c r="H34" s="56">
        <f ca="1">Military!Z34</f>
        <v>3695</v>
      </c>
      <c r="I34" s="540">
        <f ca="1">Population!I34</f>
        <v>1</v>
      </c>
      <c r="J34" s="165">
        <f ca="1">Population!F34/Population!U34</f>
        <v>1</v>
      </c>
      <c r="K34" s="1005">
        <f>Rezone!J34</f>
        <v>32</v>
      </c>
      <c r="L34" s="584">
        <f t="shared" si="49"/>
        <v>43693.291666666591</v>
      </c>
      <c r="M34" s="316">
        <f t="shared" si="26"/>
        <v>0</v>
      </c>
      <c r="N34" s="641">
        <f t="shared" si="27"/>
        <v>1000</v>
      </c>
      <c r="O34" s="423" t="s">
        <v>4</v>
      </c>
      <c r="P34" s="370"/>
      <c r="Q34" s="424" t="s">
        <v>223</v>
      </c>
      <c r="R34" s="406" t="s">
        <v>7</v>
      </c>
      <c r="S34" s="370"/>
      <c r="T34" s="424" t="s">
        <v>223</v>
      </c>
      <c r="U34" s="406" t="s">
        <v>3</v>
      </c>
      <c r="V34" s="407"/>
      <c r="W34" s="409" t="s">
        <v>223</v>
      </c>
      <c r="Y34" s="503">
        <f ca="1">science_cap*(1-EXP(-AF34/(science_param*($A35-Explore!$S35*20)+15000)))*(1+(mason_bonus*Construction!BB34/Construction!BS34))+IF(Overview!$B$14="Beastfolk",Construction!DA34/Construction!E34,0)*(1 + Production!O34/100*prestige_pop_multiplier)</f>
        <v>0</v>
      </c>
      <c r="Z34" s="455">
        <f ca="1">keep_cap*(1-EXP(-AG34/(keep_param*($A35-Explore!$S35*20)+15000)))*(1+(mason_bonus*Construction!BB34/Construction!BS34))+IF(Overview!$B$14="Beastfolk",Construction!DF34/Construction!E34,0)*(1 + Production!O34/100*prestige_pop_multiplier)</f>
        <v>0</v>
      </c>
      <c r="AA34" s="455">
        <f ca="1">harbor_towers_cap*(1-EXP(-AH34/(harbor_towers_param*($A35-Explore!$S35*20)+15000)))*(1+(mason_bonus*Construction!BB34/Construction!BS34))+IF(Overview!$B$14="Beastfolk",2*Construction!DC34/Construction!E34,0)*(1 + Production!O34/100*prestige_pop_multiplier)</f>
        <v>0</v>
      </c>
      <c r="AB34" s="455">
        <f ca="1">walls_forges_cap*(1-EXP(-AI34/(walls_forges_param*($A35-Explore!$S35*20)+15000)))*(1+(mason_bonus*Construction!BB34/Construction!BS34))+IF(Overview!$B$14="Beastfolk",0.2*Construction!CY34/Construction!E34,0)</f>
        <v>0</v>
      </c>
      <c r="AC34" s="455">
        <f ca="1">walls_forges_cap*(1-EXP(-AJ34/(walls_forges_param*($A35-Explore!$S35*20)+15000)))*(1+(mason_bonus*Construction!BB34/Construction!BS34))+IF(Overview!$B$14="Beastfolk",5*Construction!DB34/Construction!E34,0)</f>
        <v>0</v>
      </c>
      <c r="AD34" s="171">
        <f ca="1">harbor_towers_cap*(1-EXP(-AK34/(harbor_towers_param*($A35-Explore!$S35*20)+15000)))*(1+(mason_bonus*Construction!BB34/Construction!BS34))+IF(Overview!$B$14="Beastfolk",Construction!DE34/Construction!E34)*(1 + Production!O34/100*prestige_pop_multiplier)</f>
        <v>0</v>
      </c>
      <c r="AF34" s="56">
        <f ca="1">(1+Overview!$O$28+IF(Magic!BA34&gt;0,0.1,0))*SUM(AR34:AU34)</f>
        <v>0</v>
      </c>
      <c r="AG34" s="26">
        <f ca="1">(1+Overview!$O$28+IF(Magic!BA34&gt;0,0.1,0))*SUM(AW34:AZ34)</f>
        <v>0</v>
      </c>
      <c r="AH34" s="164">
        <f ca="1">(1+Overview!$O$28+IF(Magic!BA34&gt;0,0.1,0))*SUM(BB34:BE34)</f>
        <v>0</v>
      </c>
      <c r="AI34" s="164">
        <f ca="1">(1+Overview!$O$28+IF(Magic!BA34&gt;0,0.1,0))*SUM(BG34:BJ34)</f>
        <v>0</v>
      </c>
      <c r="AJ34" s="164">
        <f ca="1">(1+Overview!$O$28+IF(Magic!BA34&gt;0,0.1,0))*SUM(BL34:BO34)</f>
        <v>0</v>
      </c>
      <c r="AK34" s="166">
        <f ca="1">(1+Overview!$O$28+IF(Magic!BA34&gt;0,0.1,0))*SUM(BQ34:BT34)</f>
        <v>0</v>
      </c>
      <c r="AM34" s="52">
        <f t="shared" si="52"/>
        <v>0</v>
      </c>
      <c r="AN34" s="16">
        <f t="shared" si="52"/>
        <v>0</v>
      </c>
      <c r="AO34" s="16">
        <f t="shared" si="52"/>
        <v>0</v>
      </c>
      <c r="AP34" s="53">
        <f t="shared" si="52"/>
        <v>0</v>
      </c>
      <c r="AR34" s="56">
        <f t="shared" si="29"/>
        <v>0</v>
      </c>
      <c r="AS34" s="26">
        <f t="shared" si="53"/>
        <v>0</v>
      </c>
      <c r="AT34" s="26">
        <f t="shared" si="53"/>
        <v>0</v>
      </c>
      <c r="AU34" s="57">
        <f t="shared" si="31"/>
        <v>0</v>
      </c>
      <c r="AW34" s="56">
        <f t="shared" si="32"/>
        <v>0</v>
      </c>
      <c r="AX34" s="26">
        <f t="shared" si="54"/>
        <v>0</v>
      </c>
      <c r="AY34" s="26">
        <f t="shared" si="54"/>
        <v>0</v>
      </c>
      <c r="AZ34" s="57">
        <f t="shared" si="34"/>
        <v>0</v>
      </c>
      <c r="BB34" s="56">
        <f t="shared" si="35"/>
        <v>0</v>
      </c>
      <c r="BC34" s="26">
        <f t="shared" si="36"/>
        <v>0</v>
      </c>
      <c r="BD34" s="26">
        <f t="shared" si="50"/>
        <v>0</v>
      </c>
      <c r="BE34" s="57">
        <f t="shared" si="37"/>
        <v>0</v>
      </c>
      <c r="BG34" s="56">
        <f t="shared" si="38"/>
        <v>0</v>
      </c>
      <c r="BH34" s="26">
        <f t="shared" si="55"/>
        <v>0</v>
      </c>
      <c r="BI34" s="26">
        <f t="shared" si="55"/>
        <v>0</v>
      </c>
      <c r="BJ34" s="57">
        <f t="shared" si="40"/>
        <v>0</v>
      </c>
      <c r="BL34" s="56">
        <f t="shared" si="41"/>
        <v>0</v>
      </c>
      <c r="BM34" s="26">
        <f t="shared" si="56"/>
        <v>0</v>
      </c>
      <c r="BN34" s="26">
        <f t="shared" si="56"/>
        <v>0</v>
      </c>
      <c r="BO34" s="57">
        <f t="shared" si="43"/>
        <v>0</v>
      </c>
      <c r="BQ34" s="56">
        <f t="shared" si="44"/>
        <v>0</v>
      </c>
      <c r="BR34" s="26">
        <f t="shared" si="57"/>
        <v>0</v>
      </c>
      <c r="BS34" s="26">
        <f t="shared" si="57"/>
        <v>0</v>
      </c>
      <c r="BT34" s="57">
        <f t="shared" si="46"/>
        <v>0</v>
      </c>
      <c r="BV34" s="52" t="e">
        <f>OR(Production!C34,Construction!N34:'Construction'!AF34,Construction!BV34:CN34,Explore!S34:Z34,Military!AF34:AL34,Military!X34,Military!BE34:BL34,Rezone!L34:R34,Magic!G34:Q34)</f>
        <v>#VALUE!</v>
      </c>
      <c r="BW34" s="527">
        <f t="shared" si="47"/>
        <v>0</v>
      </c>
      <c r="BX34" s="527"/>
      <c r="BY34" s="557">
        <f t="shared" si="51"/>
        <v>43693.291666666591</v>
      </c>
      <c r="BZ34" s="565">
        <f t="shared" si="48"/>
        <v>43693.124999999927</v>
      </c>
      <c r="CA34" s="529"/>
      <c r="CB34" s="807"/>
      <c r="CC34" s="812"/>
      <c r="CD34" s="107" t="s">
        <v>221</v>
      </c>
    </row>
    <row r="35" spans="1:82" s="16" customFormat="1">
      <c r="A35" s="513">
        <f>Construction!E35</f>
        <v>1000</v>
      </c>
      <c r="C35" s="56">
        <f ca="1">Production!H35</f>
        <v>3288343</v>
      </c>
      <c r="D35" s="26">
        <f ca="1">Production!J35</f>
        <v>287988</v>
      </c>
      <c r="E35" s="26">
        <f ca="1">Production!L35</f>
        <v>231000</v>
      </c>
      <c r="F35" s="57">
        <f ca="1">Production!M35</f>
        <v>20000</v>
      </c>
      <c r="G35" s="26"/>
      <c r="H35" s="56">
        <f ca="1">Military!Z35</f>
        <v>3695</v>
      </c>
      <c r="I35" s="540">
        <f ca="1">Population!I35</f>
        <v>1</v>
      </c>
      <c r="J35" s="165">
        <f ca="1">Population!F35/Population!U35</f>
        <v>1</v>
      </c>
      <c r="K35" s="1005">
        <f>Rezone!J35</f>
        <v>33</v>
      </c>
      <c r="L35" s="584">
        <f t="shared" si="49"/>
        <v>43693.333333333256</v>
      </c>
      <c r="M35" s="316">
        <f t="shared" si="26"/>
        <v>0</v>
      </c>
      <c r="N35" s="641">
        <f t="shared" si="27"/>
        <v>1000</v>
      </c>
      <c r="O35" s="423" t="s">
        <v>4</v>
      </c>
      <c r="P35" s="370"/>
      <c r="Q35" s="424" t="s">
        <v>223</v>
      </c>
      <c r="R35" s="423" t="s">
        <v>7</v>
      </c>
      <c r="S35" s="370"/>
      <c r="T35" s="424" t="s">
        <v>223</v>
      </c>
      <c r="U35" s="406" t="s">
        <v>3</v>
      </c>
      <c r="V35" s="407"/>
      <c r="W35" s="409" t="s">
        <v>223</v>
      </c>
      <c r="Y35" s="503">
        <f ca="1">science_cap*(1-EXP(-AF35/(science_param*($A36-Explore!$S36*20)+15000)))*(1+(mason_bonus*Construction!BB35/Construction!BS35))+IF(Overview!$B$14="Beastfolk",Construction!DA35/Construction!E35,0)*(1 + Production!O35/100*prestige_pop_multiplier)</f>
        <v>0</v>
      </c>
      <c r="Z35" s="455">
        <f ca="1">keep_cap*(1-EXP(-AG35/(keep_param*($A36-Explore!$S36*20)+15000)))*(1+(mason_bonus*Construction!BB35/Construction!BS35))+IF(Overview!$B$14="Beastfolk",Construction!DF35/Construction!E35,0)*(1 + Production!O35/100*prestige_pop_multiplier)</f>
        <v>0</v>
      </c>
      <c r="AA35" s="455">
        <f ca="1">harbor_towers_cap*(1-EXP(-AH35/(harbor_towers_param*($A36-Explore!$S36*20)+15000)))*(1+(mason_bonus*Construction!BB35/Construction!BS35))+IF(Overview!$B$14="Beastfolk",2*Construction!DC35/Construction!E35,0)*(1 + Production!O35/100*prestige_pop_multiplier)</f>
        <v>0</v>
      </c>
      <c r="AB35" s="455">
        <f ca="1">walls_forges_cap*(1-EXP(-AI35/(walls_forges_param*($A36-Explore!$S36*20)+15000)))*(1+(mason_bonus*Construction!BB35/Construction!BS35))+IF(Overview!$B$14="Beastfolk",0.2*Construction!CY35/Construction!E35,0)</f>
        <v>0</v>
      </c>
      <c r="AC35" s="455">
        <f ca="1">walls_forges_cap*(1-EXP(-AJ35/(walls_forges_param*($A36-Explore!$S36*20)+15000)))*(1+(mason_bonus*Construction!BB35/Construction!BS35))+IF(Overview!$B$14="Beastfolk",5*Construction!DB35/Construction!E35,0)</f>
        <v>0</v>
      </c>
      <c r="AD35" s="171">
        <f ca="1">harbor_towers_cap*(1-EXP(-AK35/(harbor_towers_param*($A36-Explore!$S36*20)+15000)))*(1+(mason_bonus*Construction!BB35/Construction!BS35))+IF(Overview!$B$14="Beastfolk",Construction!DE35/Construction!E35)*(1 + Production!O35/100*prestige_pop_multiplier)</f>
        <v>0</v>
      </c>
      <c r="AF35" s="56">
        <f ca="1">(1+Overview!$O$28+IF(Magic!BA35&gt;0,0.1,0))*SUM(AR35:AU35)</f>
        <v>0</v>
      </c>
      <c r="AG35" s="26">
        <f ca="1">(1+Overview!$O$28+IF(Magic!BA35&gt;0,0.1,0))*SUM(AW35:AZ35)</f>
        <v>0</v>
      </c>
      <c r="AH35" s="164">
        <f ca="1">(1+Overview!$O$28+IF(Magic!BA35&gt;0,0.1,0))*SUM(BB35:BE35)</f>
        <v>0</v>
      </c>
      <c r="AI35" s="164">
        <f ca="1">(1+Overview!$O$28+IF(Magic!BA35&gt;0,0.1,0))*SUM(BG35:BJ35)</f>
        <v>0</v>
      </c>
      <c r="AJ35" s="164">
        <f ca="1">(1+Overview!$O$28+IF(Magic!BA35&gt;0,0.1,0))*SUM(BL35:BO35)</f>
        <v>0</v>
      </c>
      <c r="AK35" s="166">
        <f ca="1">(1+Overview!$O$28+IF(Magic!BA35&gt;0,0.1,0))*SUM(BQ35:BT35)</f>
        <v>0</v>
      </c>
      <c r="AM35" s="52">
        <f t="shared" si="52"/>
        <v>0</v>
      </c>
      <c r="AN35" s="16">
        <f t="shared" si="52"/>
        <v>0</v>
      </c>
      <c r="AO35" s="16">
        <f t="shared" si="52"/>
        <v>0</v>
      </c>
      <c r="AP35" s="53">
        <f t="shared" si="52"/>
        <v>0</v>
      </c>
      <c r="AR35" s="56">
        <f t="shared" si="29"/>
        <v>0</v>
      </c>
      <c r="AS35" s="26">
        <f t="shared" si="53"/>
        <v>0</v>
      </c>
      <c r="AT35" s="26">
        <f t="shared" si="53"/>
        <v>0</v>
      </c>
      <c r="AU35" s="57">
        <f t="shared" si="31"/>
        <v>0</v>
      </c>
      <c r="AW35" s="56">
        <f t="shared" si="32"/>
        <v>0</v>
      </c>
      <c r="AX35" s="26">
        <f t="shared" si="54"/>
        <v>0</v>
      </c>
      <c r="AY35" s="26">
        <f t="shared" si="54"/>
        <v>0</v>
      </c>
      <c r="AZ35" s="57">
        <f t="shared" si="34"/>
        <v>0</v>
      </c>
      <c r="BB35" s="56">
        <f t="shared" si="35"/>
        <v>0</v>
      </c>
      <c r="BC35" s="26">
        <f t="shared" si="36"/>
        <v>0</v>
      </c>
      <c r="BD35" s="26">
        <f t="shared" si="50"/>
        <v>0</v>
      </c>
      <c r="BE35" s="57">
        <f t="shared" si="37"/>
        <v>0</v>
      </c>
      <c r="BG35" s="56">
        <f t="shared" si="38"/>
        <v>0</v>
      </c>
      <c r="BH35" s="26">
        <f t="shared" si="55"/>
        <v>0</v>
      </c>
      <c r="BI35" s="26">
        <f t="shared" si="55"/>
        <v>0</v>
      </c>
      <c r="BJ35" s="57">
        <f t="shared" si="40"/>
        <v>0</v>
      </c>
      <c r="BL35" s="56">
        <f t="shared" si="41"/>
        <v>0</v>
      </c>
      <c r="BM35" s="26">
        <f t="shared" si="56"/>
        <v>0</v>
      </c>
      <c r="BN35" s="26">
        <f t="shared" si="56"/>
        <v>0</v>
      </c>
      <c r="BO35" s="57">
        <f t="shared" si="43"/>
        <v>0</v>
      </c>
      <c r="BQ35" s="56">
        <f t="shared" si="44"/>
        <v>0</v>
      </c>
      <c r="BR35" s="26">
        <f t="shared" si="57"/>
        <v>0</v>
      </c>
      <c r="BS35" s="26">
        <f t="shared" si="57"/>
        <v>0</v>
      </c>
      <c r="BT35" s="57">
        <f t="shared" si="46"/>
        <v>0</v>
      </c>
      <c r="BV35" s="52" t="e">
        <f>OR(Production!C35,Construction!N35:'Construction'!AF35,Construction!BV35:CN35,Explore!S35:Z35,Military!AF35:AL35,Military!X35,Military!BE35:BL35,Rezone!L35:R35,Magic!G35:Q35)</f>
        <v>#VALUE!</v>
      </c>
      <c r="BW35" s="527">
        <f t="shared" si="47"/>
        <v>0</v>
      </c>
      <c r="BX35" s="527"/>
      <c r="BY35" s="557">
        <f t="shared" si="51"/>
        <v>43693.333333333256</v>
      </c>
      <c r="BZ35" s="565">
        <f t="shared" si="48"/>
        <v>43693.166666666591</v>
      </c>
      <c r="CA35" s="529"/>
      <c r="CB35" s="807"/>
      <c r="CC35" s="812"/>
      <c r="CD35" s="107" t="s">
        <v>223</v>
      </c>
    </row>
    <row r="36" spans="1:82" s="16" customFormat="1">
      <c r="A36" s="513">
        <f>Construction!E36</f>
        <v>1000</v>
      </c>
      <c r="C36" s="56">
        <f ca="1">Production!H36</f>
        <v>3298994</v>
      </c>
      <c r="D36" s="26">
        <f ca="1">Production!J36</f>
        <v>287608</v>
      </c>
      <c r="E36" s="26">
        <f ca="1">Production!L36</f>
        <v>231000</v>
      </c>
      <c r="F36" s="57">
        <f ca="1">Production!M36</f>
        <v>20000</v>
      </c>
      <c r="G36" s="26"/>
      <c r="H36" s="56">
        <f ca="1">Military!Z36</f>
        <v>3695</v>
      </c>
      <c r="I36" s="540">
        <f ca="1">Population!I36</f>
        <v>1</v>
      </c>
      <c r="J36" s="165">
        <f ca="1">Population!F36/Population!U36</f>
        <v>1</v>
      </c>
      <c r="K36" s="1005">
        <f>Rezone!J36</f>
        <v>34</v>
      </c>
      <c r="L36" s="584">
        <f t="shared" si="49"/>
        <v>43693.37499999992</v>
      </c>
      <c r="M36" s="316">
        <f t="shared" si="26"/>
        <v>0</v>
      </c>
      <c r="N36" s="641">
        <f t="shared" si="27"/>
        <v>1000</v>
      </c>
      <c r="O36" s="423" t="s">
        <v>4</v>
      </c>
      <c r="P36" s="370"/>
      <c r="Q36" s="424" t="s">
        <v>223</v>
      </c>
      <c r="R36" s="423" t="s">
        <v>7</v>
      </c>
      <c r="S36" s="370"/>
      <c r="T36" s="425" t="s">
        <v>223</v>
      </c>
      <c r="U36" s="408" t="s">
        <v>3</v>
      </c>
      <c r="V36" s="407"/>
      <c r="W36" s="409" t="s">
        <v>223</v>
      </c>
      <c r="Y36" s="503">
        <f ca="1">science_cap*(1-EXP(-AF36/(science_param*($A37-Explore!$S37*20)+15000)))*(1+(mason_bonus*Construction!BB36/Construction!BS36))+IF(Overview!$B$14="Beastfolk",Construction!DA36/Construction!E36,0)*(1 + Production!O36/100*prestige_pop_multiplier)</f>
        <v>0</v>
      </c>
      <c r="Z36" s="455">
        <f ca="1">keep_cap*(1-EXP(-AG36/(keep_param*($A37-Explore!$S37*20)+15000)))*(1+(mason_bonus*Construction!BB36/Construction!BS36))+IF(Overview!$B$14="Beastfolk",Construction!DF36/Construction!E36,0)*(1 + Production!O36/100*prestige_pop_multiplier)</f>
        <v>0</v>
      </c>
      <c r="AA36" s="455">
        <f ca="1">harbor_towers_cap*(1-EXP(-AH36/(harbor_towers_param*($A37-Explore!$S37*20)+15000)))*(1+(mason_bonus*Construction!BB36/Construction!BS36))+IF(Overview!$B$14="Beastfolk",2*Construction!DC36/Construction!E36,0)*(1 + Production!O36/100*prestige_pop_multiplier)</f>
        <v>0</v>
      </c>
      <c r="AB36" s="455">
        <f ca="1">walls_forges_cap*(1-EXP(-AI36/(walls_forges_param*($A37-Explore!$S37*20)+15000)))*(1+(mason_bonus*Construction!BB36/Construction!BS36))+IF(Overview!$B$14="Beastfolk",0.2*Construction!CY36/Construction!E36,0)</f>
        <v>0</v>
      </c>
      <c r="AC36" s="455">
        <f ca="1">walls_forges_cap*(1-EXP(-AJ36/(walls_forges_param*($A37-Explore!$S37*20)+15000)))*(1+(mason_bonus*Construction!BB36/Construction!BS36))+IF(Overview!$B$14="Beastfolk",5*Construction!DB36/Construction!E36,0)</f>
        <v>0</v>
      </c>
      <c r="AD36" s="171">
        <f ca="1">harbor_towers_cap*(1-EXP(-AK36/(harbor_towers_param*($A37-Explore!$S37*20)+15000)))*(1+(mason_bonus*Construction!BB36/Construction!BS36))+IF(Overview!$B$14="Beastfolk",Construction!DE36/Construction!E36)*(1 + Production!O36/100*prestige_pop_multiplier)</f>
        <v>0</v>
      </c>
      <c r="AF36" s="56">
        <f ca="1">(1+Overview!$O$28+IF(Magic!BA36&gt;0,0.1,0))*SUM(AR36:AU36)</f>
        <v>0</v>
      </c>
      <c r="AG36" s="26">
        <f ca="1">(1+Overview!$O$28+IF(Magic!BA36&gt;0,0.1,0))*SUM(AW36:AZ36)</f>
        <v>0</v>
      </c>
      <c r="AH36" s="164">
        <f ca="1">(1+Overview!$O$28+IF(Magic!BA36&gt;0,0.1,0))*SUM(BB36:BE36)</f>
        <v>0</v>
      </c>
      <c r="AI36" s="164">
        <f ca="1">(1+Overview!$O$28+IF(Magic!BA36&gt;0,0.1,0))*SUM(BG36:BJ36)</f>
        <v>0</v>
      </c>
      <c r="AJ36" s="164">
        <f ca="1">(1+Overview!$O$28+IF(Magic!BA36&gt;0,0.1,0))*SUM(BL36:BO36)</f>
        <v>0</v>
      </c>
      <c r="AK36" s="166">
        <f ca="1">(1+Overview!$O$28+IF(Magic!BA36&gt;0,0.1,0))*SUM(BQ36:BT36)</f>
        <v>0</v>
      </c>
      <c r="AM36" s="52">
        <f t="shared" si="52"/>
        <v>0</v>
      </c>
      <c r="AN36" s="16">
        <f t="shared" si="52"/>
        <v>0</v>
      </c>
      <c r="AO36" s="16">
        <f t="shared" si="52"/>
        <v>0</v>
      </c>
      <c r="AP36" s="53">
        <f t="shared" si="52"/>
        <v>0</v>
      </c>
      <c r="AR36" s="56">
        <f t="shared" si="29"/>
        <v>0</v>
      </c>
      <c r="AS36" s="26">
        <f t="shared" si="53"/>
        <v>0</v>
      </c>
      <c r="AT36" s="26">
        <f t="shared" si="53"/>
        <v>0</v>
      </c>
      <c r="AU36" s="57">
        <f t="shared" si="31"/>
        <v>0</v>
      </c>
      <c r="AW36" s="56">
        <f t="shared" si="32"/>
        <v>0</v>
      </c>
      <c r="AX36" s="26">
        <f t="shared" si="54"/>
        <v>0</v>
      </c>
      <c r="AY36" s="26">
        <f t="shared" si="54"/>
        <v>0</v>
      </c>
      <c r="AZ36" s="57">
        <f t="shared" si="34"/>
        <v>0</v>
      </c>
      <c r="BB36" s="56">
        <f t="shared" si="35"/>
        <v>0</v>
      </c>
      <c r="BC36" s="26">
        <f t="shared" si="36"/>
        <v>0</v>
      </c>
      <c r="BD36" s="26">
        <f t="shared" si="50"/>
        <v>0</v>
      </c>
      <c r="BE36" s="57">
        <f t="shared" si="37"/>
        <v>0</v>
      </c>
      <c r="BG36" s="56">
        <f t="shared" si="38"/>
        <v>0</v>
      </c>
      <c r="BH36" s="26">
        <f t="shared" si="55"/>
        <v>0</v>
      </c>
      <c r="BI36" s="26">
        <f t="shared" si="55"/>
        <v>0</v>
      </c>
      <c r="BJ36" s="57">
        <f t="shared" si="40"/>
        <v>0</v>
      </c>
      <c r="BL36" s="56">
        <f t="shared" si="41"/>
        <v>0</v>
      </c>
      <c r="BM36" s="26">
        <f t="shared" si="56"/>
        <v>0</v>
      </c>
      <c r="BN36" s="26">
        <f t="shared" si="56"/>
        <v>0</v>
      </c>
      <c r="BO36" s="57">
        <f t="shared" si="43"/>
        <v>0</v>
      </c>
      <c r="BQ36" s="56">
        <f t="shared" si="44"/>
        <v>0</v>
      </c>
      <c r="BR36" s="26">
        <f t="shared" si="57"/>
        <v>0</v>
      </c>
      <c r="BS36" s="26">
        <f t="shared" si="57"/>
        <v>0</v>
      </c>
      <c r="BT36" s="57">
        <f t="shared" si="46"/>
        <v>0</v>
      </c>
      <c r="BV36" s="52" t="e">
        <f>OR(Production!C36,Construction!N36:'Construction'!AF36,Construction!BV36:CN36,Explore!S36:Z36,Military!AF36:AL36,Military!X36,Military!BE36:BL36,Rezone!L36:R36,Magic!G36:Q36)</f>
        <v>#VALUE!</v>
      </c>
      <c r="BW36" s="527">
        <f t="shared" si="47"/>
        <v>0</v>
      </c>
      <c r="BX36" s="527"/>
      <c r="BY36" s="557">
        <f t="shared" si="51"/>
        <v>43693.37499999992</v>
      </c>
      <c r="BZ36" s="565">
        <f t="shared" si="48"/>
        <v>43693.208333333256</v>
      </c>
      <c r="CA36" s="529"/>
      <c r="CB36" s="807"/>
      <c r="CC36" s="812"/>
      <c r="CD36" s="107" t="s">
        <v>224</v>
      </c>
    </row>
    <row r="37" spans="1:82" s="16" customFormat="1">
      <c r="A37" s="513">
        <f>Construction!E37</f>
        <v>1000</v>
      </c>
      <c r="C37" s="56">
        <f ca="1">Production!H37</f>
        <v>3309645</v>
      </c>
      <c r="D37" s="26">
        <f ca="1">Production!J37</f>
        <v>287232</v>
      </c>
      <c r="E37" s="26">
        <f ca="1">Production!L37</f>
        <v>231000</v>
      </c>
      <c r="F37" s="57">
        <f ca="1">Production!M37</f>
        <v>20000</v>
      </c>
      <c r="G37" s="26"/>
      <c r="H37" s="56">
        <f ca="1">Military!Z37</f>
        <v>3695</v>
      </c>
      <c r="I37" s="540">
        <f ca="1">Population!I37</f>
        <v>1</v>
      </c>
      <c r="J37" s="165">
        <f ca="1">Population!F37/Population!U37</f>
        <v>1</v>
      </c>
      <c r="K37" s="1005">
        <f>Rezone!J37</f>
        <v>35</v>
      </c>
      <c r="L37" s="584">
        <f t="shared" si="49"/>
        <v>43693.416666666584</v>
      </c>
      <c r="M37" s="316">
        <f t="shared" si="26"/>
        <v>0</v>
      </c>
      <c r="N37" s="641">
        <f t="shared" si="27"/>
        <v>1000</v>
      </c>
      <c r="O37" s="423" t="s">
        <v>4</v>
      </c>
      <c r="P37" s="370"/>
      <c r="Q37" s="424" t="s">
        <v>223</v>
      </c>
      <c r="R37" s="423" t="s">
        <v>7</v>
      </c>
      <c r="S37" s="370"/>
      <c r="T37" s="425" t="s">
        <v>223</v>
      </c>
      <c r="U37" s="408" t="s">
        <v>3</v>
      </c>
      <c r="V37" s="407"/>
      <c r="W37" s="409" t="s">
        <v>223</v>
      </c>
      <c r="Y37" s="503">
        <f ca="1">science_cap*(1-EXP(-AF37/(science_param*($A38-Explore!$S38*20)+15000)))*(1+(mason_bonus*Construction!BB37/Construction!BS37))+IF(Overview!$B$14="Beastfolk",Construction!DA37/Construction!E37,0)*(1 + Production!O37/100*prestige_pop_multiplier)</f>
        <v>0</v>
      </c>
      <c r="Z37" s="455">
        <f ca="1">keep_cap*(1-EXP(-AG37/(keep_param*($A38-Explore!$S38*20)+15000)))*(1+(mason_bonus*Construction!BB37/Construction!BS37))+IF(Overview!$B$14="Beastfolk",Construction!DF37/Construction!E37,0)*(1 + Production!O37/100*prestige_pop_multiplier)</f>
        <v>0</v>
      </c>
      <c r="AA37" s="455">
        <f ca="1">harbor_towers_cap*(1-EXP(-AH37/(harbor_towers_param*($A38-Explore!$S38*20)+15000)))*(1+(mason_bonus*Construction!BB37/Construction!BS37))+IF(Overview!$B$14="Beastfolk",2*Construction!DC37/Construction!E37,0)*(1 + Production!O37/100*prestige_pop_multiplier)</f>
        <v>0</v>
      </c>
      <c r="AB37" s="455">
        <f ca="1">walls_forges_cap*(1-EXP(-AI37/(walls_forges_param*($A38-Explore!$S38*20)+15000)))*(1+(mason_bonus*Construction!BB37/Construction!BS37))+IF(Overview!$B$14="Beastfolk",0.2*Construction!CY37/Construction!E37,0)</f>
        <v>0</v>
      </c>
      <c r="AC37" s="455">
        <f ca="1">walls_forges_cap*(1-EXP(-AJ37/(walls_forges_param*($A38-Explore!$S38*20)+15000)))*(1+(mason_bonus*Construction!BB37/Construction!BS37))+IF(Overview!$B$14="Beastfolk",5*Construction!DB37/Construction!E37,0)</f>
        <v>0</v>
      </c>
      <c r="AD37" s="171">
        <f ca="1">harbor_towers_cap*(1-EXP(-AK37/(harbor_towers_param*($A38-Explore!$S38*20)+15000)))*(1+(mason_bonus*Construction!BB37/Construction!BS37))+IF(Overview!$B$14="Beastfolk",Construction!DE37/Construction!E37)*(1 + Production!O37/100*prestige_pop_multiplier)</f>
        <v>0</v>
      </c>
      <c r="AF37" s="56">
        <f ca="1">(1+Overview!$O$28+IF(Magic!BA37&gt;0,0.1,0))*SUM(AR37:AU37)</f>
        <v>0</v>
      </c>
      <c r="AG37" s="26">
        <f ca="1">(1+Overview!$O$28+IF(Magic!BA37&gt;0,0.1,0))*SUM(AW37:AZ37)</f>
        <v>0</v>
      </c>
      <c r="AH37" s="164">
        <f ca="1">(1+Overview!$O$28+IF(Magic!BA37&gt;0,0.1,0))*SUM(BB37:BE37)</f>
        <v>0</v>
      </c>
      <c r="AI37" s="164">
        <f ca="1">(1+Overview!$O$28+IF(Magic!BA37&gt;0,0.1,0))*SUM(BG37:BJ37)</f>
        <v>0</v>
      </c>
      <c r="AJ37" s="164">
        <f ca="1">(1+Overview!$O$28+IF(Magic!BA37&gt;0,0.1,0))*SUM(BL37:BO37)</f>
        <v>0</v>
      </c>
      <c r="AK37" s="166">
        <f ca="1">(1+Overview!$O$28+IF(Magic!BA37&gt;0,0.1,0))*SUM(BQ37:BT37)</f>
        <v>0</v>
      </c>
      <c r="AM37" s="52">
        <f t="shared" si="52"/>
        <v>0</v>
      </c>
      <c r="AN37" s="16">
        <f t="shared" si="52"/>
        <v>0</v>
      </c>
      <c r="AO37" s="16">
        <f t="shared" si="52"/>
        <v>0</v>
      </c>
      <c r="AP37" s="53">
        <f t="shared" si="52"/>
        <v>0</v>
      </c>
      <c r="AR37" s="56">
        <f t="shared" si="29"/>
        <v>0</v>
      </c>
      <c r="AS37" s="26">
        <f t="shared" si="53"/>
        <v>0</v>
      </c>
      <c r="AT37" s="26">
        <f t="shared" si="53"/>
        <v>0</v>
      </c>
      <c r="AU37" s="57">
        <f t="shared" si="31"/>
        <v>0</v>
      </c>
      <c r="AW37" s="56">
        <f t="shared" si="32"/>
        <v>0</v>
      </c>
      <c r="AX37" s="26">
        <f t="shared" si="54"/>
        <v>0</v>
      </c>
      <c r="AY37" s="26">
        <f t="shared" si="54"/>
        <v>0</v>
      </c>
      <c r="AZ37" s="57">
        <f t="shared" si="34"/>
        <v>0</v>
      </c>
      <c r="BB37" s="56">
        <f t="shared" si="35"/>
        <v>0</v>
      </c>
      <c r="BC37" s="26">
        <f t="shared" si="36"/>
        <v>0</v>
      </c>
      <c r="BD37" s="26">
        <f t="shared" si="50"/>
        <v>0</v>
      </c>
      <c r="BE37" s="57">
        <f t="shared" si="37"/>
        <v>0</v>
      </c>
      <c r="BG37" s="56">
        <f t="shared" si="38"/>
        <v>0</v>
      </c>
      <c r="BH37" s="26">
        <f t="shared" si="55"/>
        <v>0</v>
      </c>
      <c r="BI37" s="26">
        <f t="shared" si="55"/>
        <v>0</v>
      </c>
      <c r="BJ37" s="57">
        <f t="shared" si="40"/>
        <v>0</v>
      </c>
      <c r="BL37" s="56">
        <f t="shared" si="41"/>
        <v>0</v>
      </c>
      <c r="BM37" s="26">
        <f t="shared" si="56"/>
        <v>0</v>
      </c>
      <c r="BN37" s="26">
        <f t="shared" si="56"/>
        <v>0</v>
      </c>
      <c r="BO37" s="57">
        <f t="shared" si="43"/>
        <v>0</v>
      </c>
      <c r="BQ37" s="56">
        <f t="shared" si="44"/>
        <v>0</v>
      </c>
      <c r="BR37" s="26">
        <f t="shared" si="57"/>
        <v>0</v>
      </c>
      <c r="BS37" s="26">
        <f t="shared" si="57"/>
        <v>0</v>
      </c>
      <c r="BT37" s="57">
        <f t="shared" si="46"/>
        <v>0</v>
      </c>
      <c r="BV37" s="52" t="e">
        <f>OR(Production!C37,Construction!N37:'Construction'!AF37,Construction!BV37:CN37,Explore!S37:Z37,Military!AF37:AL37,Military!X37,Military!BE37:BL37,Rezone!L37:R37,Magic!G37:Q37)</f>
        <v>#VALUE!</v>
      </c>
      <c r="BW37" s="527">
        <f t="shared" si="47"/>
        <v>0</v>
      </c>
      <c r="BX37" s="527"/>
      <c r="BY37" s="557">
        <f t="shared" si="51"/>
        <v>43693.416666666584</v>
      </c>
      <c r="BZ37" s="565">
        <f t="shared" si="48"/>
        <v>43693.24999999992</v>
      </c>
      <c r="CA37" s="529"/>
      <c r="CB37" s="807"/>
      <c r="CC37" s="812"/>
      <c r="CD37" s="107" t="s">
        <v>225</v>
      </c>
    </row>
    <row r="38" spans="1:82" s="16" customFormat="1">
      <c r="A38" s="513">
        <f>Construction!E38</f>
        <v>1000</v>
      </c>
      <c r="C38" s="56">
        <f ca="1">Production!H38</f>
        <v>3320296</v>
      </c>
      <c r="D38" s="26">
        <f ca="1">Production!J38</f>
        <v>286860</v>
      </c>
      <c r="E38" s="26">
        <f ca="1">Production!L38</f>
        <v>231000</v>
      </c>
      <c r="F38" s="57">
        <f ca="1">Production!M38</f>
        <v>20000</v>
      </c>
      <c r="G38" s="26"/>
      <c r="H38" s="56">
        <f ca="1">Military!Z38</f>
        <v>3695</v>
      </c>
      <c r="I38" s="540">
        <f ca="1">Population!I38</f>
        <v>1</v>
      </c>
      <c r="J38" s="165">
        <f ca="1">Population!F38/Population!U38</f>
        <v>1</v>
      </c>
      <c r="K38" s="1005">
        <f>Rezone!J38</f>
        <v>36</v>
      </c>
      <c r="L38" s="584">
        <f t="shared" si="49"/>
        <v>43693.458333333248</v>
      </c>
      <c r="M38" s="316">
        <f t="shared" si="26"/>
        <v>0</v>
      </c>
      <c r="N38" s="641">
        <f t="shared" si="27"/>
        <v>1000</v>
      </c>
      <c r="O38" s="423" t="s">
        <v>4</v>
      </c>
      <c r="P38" s="370"/>
      <c r="Q38" s="424" t="s">
        <v>223</v>
      </c>
      <c r="R38" s="423" t="s">
        <v>7</v>
      </c>
      <c r="S38" s="370"/>
      <c r="T38" s="425" t="s">
        <v>223</v>
      </c>
      <c r="U38" s="408" t="s">
        <v>3</v>
      </c>
      <c r="V38" s="407"/>
      <c r="W38" s="409" t="s">
        <v>223</v>
      </c>
      <c r="Y38" s="503">
        <f ca="1">science_cap*(1-EXP(-AF38/(science_param*($A39-Explore!$S39*20)+15000)))*(1+(mason_bonus*Construction!BB38/Construction!BS38))+IF(Overview!$B$14="Beastfolk",Construction!DA38/Construction!E38,0)*(1 + Production!O38/100*prestige_pop_multiplier)</f>
        <v>0</v>
      </c>
      <c r="Z38" s="455">
        <f ca="1">keep_cap*(1-EXP(-AG38/(keep_param*($A39-Explore!$S39*20)+15000)))*(1+(mason_bonus*Construction!BB38/Construction!BS38))+IF(Overview!$B$14="Beastfolk",Construction!DF38/Construction!E38,0)*(1 + Production!O38/100*prestige_pop_multiplier)</f>
        <v>0</v>
      </c>
      <c r="AA38" s="455">
        <f ca="1">harbor_towers_cap*(1-EXP(-AH38/(harbor_towers_param*($A39-Explore!$S39*20)+15000)))*(1+(mason_bonus*Construction!BB38/Construction!BS38))+IF(Overview!$B$14="Beastfolk",2*Construction!DC38/Construction!E38,0)*(1 + Production!O38/100*prestige_pop_multiplier)</f>
        <v>0</v>
      </c>
      <c r="AB38" s="455">
        <f ca="1">walls_forges_cap*(1-EXP(-AI38/(walls_forges_param*($A39-Explore!$S39*20)+15000)))*(1+(mason_bonus*Construction!BB38/Construction!BS38))+IF(Overview!$B$14="Beastfolk",0.2*Construction!CY38/Construction!E38,0)</f>
        <v>0</v>
      </c>
      <c r="AC38" s="455">
        <f ca="1">walls_forges_cap*(1-EXP(-AJ38/(walls_forges_param*($A39-Explore!$S39*20)+15000)))*(1+(mason_bonus*Construction!BB38/Construction!BS38))+IF(Overview!$B$14="Beastfolk",5*Construction!DB38/Construction!E38,0)</f>
        <v>0</v>
      </c>
      <c r="AD38" s="171">
        <f ca="1">harbor_towers_cap*(1-EXP(-AK38/(harbor_towers_param*($A39-Explore!$S39*20)+15000)))*(1+(mason_bonus*Construction!BB38/Construction!BS38))+IF(Overview!$B$14="Beastfolk",Construction!DE38/Construction!E38)*(1 + Production!O38/100*prestige_pop_multiplier)</f>
        <v>0</v>
      </c>
      <c r="AF38" s="56">
        <f ca="1">(1+Overview!$O$28+IF(Magic!BA38&gt;0,0.1,0))*SUM(AR38:AU38)</f>
        <v>0</v>
      </c>
      <c r="AG38" s="26">
        <f ca="1">(1+Overview!$O$28+IF(Magic!BA38&gt;0,0.1,0))*SUM(AW38:AZ38)</f>
        <v>0</v>
      </c>
      <c r="AH38" s="164">
        <f ca="1">(1+Overview!$O$28+IF(Magic!BA38&gt;0,0.1,0))*SUM(BB38:BE38)</f>
        <v>0</v>
      </c>
      <c r="AI38" s="164">
        <f ca="1">(1+Overview!$O$28+IF(Magic!BA38&gt;0,0.1,0))*SUM(BG38:BJ38)</f>
        <v>0</v>
      </c>
      <c r="AJ38" s="164">
        <f ca="1">(1+Overview!$O$28+IF(Magic!BA38&gt;0,0.1,0))*SUM(BL38:BO38)</f>
        <v>0</v>
      </c>
      <c r="AK38" s="166">
        <f ca="1">(1+Overview!$O$28+IF(Magic!BA38&gt;0,0.1,0))*SUM(BQ38:BT38)</f>
        <v>0</v>
      </c>
      <c r="AM38" s="52">
        <f t="shared" si="52"/>
        <v>0</v>
      </c>
      <c r="AN38" s="16">
        <f t="shared" si="52"/>
        <v>0</v>
      </c>
      <c r="AO38" s="16">
        <f t="shared" si="52"/>
        <v>0</v>
      </c>
      <c r="AP38" s="53">
        <f t="shared" si="52"/>
        <v>0</v>
      </c>
      <c r="AR38" s="56">
        <f t="shared" si="29"/>
        <v>0</v>
      </c>
      <c r="AS38" s="26">
        <f t="shared" si="53"/>
        <v>0</v>
      </c>
      <c r="AT38" s="26">
        <f t="shared" si="53"/>
        <v>0</v>
      </c>
      <c r="AU38" s="57">
        <f t="shared" si="31"/>
        <v>0</v>
      </c>
      <c r="AW38" s="56">
        <f t="shared" si="32"/>
        <v>0</v>
      </c>
      <c r="AX38" s="26">
        <f t="shared" si="54"/>
        <v>0</v>
      </c>
      <c r="AY38" s="26">
        <f t="shared" si="54"/>
        <v>0</v>
      </c>
      <c r="AZ38" s="57">
        <f t="shared" si="34"/>
        <v>0</v>
      </c>
      <c r="BB38" s="56">
        <f t="shared" si="35"/>
        <v>0</v>
      </c>
      <c r="BC38" s="26">
        <f t="shared" si="36"/>
        <v>0</v>
      </c>
      <c r="BD38" s="26">
        <f t="shared" si="50"/>
        <v>0</v>
      </c>
      <c r="BE38" s="57">
        <f t="shared" si="37"/>
        <v>0</v>
      </c>
      <c r="BG38" s="56">
        <f t="shared" si="38"/>
        <v>0</v>
      </c>
      <c r="BH38" s="26">
        <f t="shared" si="55"/>
        <v>0</v>
      </c>
      <c r="BI38" s="26">
        <f t="shared" si="55"/>
        <v>0</v>
      </c>
      <c r="BJ38" s="57">
        <f t="shared" si="40"/>
        <v>0</v>
      </c>
      <c r="BL38" s="56">
        <f t="shared" si="41"/>
        <v>0</v>
      </c>
      <c r="BM38" s="26">
        <f t="shared" si="56"/>
        <v>0</v>
      </c>
      <c r="BN38" s="26">
        <f t="shared" si="56"/>
        <v>0</v>
      </c>
      <c r="BO38" s="57">
        <f t="shared" si="43"/>
        <v>0</v>
      </c>
      <c r="BQ38" s="56">
        <f t="shared" si="44"/>
        <v>0</v>
      </c>
      <c r="BR38" s="26">
        <f t="shared" si="57"/>
        <v>0</v>
      </c>
      <c r="BS38" s="26">
        <f t="shared" si="57"/>
        <v>0</v>
      </c>
      <c r="BT38" s="57">
        <f t="shared" si="46"/>
        <v>0</v>
      </c>
      <c r="BV38" s="52" t="e">
        <f>OR(Production!C38,Construction!N38:'Construction'!AF38,Construction!BV38:CN38,Explore!S38:Z38,Military!AF38:AL38,Military!X38,Military!BE38:BL38,Rezone!L38:R38,Magic!G38:Q38)</f>
        <v>#VALUE!</v>
      </c>
      <c r="BW38" s="527">
        <f t="shared" si="47"/>
        <v>0</v>
      </c>
      <c r="BX38" s="527"/>
      <c r="BY38" s="557">
        <f t="shared" si="51"/>
        <v>43693.458333333248</v>
      </c>
      <c r="BZ38" s="565">
        <f t="shared" si="48"/>
        <v>43693.291666666584</v>
      </c>
      <c r="CA38" s="529"/>
      <c r="CB38" s="807"/>
      <c r="CC38" s="812"/>
      <c r="CD38" s="16" t="s">
        <v>226</v>
      </c>
    </row>
    <row r="39" spans="1:82" s="12" customFormat="1">
      <c r="A39" s="515">
        <f>Construction!E39</f>
        <v>1000</v>
      </c>
      <c r="C39" s="54">
        <f ca="1">Production!H39</f>
        <v>3330947</v>
      </c>
      <c r="D39" s="13">
        <f ca="1">Production!J39</f>
        <v>286491</v>
      </c>
      <c r="E39" s="13">
        <f ca="1">Production!L39</f>
        <v>231000</v>
      </c>
      <c r="F39" s="158">
        <f ca="1">Production!M39</f>
        <v>20000</v>
      </c>
      <c r="G39" s="153"/>
      <c r="H39" s="54">
        <f ca="1">Military!Z39</f>
        <v>3695</v>
      </c>
      <c r="I39" s="155">
        <f ca="1">Population!I39</f>
        <v>1</v>
      </c>
      <c r="J39" s="154">
        <f ca="1">Population!F39/Population!U39</f>
        <v>1</v>
      </c>
      <c r="K39" s="1006">
        <f>Rezone!J39</f>
        <v>37</v>
      </c>
      <c r="L39" s="583">
        <f t="shared" si="49"/>
        <v>43693.499999999913</v>
      </c>
      <c r="M39" s="651">
        <f t="shared" si="26"/>
        <v>0</v>
      </c>
      <c r="N39" s="644">
        <f t="shared" si="27"/>
        <v>1000</v>
      </c>
      <c r="O39" s="428" t="s">
        <v>4</v>
      </c>
      <c r="P39" s="429"/>
      <c r="Q39" s="430" t="s">
        <v>223</v>
      </c>
      <c r="R39" s="428" t="s">
        <v>7</v>
      </c>
      <c r="S39" s="429"/>
      <c r="T39" s="431" t="s">
        <v>223</v>
      </c>
      <c r="U39" s="411" t="s">
        <v>3</v>
      </c>
      <c r="V39" s="410"/>
      <c r="W39" s="412" t="s">
        <v>223</v>
      </c>
      <c r="Y39" s="525">
        <f ca="1">science_cap*(1-EXP(-AF39/(science_param*($A40-Explore!$S40*20)+15000)))*(1+(mason_bonus*Construction!BB39/Construction!BS39))+IF(Overview!$B$14="Beastfolk",Construction!DA39/Construction!E39,0)*(1 + Production!O39/100*prestige_pop_multiplier)</f>
        <v>0</v>
      </c>
      <c r="Z39" s="468">
        <f ca="1">keep_cap*(1-EXP(-AG39/(keep_param*($A40-Explore!$S40*20)+15000)))*(1+(mason_bonus*Construction!BB39/Construction!BS39))+IF(Overview!$B$14="Beastfolk",Construction!DF39/Construction!E39,0)*(1 + Production!O39/100*prestige_pop_multiplier)</f>
        <v>0</v>
      </c>
      <c r="AA39" s="457">
        <f ca="1">harbor_towers_cap*(1-EXP(-AH39/(harbor_towers_param*($A40-Explore!$S40*20)+15000)))*(1+(mason_bonus*Construction!BB39/Construction!BS39))+IF(Overview!$B$14="Beastfolk",2*Construction!DC39/Construction!E39,0)*(1 + Production!O39/100*prestige_pop_multiplier)</f>
        <v>0</v>
      </c>
      <c r="AB39" s="457">
        <f ca="1">walls_forges_cap*(1-EXP(-AI39/(walls_forges_param*($A40-Explore!$S40*20)+15000)))*(1+(mason_bonus*Construction!BB39/Construction!BS39))+IF(Overview!$B$14="Beastfolk",0.2*Construction!CY39/Construction!E39,0)</f>
        <v>0</v>
      </c>
      <c r="AC39" s="457">
        <f ca="1">walls_forges_cap*(1-EXP(-AJ39/(walls_forges_param*($A40-Explore!$S40*20)+15000)))*(1+(mason_bonus*Construction!BB39/Construction!BS39))+IF(Overview!$B$14="Beastfolk",5*Construction!DB39/Construction!E39,0)</f>
        <v>0</v>
      </c>
      <c r="AD39" s="96">
        <f ca="1">harbor_towers_cap*(1-EXP(-AK39/(harbor_towers_param*($A40-Explore!$S40*20)+15000)))*(1+(mason_bonus*Construction!BB39/Construction!BS39))+IF(Overview!$B$14="Beastfolk",Construction!DE39/Construction!E39)*(1 + Production!O39/100*prestige_pop_multiplier)</f>
        <v>0</v>
      </c>
      <c r="AF39" s="54">
        <f ca="1">(1+Overview!$O$28+IF(Magic!BA39&gt;0,0.1,0))*SUM(AR39:AU39)</f>
        <v>0</v>
      </c>
      <c r="AG39" s="13">
        <f ca="1">(1+Overview!$O$28+IF(Magic!BA39&gt;0,0.1,0))*SUM(AW39:AZ39)</f>
        <v>0</v>
      </c>
      <c r="AH39" s="153">
        <f ca="1">(1+Overview!$O$28+IF(Magic!BA39&gt;0,0.1,0))*SUM(BB39:BE39)</f>
        <v>0</v>
      </c>
      <c r="AI39" s="153">
        <f ca="1">(1+Overview!$O$28+IF(Magic!BA39&gt;0,0.1,0))*SUM(BG39:BJ39)</f>
        <v>0</v>
      </c>
      <c r="AJ39" s="153">
        <f ca="1">(1+Overview!$O$28+IF(Magic!BA39&gt;0,0.1,0))*SUM(BL39:BO39)</f>
        <v>0</v>
      </c>
      <c r="AK39" s="158">
        <f ca="1">(1+Overview!$O$28+IF(Magic!BA39&gt;0,0.1,0))*SUM(BQ39:BT39)</f>
        <v>0</v>
      </c>
      <c r="AM39" s="50">
        <f t="shared" si="52"/>
        <v>0</v>
      </c>
      <c r="AN39" s="12">
        <f t="shared" si="52"/>
        <v>0</v>
      </c>
      <c r="AO39" s="12">
        <f t="shared" si="52"/>
        <v>0</v>
      </c>
      <c r="AP39" s="51">
        <f t="shared" si="52"/>
        <v>0</v>
      </c>
      <c r="AR39" s="54">
        <f t="shared" si="29"/>
        <v>0</v>
      </c>
      <c r="AS39" s="13">
        <f t="shared" si="53"/>
        <v>0</v>
      </c>
      <c r="AT39" s="13">
        <f t="shared" si="53"/>
        <v>0</v>
      </c>
      <c r="AU39" s="55">
        <f t="shared" si="31"/>
        <v>0</v>
      </c>
      <c r="AW39" s="54">
        <f t="shared" si="32"/>
        <v>0</v>
      </c>
      <c r="AX39" s="13">
        <f t="shared" si="54"/>
        <v>0</v>
      </c>
      <c r="AY39" s="13">
        <f t="shared" si="54"/>
        <v>0</v>
      </c>
      <c r="AZ39" s="55">
        <f t="shared" si="34"/>
        <v>0</v>
      </c>
      <c r="BB39" s="54">
        <f t="shared" si="35"/>
        <v>0</v>
      </c>
      <c r="BC39" s="13">
        <f t="shared" si="36"/>
        <v>0</v>
      </c>
      <c r="BD39" s="13">
        <f t="shared" si="50"/>
        <v>0</v>
      </c>
      <c r="BE39" s="55">
        <f t="shared" si="37"/>
        <v>0</v>
      </c>
      <c r="BG39" s="54">
        <f t="shared" si="38"/>
        <v>0</v>
      </c>
      <c r="BH39" s="13">
        <f t="shared" si="55"/>
        <v>0</v>
      </c>
      <c r="BI39" s="13">
        <f t="shared" si="55"/>
        <v>0</v>
      </c>
      <c r="BJ39" s="55">
        <f t="shared" si="40"/>
        <v>0</v>
      </c>
      <c r="BL39" s="54">
        <f t="shared" si="41"/>
        <v>0</v>
      </c>
      <c r="BM39" s="13">
        <f t="shared" si="56"/>
        <v>0</v>
      </c>
      <c r="BN39" s="13">
        <f t="shared" si="56"/>
        <v>0</v>
      </c>
      <c r="BO39" s="55">
        <f t="shared" si="43"/>
        <v>0</v>
      </c>
      <c r="BQ39" s="54">
        <f t="shared" si="44"/>
        <v>0</v>
      </c>
      <c r="BR39" s="13">
        <f t="shared" si="57"/>
        <v>0</v>
      </c>
      <c r="BS39" s="13">
        <f t="shared" si="57"/>
        <v>0</v>
      </c>
      <c r="BT39" s="55">
        <f t="shared" si="46"/>
        <v>0</v>
      </c>
      <c r="BV39" s="50" t="e">
        <f>OR(Production!C39,Construction!N39:'Construction'!AF39,Construction!BV39:CN39,Explore!S39:Z39,Military!AF39:AL39,Military!X39,Military!BE39:BL39,Rezone!L39:R39,Magic!G39:Q39)</f>
        <v>#VALUE!</v>
      </c>
      <c r="BW39" s="551">
        <f t="shared" si="47"/>
        <v>0</v>
      </c>
      <c r="BX39" s="551"/>
      <c r="BY39" s="558">
        <f t="shared" si="51"/>
        <v>43693.499999999913</v>
      </c>
      <c r="BZ39" s="566">
        <f t="shared" si="48"/>
        <v>43693.333333333248</v>
      </c>
      <c r="CA39" s="631"/>
      <c r="CB39" s="808"/>
      <c r="CC39" s="813"/>
      <c r="CD39" s="12" t="s">
        <v>227</v>
      </c>
    </row>
    <row r="40" spans="1:82" s="15" customFormat="1">
      <c r="A40" s="516">
        <f>Construction!E40</f>
        <v>1000</v>
      </c>
      <c r="B40" s="16"/>
      <c r="C40" s="89">
        <f ca="1">Production!H40</f>
        <v>3341598</v>
      </c>
      <c r="D40" s="23">
        <f ca="1">Production!J40</f>
        <v>286126</v>
      </c>
      <c r="E40" s="23">
        <f ca="1">Production!L40</f>
        <v>231000</v>
      </c>
      <c r="F40" s="57">
        <f ca="1">Production!M40</f>
        <v>20000</v>
      </c>
      <c r="G40" s="26"/>
      <c r="H40" s="89">
        <f ca="1">Military!Z40</f>
        <v>3695</v>
      </c>
      <c r="I40" s="540">
        <f ca="1">Population!I40</f>
        <v>1</v>
      </c>
      <c r="J40" s="165">
        <f ca="1">Population!F40/Population!U40</f>
        <v>1</v>
      </c>
      <c r="K40" s="1005">
        <f>Rezone!J40</f>
        <v>38</v>
      </c>
      <c r="L40" s="584">
        <f t="shared" si="49"/>
        <v>43693.541666666577</v>
      </c>
      <c r="M40" s="639">
        <f t="shared" si="26"/>
        <v>0</v>
      </c>
      <c r="N40" s="645">
        <f t="shared" si="27"/>
        <v>1000</v>
      </c>
      <c r="O40" s="423" t="s">
        <v>4</v>
      </c>
      <c r="P40" s="370"/>
      <c r="Q40" s="424" t="s">
        <v>223</v>
      </c>
      <c r="R40" s="423" t="s">
        <v>7</v>
      </c>
      <c r="S40" s="370"/>
      <c r="T40" s="425" t="s">
        <v>223</v>
      </c>
      <c r="U40" s="424" t="s">
        <v>3</v>
      </c>
      <c r="V40" s="370"/>
      <c r="W40" s="425" t="s">
        <v>223</v>
      </c>
      <c r="X40" s="16"/>
      <c r="Y40" s="524">
        <f ca="1">science_cap*(1-EXP(-AF40/(science_param*($A41-Explore!$S41*20)+15000)))*(1+(mason_bonus*Construction!BB40/Construction!BS40))+IF(Overview!$B$14="Beastfolk",Construction!DA40/Construction!E40,0)*(1 + Production!O40/100*prestige_pop_multiplier)</f>
        <v>0</v>
      </c>
      <c r="Z40" s="284">
        <f ca="1">keep_cap*(1-EXP(-AG40/(keep_param*($A41-Explore!$S41*20)+15000)))*(1+(mason_bonus*Construction!BB40/Construction!BS40))+IF(Overview!$B$14="Beastfolk",Construction!DF40/Construction!E40,0)*(1 + Production!O40/100*prestige_pop_multiplier)</f>
        <v>0</v>
      </c>
      <c r="AA40" s="284">
        <f ca="1">harbor_towers_cap*(1-EXP(-AH40/(harbor_towers_param*($A41-Explore!$S41*20)+15000)))*(1+(mason_bonus*Construction!BB40/Construction!BS40))+IF(Overview!$B$14="Beastfolk",2*Construction!DC40/Construction!E40,0)*(1 + Production!O40/100*prestige_pop_multiplier)</f>
        <v>0</v>
      </c>
      <c r="AB40" s="284">
        <f ca="1">walls_forges_cap*(1-EXP(-AI40/(walls_forges_param*($A41-Explore!$S41*20)+15000)))*(1+(mason_bonus*Construction!BB40/Construction!BS40))+IF(Overview!$B$14="Beastfolk",0.2*Construction!CY40/Construction!E40,0)</f>
        <v>0</v>
      </c>
      <c r="AC40" s="284">
        <f ca="1">walls_forges_cap*(1-EXP(-AJ40/(walls_forges_param*($A41-Explore!$S41*20)+15000)))*(1+(mason_bonus*Construction!BB40/Construction!BS40))+IF(Overview!$B$14="Beastfolk",5*Construction!DB40/Construction!E40,0)</f>
        <v>0</v>
      </c>
      <c r="AD40" s="97">
        <f ca="1">harbor_towers_cap*(1-EXP(-AK40/(harbor_towers_param*($A41-Explore!$S41*20)+15000)))*(1+(mason_bonus*Construction!BB40/Construction!BS40))+IF(Overview!$B$14="Beastfolk",Construction!DE40/Construction!E40)*(1 + Production!O40/100*prestige_pop_multiplier)</f>
        <v>0</v>
      </c>
      <c r="AE40" s="16"/>
      <c r="AF40" s="56">
        <f ca="1">(1+Overview!$O$28+IF(Magic!BA40&gt;0,0.1,0))*SUM(AR40:AU40)</f>
        <v>0</v>
      </c>
      <c r="AG40" s="26">
        <f ca="1">(1+Overview!$O$28+IF(Magic!BA40&gt;0,0.1,0))*SUM(AW40:AZ40)</f>
        <v>0</v>
      </c>
      <c r="AH40" s="164">
        <f ca="1">(1+Overview!$O$28+IF(Magic!BA40&gt;0,0.1,0))*SUM(BB40:BE40)</f>
        <v>0</v>
      </c>
      <c r="AI40" s="164">
        <f ca="1">(1+Overview!$O$28+IF(Magic!BA40&gt;0,0.1,0))*SUM(BG40:BJ40)</f>
        <v>0</v>
      </c>
      <c r="AJ40" s="164">
        <f ca="1">(1+Overview!$O$28+IF(Magic!BA40&gt;0,0.1,0))*SUM(BL40:BO40)</f>
        <v>0</v>
      </c>
      <c r="AK40" s="166">
        <f ca="1">(1+Overview!$O$28+IF(Magic!BA40&gt;0,0.1,0))*SUM(BQ40:BT40)</f>
        <v>0</v>
      </c>
      <c r="AL40" s="16"/>
      <c r="AM40" s="70">
        <f t="shared" si="52"/>
        <v>0</v>
      </c>
      <c r="AN40" s="15">
        <f t="shared" si="52"/>
        <v>0</v>
      </c>
      <c r="AO40" s="15">
        <f t="shared" si="52"/>
        <v>0</v>
      </c>
      <c r="AP40" s="74">
        <f t="shared" si="52"/>
        <v>0</v>
      </c>
      <c r="AQ40" s="16"/>
      <c r="AR40" s="89">
        <f t="shared" si="29"/>
        <v>0</v>
      </c>
      <c r="AS40" s="23">
        <f t="shared" si="53"/>
        <v>0</v>
      </c>
      <c r="AT40" s="23">
        <f t="shared" si="53"/>
        <v>0</v>
      </c>
      <c r="AU40" s="71">
        <f t="shared" si="31"/>
        <v>0</v>
      </c>
      <c r="AV40" s="16"/>
      <c r="AW40" s="89">
        <f t="shared" si="32"/>
        <v>0</v>
      </c>
      <c r="AX40" s="23">
        <f t="shared" si="54"/>
        <v>0</v>
      </c>
      <c r="AY40" s="23">
        <f t="shared" si="54"/>
        <v>0</v>
      </c>
      <c r="AZ40" s="71">
        <f t="shared" si="34"/>
        <v>0</v>
      </c>
      <c r="BA40" s="16"/>
      <c r="BB40" s="89">
        <f t="shared" si="35"/>
        <v>0</v>
      </c>
      <c r="BC40" s="23">
        <f t="shared" si="36"/>
        <v>0</v>
      </c>
      <c r="BD40" s="23">
        <f t="shared" si="50"/>
        <v>0</v>
      </c>
      <c r="BE40" s="71">
        <f t="shared" si="37"/>
        <v>0</v>
      </c>
      <c r="BF40" s="16"/>
      <c r="BG40" s="89">
        <f t="shared" si="38"/>
        <v>0</v>
      </c>
      <c r="BH40" s="23">
        <f t="shared" si="55"/>
        <v>0</v>
      </c>
      <c r="BI40" s="23">
        <f t="shared" si="55"/>
        <v>0</v>
      </c>
      <c r="BJ40" s="71">
        <f t="shared" si="40"/>
        <v>0</v>
      </c>
      <c r="BK40" s="16"/>
      <c r="BL40" s="89">
        <f t="shared" si="41"/>
        <v>0</v>
      </c>
      <c r="BM40" s="23">
        <f t="shared" si="56"/>
        <v>0</v>
      </c>
      <c r="BN40" s="23">
        <f t="shared" si="56"/>
        <v>0</v>
      </c>
      <c r="BO40" s="71">
        <f t="shared" si="43"/>
        <v>0</v>
      </c>
      <c r="BP40" s="16"/>
      <c r="BQ40" s="89">
        <f t="shared" si="44"/>
        <v>0</v>
      </c>
      <c r="BR40" s="23">
        <f t="shared" si="57"/>
        <v>0</v>
      </c>
      <c r="BS40" s="23">
        <f t="shared" si="57"/>
        <v>0</v>
      </c>
      <c r="BT40" s="71">
        <f t="shared" si="46"/>
        <v>0</v>
      </c>
      <c r="BV40" s="70" t="e">
        <f>OR(Production!C40,Construction!N40:'Construction'!AF40,Construction!BV40:CN40,Explore!S40:Z40,Military!AF40:AL40,Military!X40,Military!BE40:BL40,Rezone!L40:R40,Magic!G40:Q40)</f>
        <v>#VALUE!</v>
      </c>
      <c r="BW40" s="528">
        <f t="shared" si="47"/>
        <v>0</v>
      </c>
      <c r="BX40" s="528"/>
      <c r="BY40" s="559">
        <f t="shared" si="51"/>
        <v>43693.541666666577</v>
      </c>
      <c r="BZ40" s="567">
        <f t="shared" si="48"/>
        <v>43693.374999999913</v>
      </c>
      <c r="CA40" s="629"/>
      <c r="CB40" s="809"/>
      <c r="CC40" s="814"/>
    </row>
    <row r="41" spans="1:82" s="16" customFormat="1">
      <c r="A41" s="513">
        <f>Construction!E41</f>
        <v>1000</v>
      </c>
      <c r="C41" s="56">
        <f ca="1">Production!H41</f>
        <v>3352249</v>
      </c>
      <c r="D41" s="26">
        <f ca="1">Production!J41</f>
        <v>285765</v>
      </c>
      <c r="E41" s="26">
        <f ca="1">Production!L41</f>
        <v>231000</v>
      </c>
      <c r="F41" s="57">
        <f ca="1">Production!M41</f>
        <v>20000</v>
      </c>
      <c r="G41" s="26"/>
      <c r="H41" s="56">
        <f ca="1">Military!Z41</f>
        <v>3695</v>
      </c>
      <c r="I41" s="540">
        <f ca="1">Population!I41</f>
        <v>1</v>
      </c>
      <c r="J41" s="165">
        <f ca="1">Population!F41/Population!U41</f>
        <v>1</v>
      </c>
      <c r="K41" s="1005">
        <f>Rezone!J41</f>
        <v>39</v>
      </c>
      <c r="L41" s="584">
        <f t="shared" si="49"/>
        <v>43693.583333333241</v>
      </c>
      <c r="M41" s="316">
        <f t="shared" si="26"/>
        <v>0</v>
      </c>
      <c r="N41" s="641">
        <f t="shared" si="27"/>
        <v>1000</v>
      </c>
      <c r="O41" s="423" t="s">
        <v>4</v>
      </c>
      <c r="P41" s="370"/>
      <c r="Q41" s="424" t="s">
        <v>223</v>
      </c>
      <c r="R41" s="423" t="s">
        <v>7</v>
      </c>
      <c r="S41" s="370"/>
      <c r="T41" s="425" t="s">
        <v>223</v>
      </c>
      <c r="U41" s="424" t="s">
        <v>3</v>
      </c>
      <c r="V41" s="370"/>
      <c r="W41" s="425" t="s">
        <v>223</v>
      </c>
      <c r="Y41" s="524">
        <f ca="1">science_cap*(1-EXP(-AF41/(science_param*($A42-Explore!$S42*20)+15000)))*(1+(mason_bonus*Construction!BB41/Construction!BS41))+IF(Overview!$B$14="Beastfolk",Construction!DA41/Construction!E41,0)*(1 + Production!O41/100*prestige_pop_multiplier)</f>
        <v>0</v>
      </c>
      <c r="Z41" s="284">
        <f ca="1">keep_cap*(1-EXP(-AG41/(keep_param*($A42-Explore!$S42*20)+15000)))*(1+(mason_bonus*Construction!BB41/Construction!BS41))+IF(Overview!$B$14="Beastfolk",Construction!DF41/Construction!E41,0)*(1 + Production!O41/100*prestige_pop_multiplier)</f>
        <v>0</v>
      </c>
      <c r="AA41" s="284">
        <f ca="1">harbor_towers_cap*(1-EXP(-AH41/(harbor_towers_param*($A42-Explore!$S42*20)+15000)))*(1+(mason_bonus*Construction!BB41/Construction!BS41))+IF(Overview!$B$14="Beastfolk",2*Construction!DC41/Construction!E41,0)*(1 + Production!O41/100*prestige_pop_multiplier)</f>
        <v>0</v>
      </c>
      <c r="AB41" s="284">
        <f ca="1">walls_forges_cap*(1-EXP(-AI41/(walls_forges_param*($A42-Explore!$S42*20)+15000)))*(1+(mason_bonus*Construction!BB41/Construction!BS41))+IF(Overview!$B$14="Beastfolk",0.2*Construction!CY41/Construction!E41,0)</f>
        <v>0</v>
      </c>
      <c r="AC41" s="284">
        <f ca="1">walls_forges_cap*(1-EXP(-AJ41/(walls_forges_param*($A42-Explore!$S42*20)+15000)))*(1+(mason_bonus*Construction!BB41/Construction!BS41))+IF(Overview!$B$14="Beastfolk",5*Construction!DB41/Construction!E41,0)</f>
        <v>0</v>
      </c>
      <c r="AD41" s="97">
        <f ca="1">harbor_towers_cap*(1-EXP(-AK41/(harbor_towers_param*($A42-Explore!$S42*20)+15000)))*(1+(mason_bonus*Construction!BB41/Construction!BS41))+IF(Overview!$B$14="Beastfolk",Construction!DE41/Construction!E41)*(1 + Production!O41/100*prestige_pop_multiplier)</f>
        <v>0</v>
      </c>
      <c r="AF41" s="56">
        <f ca="1">(1+Overview!$O$28+IF(Magic!BA41&gt;0,0.1,0))*SUM(AR41:AU41)</f>
        <v>0</v>
      </c>
      <c r="AG41" s="26">
        <f ca="1">(1+Overview!$O$28+IF(Magic!BA41&gt;0,0.1,0))*SUM(AW41:AZ41)</f>
        <v>0</v>
      </c>
      <c r="AH41" s="164">
        <f ca="1">(1+Overview!$O$28+IF(Magic!BA41&gt;0,0.1,0))*SUM(BB41:BE41)</f>
        <v>0</v>
      </c>
      <c r="AI41" s="164">
        <f ca="1">(1+Overview!$O$28+IF(Magic!BA41&gt;0,0.1,0))*SUM(BG41:BJ41)</f>
        <v>0</v>
      </c>
      <c r="AJ41" s="164">
        <f ca="1">(1+Overview!$O$28+IF(Magic!BA41&gt;0,0.1,0))*SUM(BL41:BO41)</f>
        <v>0</v>
      </c>
      <c r="AK41" s="166">
        <f ca="1">(1+Overview!$O$28+IF(Magic!BA41&gt;0,0.1,0))*SUM(BQ41:BT41)</f>
        <v>0</v>
      </c>
      <c r="AM41" s="52">
        <f t="shared" si="52"/>
        <v>0</v>
      </c>
      <c r="AN41" s="16">
        <f t="shared" si="52"/>
        <v>0</v>
      </c>
      <c r="AO41" s="16">
        <f t="shared" si="52"/>
        <v>0</v>
      </c>
      <c r="AP41" s="53">
        <f t="shared" si="52"/>
        <v>0</v>
      </c>
      <c r="AR41" s="56">
        <f t="shared" si="29"/>
        <v>0</v>
      </c>
      <c r="AS41" s="26">
        <f t="shared" si="53"/>
        <v>0</v>
      </c>
      <c r="AT41" s="26">
        <f t="shared" si="53"/>
        <v>0</v>
      </c>
      <c r="AU41" s="57">
        <f t="shared" si="31"/>
        <v>0</v>
      </c>
      <c r="AW41" s="56">
        <f t="shared" si="32"/>
        <v>0</v>
      </c>
      <c r="AX41" s="26">
        <f t="shared" si="54"/>
        <v>0</v>
      </c>
      <c r="AY41" s="26">
        <f t="shared" si="54"/>
        <v>0</v>
      </c>
      <c r="AZ41" s="57">
        <f t="shared" si="34"/>
        <v>0</v>
      </c>
      <c r="BB41" s="56">
        <f t="shared" si="35"/>
        <v>0</v>
      </c>
      <c r="BC41" s="26">
        <f t="shared" si="36"/>
        <v>0</v>
      </c>
      <c r="BD41" s="26">
        <f t="shared" si="50"/>
        <v>0</v>
      </c>
      <c r="BE41" s="57">
        <f t="shared" si="37"/>
        <v>0</v>
      </c>
      <c r="BG41" s="56">
        <f t="shared" si="38"/>
        <v>0</v>
      </c>
      <c r="BH41" s="26">
        <f t="shared" si="55"/>
        <v>0</v>
      </c>
      <c r="BI41" s="26">
        <f t="shared" si="55"/>
        <v>0</v>
      </c>
      <c r="BJ41" s="57">
        <f t="shared" si="40"/>
        <v>0</v>
      </c>
      <c r="BL41" s="56">
        <f t="shared" si="41"/>
        <v>0</v>
      </c>
      <c r="BM41" s="26">
        <f t="shared" si="56"/>
        <v>0</v>
      </c>
      <c r="BN41" s="26">
        <f t="shared" si="56"/>
        <v>0</v>
      </c>
      <c r="BO41" s="57">
        <f t="shared" si="43"/>
        <v>0</v>
      </c>
      <c r="BQ41" s="56">
        <f t="shared" si="44"/>
        <v>0</v>
      </c>
      <c r="BR41" s="26">
        <f t="shared" si="57"/>
        <v>0</v>
      </c>
      <c r="BS41" s="26">
        <f t="shared" si="57"/>
        <v>0</v>
      </c>
      <c r="BT41" s="57">
        <f t="shared" si="46"/>
        <v>0</v>
      </c>
      <c r="BV41" s="52" t="e">
        <f>OR(Production!C41,Construction!N41:'Construction'!AF41,Construction!BV41:CN41,Explore!S41:Z41,Military!AF41:AL41,Military!X41,Military!BE41:BL41,Rezone!L41:R41,Magic!G41:Q41)</f>
        <v>#VALUE!</v>
      </c>
      <c r="BW41" s="527">
        <f t="shared" si="47"/>
        <v>0</v>
      </c>
      <c r="BX41" s="527"/>
      <c r="BY41" s="557">
        <f t="shared" si="51"/>
        <v>43693.583333333241</v>
      </c>
      <c r="BZ41" s="565">
        <f t="shared" si="48"/>
        <v>43693.416666666577</v>
      </c>
      <c r="CA41" s="806"/>
      <c r="CB41" s="807"/>
      <c r="CC41" s="812"/>
    </row>
    <row r="42" spans="1:82" s="16" customFormat="1">
      <c r="A42" s="513">
        <f>Construction!E42</f>
        <v>1000</v>
      </c>
      <c r="C42" s="56">
        <f ca="1">Production!H42</f>
        <v>3362900</v>
      </c>
      <c r="D42" s="26">
        <f ca="1">Production!J42</f>
        <v>285407</v>
      </c>
      <c r="E42" s="26">
        <f ca="1">Production!L42</f>
        <v>231000</v>
      </c>
      <c r="F42" s="57">
        <f ca="1">Production!M42</f>
        <v>20000</v>
      </c>
      <c r="G42" s="26"/>
      <c r="H42" s="56">
        <f ca="1">Military!Z42</f>
        <v>3695</v>
      </c>
      <c r="I42" s="540">
        <f ca="1">Population!I42</f>
        <v>1</v>
      </c>
      <c r="J42" s="165">
        <f ca="1">Population!F42/Population!U42</f>
        <v>1</v>
      </c>
      <c r="K42" s="1005">
        <f>Rezone!J42</f>
        <v>40</v>
      </c>
      <c r="L42" s="584">
        <f t="shared" si="49"/>
        <v>43693.624999999905</v>
      </c>
      <c r="M42" s="316">
        <f t="shared" si="26"/>
        <v>0</v>
      </c>
      <c r="N42" s="641">
        <f t="shared" si="27"/>
        <v>1000</v>
      </c>
      <c r="O42" s="423" t="s">
        <v>4</v>
      </c>
      <c r="P42" s="370"/>
      <c r="Q42" s="424" t="s">
        <v>223</v>
      </c>
      <c r="R42" s="423" t="s">
        <v>7</v>
      </c>
      <c r="S42" s="370"/>
      <c r="T42" s="425" t="s">
        <v>223</v>
      </c>
      <c r="U42" s="424" t="s">
        <v>3</v>
      </c>
      <c r="V42" s="370"/>
      <c r="W42" s="425" t="s">
        <v>223</v>
      </c>
      <c r="Y42" s="524">
        <f ca="1">science_cap*(1-EXP(-AF42/(science_param*($A43-Explore!$S43*20)+15000)))*(1+(mason_bonus*Construction!BB42/Construction!BS42))+IF(Overview!$B$14="Beastfolk",Construction!DA42/Construction!E42,0)*(1 + Production!O42/100*prestige_pop_multiplier)</f>
        <v>0</v>
      </c>
      <c r="Z42" s="284">
        <f ca="1">keep_cap*(1-EXP(-AG42/(keep_param*($A43-Explore!$S43*20)+15000)))*(1+(mason_bonus*Construction!BB42/Construction!BS42))+IF(Overview!$B$14="Beastfolk",Construction!DF42/Construction!E42,0)*(1 + Production!O42/100*prestige_pop_multiplier)</f>
        <v>0</v>
      </c>
      <c r="AA42" s="284">
        <f ca="1">harbor_towers_cap*(1-EXP(-AH42/(harbor_towers_param*($A43-Explore!$S43*20)+15000)))*(1+(mason_bonus*Construction!BB42/Construction!BS42))+IF(Overview!$B$14="Beastfolk",2*Construction!DC42/Construction!E42,0)*(1 + Production!O42/100*prestige_pop_multiplier)</f>
        <v>0</v>
      </c>
      <c r="AB42" s="284">
        <f ca="1">walls_forges_cap*(1-EXP(-AI42/(walls_forges_param*($A43-Explore!$S43*20)+15000)))*(1+(mason_bonus*Construction!BB42/Construction!BS42))+IF(Overview!$B$14="Beastfolk",0.2*Construction!CY42/Construction!E42,0)</f>
        <v>0</v>
      </c>
      <c r="AC42" s="284">
        <f ca="1">walls_forges_cap*(1-EXP(-AJ42/(walls_forges_param*($A43-Explore!$S43*20)+15000)))*(1+(mason_bonus*Construction!BB42/Construction!BS42))+IF(Overview!$B$14="Beastfolk",5*Construction!DB42/Construction!E42,0)</f>
        <v>0</v>
      </c>
      <c r="AD42" s="97">
        <f ca="1">harbor_towers_cap*(1-EXP(-AK42/(harbor_towers_param*($A43-Explore!$S43*20)+15000)))*(1+(mason_bonus*Construction!BB42/Construction!BS42))+IF(Overview!$B$14="Beastfolk",Construction!DE42/Construction!E42)*(1 + Production!O42/100*prestige_pop_multiplier)</f>
        <v>0</v>
      </c>
      <c r="AF42" s="56">
        <f ca="1">(1+Overview!$O$28+IF(Magic!BA42&gt;0,0.1,0))*SUM(AR42:AU42)</f>
        <v>0</v>
      </c>
      <c r="AG42" s="26">
        <f ca="1">(1+Overview!$O$28+IF(Magic!BA42&gt;0,0.1,0))*SUM(AW42:AZ42)</f>
        <v>0</v>
      </c>
      <c r="AH42" s="164">
        <f ca="1">(1+Overview!$O$28+IF(Magic!BA42&gt;0,0.1,0))*SUM(BB42:BE42)</f>
        <v>0</v>
      </c>
      <c r="AI42" s="164">
        <f ca="1">(1+Overview!$O$28+IF(Magic!BA42&gt;0,0.1,0))*SUM(BG42:BJ42)</f>
        <v>0</v>
      </c>
      <c r="AJ42" s="164">
        <f ca="1">(1+Overview!$O$28+IF(Magic!BA42&gt;0,0.1,0))*SUM(BL42:BO42)</f>
        <v>0</v>
      </c>
      <c r="AK42" s="166">
        <f ca="1">(1+Overview!$O$28+IF(Magic!BA42&gt;0,0.1,0))*SUM(BQ42:BT42)</f>
        <v>0</v>
      </c>
      <c r="AM42" s="52">
        <f t="shared" si="52"/>
        <v>0</v>
      </c>
      <c r="AN42" s="16">
        <f t="shared" si="52"/>
        <v>0</v>
      </c>
      <c r="AO42" s="16">
        <f t="shared" si="52"/>
        <v>0</v>
      </c>
      <c r="AP42" s="53">
        <f t="shared" si="52"/>
        <v>0</v>
      </c>
      <c r="AR42" s="56">
        <f t="shared" si="29"/>
        <v>0</v>
      </c>
      <c r="AS42" s="26">
        <f t="shared" si="53"/>
        <v>0</v>
      </c>
      <c r="AT42" s="26">
        <f t="shared" si="53"/>
        <v>0</v>
      </c>
      <c r="AU42" s="57">
        <f t="shared" si="31"/>
        <v>0</v>
      </c>
      <c r="AW42" s="56">
        <f t="shared" si="32"/>
        <v>0</v>
      </c>
      <c r="AX42" s="26">
        <f t="shared" si="54"/>
        <v>0</v>
      </c>
      <c r="AY42" s="26">
        <f t="shared" si="54"/>
        <v>0</v>
      </c>
      <c r="AZ42" s="57">
        <f t="shared" si="34"/>
        <v>0</v>
      </c>
      <c r="BB42" s="56">
        <f t="shared" si="35"/>
        <v>0</v>
      </c>
      <c r="BC42" s="26">
        <f t="shared" si="36"/>
        <v>0</v>
      </c>
      <c r="BD42" s="26">
        <f t="shared" si="50"/>
        <v>0</v>
      </c>
      <c r="BE42" s="57">
        <f t="shared" si="37"/>
        <v>0</v>
      </c>
      <c r="BG42" s="56">
        <f t="shared" si="38"/>
        <v>0</v>
      </c>
      <c r="BH42" s="26">
        <f t="shared" si="55"/>
        <v>0</v>
      </c>
      <c r="BI42" s="26">
        <f t="shared" si="55"/>
        <v>0</v>
      </c>
      <c r="BJ42" s="57">
        <f t="shared" si="40"/>
        <v>0</v>
      </c>
      <c r="BL42" s="56">
        <f t="shared" si="41"/>
        <v>0</v>
      </c>
      <c r="BM42" s="26">
        <f t="shared" si="56"/>
        <v>0</v>
      </c>
      <c r="BN42" s="26">
        <f t="shared" si="56"/>
        <v>0</v>
      </c>
      <c r="BO42" s="57">
        <f t="shared" si="43"/>
        <v>0</v>
      </c>
      <c r="BQ42" s="56">
        <f t="shared" si="44"/>
        <v>0</v>
      </c>
      <c r="BR42" s="26">
        <f t="shared" si="57"/>
        <v>0</v>
      </c>
      <c r="BS42" s="26">
        <f t="shared" si="57"/>
        <v>0</v>
      </c>
      <c r="BT42" s="57">
        <f t="shared" si="46"/>
        <v>0</v>
      </c>
      <c r="BV42" s="52" t="e">
        <f>OR(Production!C42,Construction!N42:'Construction'!AF42,Construction!BV42:CN42,Explore!S42:Z42,Military!AF42:AL42,Military!X42,Military!BE42:BL42,Rezone!L42:R42,Magic!G42:Q42)</f>
        <v>#VALUE!</v>
      </c>
      <c r="BW42" s="527">
        <f t="shared" si="47"/>
        <v>0</v>
      </c>
      <c r="BX42" s="527"/>
      <c r="BY42" s="557">
        <f t="shared" si="51"/>
        <v>43693.624999999905</v>
      </c>
      <c r="BZ42" s="565">
        <f t="shared" si="48"/>
        <v>43693.458333333241</v>
      </c>
      <c r="CA42" s="529"/>
      <c r="CB42" s="807"/>
      <c r="CC42" s="812"/>
    </row>
    <row r="43" spans="1:82" s="16" customFormat="1">
      <c r="A43" s="513">
        <f>Construction!E43</f>
        <v>1000</v>
      </c>
      <c r="C43" s="56">
        <f ca="1">Production!H43</f>
        <v>3373551</v>
      </c>
      <c r="D43" s="26">
        <f ca="1">Production!J43</f>
        <v>285053</v>
      </c>
      <c r="E43" s="26">
        <f ca="1">Production!L43</f>
        <v>231000</v>
      </c>
      <c r="F43" s="57">
        <f ca="1">Production!M43</f>
        <v>20000</v>
      </c>
      <c r="G43" s="26"/>
      <c r="H43" s="56">
        <f ca="1">Military!Z43</f>
        <v>3695</v>
      </c>
      <c r="I43" s="540">
        <f ca="1">Population!I43</f>
        <v>1</v>
      </c>
      <c r="J43" s="165">
        <f ca="1">Population!F43/Population!U43</f>
        <v>1</v>
      </c>
      <c r="K43" s="1005">
        <f>Rezone!J43</f>
        <v>41</v>
      </c>
      <c r="L43" s="584">
        <f t="shared" si="49"/>
        <v>43693.66666666657</v>
      </c>
      <c r="M43" s="316">
        <f t="shared" si="26"/>
        <v>0</v>
      </c>
      <c r="N43" s="641">
        <f t="shared" si="27"/>
        <v>1000</v>
      </c>
      <c r="O43" s="423" t="s">
        <v>4</v>
      </c>
      <c r="P43" s="370"/>
      <c r="Q43" s="424" t="s">
        <v>223</v>
      </c>
      <c r="R43" s="423" t="s">
        <v>7</v>
      </c>
      <c r="S43" s="370"/>
      <c r="T43" s="425" t="s">
        <v>223</v>
      </c>
      <c r="U43" s="424" t="s">
        <v>3</v>
      </c>
      <c r="V43" s="370"/>
      <c r="W43" s="425" t="s">
        <v>223</v>
      </c>
      <c r="Y43" s="524">
        <f ca="1">science_cap*(1-EXP(-AF43/(science_param*($A44-Explore!$S44*20)+15000)))*(1+(mason_bonus*Construction!BB43/Construction!BS43))+IF(Overview!$B$14="Beastfolk",Construction!DA43/Construction!E43,0)*(1 + Production!O43/100*prestige_pop_multiplier)</f>
        <v>0</v>
      </c>
      <c r="Z43" s="284">
        <f ca="1">keep_cap*(1-EXP(-AG43/(keep_param*($A44-Explore!$S44*20)+15000)))*(1+(mason_bonus*Construction!BB43/Construction!BS43))+IF(Overview!$B$14="Beastfolk",Construction!DF43/Construction!E43,0)*(1 + Production!O43/100*prestige_pop_multiplier)</f>
        <v>0</v>
      </c>
      <c r="AA43" s="284">
        <f ca="1">harbor_towers_cap*(1-EXP(-AH43/(harbor_towers_param*($A44-Explore!$S44*20)+15000)))*(1+(mason_bonus*Construction!BB43/Construction!BS43))+IF(Overview!$B$14="Beastfolk",2*Construction!DC43/Construction!E43,0)*(1 + Production!O43/100*prestige_pop_multiplier)</f>
        <v>0</v>
      </c>
      <c r="AB43" s="284">
        <f ca="1">walls_forges_cap*(1-EXP(-AI43/(walls_forges_param*($A44-Explore!$S44*20)+15000)))*(1+(mason_bonus*Construction!BB43/Construction!BS43))+IF(Overview!$B$14="Beastfolk",0.2*Construction!CY43/Construction!E43,0)</f>
        <v>0</v>
      </c>
      <c r="AC43" s="284">
        <f ca="1">walls_forges_cap*(1-EXP(-AJ43/(walls_forges_param*($A44-Explore!$S44*20)+15000)))*(1+(mason_bonus*Construction!BB43/Construction!BS43))+IF(Overview!$B$14="Beastfolk",5*Construction!DB43/Construction!E43,0)</f>
        <v>0</v>
      </c>
      <c r="AD43" s="97">
        <f ca="1">harbor_towers_cap*(1-EXP(-AK43/(harbor_towers_param*($A44-Explore!$S44*20)+15000)))*(1+(mason_bonus*Construction!BB43/Construction!BS43))+IF(Overview!$B$14="Beastfolk",Construction!DE43/Construction!E43)*(1 + Production!O43/100*prestige_pop_multiplier)</f>
        <v>0</v>
      </c>
      <c r="AF43" s="56">
        <f ca="1">(1+Overview!$O$28+IF(Magic!BA43&gt;0,0.1,0))*SUM(AR43:AU43)</f>
        <v>0</v>
      </c>
      <c r="AG43" s="26">
        <f ca="1">(1+Overview!$O$28+IF(Magic!BA43&gt;0,0.1,0))*SUM(AW43:AZ43)</f>
        <v>0</v>
      </c>
      <c r="AH43" s="164">
        <f ca="1">(1+Overview!$O$28+IF(Magic!BA43&gt;0,0.1,0))*SUM(BB43:BE43)</f>
        <v>0</v>
      </c>
      <c r="AI43" s="164">
        <f ca="1">(1+Overview!$O$28+IF(Magic!BA43&gt;0,0.1,0))*SUM(BG43:BJ43)</f>
        <v>0</v>
      </c>
      <c r="AJ43" s="164">
        <f ca="1">(1+Overview!$O$28+IF(Magic!BA43&gt;0,0.1,0))*SUM(BL43:BO43)</f>
        <v>0</v>
      </c>
      <c r="AK43" s="166">
        <f ca="1">(1+Overview!$O$28+IF(Magic!BA43&gt;0,0.1,0))*SUM(BQ43:BT43)</f>
        <v>0</v>
      </c>
      <c r="AM43" s="52">
        <f t="shared" si="52"/>
        <v>0</v>
      </c>
      <c r="AN43" s="16">
        <f t="shared" si="52"/>
        <v>0</v>
      </c>
      <c r="AO43" s="16">
        <f t="shared" si="52"/>
        <v>0</v>
      </c>
      <c r="AP43" s="53">
        <f t="shared" si="52"/>
        <v>0</v>
      </c>
      <c r="AR43" s="56">
        <f t="shared" si="29"/>
        <v>0</v>
      </c>
      <c r="AS43" s="26">
        <f t="shared" si="53"/>
        <v>0</v>
      </c>
      <c r="AT43" s="26">
        <f t="shared" si="53"/>
        <v>0</v>
      </c>
      <c r="AU43" s="57">
        <f t="shared" si="31"/>
        <v>0</v>
      </c>
      <c r="AW43" s="56">
        <f t="shared" si="32"/>
        <v>0</v>
      </c>
      <c r="AX43" s="26">
        <f t="shared" si="54"/>
        <v>0</v>
      </c>
      <c r="AY43" s="26">
        <f t="shared" si="54"/>
        <v>0</v>
      </c>
      <c r="AZ43" s="57">
        <f t="shared" si="34"/>
        <v>0</v>
      </c>
      <c r="BB43" s="56">
        <f t="shared" si="35"/>
        <v>0</v>
      </c>
      <c r="BC43" s="26">
        <f t="shared" si="36"/>
        <v>0</v>
      </c>
      <c r="BD43" s="26">
        <f t="shared" si="50"/>
        <v>0</v>
      </c>
      <c r="BE43" s="57">
        <f t="shared" si="37"/>
        <v>0</v>
      </c>
      <c r="BG43" s="56">
        <f t="shared" si="38"/>
        <v>0</v>
      </c>
      <c r="BH43" s="26">
        <f t="shared" si="55"/>
        <v>0</v>
      </c>
      <c r="BI43" s="26">
        <f t="shared" si="55"/>
        <v>0</v>
      </c>
      <c r="BJ43" s="57">
        <f t="shared" si="40"/>
        <v>0</v>
      </c>
      <c r="BL43" s="56">
        <f t="shared" si="41"/>
        <v>0</v>
      </c>
      <c r="BM43" s="26">
        <f t="shared" si="56"/>
        <v>0</v>
      </c>
      <c r="BN43" s="26">
        <f t="shared" si="56"/>
        <v>0</v>
      </c>
      <c r="BO43" s="57">
        <f t="shared" si="43"/>
        <v>0</v>
      </c>
      <c r="BQ43" s="56">
        <f t="shared" si="44"/>
        <v>0</v>
      </c>
      <c r="BR43" s="26">
        <f t="shared" si="57"/>
        <v>0</v>
      </c>
      <c r="BS43" s="26">
        <f t="shared" si="57"/>
        <v>0</v>
      </c>
      <c r="BT43" s="57">
        <f t="shared" si="46"/>
        <v>0</v>
      </c>
      <c r="BV43" s="52" t="e">
        <f>OR(Production!C43,Construction!N43:'Construction'!AF43,Construction!BV43:CN43,Explore!S43:Z43,Military!AF43:AL43,Military!X43,Military!BE43:BL43,Rezone!L43:R43,Magic!G43:Q43)</f>
        <v>#VALUE!</v>
      </c>
      <c r="BW43" s="527">
        <f t="shared" si="47"/>
        <v>0</v>
      </c>
      <c r="BX43" s="527"/>
      <c r="BY43" s="557">
        <f t="shared" si="51"/>
        <v>43693.66666666657</v>
      </c>
      <c r="BZ43" s="565">
        <f t="shared" si="48"/>
        <v>43693.499999999905</v>
      </c>
      <c r="CA43" s="529"/>
      <c r="CB43" s="807"/>
      <c r="CC43" s="812"/>
    </row>
    <row r="44" spans="1:82" s="16" customFormat="1">
      <c r="A44" s="513">
        <f>Construction!E44</f>
        <v>1000</v>
      </c>
      <c r="C44" s="56">
        <f ca="1">Production!H44</f>
        <v>3384202</v>
      </c>
      <c r="D44" s="26">
        <f ca="1">Production!J44</f>
        <v>284702</v>
      </c>
      <c r="E44" s="26">
        <f ca="1">Production!L44</f>
        <v>231000</v>
      </c>
      <c r="F44" s="57">
        <f ca="1">Production!M44</f>
        <v>20000</v>
      </c>
      <c r="G44" s="26"/>
      <c r="H44" s="56">
        <f ca="1">Military!Z44</f>
        <v>3695</v>
      </c>
      <c r="I44" s="540">
        <f ca="1">Population!I44</f>
        <v>1</v>
      </c>
      <c r="J44" s="165">
        <f ca="1">Population!F44/Population!U44</f>
        <v>1</v>
      </c>
      <c r="K44" s="1005">
        <f>Rezone!J44</f>
        <v>42</v>
      </c>
      <c r="L44" s="584">
        <f t="shared" si="49"/>
        <v>43693.708333333234</v>
      </c>
      <c r="M44" s="316">
        <f t="shared" si="26"/>
        <v>0</v>
      </c>
      <c r="N44" s="641">
        <f t="shared" si="27"/>
        <v>1000</v>
      </c>
      <c r="O44" s="423" t="s">
        <v>4</v>
      </c>
      <c r="P44" s="370"/>
      <c r="Q44" s="424" t="s">
        <v>223</v>
      </c>
      <c r="R44" s="423" t="s">
        <v>7</v>
      </c>
      <c r="S44" s="370"/>
      <c r="T44" s="425" t="s">
        <v>223</v>
      </c>
      <c r="U44" s="424" t="s">
        <v>3</v>
      </c>
      <c r="V44" s="370"/>
      <c r="W44" s="425" t="s">
        <v>223</v>
      </c>
      <c r="Y44" s="524">
        <f ca="1">science_cap*(1-EXP(-AF44/(science_param*($A45-Explore!$S45*20)+15000)))*(1+(mason_bonus*Construction!BB44/Construction!BS44))+IF(Overview!$B$14="Beastfolk",Construction!DA44/Construction!E44,0)*(1 + Production!O44/100*prestige_pop_multiplier)</f>
        <v>0</v>
      </c>
      <c r="Z44" s="284">
        <f ca="1">keep_cap*(1-EXP(-AG44/(keep_param*($A45-Explore!$S45*20)+15000)))*(1+(mason_bonus*Construction!BB44/Construction!BS44))+IF(Overview!$B$14="Beastfolk",Construction!DF44/Construction!E44,0)*(1 + Production!O44/100*prestige_pop_multiplier)</f>
        <v>0</v>
      </c>
      <c r="AA44" s="284">
        <f ca="1">harbor_towers_cap*(1-EXP(-AH44/(harbor_towers_param*($A45-Explore!$S45*20)+15000)))*(1+(mason_bonus*Construction!BB44/Construction!BS44))+IF(Overview!$B$14="Beastfolk",2*Construction!DC44/Construction!E44,0)*(1 + Production!O44/100*prestige_pop_multiplier)</f>
        <v>0</v>
      </c>
      <c r="AB44" s="284">
        <f ca="1">walls_forges_cap*(1-EXP(-AI44/(walls_forges_param*($A45-Explore!$S45*20)+15000)))*(1+(mason_bonus*Construction!BB44/Construction!BS44))+IF(Overview!$B$14="Beastfolk",0.2*Construction!CY44/Construction!E44,0)</f>
        <v>0</v>
      </c>
      <c r="AC44" s="284">
        <f ca="1">walls_forges_cap*(1-EXP(-AJ44/(walls_forges_param*($A45-Explore!$S45*20)+15000)))*(1+(mason_bonus*Construction!BB44/Construction!BS44))+IF(Overview!$B$14="Beastfolk",5*Construction!DB44/Construction!E44,0)</f>
        <v>0</v>
      </c>
      <c r="AD44" s="97">
        <f ca="1">harbor_towers_cap*(1-EXP(-AK44/(harbor_towers_param*($A45-Explore!$S45*20)+15000)))*(1+(mason_bonus*Construction!BB44/Construction!BS44))+IF(Overview!$B$14="Beastfolk",Construction!DE44/Construction!E44)*(1 + Production!O44/100*prestige_pop_multiplier)</f>
        <v>0</v>
      </c>
      <c r="AF44" s="56">
        <f ca="1">(1+Overview!$O$28+IF(Magic!BA44&gt;0,0.1,0))*SUM(AR44:AU44)</f>
        <v>0</v>
      </c>
      <c r="AG44" s="26">
        <f ca="1">(1+Overview!$O$28+IF(Magic!BA44&gt;0,0.1,0))*SUM(AW44:AZ44)</f>
        <v>0</v>
      </c>
      <c r="AH44" s="164">
        <f ca="1">(1+Overview!$O$28+IF(Magic!BA44&gt;0,0.1,0))*SUM(BB44:BE44)</f>
        <v>0</v>
      </c>
      <c r="AI44" s="164">
        <f ca="1">(1+Overview!$O$28+IF(Magic!BA44&gt;0,0.1,0))*SUM(BG44:BJ44)</f>
        <v>0</v>
      </c>
      <c r="AJ44" s="164">
        <f ca="1">(1+Overview!$O$28+IF(Magic!BA44&gt;0,0.1,0))*SUM(BL44:BO44)</f>
        <v>0</v>
      </c>
      <c r="AK44" s="166">
        <f ca="1">(1+Overview!$O$28+IF(Magic!BA44&gt;0,0.1,0))*SUM(BQ44:BT44)</f>
        <v>0</v>
      </c>
      <c r="AM44" s="52">
        <f t="shared" si="52"/>
        <v>0</v>
      </c>
      <c r="AN44" s="16">
        <f t="shared" si="52"/>
        <v>0</v>
      </c>
      <c r="AO44" s="16">
        <f t="shared" si="52"/>
        <v>0</v>
      </c>
      <c r="AP44" s="53">
        <f t="shared" si="52"/>
        <v>0</v>
      </c>
      <c r="AR44" s="56">
        <f t="shared" si="29"/>
        <v>0</v>
      </c>
      <c r="AS44" s="26">
        <f t="shared" si="53"/>
        <v>0</v>
      </c>
      <c r="AT44" s="26">
        <f t="shared" si="53"/>
        <v>0</v>
      </c>
      <c r="AU44" s="57">
        <f t="shared" si="31"/>
        <v>0</v>
      </c>
      <c r="AW44" s="56">
        <f t="shared" si="32"/>
        <v>0</v>
      </c>
      <c r="AX44" s="26">
        <f t="shared" si="54"/>
        <v>0</v>
      </c>
      <c r="AY44" s="26">
        <f t="shared" si="54"/>
        <v>0</v>
      </c>
      <c r="AZ44" s="57">
        <f t="shared" si="34"/>
        <v>0</v>
      </c>
      <c r="BB44" s="56">
        <f t="shared" si="35"/>
        <v>0</v>
      </c>
      <c r="BC44" s="26">
        <f t="shared" si="36"/>
        <v>0</v>
      </c>
      <c r="BD44" s="26">
        <f t="shared" si="50"/>
        <v>0</v>
      </c>
      <c r="BE44" s="57">
        <f t="shared" si="37"/>
        <v>0</v>
      </c>
      <c r="BG44" s="56">
        <f t="shared" si="38"/>
        <v>0</v>
      </c>
      <c r="BH44" s="26">
        <f t="shared" si="55"/>
        <v>0</v>
      </c>
      <c r="BI44" s="26">
        <f t="shared" si="55"/>
        <v>0</v>
      </c>
      <c r="BJ44" s="57">
        <f t="shared" si="40"/>
        <v>0</v>
      </c>
      <c r="BL44" s="56">
        <f t="shared" si="41"/>
        <v>0</v>
      </c>
      <c r="BM44" s="26">
        <f t="shared" si="56"/>
        <v>0</v>
      </c>
      <c r="BN44" s="26">
        <f t="shared" si="56"/>
        <v>0</v>
      </c>
      <c r="BO44" s="57">
        <f t="shared" si="43"/>
        <v>0</v>
      </c>
      <c r="BQ44" s="56">
        <f t="shared" si="44"/>
        <v>0</v>
      </c>
      <c r="BR44" s="26">
        <f t="shared" si="57"/>
        <v>0</v>
      </c>
      <c r="BS44" s="26">
        <f t="shared" si="57"/>
        <v>0</v>
      </c>
      <c r="BT44" s="57">
        <f t="shared" si="46"/>
        <v>0</v>
      </c>
      <c r="BV44" s="52" t="e">
        <f>OR(Production!C44,Construction!N44:'Construction'!AF44,Construction!BV44:CN44,Explore!S44:Z44,Military!AF44:AL44,Military!X44,Military!BE44:BL44,Rezone!L44:R44,Magic!G44:Q44)</f>
        <v>#VALUE!</v>
      </c>
      <c r="BW44" s="527">
        <f t="shared" si="47"/>
        <v>0</v>
      </c>
      <c r="BX44" s="527"/>
      <c r="BY44" s="557">
        <f t="shared" si="51"/>
        <v>43693.708333333234</v>
      </c>
      <c r="BZ44" s="565">
        <f t="shared" si="48"/>
        <v>43693.54166666657</v>
      </c>
      <c r="CA44" s="529"/>
      <c r="CB44" s="807"/>
      <c r="CC44" s="812"/>
    </row>
    <row r="45" spans="1:82" s="16" customFormat="1">
      <c r="A45" s="513">
        <f>Construction!E45</f>
        <v>1000</v>
      </c>
      <c r="C45" s="56">
        <f ca="1">Production!H45</f>
        <v>3394853</v>
      </c>
      <c r="D45" s="26">
        <f ca="1">Production!J45</f>
        <v>284355</v>
      </c>
      <c r="E45" s="26">
        <f ca="1">Production!L45</f>
        <v>231000</v>
      </c>
      <c r="F45" s="57">
        <f ca="1">Production!M45</f>
        <v>20000</v>
      </c>
      <c r="G45" s="26"/>
      <c r="H45" s="56">
        <f ca="1">Military!Z45</f>
        <v>3695</v>
      </c>
      <c r="I45" s="540">
        <f ca="1">Population!I45</f>
        <v>1</v>
      </c>
      <c r="J45" s="165">
        <f ca="1">Population!F45/Population!U45</f>
        <v>1</v>
      </c>
      <c r="K45" s="1005">
        <f>Rezone!J45</f>
        <v>43</v>
      </c>
      <c r="L45" s="584">
        <f t="shared" si="49"/>
        <v>43693.749999999898</v>
      </c>
      <c r="M45" s="316">
        <f t="shared" si="26"/>
        <v>0</v>
      </c>
      <c r="N45" s="641">
        <f t="shared" si="27"/>
        <v>1000</v>
      </c>
      <c r="O45" s="423" t="s">
        <v>4</v>
      </c>
      <c r="P45" s="370"/>
      <c r="Q45" s="424" t="s">
        <v>223</v>
      </c>
      <c r="R45" s="423" t="s">
        <v>7</v>
      </c>
      <c r="S45" s="370"/>
      <c r="T45" s="425" t="s">
        <v>223</v>
      </c>
      <c r="U45" s="424" t="s">
        <v>3</v>
      </c>
      <c r="V45" s="370"/>
      <c r="W45" s="425" t="s">
        <v>223</v>
      </c>
      <c r="Y45" s="524">
        <f ca="1">science_cap*(1-EXP(-AF45/(science_param*($A46-Explore!$S46*20)+15000)))*(1+(mason_bonus*Construction!BB45/Construction!BS45))+IF(Overview!$B$14="Beastfolk",Construction!DA45/Construction!E45,0)*(1 + Production!O45/100*prestige_pop_multiplier)</f>
        <v>0</v>
      </c>
      <c r="Z45" s="284">
        <f ca="1">keep_cap*(1-EXP(-AG45/(keep_param*($A46-Explore!$S46*20)+15000)))*(1+(mason_bonus*Construction!BB45/Construction!BS45))+IF(Overview!$B$14="Beastfolk",Construction!DF45/Construction!E45,0)*(1 + Production!O45/100*prestige_pop_multiplier)</f>
        <v>0</v>
      </c>
      <c r="AA45" s="284">
        <f ca="1">harbor_towers_cap*(1-EXP(-AH45/(harbor_towers_param*($A46-Explore!$S46*20)+15000)))*(1+(mason_bonus*Construction!BB45/Construction!BS45))+IF(Overview!$B$14="Beastfolk",2*Construction!DC45/Construction!E45,0)*(1 + Production!O45/100*prestige_pop_multiplier)</f>
        <v>0</v>
      </c>
      <c r="AB45" s="284">
        <f ca="1">walls_forges_cap*(1-EXP(-AI45/(walls_forges_param*($A46-Explore!$S46*20)+15000)))*(1+(mason_bonus*Construction!BB45/Construction!BS45))+IF(Overview!$B$14="Beastfolk",0.2*Construction!CY45/Construction!E45,0)</f>
        <v>0</v>
      </c>
      <c r="AC45" s="284">
        <f ca="1">walls_forges_cap*(1-EXP(-AJ45/(walls_forges_param*($A46-Explore!$S46*20)+15000)))*(1+(mason_bonus*Construction!BB45/Construction!BS45))+IF(Overview!$B$14="Beastfolk",5*Construction!DB45/Construction!E45,0)</f>
        <v>0</v>
      </c>
      <c r="AD45" s="97">
        <f ca="1">harbor_towers_cap*(1-EXP(-AK45/(harbor_towers_param*($A46-Explore!$S46*20)+15000)))*(1+(mason_bonus*Construction!BB45/Construction!BS45))+IF(Overview!$B$14="Beastfolk",Construction!DE45/Construction!E45)*(1 + Production!O45/100*prestige_pop_multiplier)</f>
        <v>0</v>
      </c>
      <c r="AF45" s="56">
        <f ca="1">(1+Overview!$O$28+IF(Magic!BA45&gt;0,0.1,0))*SUM(AR45:AU45)</f>
        <v>0</v>
      </c>
      <c r="AG45" s="26">
        <f ca="1">(1+Overview!$O$28+IF(Magic!BA45&gt;0,0.1,0))*SUM(AW45:AZ45)</f>
        <v>0</v>
      </c>
      <c r="AH45" s="164">
        <f ca="1">(1+Overview!$O$28+IF(Magic!BA45&gt;0,0.1,0))*SUM(BB45:BE45)</f>
        <v>0</v>
      </c>
      <c r="AI45" s="164">
        <f ca="1">(1+Overview!$O$28+IF(Magic!BA45&gt;0,0.1,0))*SUM(BG45:BJ45)</f>
        <v>0</v>
      </c>
      <c r="AJ45" s="164">
        <f ca="1">(1+Overview!$O$28+IF(Magic!BA45&gt;0,0.1,0))*SUM(BL45:BO45)</f>
        <v>0</v>
      </c>
      <c r="AK45" s="166">
        <f ca="1">(1+Overview!$O$28+IF(Magic!BA45&gt;0,0.1,0))*SUM(BQ45:BT45)</f>
        <v>0</v>
      </c>
      <c r="AM45" s="52">
        <f t="shared" si="52"/>
        <v>0</v>
      </c>
      <c r="AN45" s="16">
        <f t="shared" si="52"/>
        <v>0</v>
      </c>
      <c r="AO45" s="16">
        <f t="shared" si="52"/>
        <v>0</v>
      </c>
      <c r="AP45" s="53">
        <f t="shared" si="52"/>
        <v>0</v>
      </c>
      <c r="AR45" s="56">
        <f t="shared" si="29"/>
        <v>0</v>
      </c>
      <c r="AS45" s="26">
        <f t="shared" si="53"/>
        <v>0</v>
      </c>
      <c r="AT45" s="26">
        <f t="shared" si="53"/>
        <v>0</v>
      </c>
      <c r="AU45" s="57">
        <f t="shared" si="31"/>
        <v>0</v>
      </c>
      <c r="AW45" s="56">
        <f t="shared" si="32"/>
        <v>0</v>
      </c>
      <c r="AX45" s="26">
        <f t="shared" si="54"/>
        <v>0</v>
      </c>
      <c r="AY45" s="26">
        <f t="shared" si="54"/>
        <v>0</v>
      </c>
      <c r="AZ45" s="57">
        <f t="shared" si="34"/>
        <v>0</v>
      </c>
      <c r="BB45" s="56">
        <f t="shared" si="35"/>
        <v>0</v>
      </c>
      <c r="BC45" s="26">
        <f t="shared" si="36"/>
        <v>0</v>
      </c>
      <c r="BD45" s="26">
        <f t="shared" si="50"/>
        <v>0</v>
      </c>
      <c r="BE45" s="57">
        <f t="shared" si="37"/>
        <v>0</v>
      </c>
      <c r="BG45" s="56">
        <f t="shared" si="38"/>
        <v>0</v>
      </c>
      <c r="BH45" s="26">
        <f t="shared" si="55"/>
        <v>0</v>
      </c>
      <c r="BI45" s="26">
        <f t="shared" si="55"/>
        <v>0</v>
      </c>
      <c r="BJ45" s="57">
        <f t="shared" si="40"/>
        <v>0</v>
      </c>
      <c r="BL45" s="56">
        <f t="shared" si="41"/>
        <v>0</v>
      </c>
      <c r="BM45" s="26">
        <f t="shared" si="56"/>
        <v>0</v>
      </c>
      <c r="BN45" s="26">
        <f t="shared" si="56"/>
        <v>0</v>
      </c>
      <c r="BO45" s="57">
        <f t="shared" si="43"/>
        <v>0</v>
      </c>
      <c r="BQ45" s="56">
        <f t="shared" si="44"/>
        <v>0</v>
      </c>
      <c r="BR45" s="26">
        <f t="shared" si="57"/>
        <v>0</v>
      </c>
      <c r="BS45" s="26">
        <f t="shared" si="57"/>
        <v>0</v>
      </c>
      <c r="BT45" s="57">
        <f t="shared" si="46"/>
        <v>0</v>
      </c>
      <c r="BV45" s="52" t="e">
        <f>OR(Production!C45,Construction!N45:'Construction'!AF45,Construction!BV45:CN45,Explore!S45:Z45,Military!AF45:AL45,Military!X45,Military!BE45:BL45,Rezone!L45:R45,Magic!G45:Q45)</f>
        <v>#VALUE!</v>
      </c>
      <c r="BW45" s="527">
        <f t="shared" si="47"/>
        <v>0</v>
      </c>
      <c r="BX45" s="527"/>
      <c r="BY45" s="557">
        <f t="shared" si="51"/>
        <v>43693.749999999898</v>
      </c>
      <c r="BZ45" s="565">
        <f t="shared" si="48"/>
        <v>43693.583333333234</v>
      </c>
      <c r="CA45" s="529"/>
      <c r="CB45" s="807"/>
      <c r="CC45" s="812"/>
    </row>
    <row r="46" spans="1:82" s="16" customFormat="1">
      <c r="A46" s="513">
        <f>Construction!E46</f>
        <v>1000</v>
      </c>
      <c r="C46" s="56">
        <f ca="1">Production!H46</f>
        <v>3405504</v>
      </c>
      <c r="D46" s="26">
        <f ca="1">Production!J46</f>
        <v>284011</v>
      </c>
      <c r="E46" s="26">
        <f ca="1">Production!L46</f>
        <v>231000</v>
      </c>
      <c r="F46" s="57">
        <f ca="1">Production!M46</f>
        <v>20000</v>
      </c>
      <c r="G46" s="26"/>
      <c r="H46" s="56">
        <f ca="1">Military!Z46</f>
        <v>3695</v>
      </c>
      <c r="I46" s="540">
        <f ca="1">Population!I46</f>
        <v>1</v>
      </c>
      <c r="J46" s="165">
        <f ca="1">Population!F46/Population!U46</f>
        <v>1</v>
      </c>
      <c r="K46" s="1005">
        <f>Rezone!J46</f>
        <v>44</v>
      </c>
      <c r="L46" s="584">
        <f t="shared" si="49"/>
        <v>43693.791666666562</v>
      </c>
      <c r="M46" s="316">
        <f t="shared" si="26"/>
        <v>0</v>
      </c>
      <c r="N46" s="641">
        <f t="shared" si="27"/>
        <v>1000</v>
      </c>
      <c r="O46" s="423" t="s">
        <v>4</v>
      </c>
      <c r="P46" s="370"/>
      <c r="Q46" s="424" t="s">
        <v>223</v>
      </c>
      <c r="R46" s="423" t="s">
        <v>7</v>
      </c>
      <c r="S46" s="370"/>
      <c r="T46" s="425" t="s">
        <v>223</v>
      </c>
      <c r="U46" s="424" t="s">
        <v>3</v>
      </c>
      <c r="V46" s="370"/>
      <c r="W46" s="425" t="s">
        <v>223</v>
      </c>
      <c r="Y46" s="524">
        <f ca="1">science_cap*(1-EXP(-AF46/(science_param*($A47-Explore!$S47*20)+15000)))*(1+(mason_bonus*Construction!BB46/Construction!BS46))+IF(Overview!$B$14="Beastfolk",Construction!DA46/Construction!E46,0)*(1 + Production!O46/100*prestige_pop_multiplier)</f>
        <v>0</v>
      </c>
      <c r="Z46" s="284">
        <f ca="1">keep_cap*(1-EXP(-AG46/(keep_param*($A47-Explore!$S47*20)+15000)))*(1+(mason_bonus*Construction!BB46/Construction!BS46))+IF(Overview!$B$14="Beastfolk",Construction!DF46/Construction!E46,0)*(1 + Production!O46/100*prestige_pop_multiplier)</f>
        <v>0</v>
      </c>
      <c r="AA46" s="284">
        <f ca="1">harbor_towers_cap*(1-EXP(-AH46/(harbor_towers_param*($A47-Explore!$S47*20)+15000)))*(1+(mason_bonus*Construction!BB46/Construction!BS46))+IF(Overview!$B$14="Beastfolk",2*Construction!DC46/Construction!E46,0)*(1 + Production!O46/100*prestige_pop_multiplier)</f>
        <v>0</v>
      </c>
      <c r="AB46" s="284">
        <f ca="1">walls_forges_cap*(1-EXP(-AI46/(walls_forges_param*($A47-Explore!$S47*20)+15000)))*(1+(mason_bonus*Construction!BB46/Construction!BS46))+IF(Overview!$B$14="Beastfolk",0.2*Construction!CY46/Construction!E46,0)</f>
        <v>0</v>
      </c>
      <c r="AC46" s="284">
        <f ca="1">walls_forges_cap*(1-EXP(-AJ46/(walls_forges_param*($A47-Explore!$S47*20)+15000)))*(1+(mason_bonus*Construction!BB46/Construction!BS46))+IF(Overview!$B$14="Beastfolk",5*Construction!DB46/Construction!E46,0)</f>
        <v>0</v>
      </c>
      <c r="AD46" s="97">
        <f ca="1">harbor_towers_cap*(1-EXP(-AK46/(harbor_towers_param*($A47-Explore!$S47*20)+15000)))*(1+(mason_bonus*Construction!BB46/Construction!BS46))+IF(Overview!$B$14="Beastfolk",Construction!DE46/Construction!E46)*(1 + Production!O46/100*prestige_pop_multiplier)</f>
        <v>0</v>
      </c>
      <c r="AF46" s="56">
        <f ca="1">(1+Overview!$O$28+IF(Magic!BA46&gt;0,0.1,0))*SUM(AR46:AU46)</f>
        <v>0</v>
      </c>
      <c r="AG46" s="26">
        <f ca="1">(1+Overview!$O$28+IF(Magic!BA46&gt;0,0.1,0))*SUM(AW46:AZ46)</f>
        <v>0</v>
      </c>
      <c r="AH46" s="164">
        <f ca="1">(1+Overview!$O$28+IF(Magic!BA46&gt;0,0.1,0))*SUM(BB46:BE46)</f>
        <v>0</v>
      </c>
      <c r="AI46" s="164">
        <f ca="1">(1+Overview!$O$28+IF(Magic!BA46&gt;0,0.1,0))*SUM(BG46:BJ46)</f>
        <v>0</v>
      </c>
      <c r="AJ46" s="164">
        <f ca="1">(1+Overview!$O$28+IF(Magic!BA46&gt;0,0.1,0))*SUM(BL46:BO46)</f>
        <v>0</v>
      </c>
      <c r="AK46" s="166">
        <f ca="1">(1+Overview!$O$28+IF(Magic!BA46&gt;0,0.1,0))*SUM(BQ46:BT46)</f>
        <v>0</v>
      </c>
      <c r="AM46" s="52">
        <f t="shared" si="52"/>
        <v>0</v>
      </c>
      <c r="AN46" s="16">
        <f t="shared" si="52"/>
        <v>0</v>
      </c>
      <c r="AO46" s="16">
        <f t="shared" si="52"/>
        <v>0</v>
      </c>
      <c r="AP46" s="53">
        <f t="shared" si="52"/>
        <v>0</v>
      </c>
      <c r="AR46" s="56">
        <f t="shared" si="29"/>
        <v>0</v>
      </c>
      <c r="AS46" s="26">
        <f t="shared" si="53"/>
        <v>0</v>
      </c>
      <c r="AT46" s="26">
        <f t="shared" si="53"/>
        <v>0</v>
      </c>
      <c r="AU46" s="57">
        <f t="shared" si="31"/>
        <v>0</v>
      </c>
      <c r="AW46" s="56">
        <f t="shared" si="32"/>
        <v>0</v>
      </c>
      <c r="AX46" s="26">
        <f t="shared" si="54"/>
        <v>0</v>
      </c>
      <c r="AY46" s="26">
        <f t="shared" si="54"/>
        <v>0</v>
      </c>
      <c r="AZ46" s="57">
        <f t="shared" si="34"/>
        <v>0</v>
      </c>
      <c r="BB46" s="56">
        <f t="shared" si="35"/>
        <v>0</v>
      </c>
      <c r="BC46" s="26">
        <f t="shared" si="36"/>
        <v>0</v>
      </c>
      <c r="BD46" s="26">
        <f t="shared" si="50"/>
        <v>0</v>
      </c>
      <c r="BE46" s="57">
        <f t="shared" si="37"/>
        <v>0</v>
      </c>
      <c r="BG46" s="56">
        <f t="shared" si="38"/>
        <v>0</v>
      </c>
      <c r="BH46" s="26">
        <f t="shared" si="55"/>
        <v>0</v>
      </c>
      <c r="BI46" s="26">
        <f t="shared" si="55"/>
        <v>0</v>
      </c>
      <c r="BJ46" s="57">
        <f t="shared" si="40"/>
        <v>0</v>
      </c>
      <c r="BL46" s="56">
        <f t="shared" si="41"/>
        <v>0</v>
      </c>
      <c r="BM46" s="26">
        <f t="shared" si="56"/>
        <v>0</v>
      </c>
      <c r="BN46" s="26">
        <f t="shared" si="56"/>
        <v>0</v>
      </c>
      <c r="BO46" s="57">
        <f t="shared" si="43"/>
        <v>0</v>
      </c>
      <c r="BQ46" s="56">
        <f t="shared" si="44"/>
        <v>0</v>
      </c>
      <c r="BR46" s="26">
        <f t="shared" si="57"/>
        <v>0</v>
      </c>
      <c r="BS46" s="26">
        <f t="shared" si="57"/>
        <v>0</v>
      </c>
      <c r="BT46" s="57">
        <f t="shared" si="46"/>
        <v>0</v>
      </c>
      <c r="BV46" s="52" t="e">
        <f>OR(Production!C46,Construction!N46:'Construction'!AF46,Construction!BV46:CN46,Explore!S46:Z46,Military!AF46:AL46,Military!X46,Military!BE46:BL46,Rezone!L46:R46,Magic!G46:Q46)</f>
        <v>#VALUE!</v>
      </c>
      <c r="BW46" s="527">
        <f t="shared" si="47"/>
        <v>0</v>
      </c>
      <c r="BX46" s="527"/>
      <c r="BY46" s="557">
        <f t="shared" si="51"/>
        <v>43693.791666666562</v>
      </c>
      <c r="BZ46" s="565">
        <f t="shared" si="48"/>
        <v>43693.624999999898</v>
      </c>
      <c r="CA46" s="529"/>
      <c r="CB46" s="807"/>
      <c r="CC46" s="812"/>
    </row>
    <row r="47" spans="1:82" s="16" customFormat="1">
      <c r="A47" s="513">
        <f>Construction!E47</f>
        <v>1000</v>
      </c>
      <c r="C47" s="56">
        <f ca="1">Production!H47</f>
        <v>3416155</v>
      </c>
      <c r="D47" s="26">
        <f ca="1">Production!J47</f>
        <v>283671</v>
      </c>
      <c r="E47" s="26">
        <f ca="1">Production!L47</f>
        <v>231000</v>
      </c>
      <c r="F47" s="57">
        <f ca="1">Production!M47</f>
        <v>20000</v>
      </c>
      <c r="G47" s="26"/>
      <c r="H47" s="56">
        <f ca="1">Military!Z47</f>
        <v>3695</v>
      </c>
      <c r="I47" s="540">
        <f ca="1">Population!I47</f>
        <v>1</v>
      </c>
      <c r="J47" s="165">
        <f ca="1">Population!F47/Population!U47</f>
        <v>1</v>
      </c>
      <c r="K47" s="1005">
        <f>Rezone!J47</f>
        <v>45</v>
      </c>
      <c r="L47" s="584">
        <f t="shared" si="49"/>
        <v>43693.833333333227</v>
      </c>
      <c r="M47" s="316">
        <f t="shared" si="26"/>
        <v>0</v>
      </c>
      <c r="N47" s="641">
        <f t="shared" si="27"/>
        <v>1000</v>
      </c>
      <c r="O47" s="423" t="s">
        <v>4</v>
      </c>
      <c r="P47" s="370"/>
      <c r="Q47" s="424" t="s">
        <v>223</v>
      </c>
      <c r="R47" s="423" t="s">
        <v>7</v>
      </c>
      <c r="S47" s="370"/>
      <c r="T47" s="425" t="s">
        <v>223</v>
      </c>
      <c r="U47" s="424" t="s">
        <v>3</v>
      </c>
      <c r="V47" s="370"/>
      <c r="W47" s="425" t="s">
        <v>223</v>
      </c>
      <c r="Y47" s="524">
        <f ca="1">science_cap*(1-EXP(-AF47/(science_param*($A48-Explore!$S48*20)+15000)))*(1+(mason_bonus*Construction!BB47/Construction!BS47))+IF(Overview!$B$14="Beastfolk",Construction!DA47/Construction!E47,0)*(1 + Production!O47/100*prestige_pop_multiplier)</f>
        <v>0</v>
      </c>
      <c r="Z47" s="284">
        <f ca="1">keep_cap*(1-EXP(-AG47/(keep_param*($A48-Explore!$S48*20)+15000)))*(1+(mason_bonus*Construction!BB47/Construction!BS47))+IF(Overview!$B$14="Beastfolk",Construction!DF47/Construction!E47,0)*(1 + Production!O47/100*prestige_pop_multiplier)</f>
        <v>0</v>
      </c>
      <c r="AA47" s="284">
        <f ca="1">harbor_towers_cap*(1-EXP(-AH47/(harbor_towers_param*($A48-Explore!$S48*20)+15000)))*(1+(mason_bonus*Construction!BB47/Construction!BS47))+IF(Overview!$B$14="Beastfolk",2*Construction!DC47/Construction!E47,0)*(1 + Production!O47/100*prestige_pop_multiplier)</f>
        <v>0</v>
      </c>
      <c r="AB47" s="284">
        <f ca="1">walls_forges_cap*(1-EXP(-AI47/(walls_forges_param*($A48-Explore!$S48*20)+15000)))*(1+(mason_bonus*Construction!BB47/Construction!BS47))+IF(Overview!$B$14="Beastfolk",0.2*Construction!CY47/Construction!E47,0)</f>
        <v>0</v>
      </c>
      <c r="AC47" s="284">
        <f ca="1">walls_forges_cap*(1-EXP(-AJ47/(walls_forges_param*($A48-Explore!$S48*20)+15000)))*(1+(mason_bonus*Construction!BB47/Construction!BS47))+IF(Overview!$B$14="Beastfolk",5*Construction!DB47/Construction!E47,0)</f>
        <v>0</v>
      </c>
      <c r="AD47" s="97">
        <f ca="1">harbor_towers_cap*(1-EXP(-AK47/(harbor_towers_param*($A48-Explore!$S48*20)+15000)))*(1+(mason_bonus*Construction!BB47/Construction!BS47))+IF(Overview!$B$14="Beastfolk",Construction!DE47/Construction!E47)*(1 + Production!O47/100*prestige_pop_multiplier)</f>
        <v>0</v>
      </c>
      <c r="AF47" s="56">
        <f ca="1">(1+Overview!$O$28+IF(Magic!BA47&gt;0,0.1,0))*SUM(AR47:AU47)</f>
        <v>0</v>
      </c>
      <c r="AG47" s="26">
        <f ca="1">(1+Overview!$O$28+IF(Magic!BA47&gt;0,0.1,0))*SUM(AW47:AZ47)</f>
        <v>0</v>
      </c>
      <c r="AH47" s="164">
        <f ca="1">(1+Overview!$O$28+IF(Magic!BA47&gt;0,0.1,0))*SUM(BB47:BE47)</f>
        <v>0</v>
      </c>
      <c r="AI47" s="164">
        <f ca="1">(1+Overview!$O$28+IF(Magic!BA47&gt;0,0.1,0))*SUM(BG47:BJ47)</f>
        <v>0</v>
      </c>
      <c r="AJ47" s="164">
        <f ca="1">(1+Overview!$O$28+IF(Magic!BA47&gt;0,0.1,0))*SUM(BL47:BO47)</f>
        <v>0</v>
      </c>
      <c r="AK47" s="166">
        <f ca="1">(1+Overview!$O$28+IF(Magic!BA47&gt;0,0.1,0))*SUM(BQ47:BT47)</f>
        <v>0</v>
      </c>
      <c r="AM47" s="52">
        <f t="shared" si="52"/>
        <v>0</v>
      </c>
      <c r="AN47" s="16">
        <f t="shared" si="52"/>
        <v>0</v>
      </c>
      <c r="AO47" s="16">
        <f t="shared" si="52"/>
        <v>0</v>
      </c>
      <c r="AP47" s="53">
        <f t="shared" si="52"/>
        <v>0</v>
      </c>
      <c r="AR47" s="56">
        <f t="shared" si="29"/>
        <v>0</v>
      </c>
      <c r="AS47" s="26">
        <f t="shared" si="53"/>
        <v>0</v>
      </c>
      <c r="AT47" s="26">
        <f t="shared" si="53"/>
        <v>0</v>
      </c>
      <c r="AU47" s="57">
        <f t="shared" si="31"/>
        <v>0</v>
      </c>
      <c r="AW47" s="56">
        <f t="shared" si="32"/>
        <v>0</v>
      </c>
      <c r="AX47" s="26">
        <f t="shared" si="54"/>
        <v>0</v>
      </c>
      <c r="AY47" s="26">
        <f t="shared" si="54"/>
        <v>0</v>
      </c>
      <c r="AZ47" s="57">
        <f t="shared" si="34"/>
        <v>0</v>
      </c>
      <c r="BB47" s="56">
        <f t="shared" si="35"/>
        <v>0</v>
      </c>
      <c r="BC47" s="26">
        <f t="shared" si="36"/>
        <v>0</v>
      </c>
      <c r="BD47" s="26">
        <f t="shared" si="50"/>
        <v>0</v>
      </c>
      <c r="BE47" s="57">
        <f t="shared" si="37"/>
        <v>0</v>
      </c>
      <c r="BG47" s="56">
        <f t="shared" si="38"/>
        <v>0</v>
      </c>
      <c r="BH47" s="26">
        <f t="shared" si="55"/>
        <v>0</v>
      </c>
      <c r="BI47" s="26">
        <f t="shared" si="55"/>
        <v>0</v>
      </c>
      <c r="BJ47" s="57">
        <f t="shared" si="40"/>
        <v>0</v>
      </c>
      <c r="BL47" s="56">
        <f t="shared" si="41"/>
        <v>0</v>
      </c>
      <c r="BM47" s="26">
        <f t="shared" si="56"/>
        <v>0</v>
      </c>
      <c r="BN47" s="26">
        <f t="shared" si="56"/>
        <v>0</v>
      </c>
      <c r="BO47" s="57">
        <f t="shared" si="43"/>
        <v>0</v>
      </c>
      <c r="BQ47" s="56">
        <f t="shared" si="44"/>
        <v>0</v>
      </c>
      <c r="BR47" s="26">
        <f t="shared" si="57"/>
        <v>0</v>
      </c>
      <c r="BS47" s="26">
        <f t="shared" si="57"/>
        <v>0</v>
      </c>
      <c r="BT47" s="57">
        <f t="shared" si="46"/>
        <v>0</v>
      </c>
      <c r="BV47" s="52" t="e">
        <f>OR(Production!C47,Construction!N47:'Construction'!AF47,Construction!BV47:CN47,Explore!S47:Z47,Military!AF47:AL47,Military!X47,Military!BE47:BL47,Rezone!L47:R47,Magic!G47:Q47)</f>
        <v>#VALUE!</v>
      </c>
      <c r="BW47" s="527">
        <f t="shared" si="47"/>
        <v>0</v>
      </c>
      <c r="BX47" s="527"/>
      <c r="BY47" s="557">
        <f t="shared" si="51"/>
        <v>43693.833333333227</v>
      </c>
      <c r="BZ47" s="565">
        <f t="shared" si="48"/>
        <v>43693.666666666562</v>
      </c>
      <c r="CA47" s="529"/>
      <c r="CB47" s="807"/>
      <c r="CC47" s="812"/>
    </row>
    <row r="48" spans="1:82" s="16" customFormat="1">
      <c r="A48" s="513">
        <f>Construction!E48</f>
        <v>1000</v>
      </c>
      <c r="C48" s="56">
        <f ca="1">Production!H48</f>
        <v>3426806</v>
      </c>
      <c r="D48" s="26">
        <f ca="1">Production!J48</f>
        <v>283334</v>
      </c>
      <c r="E48" s="26">
        <f ca="1">Production!L48</f>
        <v>231000</v>
      </c>
      <c r="F48" s="57">
        <f ca="1">Production!M48</f>
        <v>20000</v>
      </c>
      <c r="G48" s="26"/>
      <c r="H48" s="56">
        <f ca="1">Military!Z48</f>
        <v>3695</v>
      </c>
      <c r="I48" s="540">
        <f ca="1">Population!I48</f>
        <v>1</v>
      </c>
      <c r="J48" s="165">
        <f ca="1">Population!F48/Population!U48</f>
        <v>1</v>
      </c>
      <c r="K48" s="1005">
        <f>Rezone!J48</f>
        <v>46</v>
      </c>
      <c r="L48" s="584">
        <f t="shared" si="49"/>
        <v>43693.874999999891</v>
      </c>
      <c r="M48" s="316">
        <f t="shared" si="26"/>
        <v>0</v>
      </c>
      <c r="N48" s="641">
        <f t="shared" si="27"/>
        <v>1000</v>
      </c>
      <c r="O48" s="423" t="s">
        <v>4</v>
      </c>
      <c r="P48" s="370"/>
      <c r="Q48" s="424" t="s">
        <v>223</v>
      </c>
      <c r="R48" s="406" t="s">
        <v>7</v>
      </c>
      <c r="S48" s="370"/>
      <c r="T48" s="425" t="s">
        <v>223</v>
      </c>
      <c r="U48" s="424" t="s">
        <v>3</v>
      </c>
      <c r="V48" s="370"/>
      <c r="W48" s="425" t="s">
        <v>223</v>
      </c>
      <c r="Y48" s="524">
        <f ca="1">science_cap*(1-EXP(-AF48/(science_param*($A49-Explore!$S49*20)+15000)))*(1+(mason_bonus*Construction!BB48/Construction!BS48))+IF(Overview!$B$14="Beastfolk",Construction!DA48/Construction!E48,0)*(1 + Production!O48/100*prestige_pop_multiplier)</f>
        <v>0</v>
      </c>
      <c r="Z48" s="284">
        <f ca="1">keep_cap*(1-EXP(-AG48/(keep_param*($A49-Explore!$S49*20)+15000)))*(1+(mason_bonus*Construction!BB48/Construction!BS48))+IF(Overview!$B$14="Beastfolk",Construction!DF48/Construction!E48,0)*(1 + Production!O48/100*prestige_pop_multiplier)</f>
        <v>0</v>
      </c>
      <c r="AA48" s="284">
        <f ca="1">harbor_towers_cap*(1-EXP(-AH48/(harbor_towers_param*($A49-Explore!$S49*20)+15000)))*(1+(mason_bonus*Construction!BB48/Construction!BS48))+IF(Overview!$B$14="Beastfolk",2*Construction!DC48/Construction!E48,0)*(1 + Production!O48/100*prestige_pop_multiplier)</f>
        <v>0</v>
      </c>
      <c r="AB48" s="284">
        <f ca="1">walls_forges_cap*(1-EXP(-AI48/(walls_forges_param*($A49-Explore!$S49*20)+15000)))*(1+(mason_bonus*Construction!BB48/Construction!BS48))+IF(Overview!$B$14="Beastfolk",0.2*Construction!CY48/Construction!E48,0)</f>
        <v>0</v>
      </c>
      <c r="AC48" s="284">
        <f ca="1">walls_forges_cap*(1-EXP(-AJ48/(walls_forges_param*($A49-Explore!$S49*20)+15000)))*(1+(mason_bonus*Construction!BB48/Construction!BS48))+IF(Overview!$B$14="Beastfolk",5*Construction!DB48/Construction!E48,0)</f>
        <v>0</v>
      </c>
      <c r="AD48" s="97">
        <f ca="1">harbor_towers_cap*(1-EXP(-AK48/(harbor_towers_param*($A49-Explore!$S49*20)+15000)))*(1+(mason_bonus*Construction!BB48/Construction!BS48))+IF(Overview!$B$14="Beastfolk",Construction!DE48/Construction!E48)*(1 + Production!O48/100*prestige_pop_multiplier)</f>
        <v>0</v>
      </c>
      <c r="AF48" s="56">
        <f ca="1">(1+Overview!$O$28+IF(Magic!BA48&gt;0,0.1,0))*SUM(AR48:AU48)</f>
        <v>0</v>
      </c>
      <c r="AG48" s="26">
        <f ca="1">(1+Overview!$O$28+IF(Magic!BA48&gt;0,0.1,0))*SUM(AW48:AZ48)</f>
        <v>0</v>
      </c>
      <c r="AH48" s="164">
        <f ca="1">(1+Overview!$O$28+IF(Magic!BA48&gt;0,0.1,0))*SUM(BB48:BE48)</f>
        <v>0</v>
      </c>
      <c r="AI48" s="164">
        <f ca="1">(1+Overview!$O$28+IF(Magic!BA48&gt;0,0.1,0))*SUM(BG48:BJ48)</f>
        <v>0</v>
      </c>
      <c r="AJ48" s="164">
        <f ca="1">(1+Overview!$O$28+IF(Magic!BA48&gt;0,0.1,0))*SUM(BL48:BO48)</f>
        <v>0</v>
      </c>
      <c r="AK48" s="166">
        <f ca="1">(1+Overview!$O$28+IF(Magic!BA48&gt;0,0.1,0))*SUM(BQ48:BT48)</f>
        <v>0</v>
      </c>
      <c r="AM48" s="52">
        <f t="shared" si="52"/>
        <v>0</v>
      </c>
      <c r="AN48" s="16">
        <f t="shared" si="52"/>
        <v>0</v>
      </c>
      <c r="AO48" s="16">
        <f t="shared" si="52"/>
        <v>0</v>
      </c>
      <c r="AP48" s="53">
        <f t="shared" si="52"/>
        <v>0</v>
      </c>
      <c r="AR48" s="56">
        <f t="shared" si="29"/>
        <v>0</v>
      </c>
      <c r="AS48" s="26">
        <f t="shared" si="53"/>
        <v>0</v>
      </c>
      <c r="AT48" s="26">
        <f t="shared" si="53"/>
        <v>0</v>
      </c>
      <c r="AU48" s="57">
        <f t="shared" si="31"/>
        <v>0</v>
      </c>
      <c r="AW48" s="56">
        <f t="shared" si="32"/>
        <v>0</v>
      </c>
      <c r="AX48" s="26">
        <f t="shared" si="54"/>
        <v>0</v>
      </c>
      <c r="AY48" s="26">
        <f t="shared" si="54"/>
        <v>0</v>
      </c>
      <c r="AZ48" s="57">
        <f t="shared" si="34"/>
        <v>0</v>
      </c>
      <c r="BB48" s="56">
        <f t="shared" si="35"/>
        <v>0</v>
      </c>
      <c r="BC48" s="26">
        <f t="shared" si="36"/>
        <v>0</v>
      </c>
      <c r="BD48" s="26">
        <f t="shared" si="50"/>
        <v>0</v>
      </c>
      <c r="BE48" s="57">
        <f t="shared" si="37"/>
        <v>0</v>
      </c>
      <c r="BG48" s="56">
        <f t="shared" si="38"/>
        <v>0</v>
      </c>
      <c r="BH48" s="26">
        <f t="shared" si="55"/>
        <v>0</v>
      </c>
      <c r="BI48" s="26">
        <f t="shared" si="55"/>
        <v>0</v>
      </c>
      <c r="BJ48" s="57">
        <f t="shared" si="40"/>
        <v>0</v>
      </c>
      <c r="BL48" s="56">
        <f t="shared" si="41"/>
        <v>0</v>
      </c>
      <c r="BM48" s="26">
        <f t="shared" si="56"/>
        <v>0</v>
      </c>
      <c r="BN48" s="26">
        <f t="shared" si="56"/>
        <v>0</v>
      </c>
      <c r="BO48" s="57">
        <f t="shared" si="43"/>
        <v>0</v>
      </c>
      <c r="BQ48" s="56">
        <f t="shared" si="44"/>
        <v>0</v>
      </c>
      <c r="BR48" s="26">
        <f t="shared" si="57"/>
        <v>0</v>
      </c>
      <c r="BS48" s="26">
        <f t="shared" si="57"/>
        <v>0</v>
      </c>
      <c r="BT48" s="57">
        <f t="shared" si="46"/>
        <v>0</v>
      </c>
      <c r="BV48" s="52" t="e">
        <f>OR(Production!C48,Construction!N48:'Construction'!AF48,Construction!BV48:CN48,Explore!S48:Z48,Military!AF48:AL48,Military!X48,Military!BE48:BL48,Rezone!L48:R48,Magic!G48:Q48)</f>
        <v>#VALUE!</v>
      </c>
      <c r="BW48" s="527">
        <f t="shared" si="47"/>
        <v>0</v>
      </c>
      <c r="BX48" s="527"/>
      <c r="BY48" s="557">
        <f t="shared" si="51"/>
        <v>43693.874999999891</v>
      </c>
      <c r="BZ48" s="565">
        <f t="shared" si="48"/>
        <v>43693.708333333227</v>
      </c>
      <c r="CA48" s="529"/>
      <c r="CB48" s="807"/>
      <c r="CC48" s="812"/>
    </row>
    <row r="49" spans="1:81" s="16" customFormat="1">
      <c r="A49" s="513">
        <f>Construction!E49</f>
        <v>1000</v>
      </c>
      <c r="C49" s="56">
        <f ca="1">Production!H49</f>
        <v>3437457</v>
      </c>
      <c r="D49" s="26">
        <f ca="1">Production!J49</f>
        <v>283001</v>
      </c>
      <c r="E49" s="26">
        <f ca="1">Production!L49</f>
        <v>231000</v>
      </c>
      <c r="F49" s="57">
        <f ca="1">Production!M49</f>
        <v>20000</v>
      </c>
      <c r="G49" s="26"/>
      <c r="H49" s="56">
        <f ca="1">Military!Z49</f>
        <v>3695</v>
      </c>
      <c r="I49" s="540">
        <f ca="1">Population!I49</f>
        <v>1</v>
      </c>
      <c r="J49" s="165">
        <f ca="1">Population!F49/Population!U49</f>
        <v>1</v>
      </c>
      <c r="K49" s="1005">
        <f>Rezone!J49</f>
        <v>47</v>
      </c>
      <c r="L49" s="584">
        <f t="shared" si="49"/>
        <v>43693.916666666555</v>
      </c>
      <c r="M49" s="316">
        <f t="shared" si="26"/>
        <v>0</v>
      </c>
      <c r="N49" s="641">
        <f t="shared" si="27"/>
        <v>1000</v>
      </c>
      <c r="O49" s="423" t="s">
        <v>4</v>
      </c>
      <c r="P49" s="370"/>
      <c r="Q49" s="424" t="s">
        <v>223</v>
      </c>
      <c r="R49" s="423" t="s">
        <v>7</v>
      </c>
      <c r="S49" s="370"/>
      <c r="T49" s="425" t="s">
        <v>223</v>
      </c>
      <c r="U49" s="424" t="s">
        <v>3</v>
      </c>
      <c r="V49" s="370"/>
      <c r="W49" s="425" t="s">
        <v>223</v>
      </c>
      <c r="Y49" s="524">
        <f ca="1">science_cap*(1-EXP(-AF49/(science_param*($A50-Explore!$S50*20)+15000)))*(1+(mason_bonus*Construction!BB49/Construction!BS49))+IF(Overview!$B$14="Beastfolk",Construction!DA49/Construction!E49,0)*(1 + Production!O49/100*prestige_pop_multiplier)</f>
        <v>0</v>
      </c>
      <c r="Z49" s="284">
        <f ca="1">keep_cap*(1-EXP(-AG49/(keep_param*($A50-Explore!$S50*20)+15000)))*(1+(mason_bonus*Construction!BB49/Construction!BS49))+IF(Overview!$B$14="Beastfolk",Construction!DF49/Construction!E49,0)*(1 + Production!O49/100*prestige_pop_multiplier)</f>
        <v>0</v>
      </c>
      <c r="AA49" s="284">
        <f ca="1">harbor_towers_cap*(1-EXP(-AH49/(harbor_towers_param*($A50-Explore!$S50*20)+15000)))*(1+(mason_bonus*Construction!BB49/Construction!BS49))+IF(Overview!$B$14="Beastfolk",2*Construction!DC49/Construction!E49,0)*(1 + Production!O49/100*prestige_pop_multiplier)</f>
        <v>0</v>
      </c>
      <c r="AB49" s="284">
        <f ca="1">walls_forges_cap*(1-EXP(-AI49/(walls_forges_param*($A50-Explore!$S50*20)+15000)))*(1+(mason_bonus*Construction!BB49/Construction!BS49))+IF(Overview!$B$14="Beastfolk",0.2*Construction!CY49/Construction!E49,0)</f>
        <v>0</v>
      </c>
      <c r="AC49" s="284">
        <f ca="1">walls_forges_cap*(1-EXP(-AJ49/(walls_forges_param*($A50-Explore!$S50*20)+15000)))*(1+(mason_bonus*Construction!BB49/Construction!BS49))+IF(Overview!$B$14="Beastfolk",5*Construction!DB49/Construction!E49,0)</f>
        <v>0</v>
      </c>
      <c r="AD49" s="97">
        <f ca="1">harbor_towers_cap*(1-EXP(-AK49/(harbor_towers_param*($A50-Explore!$S50*20)+15000)))*(1+(mason_bonus*Construction!BB49/Construction!BS49))+IF(Overview!$B$14="Beastfolk",Construction!DE49/Construction!E49)*(1 + Production!O49/100*prestige_pop_multiplier)</f>
        <v>0</v>
      </c>
      <c r="AF49" s="56">
        <f ca="1">(1+Overview!$O$28+IF(Magic!BA49&gt;0,0.1,0))*SUM(AR49:AU49)</f>
        <v>0</v>
      </c>
      <c r="AG49" s="26">
        <f ca="1">(1+Overview!$O$28+IF(Magic!BA49&gt;0,0.1,0))*SUM(AW49:AZ49)</f>
        <v>0</v>
      </c>
      <c r="AH49" s="164">
        <f ca="1">(1+Overview!$O$28+IF(Magic!BA49&gt;0,0.1,0))*SUM(BB49:BE49)</f>
        <v>0</v>
      </c>
      <c r="AI49" s="164">
        <f ca="1">(1+Overview!$O$28+IF(Magic!BA49&gt;0,0.1,0))*SUM(BG49:BJ49)</f>
        <v>0</v>
      </c>
      <c r="AJ49" s="164">
        <f ca="1">(1+Overview!$O$28+IF(Magic!BA49&gt;0,0.1,0))*SUM(BL49:BO49)</f>
        <v>0</v>
      </c>
      <c r="AK49" s="166">
        <f ca="1">(1+Overview!$O$28+IF(Magic!BA49&gt;0,0.1,0))*SUM(BQ49:BT49)</f>
        <v>0</v>
      </c>
      <c r="AM49" s="52">
        <f t="shared" si="52"/>
        <v>0</v>
      </c>
      <c r="AN49" s="16">
        <f t="shared" si="52"/>
        <v>0</v>
      </c>
      <c r="AO49" s="16">
        <f t="shared" si="52"/>
        <v>0</v>
      </c>
      <c r="AP49" s="53">
        <f t="shared" si="52"/>
        <v>0</v>
      </c>
      <c r="AR49" s="56">
        <f t="shared" si="29"/>
        <v>0</v>
      </c>
      <c r="AS49" s="26">
        <f t="shared" si="53"/>
        <v>0</v>
      </c>
      <c r="AT49" s="26">
        <f t="shared" si="53"/>
        <v>0</v>
      </c>
      <c r="AU49" s="57">
        <f t="shared" si="31"/>
        <v>0</v>
      </c>
      <c r="AW49" s="56">
        <f t="shared" si="32"/>
        <v>0</v>
      </c>
      <c r="AX49" s="26">
        <f t="shared" si="54"/>
        <v>0</v>
      </c>
      <c r="AY49" s="26">
        <f t="shared" si="54"/>
        <v>0</v>
      </c>
      <c r="AZ49" s="57">
        <f t="shared" si="34"/>
        <v>0</v>
      </c>
      <c r="BB49" s="56">
        <f t="shared" si="35"/>
        <v>0</v>
      </c>
      <c r="BC49" s="26">
        <f t="shared" si="36"/>
        <v>0</v>
      </c>
      <c r="BD49" s="26">
        <f t="shared" si="50"/>
        <v>0</v>
      </c>
      <c r="BE49" s="57">
        <f t="shared" si="37"/>
        <v>0</v>
      </c>
      <c r="BG49" s="56">
        <f t="shared" si="38"/>
        <v>0</v>
      </c>
      <c r="BH49" s="26">
        <f t="shared" si="55"/>
        <v>0</v>
      </c>
      <c r="BI49" s="26">
        <f t="shared" si="55"/>
        <v>0</v>
      </c>
      <c r="BJ49" s="57">
        <f t="shared" si="40"/>
        <v>0</v>
      </c>
      <c r="BL49" s="56">
        <f t="shared" si="41"/>
        <v>0</v>
      </c>
      <c r="BM49" s="26">
        <f t="shared" si="56"/>
        <v>0</v>
      </c>
      <c r="BN49" s="26">
        <f t="shared" si="56"/>
        <v>0</v>
      </c>
      <c r="BO49" s="57">
        <f t="shared" si="43"/>
        <v>0</v>
      </c>
      <c r="BQ49" s="56">
        <f t="shared" si="44"/>
        <v>0</v>
      </c>
      <c r="BR49" s="26">
        <f t="shared" si="57"/>
        <v>0</v>
      </c>
      <c r="BS49" s="26">
        <f t="shared" si="57"/>
        <v>0</v>
      </c>
      <c r="BT49" s="57">
        <f t="shared" si="46"/>
        <v>0</v>
      </c>
      <c r="BV49" s="52" t="e">
        <f>OR(Production!C49,Construction!N49:'Construction'!AF49,Construction!BV49:CN49,Explore!S49:Z49,Military!AF49:AL49,Military!X49,Military!BE49:BL49,Rezone!L49:R49,Magic!G49:Q49)</f>
        <v>#VALUE!</v>
      </c>
      <c r="BW49" s="527">
        <f t="shared" si="47"/>
        <v>0</v>
      </c>
      <c r="BX49" s="527"/>
      <c r="BY49" s="557">
        <f t="shared" si="51"/>
        <v>43693.916666666555</v>
      </c>
      <c r="BZ49" s="565">
        <f t="shared" si="48"/>
        <v>43693.749999999891</v>
      </c>
      <c r="CA49" s="529"/>
      <c r="CB49" s="807"/>
      <c r="CC49" s="812"/>
    </row>
    <row r="50" spans="1:81" s="16" customFormat="1" ht="13.5" thickBot="1">
      <c r="A50" s="513">
        <f>Construction!E50</f>
        <v>1000</v>
      </c>
      <c r="C50" s="56">
        <f ca="1">Production!H50</f>
        <v>3448108</v>
      </c>
      <c r="D50" s="26">
        <f ca="1">Production!J50</f>
        <v>282671</v>
      </c>
      <c r="E50" s="26">
        <f ca="1">Production!L50</f>
        <v>231000</v>
      </c>
      <c r="F50" s="57">
        <f ca="1">Production!M50</f>
        <v>20000</v>
      </c>
      <c r="G50" s="26"/>
      <c r="H50" s="56">
        <f ca="1">Military!Z50</f>
        <v>3695</v>
      </c>
      <c r="I50" s="540">
        <f ca="1">Population!I50</f>
        <v>1</v>
      </c>
      <c r="J50" s="165">
        <f ca="1">Population!F50/Population!U50</f>
        <v>1</v>
      </c>
      <c r="K50" s="1005">
        <f>Rezone!J50</f>
        <v>48</v>
      </c>
      <c r="L50" s="584">
        <f t="shared" si="49"/>
        <v>43693.958333333219</v>
      </c>
      <c r="M50" s="316">
        <f t="shared" si="26"/>
        <v>0</v>
      </c>
      <c r="N50" s="641">
        <f t="shared" si="27"/>
        <v>1000</v>
      </c>
      <c r="O50" s="423" t="s">
        <v>4</v>
      </c>
      <c r="P50" s="370"/>
      <c r="Q50" s="424" t="s">
        <v>223</v>
      </c>
      <c r="R50" s="423" t="s">
        <v>7</v>
      </c>
      <c r="S50" s="370"/>
      <c r="T50" s="425" t="s">
        <v>223</v>
      </c>
      <c r="U50" s="424" t="s">
        <v>3</v>
      </c>
      <c r="V50" s="370"/>
      <c r="W50" s="425" t="s">
        <v>223</v>
      </c>
      <c r="Y50" s="524">
        <f ca="1">science_cap*(1-EXP(-AF50/(science_param*($A51-Explore!$S51*20)+15000)))*(1+(mason_bonus*Construction!BB50/Construction!BS50))+IF(Overview!$B$14="Beastfolk",Construction!DA50/Construction!E50,0)*(1 + Production!O50/100*prestige_pop_multiplier)</f>
        <v>0</v>
      </c>
      <c r="Z50" s="284">
        <f ca="1">keep_cap*(1-EXP(-AG50/(keep_param*($A51-Explore!$S51*20)+15000)))*(1+(mason_bonus*Construction!BB50/Construction!BS50))+IF(Overview!$B$14="Beastfolk",Construction!DF50/Construction!E50,0)*(1 + Production!O50/100*prestige_pop_multiplier)</f>
        <v>0</v>
      </c>
      <c r="AA50" s="284">
        <f ca="1">harbor_towers_cap*(1-EXP(-AH50/(harbor_towers_param*($A51-Explore!$S51*20)+15000)))*(1+(mason_bonus*Construction!BB50/Construction!BS50))+IF(Overview!$B$14="Beastfolk",2*Construction!DC50/Construction!E50,0)*(1 + Production!O50/100*prestige_pop_multiplier)</f>
        <v>0</v>
      </c>
      <c r="AB50" s="284">
        <f ca="1">walls_forges_cap*(1-EXP(-AI50/(walls_forges_param*($A51-Explore!$S51*20)+15000)))*(1+(mason_bonus*Construction!BB50/Construction!BS50))+IF(Overview!$B$14="Beastfolk",0.2*Construction!CY50/Construction!E50,0)</f>
        <v>0</v>
      </c>
      <c r="AC50" s="284">
        <f ca="1">walls_forges_cap*(1-EXP(-AJ50/(walls_forges_param*($A51-Explore!$S51*20)+15000)))*(1+(mason_bonus*Construction!BB50/Construction!BS50))+IF(Overview!$B$14="Beastfolk",5*Construction!DB50/Construction!E50,0)</f>
        <v>0</v>
      </c>
      <c r="AD50" s="97">
        <f ca="1">harbor_towers_cap*(1-EXP(-AK50/(harbor_towers_param*($A51-Explore!$S51*20)+15000)))*(1+(mason_bonus*Construction!BB50/Construction!BS50))+IF(Overview!$B$14="Beastfolk",Construction!DE50/Construction!E50)*(1 + Production!O50/100*prestige_pop_multiplier)</f>
        <v>0</v>
      </c>
      <c r="AF50" s="56">
        <f ca="1">(1+Overview!$O$28+IF(Magic!BA50&gt;0,0.1,0))*SUM(AR50:AU50)</f>
        <v>0</v>
      </c>
      <c r="AG50" s="26">
        <f ca="1">(1+Overview!$O$28+IF(Magic!BA50&gt;0,0.1,0))*SUM(AW50:AZ50)</f>
        <v>0</v>
      </c>
      <c r="AH50" s="164">
        <f ca="1">(1+Overview!$O$28+IF(Magic!BA50&gt;0,0.1,0))*SUM(BB50:BE50)</f>
        <v>0</v>
      </c>
      <c r="AI50" s="164">
        <f ca="1">(1+Overview!$O$28+IF(Magic!BA50&gt;0,0.1,0))*SUM(BG50:BJ50)</f>
        <v>0</v>
      </c>
      <c r="AJ50" s="164">
        <f ca="1">(1+Overview!$O$28+IF(Magic!BA50&gt;0,0.1,0))*SUM(BL50:BO50)</f>
        <v>0</v>
      </c>
      <c r="AK50" s="166">
        <f ca="1">(1+Overview!$O$28+IF(Magic!BA50&gt;0,0.1,0))*SUM(BQ50:BT50)</f>
        <v>0</v>
      </c>
      <c r="AM50" s="52">
        <f t="shared" si="52"/>
        <v>0</v>
      </c>
      <c r="AN50" s="16">
        <f t="shared" si="52"/>
        <v>0</v>
      </c>
      <c r="AO50" s="16">
        <f t="shared" si="52"/>
        <v>0</v>
      </c>
      <c r="AP50" s="53">
        <f t="shared" si="52"/>
        <v>0</v>
      </c>
      <c r="AR50" s="56">
        <f t="shared" si="29"/>
        <v>0</v>
      </c>
      <c r="AS50" s="26">
        <f t="shared" si="53"/>
        <v>0</v>
      </c>
      <c r="AT50" s="26">
        <f t="shared" si="53"/>
        <v>0</v>
      </c>
      <c r="AU50" s="57">
        <f t="shared" si="31"/>
        <v>0</v>
      </c>
      <c r="AW50" s="56">
        <f t="shared" si="32"/>
        <v>0</v>
      </c>
      <c r="AX50" s="26">
        <f t="shared" si="54"/>
        <v>0</v>
      </c>
      <c r="AY50" s="26">
        <f t="shared" si="54"/>
        <v>0</v>
      </c>
      <c r="AZ50" s="57">
        <f t="shared" si="34"/>
        <v>0</v>
      </c>
      <c r="BB50" s="56">
        <f t="shared" si="35"/>
        <v>0</v>
      </c>
      <c r="BC50" s="26">
        <f t="shared" si="36"/>
        <v>0</v>
      </c>
      <c r="BD50" s="26">
        <f t="shared" si="50"/>
        <v>0</v>
      </c>
      <c r="BE50" s="57">
        <f t="shared" si="37"/>
        <v>0</v>
      </c>
      <c r="BG50" s="56">
        <f t="shared" si="38"/>
        <v>0</v>
      </c>
      <c r="BH50" s="26">
        <f t="shared" si="55"/>
        <v>0</v>
      </c>
      <c r="BI50" s="26">
        <f t="shared" si="55"/>
        <v>0</v>
      </c>
      <c r="BJ50" s="57">
        <f t="shared" si="40"/>
        <v>0</v>
      </c>
      <c r="BL50" s="56">
        <f t="shared" si="41"/>
        <v>0</v>
      </c>
      <c r="BM50" s="26">
        <f t="shared" si="56"/>
        <v>0</v>
      </c>
      <c r="BN50" s="26">
        <f t="shared" si="56"/>
        <v>0</v>
      </c>
      <c r="BO50" s="57">
        <f t="shared" si="43"/>
        <v>0</v>
      </c>
      <c r="BQ50" s="56">
        <f t="shared" si="44"/>
        <v>0</v>
      </c>
      <c r="BR50" s="26">
        <f t="shared" si="57"/>
        <v>0</v>
      </c>
      <c r="BS50" s="26">
        <f t="shared" si="57"/>
        <v>0</v>
      </c>
      <c r="BT50" s="57">
        <f t="shared" si="46"/>
        <v>0</v>
      </c>
      <c r="BV50" s="52" t="e">
        <f>OR(Production!C50,Construction!N50:'Construction'!AF50,Construction!BV50:CN50,Explore!S50:Z50,Military!AF50:AL50,Military!X50,Military!BE50:BL50,Rezone!L50:R50,Magic!G50:Q50)</f>
        <v>#VALUE!</v>
      </c>
      <c r="BW50" s="527">
        <f t="shared" si="47"/>
        <v>0</v>
      </c>
      <c r="BX50" s="527"/>
      <c r="BY50" s="557">
        <f t="shared" si="51"/>
        <v>43693.958333333219</v>
      </c>
      <c r="BZ50" s="565">
        <f t="shared" si="48"/>
        <v>43693.791666666555</v>
      </c>
      <c r="CA50" s="529"/>
      <c r="CB50" s="807"/>
      <c r="CC50" s="812"/>
    </row>
    <row r="51" spans="1:81" s="111" customFormat="1" ht="14.25" thickTop="1" thickBot="1">
      <c r="A51" s="517">
        <f>Construction!E51</f>
        <v>1000</v>
      </c>
      <c r="C51" s="110">
        <f ca="1">Production!H51</f>
        <v>3458759</v>
      </c>
      <c r="D51" s="108">
        <f ca="1">Production!J51</f>
        <v>282344</v>
      </c>
      <c r="E51" s="108">
        <f ca="1">Production!L51</f>
        <v>231000</v>
      </c>
      <c r="F51" s="109">
        <f ca="1">Production!M51</f>
        <v>20000</v>
      </c>
      <c r="G51" s="108"/>
      <c r="H51" s="110">
        <f ca="1">Military!Z51</f>
        <v>3695</v>
      </c>
      <c r="I51" s="543">
        <f ca="1">Population!I51</f>
        <v>1</v>
      </c>
      <c r="J51" s="542">
        <f ca="1">Population!F51/Population!U51</f>
        <v>1</v>
      </c>
      <c r="K51" s="1008">
        <f>Rezone!J51</f>
        <v>49</v>
      </c>
      <c r="L51" s="586">
        <f t="shared" si="49"/>
        <v>43693.999999999884</v>
      </c>
      <c r="M51" s="652">
        <f t="shared" si="26"/>
        <v>0</v>
      </c>
      <c r="N51" s="646">
        <f t="shared" si="27"/>
        <v>1000</v>
      </c>
      <c r="O51" s="432" t="s">
        <v>4</v>
      </c>
      <c r="P51" s="433"/>
      <c r="Q51" s="434" t="s">
        <v>223</v>
      </c>
      <c r="R51" s="432" t="s">
        <v>7</v>
      </c>
      <c r="S51" s="433"/>
      <c r="T51" s="435" t="s">
        <v>223</v>
      </c>
      <c r="U51" s="434" t="s">
        <v>3</v>
      </c>
      <c r="V51" s="433"/>
      <c r="W51" s="435" t="s">
        <v>223</v>
      </c>
      <c r="Y51" s="526">
        <f ca="1">science_cap*(1-EXP(-AF51/(science_param*($A52-Explore!$S52*20)+15000)))*(1+(mason_bonus*Construction!BB51/Construction!BS51))+IF(Overview!$B$14="Beastfolk",Construction!DA51/Construction!E51,0)*(1 + Production!O51/100*prestige_pop_multiplier)</f>
        <v>0</v>
      </c>
      <c r="Z51" s="458">
        <f ca="1">keep_cap*(1-EXP(-AG51/(keep_param*($A52-Explore!$S52*20)+15000)))*(1+(mason_bonus*Construction!BB51/Construction!BS51))+IF(Overview!$B$14="Beastfolk",Construction!DF51/Construction!E51,0)*(1 + Production!O51/100*prestige_pop_multiplier)</f>
        <v>0</v>
      </c>
      <c r="AA51" s="458">
        <f ca="1">harbor_towers_cap*(1-EXP(-AH51/(harbor_towers_param*($A52-Explore!$S52*20)+15000)))*(1+(mason_bonus*Construction!BB51/Construction!BS51))+IF(Overview!$B$14="Beastfolk",2*Construction!DC51/Construction!E51,0)*(1 + Production!O51/100*prestige_pop_multiplier)</f>
        <v>0</v>
      </c>
      <c r="AB51" s="458">
        <f ca="1">walls_forges_cap*(1-EXP(-AI51/(walls_forges_param*($A52-Explore!$S52*20)+15000)))*(1+(mason_bonus*Construction!BB51/Construction!BS51))+IF(Overview!$B$14="Beastfolk",0.2*Construction!CY51/Construction!E51,0)</f>
        <v>0</v>
      </c>
      <c r="AC51" s="458">
        <f ca="1">walls_forges_cap*(1-EXP(-AJ51/(walls_forges_param*($A52-Explore!$S52*20)+15000)))*(1+(mason_bonus*Construction!BB51/Construction!BS51))+IF(Overview!$B$14="Beastfolk",5*Construction!DB51/Construction!E51,0)</f>
        <v>0</v>
      </c>
      <c r="AD51" s="135">
        <f ca="1">harbor_towers_cap*(1-EXP(-AK51/(harbor_towers_param*($A52-Explore!$S52*20)+15000)))*(1+(mason_bonus*Construction!BB51/Construction!BS51))+IF(Overview!$B$14="Beastfolk",Construction!DE51/Construction!E51)*(1 + Production!O51/100*prestige_pop_multiplier)</f>
        <v>0</v>
      </c>
      <c r="AF51" s="110">
        <f ca="1">(1+Overview!$O$28+IF(Magic!BA51&gt;0,0.1,0))*SUM(AR51:AU51)</f>
        <v>0</v>
      </c>
      <c r="AG51" s="108">
        <f ca="1">(1+Overview!$O$28+IF(Magic!BA51&gt;0,0.1,0))*SUM(AW51:AZ51)</f>
        <v>0</v>
      </c>
      <c r="AH51" s="277">
        <f ca="1">(1+Overview!$O$28+IF(Magic!BA51&gt;0,0.1,0))*SUM(BB51:BE51)</f>
        <v>0</v>
      </c>
      <c r="AI51" s="277">
        <f ca="1">(1+Overview!$O$28+IF(Magic!BA51&gt;0,0.1,0))*SUM(BG51:BJ51)</f>
        <v>0</v>
      </c>
      <c r="AJ51" s="277">
        <f ca="1">(1+Overview!$O$28+IF(Magic!BA51&gt;0,0.1,0))*SUM(BL51:BO51)</f>
        <v>0</v>
      </c>
      <c r="AK51" s="274">
        <f ca="1">(1+Overview!$O$28+IF(Magic!BA51&gt;0,0.1,0))*SUM(BQ51:BT51)</f>
        <v>0</v>
      </c>
      <c r="AM51" s="113">
        <f t="shared" si="52"/>
        <v>0</v>
      </c>
      <c r="AN51" s="111">
        <f t="shared" si="52"/>
        <v>0</v>
      </c>
      <c r="AO51" s="111">
        <f t="shared" si="52"/>
        <v>0</v>
      </c>
      <c r="AP51" s="115">
        <f t="shared" si="52"/>
        <v>0</v>
      </c>
      <c r="AR51" s="110">
        <f t="shared" si="29"/>
        <v>0</v>
      </c>
      <c r="AS51" s="108">
        <f t="shared" si="53"/>
        <v>0</v>
      </c>
      <c r="AT51" s="108">
        <f t="shared" si="53"/>
        <v>0</v>
      </c>
      <c r="AU51" s="109">
        <f t="shared" si="31"/>
        <v>0</v>
      </c>
      <c r="AW51" s="110">
        <f t="shared" si="32"/>
        <v>0</v>
      </c>
      <c r="AX51" s="108">
        <f t="shared" si="54"/>
        <v>0</v>
      </c>
      <c r="AY51" s="108">
        <f t="shared" si="54"/>
        <v>0</v>
      </c>
      <c r="AZ51" s="109">
        <f t="shared" si="34"/>
        <v>0</v>
      </c>
      <c r="BB51" s="110">
        <f t="shared" si="35"/>
        <v>0</v>
      </c>
      <c r="BC51" s="108">
        <f t="shared" si="36"/>
        <v>0</v>
      </c>
      <c r="BD51" s="108">
        <f t="shared" si="50"/>
        <v>0</v>
      </c>
      <c r="BE51" s="109">
        <f t="shared" si="37"/>
        <v>0</v>
      </c>
      <c r="BG51" s="110">
        <f t="shared" si="38"/>
        <v>0</v>
      </c>
      <c r="BH51" s="108">
        <f t="shared" si="55"/>
        <v>0</v>
      </c>
      <c r="BI51" s="108">
        <f t="shared" si="55"/>
        <v>0</v>
      </c>
      <c r="BJ51" s="109">
        <f t="shared" si="40"/>
        <v>0</v>
      </c>
      <c r="BL51" s="110">
        <f t="shared" si="41"/>
        <v>0</v>
      </c>
      <c r="BM51" s="108">
        <f t="shared" si="56"/>
        <v>0</v>
      </c>
      <c r="BN51" s="108">
        <f t="shared" si="56"/>
        <v>0</v>
      </c>
      <c r="BO51" s="109">
        <f t="shared" si="43"/>
        <v>0</v>
      </c>
      <c r="BQ51" s="110">
        <f t="shared" si="44"/>
        <v>0</v>
      </c>
      <c r="BR51" s="108">
        <f t="shared" si="57"/>
        <v>0</v>
      </c>
      <c r="BS51" s="108">
        <f t="shared" si="57"/>
        <v>0</v>
      </c>
      <c r="BT51" s="109">
        <f t="shared" si="46"/>
        <v>0</v>
      </c>
      <c r="BV51" s="113" t="e">
        <f>OR(Production!C51,Construction!N51:'Construction'!AF51,Construction!BV51:CN51,Explore!S51:Z51,Military!AF51:AL51,Military!X51,Military!BE51:BL51,Rezone!L51:R51,Magic!G51:Q51)</f>
        <v>#VALUE!</v>
      </c>
      <c r="BW51" s="552">
        <f t="shared" si="47"/>
        <v>0</v>
      </c>
      <c r="BX51" s="552"/>
      <c r="BY51" s="560">
        <f t="shared" si="51"/>
        <v>43693.999999999884</v>
      </c>
      <c r="BZ51" s="568">
        <f t="shared" si="48"/>
        <v>43693.833333333219</v>
      </c>
      <c r="CA51" s="633"/>
      <c r="CB51" s="811"/>
      <c r="CC51" s="815"/>
    </row>
    <row r="52" spans="1:81" s="16" customFormat="1" ht="13.5" thickTop="1">
      <c r="A52" s="513">
        <f>Construction!E52</f>
        <v>1000</v>
      </c>
      <c r="C52" s="56">
        <f ca="1">Production!H52</f>
        <v>3469410</v>
      </c>
      <c r="D52" s="26">
        <f ca="1">Production!J52</f>
        <v>282021</v>
      </c>
      <c r="E52" s="26">
        <f ca="1">Production!L52</f>
        <v>231000</v>
      </c>
      <c r="F52" s="57">
        <f ca="1">Production!M52</f>
        <v>20000</v>
      </c>
      <c r="G52" s="26"/>
      <c r="H52" s="56">
        <f ca="1">Military!Z52</f>
        <v>3695</v>
      </c>
      <c r="I52" s="540">
        <f ca="1">Population!I52</f>
        <v>1</v>
      </c>
      <c r="J52" s="165">
        <f ca="1">Population!F52/Population!U52</f>
        <v>1</v>
      </c>
      <c r="K52" s="1005">
        <f>Rezone!J52</f>
        <v>50</v>
      </c>
      <c r="L52" s="584">
        <f t="shared" si="49"/>
        <v>43694.041666666548</v>
      </c>
      <c r="M52" s="316">
        <f t="shared" si="26"/>
        <v>0</v>
      </c>
      <c r="N52" s="641">
        <f t="shared" si="27"/>
        <v>1000</v>
      </c>
      <c r="O52" s="423" t="s">
        <v>4</v>
      </c>
      <c r="P52" s="370"/>
      <c r="Q52" s="424" t="s">
        <v>223</v>
      </c>
      <c r="R52" s="423" t="s">
        <v>7</v>
      </c>
      <c r="S52" s="370"/>
      <c r="T52" s="425" t="s">
        <v>223</v>
      </c>
      <c r="U52" s="424" t="s">
        <v>3</v>
      </c>
      <c r="V52" s="370"/>
      <c r="W52" s="425" t="s">
        <v>223</v>
      </c>
      <c r="Y52" s="524">
        <f ca="1">science_cap*(1-EXP(-AF52/(science_param*($A53-Explore!$S53*20)+15000)))*(1+(mason_bonus*Construction!BB52/Construction!BS52))+IF(Overview!$B$14="Beastfolk",Construction!DA52/Construction!E52,0)*(1 + Production!O52/100*prestige_pop_multiplier)</f>
        <v>0</v>
      </c>
      <c r="Z52" s="284">
        <f ca="1">keep_cap*(1-EXP(-AG52/(keep_param*($A53-Explore!$S53*20)+15000)))*(1+(mason_bonus*Construction!BB52/Construction!BS52))+IF(Overview!$B$14="Beastfolk",Construction!DF52/Construction!E52,0)*(1 + Production!O52/100*prestige_pop_multiplier)</f>
        <v>0</v>
      </c>
      <c r="AA52" s="284">
        <f ca="1">harbor_towers_cap*(1-EXP(-AH52/(harbor_towers_param*($A53-Explore!$S53*20)+15000)))*(1+(mason_bonus*Construction!BB52/Construction!BS52))+IF(Overview!$B$14="Beastfolk",2*Construction!DC52/Construction!E52,0)*(1 + Production!O52/100*prestige_pop_multiplier)</f>
        <v>0</v>
      </c>
      <c r="AB52" s="284">
        <f ca="1">walls_forges_cap*(1-EXP(-AI52/(walls_forges_param*($A53-Explore!$S53*20)+15000)))*(1+(mason_bonus*Construction!BB52/Construction!BS52))+IF(Overview!$B$14="Beastfolk",0.2*Construction!CY52/Construction!E52,0)</f>
        <v>0</v>
      </c>
      <c r="AC52" s="284">
        <f ca="1">walls_forges_cap*(1-EXP(-AJ52/(walls_forges_param*($A53-Explore!$S53*20)+15000)))*(1+(mason_bonus*Construction!BB52/Construction!BS52))+IF(Overview!$B$14="Beastfolk",5*Construction!DB52/Construction!E52,0)</f>
        <v>0</v>
      </c>
      <c r="AD52" s="97">
        <f ca="1">harbor_towers_cap*(1-EXP(-AK52/(harbor_towers_param*($A53-Explore!$S53*20)+15000)))*(1+(mason_bonus*Construction!BB52/Construction!BS52))+IF(Overview!$B$14="Beastfolk",Construction!DE52/Construction!E52)*(1 + Production!O52/100*prestige_pop_multiplier)</f>
        <v>0</v>
      </c>
      <c r="AF52" s="56">
        <f ca="1">(1+Overview!$O$28+IF(Magic!BA52&gt;0,0.1,0))*SUM(AR52:AU52)</f>
        <v>0</v>
      </c>
      <c r="AG52" s="26">
        <f ca="1">(1+Overview!$O$28+IF(Magic!BA52&gt;0,0.1,0))*SUM(AW52:AZ52)</f>
        <v>0</v>
      </c>
      <c r="AH52" s="164">
        <f ca="1">(1+Overview!$O$28+IF(Magic!BA52&gt;0,0.1,0))*SUM(BB52:BE52)</f>
        <v>0</v>
      </c>
      <c r="AI52" s="164">
        <f ca="1">(1+Overview!$O$28+IF(Magic!BA52&gt;0,0.1,0))*SUM(BG52:BJ52)</f>
        <v>0</v>
      </c>
      <c r="AJ52" s="164">
        <f ca="1">(1+Overview!$O$28+IF(Magic!BA52&gt;0,0.1,0))*SUM(BL52:BO52)</f>
        <v>0</v>
      </c>
      <c r="AK52" s="166">
        <f ca="1">(1+Overview!$O$28+IF(Magic!BA52&gt;0,0.1,0))*SUM(BQ52:BT52)</f>
        <v>0</v>
      </c>
      <c r="AM52" s="52">
        <f t="shared" si="52"/>
        <v>0</v>
      </c>
      <c r="AN52" s="16">
        <f t="shared" si="52"/>
        <v>0</v>
      </c>
      <c r="AO52" s="16">
        <f t="shared" si="52"/>
        <v>0</v>
      </c>
      <c r="AP52" s="53">
        <f t="shared" si="52"/>
        <v>0</v>
      </c>
      <c r="AR52" s="56">
        <f t="shared" si="29"/>
        <v>0</v>
      </c>
      <c r="AS52" s="26">
        <f t="shared" si="53"/>
        <v>0</v>
      </c>
      <c r="AT52" s="26">
        <f t="shared" si="53"/>
        <v>0</v>
      </c>
      <c r="AU52" s="57">
        <f t="shared" si="31"/>
        <v>0</v>
      </c>
      <c r="AW52" s="56">
        <f t="shared" si="32"/>
        <v>0</v>
      </c>
      <c r="AX52" s="26">
        <f t="shared" si="54"/>
        <v>0</v>
      </c>
      <c r="AY52" s="26">
        <f t="shared" si="54"/>
        <v>0</v>
      </c>
      <c r="AZ52" s="57">
        <f t="shared" si="34"/>
        <v>0</v>
      </c>
      <c r="BB52" s="56">
        <f t="shared" si="35"/>
        <v>0</v>
      </c>
      <c r="BC52" s="26">
        <f t="shared" si="36"/>
        <v>0</v>
      </c>
      <c r="BD52" s="26">
        <f t="shared" si="50"/>
        <v>0</v>
      </c>
      <c r="BE52" s="57">
        <f t="shared" si="37"/>
        <v>0</v>
      </c>
      <c r="BG52" s="56">
        <f t="shared" si="38"/>
        <v>0</v>
      </c>
      <c r="BH52" s="26">
        <f t="shared" si="55"/>
        <v>0</v>
      </c>
      <c r="BI52" s="26">
        <f t="shared" si="55"/>
        <v>0</v>
      </c>
      <c r="BJ52" s="57">
        <f t="shared" si="40"/>
        <v>0</v>
      </c>
      <c r="BL52" s="56">
        <f t="shared" si="41"/>
        <v>0</v>
      </c>
      <c r="BM52" s="26">
        <f t="shared" si="56"/>
        <v>0</v>
      </c>
      <c r="BN52" s="26">
        <f t="shared" si="56"/>
        <v>0</v>
      </c>
      <c r="BO52" s="57">
        <f t="shared" si="43"/>
        <v>0</v>
      </c>
      <c r="BQ52" s="56">
        <f t="shared" si="44"/>
        <v>0</v>
      </c>
      <c r="BR52" s="26">
        <f t="shared" si="57"/>
        <v>0</v>
      </c>
      <c r="BS52" s="26">
        <f t="shared" si="57"/>
        <v>0</v>
      </c>
      <c r="BT52" s="57">
        <f t="shared" si="46"/>
        <v>0</v>
      </c>
      <c r="BV52" s="52" t="e">
        <f>OR(Production!C52,Construction!N52:'Construction'!AF52,Construction!BV52:CN52,Explore!S52:Z52,Military!AF52:AL52,Military!X52,Military!BE52:BL52,Rezone!L52:R52,Magic!G52:Q52)</f>
        <v>#VALUE!</v>
      </c>
      <c r="BW52" s="527">
        <f t="shared" si="47"/>
        <v>0</v>
      </c>
      <c r="BX52" s="527"/>
      <c r="BY52" s="557">
        <f t="shared" si="51"/>
        <v>43694.041666666548</v>
      </c>
      <c r="BZ52" s="565">
        <f t="shared" si="48"/>
        <v>43693.874999999884</v>
      </c>
      <c r="CA52" s="529"/>
      <c r="CB52" s="807"/>
      <c r="CC52" s="812"/>
    </row>
    <row r="53" spans="1:81" s="16" customFormat="1">
      <c r="A53" s="513">
        <f>Construction!E53</f>
        <v>1000</v>
      </c>
      <c r="C53" s="56">
        <f ca="1">Production!H53</f>
        <v>3480061</v>
      </c>
      <c r="D53" s="26">
        <f ca="1">Production!J53</f>
        <v>281701</v>
      </c>
      <c r="E53" s="26">
        <f ca="1">Production!L53</f>
        <v>231000</v>
      </c>
      <c r="F53" s="57">
        <f ca="1">Production!M53</f>
        <v>20000</v>
      </c>
      <c r="G53" s="26"/>
      <c r="H53" s="56">
        <f ca="1">Military!Z53</f>
        <v>3695</v>
      </c>
      <c r="I53" s="540">
        <f ca="1">Population!I53</f>
        <v>1</v>
      </c>
      <c r="J53" s="165">
        <f ca="1">Population!F53/Population!U53</f>
        <v>1</v>
      </c>
      <c r="K53" s="1005">
        <f>Rezone!J53</f>
        <v>51</v>
      </c>
      <c r="L53" s="584">
        <f t="shared" si="49"/>
        <v>43694.083333333212</v>
      </c>
      <c r="M53" s="316">
        <f t="shared" si="26"/>
        <v>0</v>
      </c>
      <c r="N53" s="641">
        <f t="shared" si="27"/>
        <v>1000</v>
      </c>
      <c r="O53" s="423" t="s">
        <v>4</v>
      </c>
      <c r="P53" s="370"/>
      <c r="Q53" s="424" t="s">
        <v>223</v>
      </c>
      <c r="R53" s="423" t="s">
        <v>7</v>
      </c>
      <c r="S53" s="370"/>
      <c r="T53" s="425" t="s">
        <v>223</v>
      </c>
      <c r="U53" s="424" t="s">
        <v>3</v>
      </c>
      <c r="V53" s="370"/>
      <c r="W53" s="425" t="s">
        <v>223</v>
      </c>
      <c r="Y53" s="524">
        <f ca="1">science_cap*(1-EXP(-AF53/(science_param*($A54-Explore!$S54*20)+15000)))*(1+(mason_bonus*Construction!BB53/Construction!BS53))+IF(Overview!$B$14="Beastfolk",Construction!DA53/Construction!E53,0)*(1 + Production!O53/100*prestige_pop_multiplier)</f>
        <v>0</v>
      </c>
      <c r="Z53" s="284">
        <f ca="1">keep_cap*(1-EXP(-AG53/(keep_param*($A54-Explore!$S54*20)+15000)))*(1+(mason_bonus*Construction!BB53/Construction!BS53))+IF(Overview!$B$14="Beastfolk",Construction!DF53/Construction!E53,0)*(1 + Production!O53/100*prestige_pop_multiplier)</f>
        <v>0</v>
      </c>
      <c r="AA53" s="284">
        <f ca="1">harbor_towers_cap*(1-EXP(-AH53/(harbor_towers_param*($A54-Explore!$S54*20)+15000)))*(1+(mason_bonus*Construction!BB53/Construction!BS53))+IF(Overview!$B$14="Beastfolk",2*Construction!DC53/Construction!E53,0)*(1 + Production!O53/100*prestige_pop_multiplier)</f>
        <v>0</v>
      </c>
      <c r="AB53" s="284">
        <f ca="1">walls_forges_cap*(1-EXP(-AI53/(walls_forges_param*($A54-Explore!$S54*20)+15000)))*(1+(mason_bonus*Construction!BB53/Construction!BS53))+IF(Overview!$B$14="Beastfolk",0.2*Construction!CY53/Construction!E53,0)</f>
        <v>0</v>
      </c>
      <c r="AC53" s="284">
        <f ca="1">walls_forges_cap*(1-EXP(-AJ53/(walls_forges_param*($A54-Explore!$S54*20)+15000)))*(1+(mason_bonus*Construction!BB53/Construction!BS53))+IF(Overview!$B$14="Beastfolk",5*Construction!DB53/Construction!E53,0)</f>
        <v>0</v>
      </c>
      <c r="AD53" s="97">
        <f ca="1">harbor_towers_cap*(1-EXP(-AK53/(harbor_towers_param*($A54-Explore!$S54*20)+15000)))*(1+(mason_bonus*Construction!BB53/Construction!BS53))+IF(Overview!$B$14="Beastfolk",Construction!DE53/Construction!E53)*(1 + Production!O53/100*prestige_pop_multiplier)</f>
        <v>0</v>
      </c>
      <c r="AF53" s="56">
        <f ca="1">(1+Overview!$O$28+IF(Magic!BA53&gt;0,0.1,0))*SUM(AR53:AU53)</f>
        <v>0</v>
      </c>
      <c r="AG53" s="26">
        <f ca="1">(1+Overview!$O$28+IF(Magic!BA53&gt;0,0.1,0))*SUM(AW53:AZ53)</f>
        <v>0</v>
      </c>
      <c r="AH53" s="164">
        <f ca="1">(1+Overview!$O$28+IF(Magic!BA53&gt;0,0.1,0))*SUM(BB53:BE53)</f>
        <v>0</v>
      </c>
      <c r="AI53" s="164">
        <f ca="1">(1+Overview!$O$28+IF(Magic!BA53&gt;0,0.1,0))*SUM(BG53:BJ53)</f>
        <v>0</v>
      </c>
      <c r="AJ53" s="164">
        <f ca="1">(1+Overview!$O$28+IF(Magic!BA53&gt;0,0.1,0))*SUM(BL53:BO53)</f>
        <v>0</v>
      </c>
      <c r="AK53" s="166">
        <f ca="1">(1+Overview!$O$28+IF(Magic!BA53&gt;0,0.1,0))*SUM(BQ53:BT53)</f>
        <v>0</v>
      </c>
      <c r="AM53" s="52">
        <f t="shared" si="52"/>
        <v>0</v>
      </c>
      <c r="AN53" s="16">
        <f t="shared" si="52"/>
        <v>0</v>
      </c>
      <c r="AO53" s="16">
        <f t="shared" si="52"/>
        <v>0</v>
      </c>
      <c r="AP53" s="53">
        <f t="shared" si="52"/>
        <v>0</v>
      </c>
      <c r="AR53" s="56">
        <f t="shared" si="29"/>
        <v>0</v>
      </c>
      <c r="AS53" s="26">
        <f t="shared" si="53"/>
        <v>0</v>
      </c>
      <c r="AT53" s="26">
        <f t="shared" si="53"/>
        <v>0</v>
      </c>
      <c r="AU53" s="57">
        <f t="shared" si="31"/>
        <v>0</v>
      </c>
      <c r="AW53" s="56">
        <f t="shared" si="32"/>
        <v>0</v>
      </c>
      <c r="AX53" s="26">
        <f t="shared" si="54"/>
        <v>0</v>
      </c>
      <c r="AY53" s="26">
        <f t="shared" si="54"/>
        <v>0</v>
      </c>
      <c r="AZ53" s="57">
        <f t="shared" si="34"/>
        <v>0</v>
      </c>
      <c r="BB53" s="56">
        <f t="shared" si="35"/>
        <v>0</v>
      </c>
      <c r="BC53" s="26">
        <f t="shared" si="36"/>
        <v>0</v>
      </c>
      <c r="BD53" s="26">
        <f t="shared" si="50"/>
        <v>0</v>
      </c>
      <c r="BE53" s="57">
        <f t="shared" si="37"/>
        <v>0</v>
      </c>
      <c r="BG53" s="56">
        <f t="shared" si="38"/>
        <v>0</v>
      </c>
      <c r="BH53" s="26">
        <f t="shared" si="55"/>
        <v>0</v>
      </c>
      <c r="BI53" s="26">
        <f t="shared" si="55"/>
        <v>0</v>
      </c>
      <c r="BJ53" s="57">
        <f t="shared" si="40"/>
        <v>0</v>
      </c>
      <c r="BL53" s="56">
        <f t="shared" si="41"/>
        <v>0</v>
      </c>
      <c r="BM53" s="26">
        <f t="shared" si="56"/>
        <v>0</v>
      </c>
      <c r="BN53" s="26">
        <f t="shared" si="56"/>
        <v>0</v>
      </c>
      <c r="BO53" s="57">
        <f t="shared" si="43"/>
        <v>0</v>
      </c>
      <c r="BQ53" s="56">
        <f t="shared" si="44"/>
        <v>0</v>
      </c>
      <c r="BR53" s="26">
        <f t="shared" si="57"/>
        <v>0</v>
      </c>
      <c r="BS53" s="26">
        <f t="shared" si="57"/>
        <v>0</v>
      </c>
      <c r="BT53" s="57">
        <f t="shared" si="46"/>
        <v>0</v>
      </c>
      <c r="BV53" s="52" t="e">
        <f>OR(Production!C53,Construction!N53:'Construction'!AF53,Construction!BV53:CN53,Explore!S53:Z53,Military!AF53:AL53,Military!X53,Military!BE53:BL53,Rezone!L53:R53,Magic!G53:Q53)</f>
        <v>#VALUE!</v>
      </c>
      <c r="BW53" s="527">
        <f t="shared" si="47"/>
        <v>0</v>
      </c>
      <c r="BX53" s="527"/>
      <c r="BY53" s="557">
        <f t="shared" si="51"/>
        <v>43694.083333333212</v>
      </c>
      <c r="BZ53" s="565">
        <f t="shared" si="48"/>
        <v>43693.916666666548</v>
      </c>
      <c r="CA53" s="529"/>
      <c r="CB53" s="807"/>
      <c r="CC53" s="812"/>
    </row>
    <row r="54" spans="1:81" s="16" customFormat="1">
      <c r="A54" s="513">
        <f>Construction!E54</f>
        <v>1000</v>
      </c>
      <c r="C54" s="56">
        <f ca="1">Production!H54</f>
        <v>3490712</v>
      </c>
      <c r="D54" s="26">
        <f ca="1">Production!J54</f>
        <v>281384</v>
      </c>
      <c r="E54" s="26">
        <f ca="1">Production!L54</f>
        <v>231000</v>
      </c>
      <c r="F54" s="57">
        <f ca="1">Production!M54</f>
        <v>20000</v>
      </c>
      <c r="G54" s="26"/>
      <c r="H54" s="56">
        <f ca="1">Military!Z54</f>
        <v>3695</v>
      </c>
      <c r="I54" s="540">
        <f ca="1">Population!I54</f>
        <v>1</v>
      </c>
      <c r="J54" s="165">
        <f ca="1">Population!F54/Population!U54</f>
        <v>1</v>
      </c>
      <c r="K54" s="1005">
        <f>Rezone!J54</f>
        <v>52</v>
      </c>
      <c r="L54" s="584">
        <f t="shared" si="49"/>
        <v>43694.124999999876</v>
      </c>
      <c r="M54" s="316">
        <f t="shared" si="26"/>
        <v>0</v>
      </c>
      <c r="N54" s="641">
        <f t="shared" si="27"/>
        <v>1000</v>
      </c>
      <c r="O54" s="423" t="s">
        <v>4</v>
      </c>
      <c r="P54" s="370"/>
      <c r="Q54" s="424" t="s">
        <v>223</v>
      </c>
      <c r="R54" s="423" t="s">
        <v>7</v>
      </c>
      <c r="S54" s="370"/>
      <c r="T54" s="425" t="s">
        <v>223</v>
      </c>
      <c r="U54" s="424" t="s">
        <v>3</v>
      </c>
      <c r="V54" s="370"/>
      <c r="W54" s="425" t="s">
        <v>223</v>
      </c>
      <c r="Y54" s="524">
        <f ca="1">science_cap*(1-EXP(-AF54/(science_param*($A55-Explore!$S55*20)+15000)))*(1+(mason_bonus*Construction!BB54/Construction!BS54))+IF(Overview!$B$14="Beastfolk",Construction!DA54/Construction!E54,0)*(1 + Production!O54/100*prestige_pop_multiplier)</f>
        <v>0</v>
      </c>
      <c r="Z54" s="284">
        <f ca="1">keep_cap*(1-EXP(-AG54/(keep_param*($A55-Explore!$S55*20)+15000)))*(1+(mason_bonus*Construction!BB54/Construction!BS54))+IF(Overview!$B$14="Beastfolk",Construction!DF54/Construction!E54,0)*(1 + Production!O54/100*prestige_pop_multiplier)</f>
        <v>0</v>
      </c>
      <c r="AA54" s="284">
        <f ca="1">harbor_towers_cap*(1-EXP(-AH54/(harbor_towers_param*($A55-Explore!$S55*20)+15000)))*(1+(mason_bonus*Construction!BB54/Construction!BS54))+IF(Overview!$B$14="Beastfolk",2*Construction!DC54/Construction!E54,0)*(1 + Production!O54/100*prestige_pop_multiplier)</f>
        <v>0</v>
      </c>
      <c r="AB54" s="284">
        <f ca="1">walls_forges_cap*(1-EXP(-AI54/(walls_forges_param*($A55-Explore!$S55*20)+15000)))*(1+(mason_bonus*Construction!BB54/Construction!BS54))+IF(Overview!$B$14="Beastfolk",0.2*Construction!CY54/Construction!E54,0)</f>
        <v>0</v>
      </c>
      <c r="AC54" s="284">
        <f ca="1">walls_forges_cap*(1-EXP(-AJ54/(walls_forges_param*($A55-Explore!$S55*20)+15000)))*(1+(mason_bonus*Construction!BB54/Construction!BS54))+IF(Overview!$B$14="Beastfolk",5*Construction!DB54/Construction!E54,0)</f>
        <v>0</v>
      </c>
      <c r="AD54" s="97">
        <f ca="1">harbor_towers_cap*(1-EXP(-AK54/(harbor_towers_param*($A55-Explore!$S55*20)+15000)))*(1+(mason_bonus*Construction!BB54/Construction!BS54))+IF(Overview!$B$14="Beastfolk",Construction!DE54/Construction!E54)*(1 + Production!O54/100*prestige_pop_multiplier)</f>
        <v>0</v>
      </c>
      <c r="AF54" s="56">
        <f ca="1">(1+Overview!$O$28+IF(Magic!BA54&gt;0,0.1,0))*SUM(AR54:AU54)</f>
        <v>0</v>
      </c>
      <c r="AG54" s="26">
        <f ca="1">(1+Overview!$O$28+IF(Magic!BA54&gt;0,0.1,0))*SUM(AW54:AZ54)</f>
        <v>0</v>
      </c>
      <c r="AH54" s="164">
        <f ca="1">(1+Overview!$O$28+IF(Magic!BA54&gt;0,0.1,0))*SUM(BB54:BE54)</f>
        <v>0</v>
      </c>
      <c r="AI54" s="164">
        <f ca="1">(1+Overview!$O$28+IF(Magic!BA54&gt;0,0.1,0))*SUM(BG54:BJ54)</f>
        <v>0</v>
      </c>
      <c r="AJ54" s="164">
        <f ca="1">(1+Overview!$O$28+IF(Magic!BA54&gt;0,0.1,0))*SUM(BL54:BO54)</f>
        <v>0</v>
      </c>
      <c r="AK54" s="166">
        <f ca="1">(1+Overview!$O$28+IF(Magic!BA54&gt;0,0.1,0))*SUM(BQ54:BT54)</f>
        <v>0</v>
      </c>
      <c r="AM54" s="52">
        <f t="shared" si="52"/>
        <v>0</v>
      </c>
      <c r="AN54" s="16">
        <f t="shared" si="52"/>
        <v>0</v>
      </c>
      <c r="AO54" s="16">
        <f t="shared" si="52"/>
        <v>0</v>
      </c>
      <c r="AP54" s="53">
        <f t="shared" si="52"/>
        <v>0</v>
      </c>
      <c r="AR54" s="56">
        <f t="shared" si="29"/>
        <v>0</v>
      </c>
      <c r="AS54" s="26">
        <f t="shared" si="53"/>
        <v>0</v>
      </c>
      <c r="AT54" s="26">
        <f t="shared" si="53"/>
        <v>0</v>
      </c>
      <c r="AU54" s="57">
        <f t="shared" si="31"/>
        <v>0</v>
      </c>
      <c r="AW54" s="56">
        <f t="shared" si="32"/>
        <v>0</v>
      </c>
      <c r="AX54" s="26">
        <f t="shared" si="54"/>
        <v>0</v>
      </c>
      <c r="AY54" s="26">
        <f t="shared" si="54"/>
        <v>0</v>
      </c>
      <c r="AZ54" s="57">
        <f t="shared" si="34"/>
        <v>0</v>
      </c>
      <c r="BB54" s="56">
        <f t="shared" si="35"/>
        <v>0</v>
      </c>
      <c r="BC54" s="26">
        <f t="shared" si="36"/>
        <v>0</v>
      </c>
      <c r="BD54" s="26">
        <f t="shared" si="50"/>
        <v>0</v>
      </c>
      <c r="BE54" s="57">
        <f t="shared" si="37"/>
        <v>0</v>
      </c>
      <c r="BG54" s="56">
        <f t="shared" si="38"/>
        <v>0</v>
      </c>
      <c r="BH54" s="26">
        <f t="shared" si="55"/>
        <v>0</v>
      </c>
      <c r="BI54" s="26">
        <f t="shared" si="55"/>
        <v>0</v>
      </c>
      <c r="BJ54" s="57">
        <f t="shared" si="40"/>
        <v>0</v>
      </c>
      <c r="BL54" s="56">
        <f t="shared" si="41"/>
        <v>0</v>
      </c>
      <c r="BM54" s="26">
        <f t="shared" si="56"/>
        <v>0</v>
      </c>
      <c r="BN54" s="26">
        <f t="shared" si="56"/>
        <v>0</v>
      </c>
      <c r="BO54" s="57">
        <f t="shared" si="43"/>
        <v>0</v>
      </c>
      <c r="BQ54" s="56">
        <f t="shared" si="44"/>
        <v>0</v>
      </c>
      <c r="BR54" s="26">
        <f t="shared" si="57"/>
        <v>0</v>
      </c>
      <c r="BS54" s="26">
        <f t="shared" si="57"/>
        <v>0</v>
      </c>
      <c r="BT54" s="57">
        <f t="shared" si="46"/>
        <v>0</v>
      </c>
      <c r="BV54" s="52" t="e">
        <f>OR(Production!C54,Construction!N54:'Construction'!AF54,Construction!BV54:CN54,Explore!S54:Z54,Military!AF54:AL54,Military!X54,Military!BE54:BL54,Rezone!L54:R54,Magic!G54:Q54)</f>
        <v>#VALUE!</v>
      </c>
      <c r="BW54" s="527">
        <f t="shared" si="47"/>
        <v>0</v>
      </c>
      <c r="BX54" s="527"/>
      <c r="BY54" s="557">
        <f t="shared" si="51"/>
        <v>43694.124999999876</v>
      </c>
      <c r="BZ54" s="565">
        <f t="shared" si="48"/>
        <v>43693.958333333212</v>
      </c>
      <c r="CA54" s="529"/>
      <c r="CB54" s="807"/>
      <c r="CC54" s="812"/>
    </row>
    <row r="55" spans="1:81" s="16" customFormat="1">
      <c r="A55" s="513">
        <f>Construction!E55</f>
        <v>1000</v>
      </c>
      <c r="C55" s="56">
        <f ca="1">Production!H55</f>
        <v>3501363</v>
      </c>
      <c r="D55" s="26">
        <f ca="1">Production!J55</f>
        <v>281070</v>
      </c>
      <c r="E55" s="26">
        <f ca="1">Production!L55</f>
        <v>231000</v>
      </c>
      <c r="F55" s="57">
        <f ca="1">Production!M55</f>
        <v>20000</v>
      </c>
      <c r="G55" s="26"/>
      <c r="H55" s="56">
        <f ca="1">Military!Z55</f>
        <v>3695</v>
      </c>
      <c r="I55" s="540">
        <f ca="1">Population!I55</f>
        <v>1</v>
      </c>
      <c r="J55" s="165">
        <f ca="1">Population!F55/Population!U55</f>
        <v>1</v>
      </c>
      <c r="K55" s="1005">
        <f>Rezone!J55</f>
        <v>53</v>
      </c>
      <c r="L55" s="584">
        <f t="shared" si="49"/>
        <v>43694.166666666541</v>
      </c>
      <c r="M55" s="316">
        <f t="shared" si="26"/>
        <v>0</v>
      </c>
      <c r="N55" s="641">
        <f t="shared" si="27"/>
        <v>1000</v>
      </c>
      <c r="O55" s="423" t="s">
        <v>4</v>
      </c>
      <c r="P55" s="370"/>
      <c r="Q55" s="424" t="s">
        <v>223</v>
      </c>
      <c r="R55" s="423" t="s">
        <v>7</v>
      </c>
      <c r="S55" s="370"/>
      <c r="T55" s="425" t="s">
        <v>223</v>
      </c>
      <c r="U55" s="424" t="s">
        <v>3</v>
      </c>
      <c r="V55" s="370"/>
      <c r="W55" s="425" t="s">
        <v>223</v>
      </c>
      <c r="Y55" s="524">
        <f ca="1">science_cap*(1-EXP(-AF55/(science_param*($A56-Explore!$S56*20)+15000)))*(1+(mason_bonus*Construction!BB55/Construction!BS55))+IF(Overview!$B$14="Beastfolk",Construction!DA55/Construction!E55,0)*(1 + Production!O55/100*prestige_pop_multiplier)</f>
        <v>0</v>
      </c>
      <c r="Z55" s="284">
        <f ca="1">keep_cap*(1-EXP(-AG55/(keep_param*($A56-Explore!$S56*20)+15000)))*(1+(mason_bonus*Construction!BB55/Construction!BS55))+IF(Overview!$B$14="Beastfolk",Construction!DF55/Construction!E55,0)*(1 + Production!O55/100*prestige_pop_multiplier)</f>
        <v>0</v>
      </c>
      <c r="AA55" s="284">
        <f ca="1">harbor_towers_cap*(1-EXP(-AH55/(harbor_towers_param*($A56-Explore!$S56*20)+15000)))*(1+(mason_bonus*Construction!BB55/Construction!BS55))+IF(Overview!$B$14="Beastfolk",2*Construction!DC55/Construction!E55,0)*(1 + Production!O55/100*prestige_pop_multiplier)</f>
        <v>0</v>
      </c>
      <c r="AB55" s="284">
        <f ca="1">walls_forges_cap*(1-EXP(-AI55/(walls_forges_param*($A56-Explore!$S56*20)+15000)))*(1+(mason_bonus*Construction!BB55/Construction!BS55))+IF(Overview!$B$14="Beastfolk",0.2*Construction!CY55/Construction!E55,0)</f>
        <v>0</v>
      </c>
      <c r="AC55" s="284">
        <f ca="1">walls_forges_cap*(1-EXP(-AJ55/(walls_forges_param*($A56-Explore!$S56*20)+15000)))*(1+(mason_bonus*Construction!BB55/Construction!BS55))+IF(Overview!$B$14="Beastfolk",5*Construction!DB55/Construction!E55,0)</f>
        <v>0</v>
      </c>
      <c r="AD55" s="97">
        <f ca="1">harbor_towers_cap*(1-EXP(-AK55/(harbor_towers_param*($A56-Explore!$S56*20)+15000)))*(1+(mason_bonus*Construction!BB55/Construction!BS55))+IF(Overview!$B$14="Beastfolk",Construction!DE55/Construction!E55)*(1 + Production!O55/100*prestige_pop_multiplier)</f>
        <v>0</v>
      </c>
      <c r="AF55" s="56">
        <f ca="1">(1+Overview!$O$28+IF(Magic!BA55&gt;0,0.1,0))*SUM(AR55:AU55)</f>
        <v>0</v>
      </c>
      <c r="AG55" s="26">
        <f ca="1">(1+Overview!$O$28+IF(Magic!BA55&gt;0,0.1,0))*SUM(AW55:AZ55)</f>
        <v>0</v>
      </c>
      <c r="AH55" s="164">
        <f ca="1">(1+Overview!$O$28+IF(Magic!BA55&gt;0,0.1,0))*SUM(BB55:BE55)</f>
        <v>0</v>
      </c>
      <c r="AI55" s="164">
        <f ca="1">(1+Overview!$O$28+IF(Magic!BA55&gt;0,0.1,0))*SUM(BG55:BJ55)</f>
        <v>0</v>
      </c>
      <c r="AJ55" s="164">
        <f ca="1">(1+Overview!$O$28+IF(Magic!BA55&gt;0,0.1,0))*SUM(BL55:BO55)</f>
        <v>0</v>
      </c>
      <c r="AK55" s="166">
        <f ca="1">(1+Overview!$O$28+IF(Magic!BA55&gt;0,0.1,0))*SUM(BQ55:BT55)</f>
        <v>0</v>
      </c>
      <c r="AM55" s="52">
        <f t="shared" si="52"/>
        <v>0</v>
      </c>
      <c r="AN55" s="16">
        <f t="shared" si="52"/>
        <v>0</v>
      </c>
      <c r="AO55" s="16">
        <f t="shared" si="52"/>
        <v>0</v>
      </c>
      <c r="AP55" s="53">
        <f t="shared" si="52"/>
        <v>0</v>
      </c>
      <c r="AR55" s="56">
        <f t="shared" si="29"/>
        <v>0</v>
      </c>
      <c r="AS55" s="26">
        <f t="shared" si="53"/>
        <v>0</v>
      </c>
      <c r="AT55" s="26">
        <f t="shared" si="53"/>
        <v>0</v>
      </c>
      <c r="AU55" s="57">
        <f t="shared" si="31"/>
        <v>0</v>
      </c>
      <c r="AW55" s="56">
        <f t="shared" si="32"/>
        <v>0</v>
      </c>
      <c r="AX55" s="26">
        <f t="shared" si="54"/>
        <v>0</v>
      </c>
      <c r="AY55" s="26">
        <f t="shared" si="54"/>
        <v>0</v>
      </c>
      <c r="AZ55" s="57">
        <f t="shared" si="34"/>
        <v>0</v>
      </c>
      <c r="BB55" s="56">
        <f t="shared" si="35"/>
        <v>0</v>
      </c>
      <c r="BC55" s="26">
        <f t="shared" si="36"/>
        <v>0</v>
      </c>
      <c r="BD55" s="26">
        <f t="shared" si="50"/>
        <v>0</v>
      </c>
      <c r="BE55" s="57">
        <f t="shared" si="37"/>
        <v>0</v>
      </c>
      <c r="BG55" s="56">
        <f t="shared" si="38"/>
        <v>0</v>
      </c>
      <c r="BH55" s="26">
        <f t="shared" si="55"/>
        <v>0</v>
      </c>
      <c r="BI55" s="26">
        <f t="shared" si="55"/>
        <v>0</v>
      </c>
      <c r="BJ55" s="57">
        <f t="shared" si="40"/>
        <v>0</v>
      </c>
      <c r="BL55" s="56">
        <f t="shared" si="41"/>
        <v>0</v>
      </c>
      <c r="BM55" s="26">
        <f t="shared" si="56"/>
        <v>0</v>
      </c>
      <c r="BN55" s="26">
        <f t="shared" si="56"/>
        <v>0</v>
      </c>
      <c r="BO55" s="57">
        <f t="shared" si="43"/>
        <v>0</v>
      </c>
      <c r="BQ55" s="56">
        <f t="shared" si="44"/>
        <v>0</v>
      </c>
      <c r="BR55" s="26">
        <f t="shared" si="57"/>
        <v>0</v>
      </c>
      <c r="BS55" s="26">
        <f t="shared" si="57"/>
        <v>0</v>
      </c>
      <c r="BT55" s="57">
        <f t="shared" si="46"/>
        <v>0</v>
      </c>
      <c r="BV55" s="52" t="e">
        <f>OR(Production!C55,Construction!N55:'Construction'!AF55,Construction!BV55:CN55,Explore!S55:Z55,Military!AF55:AL55,Military!X55,Military!BE55:BL55,Rezone!L55:R55,Magic!G55:Q55)</f>
        <v>#VALUE!</v>
      </c>
      <c r="BW55" s="527">
        <f t="shared" si="47"/>
        <v>0</v>
      </c>
      <c r="BX55" s="527"/>
      <c r="BY55" s="557">
        <f t="shared" si="51"/>
        <v>43694.166666666541</v>
      </c>
      <c r="BZ55" s="565">
        <f t="shared" si="48"/>
        <v>43693.999999999876</v>
      </c>
      <c r="CA55" s="529"/>
      <c r="CB55" s="807"/>
      <c r="CC55" s="812"/>
    </row>
    <row r="56" spans="1:81" s="16" customFormat="1">
      <c r="A56" s="513">
        <f>Construction!E56</f>
        <v>1000</v>
      </c>
      <c r="C56" s="56">
        <f ca="1">Production!H56</f>
        <v>3512014</v>
      </c>
      <c r="D56" s="26">
        <f ca="1">Production!J56</f>
        <v>280759</v>
      </c>
      <c r="E56" s="26">
        <f ca="1">Production!L56</f>
        <v>231000</v>
      </c>
      <c r="F56" s="57">
        <f ca="1">Production!M56</f>
        <v>20000</v>
      </c>
      <c r="G56" s="26"/>
      <c r="H56" s="56">
        <f ca="1">Military!Z56</f>
        <v>3695</v>
      </c>
      <c r="I56" s="540">
        <f ca="1">Population!I56</f>
        <v>1</v>
      </c>
      <c r="J56" s="165">
        <f ca="1">Population!F56/Population!U56</f>
        <v>1</v>
      </c>
      <c r="K56" s="1005">
        <f>Rezone!J56</f>
        <v>54</v>
      </c>
      <c r="L56" s="584">
        <f t="shared" si="49"/>
        <v>43694.208333333205</v>
      </c>
      <c r="M56" s="316">
        <f t="shared" si="26"/>
        <v>0</v>
      </c>
      <c r="N56" s="641">
        <f t="shared" si="27"/>
        <v>1000</v>
      </c>
      <c r="O56" s="423" t="s">
        <v>4</v>
      </c>
      <c r="P56" s="370"/>
      <c r="Q56" s="424" t="s">
        <v>223</v>
      </c>
      <c r="R56" s="423" t="s">
        <v>7</v>
      </c>
      <c r="S56" s="370"/>
      <c r="T56" s="425" t="s">
        <v>223</v>
      </c>
      <c r="U56" s="424" t="s">
        <v>3</v>
      </c>
      <c r="V56" s="370"/>
      <c r="W56" s="425" t="s">
        <v>223</v>
      </c>
      <c r="Y56" s="524">
        <f ca="1">science_cap*(1-EXP(-AF56/(science_param*($A57-Explore!$S57*20)+15000)))*(1+(mason_bonus*Construction!BB56/Construction!BS56))+IF(Overview!$B$14="Beastfolk",Construction!DA56/Construction!E56,0)*(1 + Production!O56/100*prestige_pop_multiplier)</f>
        <v>0</v>
      </c>
      <c r="Z56" s="284">
        <f ca="1">keep_cap*(1-EXP(-AG56/(keep_param*($A57-Explore!$S57*20)+15000)))*(1+(mason_bonus*Construction!BB56/Construction!BS56))+IF(Overview!$B$14="Beastfolk",Construction!DF56/Construction!E56,0)*(1 + Production!O56/100*prestige_pop_multiplier)</f>
        <v>0</v>
      </c>
      <c r="AA56" s="284">
        <f ca="1">harbor_towers_cap*(1-EXP(-AH56/(harbor_towers_param*($A57-Explore!$S57*20)+15000)))*(1+(mason_bonus*Construction!BB56/Construction!BS56))+IF(Overview!$B$14="Beastfolk",2*Construction!DC56/Construction!E56,0)*(1 + Production!O56/100*prestige_pop_multiplier)</f>
        <v>0</v>
      </c>
      <c r="AB56" s="284">
        <f ca="1">walls_forges_cap*(1-EXP(-AI56/(walls_forges_param*($A57-Explore!$S57*20)+15000)))*(1+(mason_bonus*Construction!BB56/Construction!BS56))+IF(Overview!$B$14="Beastfolk",0.2*Construction!CY56/Construction!E56,0)</f>
        <v>0</v>
      </c>
      <c r="AC56" s="284">
        <f ca="1">walls_forges_cap*(1-EXP(-AJ56/(walls_forges_param*($A57-Explore!$S57*20)+15000)))*(1+(mason_bonus*Construction!BB56/Construction!BS56))+IF(Overview!$B$14="Beastfolk",5*Construction!DB56/Construction!E56,0)</f>
        <v>0</v>
      </c>
      <c r="AD56" s="97">
        <f ca="1">harbor_towers_cap*(1-EXP(-AK56/(harbor_towers_param*($A57-Explore!$S57*20)+15000)))*(1+(mason_bonus*Construction!BB56/Construction!BS56))+IF(Overview!$B$14="Beastfolk",Construction!DE56/Construction!E56)*(1 + Production!O56/100*prestige_pop_multiplier)</f>
        <v>0</v>
      </c>
      <c r="AF56" s="56">
        <f ca="1">(1+Overview!$O$28+IF(Magic!BA56&gt;0,0.1,0))*SUM(AR56:AU56)</f>
        <v>0</v>
      </c>
      <c r="AG56" s="26">
        <f ca="1">(1+Overview!$O$28+IF(Magic!BA56&gt;0,0.1,0))*SUM(AW56:AZ56)</f>
        <v>0</v>
      </c>
      <c r="AH56" s="164">
        <f ca="1">(1+Overview!$O$28+IF(Magic!BA56&gt;0,0.1,0))*SUM(BB56:BE56)</f>
        <v>0</v>
      </c>
      <c r="AI56" s="164">
        <f ca="1">(1+Overview!$O$28+IF(Magic!BA56&gt;0,0.1,0))*SUM(BG56:BJ56)</f>
        <v>0</v>
      </c>
      <c r="AJ56" s="164">
        <f ca="1">(1+Overview!$O$28+IF(Magic!BA56&gt;0,0.1,0))*SUM(BL56:BO56)</f>
        <v>0</v>
      </c>
      <c r="AK56" s="166">
        <f ca="1">(1+Overview!$O$28+IF(Magic!BA56&gt;0,0.1,0))*SUM(BQ56:BT56)</f>
        <v>0</v>
      </c>
      <c r="AM56" s="52">
        <f t="shared" si="52"/>
        <v>0</v>
      </c>
      <c r="AN56" s="16">
        <f t="shared" si="52"/>
        <v>0</v>
      </c>
      <c r="AO56" s="16">
        <f t="shared" si="52"/>
        <v>0</v>
      </c>
      <c r="AP56" s="53">
        <f t="shared" si="52"/>
        <v>0</v>
      </c>
      <c r="AR56" s="56">
        <f t="shared" si="29"/>
        <v>0</v>
      </c>
      <c r="AS56" s="26">
        <f t="shared" si="53"/>
        <v>0</v>
      </c>
      <c r="AT56" s="26">
        <f t="shared" si="53"/>
        <v>0</v>
      </c>
      <c r="AU56" s="57">
        <f t="shared" si="31"/>
        <v>0</v>
      </c>
      <c r="AW56" s="56">
        <f t="shared" si="32"/>
        <v>0</v>
      </c>
      <c r="AX56" s="26">
        <f t="shared" si="54"/>
        <v>0</v>
      </c>
      <c r="AY56" s="26">
        <f t="shared" si="54"/>
        <v>0</v>
      </c>
      <c r="AZ56" s="57">
        <f t="shared" si="34"/>
        <v>0</v>
      </c>
      <c r="BB56" s="56">
        <f t="shared" si="35"/>
        <v>0</v>
      </c>
      <c r="BC56" s="26">
        <f t="shared" si="36"/>
        <v>0</v>
      </c>
      <c r="BD56" s="26">
        <f t="shared" si="50"/>
        <v>0</v>
      </c>
      <c r="BE56" s="57">
        <f t="shared" si="37"/>
        <v>0</v>
      </c>
      <c r="BG56" s="56">
        <f t="shared" si="38"/>
        <v>0</v>
      </c>
      <c r="BH56" s="26">
        <f t="shared" si="55"/>
        <v>0</v>
      </c>
      <c r="BI56" s="26">
        <f t="shared" si="55"/>
        <v>0</v>
      </c>
      <c r="BJ56" s="57">
        <f t="shared" si="40"/>
        <v>0</v>
      </c>
      <c r="BL56" s="56">
        <f t="shared" si="41"/>
        <v>0</v>
      </c>
      <c r="BM56" s="26">
        <f t="shared" si="56"/>
        <v>0</v>
      </c>
      <c r="BN56" s="26">
        <f t="shared" si="56"/>
        <v>0</v>
      </c>
      <c r="BO56" s="57">
        <f t="shared" si="43"/>
        <v>0</v>
      </c>
      <c r="BQ56" s="56">
        <f t="shared" si="44"/>
        <v>0</v>
      </c>
      <c r="BR56" s="26">
        <f t="shared" si="57"/>
        <v>0</v>
      </c>
      <c r="BS56" s="26">
        <f t="shared" si="57"/>
        <v>0</v>
      </c>
      <c r="BT56" s="57">
        <f t="shared" si="46"/>
        <v>0</v>
      </c>
      <c r="BV56" s="52" t="e">
        <f>OR(Production!C56,Construction!N56:'Construction'!AF56,Construction!BV56:CN56,Explore!S56:Z56,Military!AF56:AL56,Military!X56,Military!BE56:BL56,Rezone!L56:R56,Magic!G56:Q56)</f>
        <v>#VALUE!</v>
      </c>
      <c r="BW56" s="527">
        <f t="shared" si="47"/>
        <v>0</v>
      </c>
      <c r="BX56" s="527"/>
      <c r="BY56" s="557">
        <f t="shared" si="51"/>
        <v>43694.208333333205</v>
      </c>
      <c r="BZ56" s="565">
        <f t="shared" si="48"/>
        <v>43694.041666666541</v>
      </c>
      <c r="CA56" s="529"/>
      <c r="CB56" s="807"/>
      <c r="CC56" s="812"/>
    </row>
    <row r="57" spans="1:81" s="16" customFormat="1">
      <c r="A57" s="513">
        <f>Construction!E57</f>
        <v>1000</v>
      </c>
      <c r="C57" s="56">
        <f ca="1">Production!H57</f>
        <v>3522665</v>
      </c>
      <c r="D57" s="26">
        <f ca="1">Production!J57</f>
        <v>280451</v>
      </c>
      <c r="E57" s="26">
        <f ca="1">Production!L57</f>
        <v>231000</v>
      </c>
      <c r="F57" s="57">
        <f ca="1">Production!M57</f>
        <v>20000</v>
      </c>
      <c r="G57" s="26"/>
      <c r="H57" s="56">
        <f ca="1">Military!Z57</f>
        <v>3695</v>
      </c>
      <c r="I57" s="540">
        <f ca="1">Population!I57</f>
        <v>1</v>
      </c>
      <c r="J57" s="165">
        <f ca="1">Population!F57/Population!U57</f>
        <v>1</v>
      </c>
      <c r="K57" s="1005">
        <f>Rezone!J57</f>
        <v>55</v>
      </c>
      <c r="L57" s="584">
        <f t="shared" si="49"/>
        <v>43694.249999999869</v>
      </c>
      <c r="M57" s="316">
        <f t="shared" si="26"/>
        <v>0</v>
      </c>
      <c r="N57" s="641">
        <f t="shared" si="27"/>
        <v>1000</v>
      </c>
      <c r="O57" s="423" t="s">
        <v>4</v>
      </c>
      <c r="P57" s="370"/>
      <c r="Q57" s="424" t="s">
        <v>223</v>
      </c>
      <c r="R57" s="423" t="s">
        <v>7</v>
      </c>
      <c r="S57" s="370"/>
      <c r="T57" s="425" t="s">
        <v>223</v>
      </c>
      <c r="U57" s="424" t="s">
        <v>3</v>
      </c>
      <c r="V57" s="370"/>
      <c r="W57" s="425" t="s">
        <v>223</v>
      </c>
      <c r="Y57" s="524">
        <f ca="1">science_cap*(1-EXP(-AF57/(science_param*($A58-Explore!$S58*20)+15000)))*(1+(mason_bonus*Construction!BB57/Construction!BS57))+IF(Overview!$B$14="Beastfolk",Construction!DA57/Construction!E57,0)*(1 + Production!O57/100*prestige_pop_multiplier)</f>
        <v>0</v>
      </c>
      <c r="Z57" s="284">
        <f ca="1">keep_cap*(1-EXP(-AG57/(keep_param*($A58-Explore!$S58*20)+15000)))*(1+(mason_bonus*Construction!BB57/Construction!BS57))+IF(Overview!$B$14="Beastfolk",Construction!DF57/Construction!E57,0)*(1 + Production!O57/100*prestige_pop_multiplier)</f>
        <v>0</v>
      </c>
      <c r="AA57" s="284">
        <f ca="1">harbor_towers_cap*(1-EXP(-AH57/(harbor_towers_param*($A58-Explore!$S58*20)+15000)))*(1+(mason_bonus*Construction!BB57/Construction!BS57))+IF(Overview!$B$14="Beastfolk",2*Construction!DC57/Construction!E57,0)*(1 + Production!O57/100*prestige_pop_multiplier)</f>
        <v>0</v>
      </c>
      <c r="AB57" s="284">
        <f ca="1">walls_forges_cap*(1-EXP(-AI57/(walls_forges_param*($A58-Explore!$S58*20)+15000)))*(1+(mason_bonus*Construction!BB57/Construction!BS57))+IF(Overview!$B$14="Beastfolk",0.2*Construction!CY57/Construction!E57,0)</f>
        <v>0</v>
      </c>
      <c r="AC57" s="284">
        <f ca="1">walls_forges_cap*(1-EXP(-AJ57/(walls_forges_param*($A58-Explore!$S58*20)+15000)))*(1+(mason_bonus*Construction!BB57/Construction!BS57))+IF(Overview!$B$14="Beastfolk",5*Construction!DB57/Construction!E57,0)</f>
        <v>0</v>
      </c>
      <c r="AD57" s="97">
        <f ca="1">harbor_towers_cap*(1-EXP(-AK57/(harbor_towers_param*($A58-Explore!$S58*20)+15000)))*(1+(mason_bonus*Construction!BB57/Construction!BS57))+IF(Overview!$B$14="Beastfolk",Construction!DE57/Construction!E57)*(1 + Production!O57/100*prestige_pop_multiplier)</f>
        <v>0</v>
      </c>
      <c r="AF57" s="56">
        <f ca="1">(1+Overview!$O$28+IF(Magic!BA57&gt;0,0.1,0))*SUM(AR57:AU57)</f>
        <v>0</v>
      </c>
      <c r="AG57" s="26">
        <f ca="1">(1+Overview!$O$28+IF(Magic!BA57&gt;0,0.1,0))*SUM(AW57:AZ57)</f>
        <v>0</v>
      </c>
      <c r="AH57" s="164">
        <f ca="1">(1+Overview!$O$28+IF(Magic!BA57&gt;0,0.1,0))*SUM(BB57:BE57)</f>
        <v>0</v>
      </c>
      <c r="AI57" s="164">
        <f ca="1">(1+Overview!$O$28+IF(Magic!BA57&gt;0,0.1,0))*SUM(BG57:BJ57)</f>
        <v>0</v>
      </c>
      <c r="AJ57" s="164">
        <f ca="1">(1+Overview!$O$28+IF(Magic!BA57&gt;0,0.1,0))*SUM(BL57:BO57)</f>
        <v>0</v>
      </c>
      <c r="AK57" s="166">
        <f ca="1">(1+Overview!$O$28+IF(Magic!BA57&gt;0,0.1,0))*SUM(BQ57:BT57)</f>
        <v>0</v>
      </c>
      <c r="AM57" s="52">
        <f t="shared" si="52"/>
        <v>0</v>
      </c>
      <c r="AN57" s="16">
        <f t="shared" si="52"/>
        <v>0</v>
      </c>
      <c r="AO57" s="16">
        <f t="shared" si="52"/>
        <v>0</v>
      </c>
      <c r="AP57" s="53">
        <f t="shared" si="52"/>
        <v>0</v>
      </c>
      <c r="AR57" s="56">
        <f t="shared" si="29"/>
        <v>0</v>
      </c>
      <c r="AS57" s="26">
        <f t="shared" si="53"/>
        <v>0</v>
      </c>
      <c r="AT57" s="26">
        <f t="shared" si="53"/>
        <v>0</v>
      </c>
      <c r="AU57" s="57">
        <f t="shared" si="31"/>
        <v>0</v>
      </c>
      <c r="AW57" s="56">
        <f t="shared" si="32"/>
        <v>0</v>
      </c>
      <c r="AX57" s="26">
        <f t="shared" si="54"/>
        <v>0</v>
      </c>
      <c r="AY57" s="26">
        <f t="shared" si="54"/>
        <v>0</v>
      </c>
      <c r="AZ57" s="57">
        <f t="shared" si="34"/>
        <v>0</v>
      </c>
      <c r="BB57" s="56">
        <f t="shared" si="35"/>
        <v>0</v>
      </c>
      <c r="BC57" s="26">
        <f t="shared" si="36"/>
        <v>0</v>
      </c>
      <c r="BD57" s="26">
        <f t="shared" si="50"/>
        <v>0</v>
      </c>
      <c r="BE57" s="57">
        <f t="shared" si="37"/>
        <v>0</v>
      </c>
      <c r="BG57" s="56">
        <f t="shared" si="38"/>
        <v>0</v>
      </c>
      <c r="BH57" s="26">
        <f t="shared" si="55"/>
        <v>0</v>
      </c>
      <c r="BI57" s="26">
        <f t="shared" si="55"/>
        <v>0</v>
      </c>
      <c r="BJ57" s="57">
        <f t="shared" si="40"/>
        <v>0</v>
      </c>
      <c r="BL57" s="56">
        <f t="shared" si="41"/>
        <v>0</v>
      </c>
      <c r="BM57" s="26">
        <f t="shared" si="56"/>
        <v>0</v>
      </c>
      <c r="BN57" s="26">
        <f t="shared" si="56"/>
        <v>0</v>
      </c>
      <c r="BO57" s="57">
        <f t="shared" si="43"/>
        <v>0</v>
      </c>
      <c r="BQ57" s="56">
        <f t="shared" si="44"/>
        <v>0</v>
      </c>
      <c r="BR57" s="26">
        <f t="shared" si="57"/>
        <v>0</v>
      </c>
      <c r="BS57" s="26">
        <f t="shared" si="57"/>
        <v>0</v>
      </c>
      <c r="BT57" s="57">
        <f t="shared" si="46"/>
        <v>0</v>
      </c>
      <c r="BV57" s="52" t="e">
        <f>OR(Production!C57,Construction!N57:'Construction'!AF57,Construction!BV57:CN57,Explore!S57:Z57,Military!AF57:AL57,Military!X57,Military!BE57:BL57,Rezone!L57:R57,Magic!G57:Q57)</f>
        <v>#VALUE!</v>
      </c>
      <c r="BW57" s="527">
        <f t="shared" si="47"/>
        <v>0</v>
      </c>
      <c r="BX57" s="527"/>
      <c r="BY57" s="557">
        <f t="shared" si="51"/>
        <v>43694.249999999869</v>
      </c>
      <c r="BZ57" s="565">
        <f t="shared" si="48"/>
        <v>43694.083333333205</v>
      </c>
      <c r="CA57" s="529"/>
      <c r="CB57" s="807"/>
      <c r="CC57" s="812"/>
    </row>
    <row r="58" spans="1:81" s="16" customFormat="1">
      <c r="A58" s="513">
        <f>Construction!E58</f>
        <v>1000</v>
      </c>
      <c r="C58" s="56">
        <f ca="1">Production!H58</f>
        <v>3533316</v>
      </c>
      <c r="D58" s="26">
        <f ca="1">Production!J58</f>
        <v>280146</v>
      </c>
      <c r="E58" s="26">
        <f ca="1">Production!L58</f>
        <v>231000</v>
      </c>
      <c r="F58" s="57">
        <f ca="1">Production!M58</f>
        <v>20000</v>
      </c>
      <c r="G58" s="26"/>
      <c r="H58" s="56">
        <f ca="1">Military!Z58</f>
        <v>3695</v>
      </c>
      <c r="I58" s="540">
        <f ca="1">Population!I58</f>
        <v>1</v>
      </c>
      <c r="J58" s="165">
        <f ca="1">Population!F58/Population!U58</f>
        <v>1</v>
      </c>
      <c r="K58" s="1005">
        <f>Rezone!J58</f>
        <v>56</v>
      </c>
      <c r="L58" s="584">
        <f t="shared" si="49"/>
        <v>43694.291666666533</v>
      </c>
      <c r="M58" s="316">
        <f t="shared" si="26"/>
        <v>0</v>
      </c>
      <c r="N58" s="641">
        <f t="shared" si="27"/>
        <v>1000</v>
      </c>
      <c r="O58" s="423" t="s">
        <v>4</v>
      </c>
      <c r="P58" s="370"/>
      <c r="Q58" s="424" t="s">
        <v>223</v>
      </c>
      <c r="R58" s="423" t="s">
        <v>7</v>
      </c>
      <c r="S58" s="370"/>
      <c r="T58" s="425" t="s">
        <v>223</v>
      </c>
      <c r="U58" s="424" t="s">
        <v>3</v>
      </c>
      <c r="V58" s="370"/>
      <c r="W58" s="425" t="s">
        <v>223</v>
      </c>
      <c r="Y58" s="524">
        <f ca="1">science_cap*(1-EXP(-AF58/(science_param*($A59-Explore!$S59*20)+15000)))*(1+(mason_bonus*Construction!BB58/Construction!BS58))+IF(Overview!$B$14="Beastfolk",Construction!DA58/Construction!E58,0)*(1 + Production!O58/100*prestige_pop_multiplier)</f>
        <v>0</v>
      </c>
      <c r="Z58" s="284">
        <f ca="1">keep_cap*(1-EXP(-AG58/(keep_param*($A59-Explore!$S59*20)+15000)))*(1+(mason_bonus*Construction!BB58/Construction!BS58))+IF(Overview!$B$14="Beastfolk",Construction!DF58/Construction!E58,0)*(1 + Production!O58/100*prestige_pop_multiplier)</f>
        <v>0</v>
      </c>
      <c r="AA58" s="284">
        <f ca="1">harbor_towers_cap*(1-EXP(-AH58/(harbor_towers_param*($A59-Explore!$S59*20)+15000)))*(1+(mason_bonus*Construction!BB58/Construction!BS58))+IF(Overview!$B$14="Beastfolk",2*Construction!DC58/Construction!E58,0)*(1 + Production!O58/100*prestige_pop_multiplier)</f>
        <v>0</v>
      </c>
      <c r="AB58" s="284">
        <f ca="1">walls_forges_cap*(1-EXP(-AI58/(walls_forges_param*($A59-Explore!$S59*20)+15000)))*(1+(mason_bonus*Construction!BB58/Construction!BS58))+IF(Overview!$B$14="Beastfolk",0.2*Construction!CY58/Construction!E58,0)</f>
        <v>0</v>
      </c>
      <c r="AC58" s="284">
        <f ca="1">walls_forges_cap*(1-EXP(-AJ58/(walls_forges_param*($A59-Explore!$S59*20)+15000)))*(1+(mason_bonus*Construction!BB58/Construction!BS58))+IF(Overview!$B$14="Beastfolk",5*Construction!DB58/Construction!E58,0)</f>
        <v>0</v>
      </c>
      <c r="AD58" s="97">
        <f ca="1">harbor_towers_cap*(1-EXP(-AK58/(harbor_towers_param*($A59-Explore!$S59*20)+15000)))*(1+(mason_bonus*Construction!BB58/Construction!BS58))+IF(Overview!$B$14="Beastfolk",Construction!DE58/Construction!E58)*(1 + Production!O58/100*prestige_pop_multiplier)</f>
        <v>0</v>
      </c>
      <c r="AF58" s="56">
        <f ca="1">(1+Overview!$O$28+IF(Magic!BA58&gt;0,0.1,0))*SUM(AR58:AU58)</f>
        <v>0</v>
      </c>
      <c r="AG58" s="26">
        <f ca="1">(1+Overview!$O$28+IF(Magic!BA58&gt;0,0.1,0))*SUM(AW58:AZ58)</f>
        <v>0</v>
      </c>
      <c r="AH58" s="164">
        <f ca="1">(1+Overview!$O$28+IF(Magic!BA58&gt;0,0.1,0))*SUM(BB58:BE58)</f>
        <v>0</v>
      </c>
      <c r="AI58" s="164">
        <f ca="1">(1+Overview!$O$28+IF(Magic!BA58&gt;0,0.1,0))*SUM(BG58:BJ58)</f>
        <v>0</v>
      </c>
      <c r="AJ58" s="164">
        <f ca="1">(1+Overview!$O$28+IF(Magic!BA58&gt;0,0.1,0))*SUM(BL58:BO58)</f>
        <v>0</v>
      </c>
      <c r="AK58" s="166">
        <f ca="1">(1+Overview!$O$28+IF(Magic!BA58&gt;0,0.1,0))*SUM(BQ58:BT58)</f>
        <v>0</v>
      </c>
      <c r="AM58" s="52">
        <f t="shared" si="52"/>
        <v>0</v>
      </c>
      <c r="AN58" s="16">
        <f t="shared" si="52"/>
        <v>0</v>
      </c>
      <c r="AO58" s="16">
        <f t="shared" si="52"/>
        <v>0</v>
      </c>
      <c r="AP58" s="53">
        <f t="shared" si="52"/>
        <v>0</v>
      </c>
      <c r="AR58" s="56">
        <f t="shared" si="29"/>
        <v>0</v>
      </c>
      <c r="AS58" s="26">
        <f t="shared" si="53"/>
        <v>0</v>
      </c>
      <c r="AT58" s="26">
        <f t="shared" si="53"/>
        <v>0</v>
      </c>
      <c r="AU58" s="57">
        <f t="shared" si="31"/>
        <v>0</v>
      </c>
      <c r="AW58" s="56">
        <f t="shared" si="32"/>
        <v>0</v>
      </c>
      <c r="AX58" s="26">
        <f t="shared" si="54"/>
        <v>0</v>
      </c>
      <c r="AY58" s="26">
        <f t="shared" si="54"/>
        <v>0</v>
      </c>
      <c r="AZ58" s="57">
        <f t="shared" si="34"/>
        <v>0</v>
      </c>
      <c r="BB58" s="56">
        <f t="shared" si="35"/>
        <v>0</v>
      </c>
      <c r="BC58" s="26">
        <f t="shared" si="36"/>
        <v>0</v>
      </c>
      <c r="BD58" s="26">
        <f t="shared" si="50"/>
        <v>0</v>
      </c>
      <c r="BE58" s="57">
        <f t="shared" si="37"/>
        <v>0</v>
      </c>
      <c r="BG58" s="56">
        <f t="shared" si="38"/>
        <v>0</v>
      </c>
      <c r="BH58" s="26">
        <f t="shared" si="55"/>
        <v>0</v>
      </c>
      <c r="BI58" s="26">
        <f t="shared" si="55"/>
        <v>0</v>
      </c>
      <c r="BJ58" s="57">
        <f t="shared" si="40"/>
        <v>0</v>
      </c>
      <c r="BL58" s="56">
        <f t="shared" si="41"/>
        <v>0</v>
      </c>
      <c r="BM58" s="26">
        <f t="shared" si="56"/>
        <v>0</v>
      </c>
      <c r="BN58" s="26">
        <f t="shared" si="56"/>
        <v>0</v>
      </c>
      <c r="BO58" s="57">
        <f t="shared" si="43"/>
        <v>0</v>
      </c>
      <c r="BQ58" s="56">
        <f t="shared" si="44"/>
        <v>0</v>
      </c>
      <c r="BR58" s="26">
        <f t="shared" si="57"/>
        <v>0</v>
      </c>
      <c r="BS58" s="26">
        <f t="shared" si="57"/>
        <v>0</v>
      </c>
      <c r="BT58" s="57">
        <f t="shared" si="46"/>
        <v>0</v>
      </c>
      <c r="BV58" s="52" t="e">
        <f>OR(Production!C58,Construction!N58:'Construction'!AF58,Construction!BV58:CN58,Explore!S58:Z58,Military!AF58:AL58,Military!X58,Military!BE58:BL58,Rezone!L58:R58,Magic!G58:Q58)</f>
        <v>#VALUE!</v>
      </c>
      <c r="BW58" s="527">
        <f t="shared" si="47"/>
        <v>0</v>
      </c>
      <c r="BX58" s="527"/>
      <c r="BY58" s="557">
        <f t="shared" si="51"/>
        <v>43694.291666666533</v>
      </c>
      <c r="BZ58" s="565">
        <f t="shared" si="48"/>
        <v>43694.124999999869</v>
      </c>
      <c r="CA58" s="529"/>
      <c r="CB58" s="807"/>
      <c r="CC58" s="812"/>
    </row>
    <row r="59" spans="1:81" s="16" customFormat="1">
      <c r="A59" s="513">
        <f>Construction!E59</f>
        <v>1000</v>
      </c>
      <c r="C59" s="56">
        <f ca="1">Production!H59</f>
        <v>3543967</v>
      </c>
      <c r="D59" s="26">
        <f ca="1">Production!J59</f>
        <v>279845</v>
      </c>
      <c r="E59" s="26">
        <f ca="1">Production!L59</f>
        <v>231000</v>
      </c>
      <c r="F59" s="57">
        <f ca="1">Production!M59</f>
        <v>20000</v>
      </c>
      <c r="G59" s="26"/>
      <c r="H59" s="56">
        <f ca="1">Military!Z59</f>
        <v>3695</v>
      </c>
      <c r="I59" s="540">
        <f ca="1">Population!I59</f>
        <v>1</v>
      </c>
      <c r="J59" s="165">
        <f ca="1">Population!F59/Population!U59</f>
        <v>1</v>
      </c>
      <c r="K59" s="1005">
        <f>Rezone!J59</f>
        <v>57</v>
      </c>
      <c r="L59" s="584">
        <f t="shared" si="49"/>
        <v>43694.333333333198</v>
      </c>
      <c r="M59" s="316">
        <f t="shared" si="26"/>
        <v>0</v>
      </c>
      <c r="N59" s="641">
        <f t="shared" si="27"/>
        <v>1000</v>
      </c>
      <c r="O59" s="423" t="s">
        <v>4</v>
      </c>
      <c r="P59" s="370"/>
      <c r="Q59" s="424" t="s">
        <v>223</v>
      </c>
      <c r="R59" s="423" t="s">
        <v>7</v>
      </c>
      <c r="S59" s="370"/>
      <c r="T59" s="425" t="s">
        <v>223</v>
      </c>
      <c r="U59" s="424" t="s">
        <v>3</v>
      </c>
      <c r="V59" s="370"/>
      <c r="W59" s="425" t="s">
        <v>223</v>
      </c>
      <c r="Y59" s="524">
        <f ca="1">science_cap*(1-EXP(-AF59/(science_param*($A60-Explore!$S60*20)+15000)))*(1+(mason_bonus*Construction!BB59/Construction!BS59))+IF(Overview!$B$14="Beastfolk",Construction!DA59/Construction!E59,0)*(1 + Production!O59/100*prestige_pop_multiplier)</f>
        <v>0</v>
      </c>
      <c r="Z59" s="284">
        <f ca="1">keep_cap*(1-EXP(-AG59/(keep_param*($A60-Explore!$S60*20)+15000)))*(1+(mason_bonus*Construction!BB59/Construction!BS59))+IF(Overview!$B$14="Beastfolk",Construction!DF59/Construction!E59,0)*(1 + Production!O59/100*prestige_pop_multiplier)</f>
        <v>0</v>
      </c>
      <c r="AA59" s="284">
        <f ca="1">harbor_towers_cap*(1-EXP(-AH59/(harbor_towers_param*($A60-Explore!$S60*20)+15000)))*(1+(mason_bonus*Construction!BB59/Construction!BS59))+IF(Overview!$B$14="Beastfolk",2*Construction!DC59/Construction!E59,0)*(1 + Production!O59/100*prestige_pop_multiplier)</f>
        <v>0</v>
      </c>
      <c r="AB59" s="284">
        <f ca="1">walls_forges_cap*(1-EXP(-AI59/(walls_forges_param*($A60-Explore!$S60*20)+15000)))*(1+(mason_bonus*Construction!BB59/Construction!BS59))+IF(Overview!$B$14="Beastfolk",0.2*Construction!CY59/Construction!E59,0)</f>
        <v>0</v>
      </c>
      <c r="AC59" s="284">
        <f ca="1">walls_forges_cap*(1-EXP(-AJ59/(walls_forges_param*($A60-Explore!$S60*20)+15000)))*(1+(mason_bonus*Construction!BB59/Construction!BS59))+IF(Overview!$B$14="Beastfolk",5*Construction!DB59/Construction!E59,0)</f>
        <v>0</v>
      </c>
      <c r="AD59" s="97">
        <f ca="1">harbor_towers_cap*(1-EXP(-AK59/(harbor_towers_param*($A60-Explore!$S60*20)+15000)))*(1+(mason_bonus*Construction!BB59/Construction!BS59))+IF(Overview!$B$14="Beastfolk",Construction!DE59/Construction!E59)*(1 + Production!O59/100*prestige_pop_multiplier)</f>
        <v>0</v>
      </c>
      <c r="AF59" s="56">
        <f ca="1">(1+Overview!$O$28+IF(Magic!BA59&gt;0,0.1,0))*SUM(AR59:AU59)</f>
        <v>0</v>
      </c>
      <c r="AG59" s="26">
        <f ca="1">(1+Overview!$O$28+IF(Magic!BA59&gt;0,0.1,0))*SUM(AW59:AZ59)</f>
        <v>0</v>
      </c>
      <c r="AH59" s="164">
        <f ca="1">(1+Overview!$O$28+IF(Magic!BA59&gt;0,0.1,0))*SUM(BB59:BE59)</f>
        <v>0</v>
      </c>
      <c r="AI59" s="164">
        <f ca="1">(1+Overview!$O$28+IF(Magic!BA59&gt;0,0.1,0))*SUM(BG59:BJ59)</f>
        <v>0</v>
      </c>
      <c r="AJ59" s="164">
        <f ca="1">(1+Overview!$O$28+IF(Magic!BA59&gt;0,0.1,0))*SUM(BL59:BO59)</f>
        <v>0</v>
      </c>
      <c r="AK59" s="166">
        <f ca="1">(1+Overview!$O$28+IF(Magic!BA59&gt;0,0.1,0))*SUM(BQ59:BT59)</f>
        <v>0</v>
      </c>
      <c r="AM59" s="52">
        <f t="shared" si="52"/>
        <v>0</v>
      </c>
      <c r="AN59" s="16">
        <f t="shared" si="52"/>
        <v>0</v>
      </c>
      <c r="AO59" s="16">
        <f t="shared" si="52"/>
        <v>0</v>
      </c>
      <c r="AP59" s="53">
        <f t="shared" si="52"/>
        <v>0</v>
      </c>
      <c r="AR59" s="56">
        <f t="shared" si="29"/>
        <v>0</v>
      </c>
      <c r="AS59" s="26">
        <f t="shared" si="53"/>
        <v>0</v>
      </c>
      <c r="AT59" s="26">
        <f t="shared" si="53"/>
        <v>0</v>
      </c>
      <c r="AU59" s="57">
        <f t="shared" si="31"/>
        <v>0</v>
      </c>
      <c r="AW59" s="56">
        <f t="shared" si="32"/>
        <v>0</v>
      </c>
      <c r="AX59" s="26">
        <f t="shared" si="54"/>
        <v>0</v>
      </c>
      <c r="AY59" s="26">
        <f t="shared" si="54"/>
        <v>0</v>
      </c>
      <c r="AZ59" s="57">
        <f t="shared" si="34"/>
        <v>0</v>
      </c>
      <c r="BB59" s="56">
        <f t="shared" si="35"/>
        <v>0</v>
      </c>
      <c r="BC59" s="26">
        <f t="shared" si="36"/>
        <v>0</v>
      </c>
      <c r="BD59" s="26">
        <f t="shared" si="50"/>
        <v>0</v>
      </c>
      <c r="BE59" s="57">
        <f t="shared" si="37"/>
        <v>0</v>
      </c>
      <c r="BG59" s="56">
        <f t="shared" si="38"/>
        <v>0</v>
      </c>
      <c r="BH59" s="26">
        <f t="shared" si="55"/>
        <v>0</v>
      </c>
      <c r="BI59" s="26">
        <f t="shared" si="55"/>
        <v>0</v>
      </c>
      <c r="BJ59" s="57">
        <f t="shared" si="40"/>
        <v>0</v>
      </c>
      <c r="BL59" s="56">
        <f t="shared" si="41"/>
        <v>0</v>
      </c>
      <c r="BM59" s="26">
        <f t="shared" si="56"/>
        <v>0</v>
      </c>
      <c r="BN59" s="26">
        <f t="shared" si="56"/>
        <v>0</v>
      </c>
      <c r="BO59" s="57">
        <f t="shared" si="43"/>
        <v>0</v>
      </c>
      <c r="BQ59" s="56">
        <f t="shared" si="44"/>
        <v>0</v>
      </c>
      <c r="BR59" s="26">
        <f t="shared" si="57"/>
        <v>0</v>
      </c>
      <c r="BS59" s="26">
        <f t="shared" si="57"/>
        <v>0</v>
      </c>
      <c r="BT59" s="57">
        <f t="shared" si="46"/>
        <v>0</v>
      </c>
      <c r="BV59" s="52" t="e">
        <f>OR(Production!C59,Construction!N59:'Construction'!AF59,Construction!BV59:CN59,Explore!S59:Z59,Military!AF59:AL59,Military!X59,Military!BE59:BL59,Rezone!L59:R59,Magic!G59:Q59)</f>
        <v>#VALUE!</v>
      </c>
      <c r="BW59" s="527">
        <f t="shared" si="47"/>
        <v>0</v>
      </c>
      <c r="BX59" s="527"/>
      <c r="BY59" s="557">
        <f t="shared" si="51"/>
        <v>43694.333333333198</v>
      </c>
      <c r="BZ59" s="565">
        <f t="shared" si="48"/>
        <v>43694.166666666533</v>
      </c>
      <c r="CA59" s="529"/>
      <c r="CB59" s="807"/>
      <c r="CC59" s="812"/>
    </row>
    <row r="60" spans="1:81" s="16" customFormat="1">
      <c r="A60" s="513">
        <f>Construction!E60</f>
        <v>1000</v>
      </c>
      <c r="C60" s="56">
        <f ca="1">Production!H60</f>
        <v>3554618</v>
      </c>
      <c r="D60" s="26">
        <f ca="1">Production!J60</f>
        <v>279547</v>
      </c>
      <c r="E60" s="26">
        <f ca="1">Production!L60</f>
        <v>231000</v>
      </c>
      <c r="F60" s="57">
        <f ca="1">Production!M60</f>
        <v>20000</v>
      </c>
      <c r="G60" s="26"/>
      <c r="H60" s="56">
        <f ca="1">Military!Z60</f>
        <v>3695</v>
      </c>
      <c r="I60" s="540">
        <f ca="1">Population!I60</f>
        <v>1</v>
      </c>
      <c r="J60" s="165">
        <f ca="1">Population!F60/Population!U60</f>
        <v>1</v>
      </c>
      <c r="K60" s="1005">
        <f>Rezone!J60</f>
        <v>58</v>
      </c>
      <c r="L60" s="584">
        <f t="shared" si="49"/>
        <v>43694.374999999862</v>
      </c>
      <c r="M60" s="316">
        <f t="shared" si="26"/>
        <v>0</v>
      </c>
      <c r="N60" s="641">
        <f t="shared" si="27"/>
        <v>1000</v>
      </c>
      <c r="O60" s="423" t="s">
        <v>4</v>
      </c>
      <c r="P60" s="370"/>
      <c r="Q60" s="424" t="s">
        <v>223</v>
      </c>
      <c r="R60" s="423" t="s">
        <v>7</v>
      </c>
      <c r="S60" s="370"/>
      <c r="T60" s="425" t="s">
        <v>223</v>
      </c>
      <c r="U60" s="424" t="s">
        <v>3</v>
      </c>
      <c r="V60" s="370"/>
      <c r="W60" s="425" t="s">
        <v>223</v>
      </c>
      <c r="Y60" s="524">
        <f ca="1">science_cap*(1-EXP(-AF60/(science_param*($A61-Explore!$S61*20)+15000)))*(1+(mason_bonus*Construction!BB60/Construction!BS60))+IF(Overview!$B$14="Beastfolk",Construction!DA60/Construction!E60,0)*(1 + Production!O60/100*prestige_pop_multiplier)</f>
        <v>0</v>
      </c>
      <c r="Z60" s="284">
        <f ca="1">keep_cap*(1-EXP(-AG60/(keep_param*($A61-Explore!$S61*20)+15000)))*(1+(mason_bonus*Construction!BB60/Construction!BS60))+IF(Overview!$B$14="Beastfolk",Construction!DF60/Construction!E60,0)*(1 + Production!O60/100*prestige_pop_multiplier)</f>
        <v>0</v>
      </c>
      <c r="AA60" s="284">
        <f ca="1">harbor_towers_cap*(1-EXP(-AH60/(harbor_towers_param*($A61-Explore!$S61*20)+15000)))*(1+(mason_bonus*Construction!BB60/Construction!BS60))+IF(Overview!$B$14="Beastfolk",2*Construction!DC60/Construction!E60,0)*(1 + Production!O60/100*prestige_pop_multiplier)</f>
        <v>0</v>
      </c>
      <c r="AB60" s="284">
        <f ca="1">walls_forges_cap*(1-EXP(-AI60/(walls_forges_param*($A61-Explore!$S61*20)+15000)))*(1+(mason_bonus*Construction!BB60/Construction!BS60))+IF(Overview!$B$14="Beastfolk",0.2*Construction!CY60/Construction!E60,0)</f>
        <v>0</v>
      </c>
      <c r="AC60" s="284">
        <f ca="1">walls_forges_cap*(1-EXP(-AJ60/(walls_forges_param*($A61-Explore!$S61*20)+15000)))*(1+(mason_bonus*Construction!BB60/Construction!BS60))+IF(Overview!$B$14="Beastfolk",5*Construction!DB60/Construction!E60,0)</f>
        <v>0</v>
      </c>
      <c r="AD60" s="97">
        <f ca="1">harbor_towers_cap*(1-EXP(-AK60/(harbor_towers_param*($A61-Explore!$S61*20)+15000)))*(1+(mason_bonus*Construction!BB60/Construction!BS60))+IF(Overview!$B$14="Beastfolk",Construction!DE60/Construction!E60)*(1 + Production!O60/100*prestige_pop_multiplier)</f>
        <v>0</v>
      </c>
      <c r="AF60" s="56">
        <f ca="1">(1+Overview!$O$28+IF(Magic!BA60&gt;0,0.1,0))*SUM(AR60:AU60)</f>
        <v>0</v>
      </c>
      <c r="AG60" s="26">
        <f ca="1">(1+Overview!$O$28+IF(Magic!BA60&gt;0,0.1,0))*SUM(AW60:AZ60)</f>
        <v>0</v>
      </c>
      <c r="AH60" s="164">
        <f ca="1">(1+Overview!$O$28+IF(Magic!BA60&gt;0,0.1,0))*SUM(BB60:BE60)</f>
        <v>0</v>
      </c>
      <c r="AI60" s="164">
        <f ca="1">(1+Overview!$O$28+IF(Magic!BA60&gt;0,0.1,0))*SUM(BG60:BJ60)</f>
        <v>0</v>
      </c>
      <c r="AJ60" s="164">
        <f ca="1">(1+Overview!$O$28+IF(Magic!BA60&gt;0,0.1,0))*SUM(BL60:BO60)</f>
        <v>0</v>
      </c>
      <c r="AK60" s="166">
        <f ca="1">(1+Overview!$O$28+IF(Magic!BA60&gt;0,0.1,0))*SUM(BQ60:BT60)</f>
        <v>0</v>
      </c>
      <c r="AM60" s="52">
        <f t="shared" si="52"/>
        <v>0</v>
      </c>
      <c r="AN60" s="16">
        <f t="shared" si="52"/>
        <v>0</v>
      </c>
      <c r="AO60" s="16">
        <f t="shared" si="52"/>
        <v>0</v>
      </c>
      <c r="AP60" s="53">
        <f t="shared" si="52"/>
        <v>0</v>
      </c>
      <c r="AR60" s="56">
        <f t="shared" si="29"/>
        <v>0</v>
      </c>
      <c r="AS60" s="26">
        <f t="shared" si="53"/>
        <v>0</v>
      </c>
      <c r="AT60" s="26">
        <f t="shared" si="53"/>
        <v>0</v>
      </c>
      <c r="AU60" s="57">
        <f t="shared" si="31"/>
        <v>0</v>
      </c>
      <c r="AW60" s="56">
        <f t="shared" si="32"/>
        <v>0</v>
      </c>
      <c r="AX60" s="26">
        <f t="shared" si="54"/>
        <v>0</v>
      </c>
      <c r="AY60" s="26">
        <f t="shared" si="54"/>
        <v>0</v>
      </c>
      <c r="AZ60" s="57">
        <f t="shared" si="34"/>
        <v>0</v>
      </c>
      <c r="BB60" s="56">
        <f t="shared" si="35"/>
        <v>0</v>
      </c>
      <c r="BC60" s="26">
        <f t="shared" si="36"/>
        <v>0</v>
      </c>
      <c r="BD60" s="26">
        <f t="shared" si="50"/>
        <v>0</v>
      </c>
      <c r="BE60" s="57">
        <f t="shared" si="37"/>
        <v>0</v>
      </c>
      <c r="BG60" s="56">
        <f t="shared" si="38"/>
        <v>0</v>
      </c>
      <c r="BH60" s="26">
        <f t="shared" si="55"/>
        <v>0</v>
      </c>
      <c r="BI60" s="26">
        <f t="shared" si="55"/>
        <v>0</v>
      </c>
      <c r="BJ60" s="57">
        <f t="shared" si="40"/>
        <v>0</v>
      </c>
      <c r="BL60" s="56">
        <f t="shared" si="41"/>
        <v>0</v>
      </c>
      <c r="BM60" s="26">
        <f t="shared" si="56"/>
        <v>0</v>
      </c>
      <c r="BN60" s="26">
        <f t="shared" si="56"/>
        <v>0</v>
      </c>
      <c r="BO60" s="57">
        <f t="shared" si="43"/>
        <v>0</v>
      </c>
      <c r="BQ60" s="56">
        <f t="shared" si="44"/>
        <v>0</v>
      </c>
      <c r="BR60" s="26">
        <f t="shared" si="57"/>
        <v>0</v>
      </c>
      <c r="BS60" s="26">
        <f t="shared" si="57"/>
        <v>0</v>
      </c>
      <c r="BT60" s="57">
        <f t="shared" si="46"/>
        <v>0</v>
      </c>
      <c r="BV60" s="52" t="e">
        <f>OR(Production!C60,Construction!N60:'Construction'!AF60,Construction!BV60:CN60,Explore!S60:Z60,Military!AF60:AL60,Military!X60,Military!BE60:BL60,Rezone!L60:R60,Magic!G60:Q60)</f>
        <v>#VALUE!</v>
      </c>
      <c r="BW60" s="527">
        <f t="shared" si="47"/>
        <v>0</v>
      </c>
      <c r="BX60" s="527"/>
      <c r="BY60" s="557">
        <f t="shared" si="51"/>
        <v>43694.374999999862</v>
      </c>
      <c r="BZ60" s="565">
        <f t="shared" si="48"/>
        <v>43694.208333333198</v>
      </c>
      <c r="CA60" s="529"/>
      <c r="CB60" s="807"/>
      <c r="CC60" s="812"/>
    </row>
    <row r="61" spans="1:81" s="16" customFormat="1">
      <c r="A61" s="513">
        <f>Construction!E61</f>
        <v>1000</v>
      </c>
      <c r="C61" s="56">
        <f ca="1">Production!H61</f>
        <v>3565269</v>
      </c>
      <c r="D61" s="26">
        <f ca="1">Production!J61</f>
        <v>279252</v>
      </c>
      <c r="E61" s="26">
        <f ca="1">Production!L61</f>
        <v>231000</v>
      </c>
      <c r="F61" s="57">
        <f ca="1">Production!M61</f>
        <v>20000</v>
      </c>
      <c r="G61" s="26"/>
      <c r="H61" s="56">
        <f ca="1">Military!Z61</f>
        <v>3695</v>
      </c>
      <c r="I61" s="540">
        <f ca="1">Population!I61</f>
        <v>1</v>
      </c>
      <c r="J61" s="165">
        <f ca="1">Population!F61/Population!U61</f>
        <v>1</v>
      </c>
      <c r="K61" s="1005">
        <f>Rezone!J61</f>
        <v>59</v>
      </c>
      <c r="L61" s="584">
        <f t="shared" si="49"/>
        <v>43694.416666666526</v>
      </c>
      <c r="M61" s="316">
        <f t="shared" si="26"/>
        <v>0</v>
      </c>
      <c r="N61" s="641">
        <f t="shared" si="27"/>
        <v>1000</v>
      </c>
      <c r="O61" s="423" t="s">
        <v>4</v>
      </c>
      <c r="P61" s="370"/>
      <c r="Q61" s="424" t="s">
        <v>223</v>
      </c>
      <c r="R61" s="423" t="s">
        <v>7</v>
      </c>
      <c r="S61" s="370"/>
      <c r="T61" s="425" t="s">
        <v>223</v>
      </c>
      <c r="U61" s="424" t="s">
        <v>3</v>
      </c>
      <c r="V61" s="370"/>
      <c r="W61" s="425" t="s">
        <v>223</v>
      </c>
      <c r="Y61" s="524">
        <f ca="1">science_cap*(1-EXP(-AF61/(science_param*($A62-Explore!$S62*20)+15000)))*(1+(mason_bonus*Construction!BB61/Construction!BS61))+IF(Overview!$B$14="Beastfolk",Construction!DA61/Construction!E61,0)*(1 + Production!O61/100*prestige_pop_multiplier)</f>
        <v>0</v>
      </c>
      <c r="Z61" s="284">
        <f ca="1">keep_cap*(1-EXP(-AG61/(keep_param*($A62-Explore!$S62*20)+15000)))*(1+(mason_bonus*Construction!BB61/Construction!BS61))+IF(Overview!$B$14="Beastfolk",Construction!DF61/Construction!E61,0)*(1 + Production!O61/100*prestige_pop_multiplier)</f>
        <v>0</v>
      </c>
      <c r="AA61" s="284">
        <f ca="1">harbor_towers_cap*(1-EXP(-AH61/(harbor_towers_param*($A62-Explore!$S62*20)+15000)))*(1+(mason_bonus*Construction!BB61/Construction!BS61))+IF(Overview!$B$14="Beastfolk",2*Construction!DC61/Construction!E61,0)*(1 + Production!O61/100*prestige_pop_multiplier)</f>
        <v>0</v>
      </c>
      <c r="AB61" s="284">
        <f ca="1">walls_forges_cap*(1-EXP(-AI61/(walls_forges_param*($A62-Explore!$S62*20)+15000)))*(1+(mason_bonus*Construction!BB61/Construction!BS61))+IF(Overview!$B$14="Beastfolk",0.2*Construction!CY61/Construction!E61,0)</f>
        <v>0</v>
      </c>
      <c r="AC61" s="284">
        <f ca="1">walls_forges_cap*(1-EXP(-AJ61/(walls_forges_param*($A62-Explore!$S62*20)+15000)))*(1+(mason_bonus*Construction!BB61/Construction!BS61))+IF(Overview!$B$14="Beastfolk",5*Construction!DB61/Construction!E61,0)</f>
        <v>0</v>
      </c>
      <c r="AD61" s="97">
        <f ca="1">harbor_towers_cap*(1-EXP(-AK61/(harbor_towers_param*($A62-Explore!$S62*20)+15000)))*(1+(mason_bonus*Construction!BB61/Construction!BS61))+IF(Overview!$B$14="Beastfolk",Construction!DE61/Construction!E61)*(1 + Production!O61/100*prestige_pop_multiplier)</f>
        <v>0</v>
      </c>
      <c r="AF61" s="56">
        <f ca="1">(1+Overview!$O$28+IF(Magic!BA61&gt;0,0.1,0))*SUM(AR61:AU61)</f>
        <v>0</v>
      </c>
      <c r="AG61" s="26">
        <f ca="1">(1+Overview!$O$28+IF(Magic!BA61&gt;0,0.1,0))*SUM(AW61:AZ61)</f>
        <v>0</v>
      </c>
      <c r="AH61" s="164">
        <f ca="1">(1+Overview!$O$28+IF(Magic!BA61&gt;0,0.1,0))*SUM(BB61:BE61)</f>
        <v>0</v>
      </c>
      <c r="AI61" s="164">
        <f ca="1">(1+Overview!$O$28+IF(Magic!BA61&gt;0,0.1,0))*SUM(BG61:BJ61)</f>
        <v>0</v>
      </c>
      <c r="AJ61" s="164">
        <f ca="1">(1+Overview!$O$28+IF(Magic!BA61&gt;0,0.1,0))*SUM(BL61:BO61)</f>
        <v>0</v>
      </c>
      <c r="AK61" s="166">
        <f ca="1">(1+Overview!$O$28+IF(Magic!BA61&gt;0,0.1,0))*SUM(BQ61:BT61)</f>
        <v>0</v>
      </c>
      <c r="AM61" s="52">
        <f t="shared" si="52"/>
        <v>0</v>
      </c>
      <c r="AN61" s="16">
        <f t="shared" si="52"/>
        <v>0</v>
      </c>
      <c r="AO61" s="16">
        <f t="shared" si="52"/>
        <v>0</v>
      </c>
      <c r="AP61" s="53">
        <f t="shared" si="52"/>
        <v>0</v>
      </c>
      <c r="AR61" s="56">
        <f t="shared" si="29"/>
        <v>0</v>
      </c>
      <c r="AS61" s="26">
        <f t="shared" si="53"/>
        <v>0</v>
      </c>
      <c r="AT61" s="26">
        <f t="shared" si="53"/>
        <v>0</v>
      </c>
      <c r="AU61" s="57">
        <f t="shared" si="31"/>
        <v>0</v>
      </c>
      <c r="AW61" s="56">
        <f t="shared" si="32"/>
        <v>0</v>
      </c>
      <c r="AX61" s="26">
        <f t="shared" si="54"/>
        <v>0</v>
      </c>
      <c r="AY61" s="26">
        <f t="shared" si="54"/>
        <v>0</v>
      </c>
      <c r="AZ61" s="57">
        <f t="shared" si="34"/>
        <v>0</v>
      </c>
      <c r="BB61" s="56">
        <f t="shared" si="35"/>
        <v>0</v>
      </c>
      <c r="BC61" s="26">
        <f t="shared" si="36"/>
        <v>0</v>
      </c>
      <c r="BD61" s="26">
        <f t="shared" si="50"/>
        <v>0</v>
      </c>
      <c r="BE61" s="57">
        <f t="shared" si="37"/>
        <v>0</v>
      </c>
      <c r="BG61" s="56">
        <f t="shared" si="38"/>
        <v>0</v>
      </c>
      <c r="BH61" s="26">
        <f t="shared" si="55"/>
        <v>0</v>
      </c>
      <c r="BI61" s="26">
        <f t="shared" si="55"/>
        <v>0</v>
      </c>
      <c r="BJ61" s="57">
        <f t="shared" si="40"/>
        <v>0</v>
      </c>
      <c r="BL61" s="56">
        <f t="shared" si="41"/>
        <v>0</v>
      </c>
      <c r="BM61" s="26">
        <f t="shared" si="56"/>
        <v>0</v>
      </c>
      <c r="BN61" s="26">
        <f t="shared" si="56"/>
        <v>0</v>
      </c>
      <c r="BO61" s="57">
        <f t="shared" si="43"/>
        <v>0</v>
      </c>
      <c r="BQ61" s="56">
        <f t="shared" si="44"/>
        <v>0</v>
      </c>
      <c r="BR61" s="26">
        <f t="shared" si="57"/>
        <v>0</v>
      </c>
      <c r="BS61" s="26">
        <f t="shared" si="57"/>
        <v>0</v>
      </c>
      <c r="BT61" s="57">
        <f t="shared" si="46"/>
        <v>0</v>
      </c>
      <c r="BV61" s="52" t="e">
        <f>OR(Production!C61,Construction!N61:'Construction'!AF61,Construction!BV61:CN61,Explore!S61:Z61,Military!AF61:AL61,Military!X61,Military!BE61:BL61,Rezone!L61:R61,Magic!G61:Q61)</f>
        <v>#VALUE!</v>
      </c>
      <c r="BW61" s="527">
        <f t="shared" si="47"/>
        <v>0</v>
      </c>
      <c r="BX61" s="527"/>
      <c r="BY61" s="557">
        <f t="shared" si="51"/>
        <v>43694.416666666526</v>
      </c>
      <c r="BZ61" s="565">
        <f t="shared" si="48"/>
        <v>43694.249999999862</v>
      </c>
      <c r="CA61" s="529"/>
      <c r="CB61" s="807"/>
      <c r="CC61" s="812"/>
    </row>
    <row r="62" spans="1:81" s="16" customFormat="1">
      <c r="A62" s="513">
        <f>Construction!E62</f>
        <v>1000</v>
      </c>
      <c r="C62" s="56">
        <f ca="1">Production!H62</f>
        <v>3575920</v>
      </c>
      <c r="D62" s="26">
        <f ca="1">Production!J62</f>
        <v>278959</v>
      </c>
      <c r="E62" s="26">
        <f ca="1">Production!L62</f>
        <v>231000</v>
      </c>
      <c r="F62" s="57">
        <f ca="1">Production!M62</f>
        <v>20000</v>
      </c>
      <c r="G62" s="26"/>
      <c r="H62" s="56">
        <f ca="1">Military!Z62</f>
        <v>3695</v>
      </c>
      <c r="I62" s="540">
        <f ca="1">Population!I62</f>
        <v>1</v>
      </c>
      <c r="J62" s="165">
        <f ca="1">Population!F62/Population!U62</f>
        <v>1</v>
      </c>
      <c r="K62" s="1005">
        <f>Rezone!J62</f>
        <v>60</v>
      </c>
      <c r="L62" s="584">
        <f t="shared" si="49"/>
        <v>43694.45833333319</v>
      </c>
      <c r="M62" s="316">
        <f t="shared" si="26"/>
        <v>0</v>
      </c>
      <c r="N62" s="641">
        <f t="shared" si="27"/>
        <v>1000</v>
      </c>
      <c r="O62" s="423" t="s">
        <v>4</v>
      </c>
      <c r="P62" s="370"/>
      <c r="Q62" s="424" t="s">
        <v>223</v>
      </c>
      <c r="R62" s="423" t="s">
        <v>7</v>
      </c>
      <c r="S62" s="370"/>
      <c r="T62" s="425" t="s">
        <v>223</v>
      </c>
      <c r="U62" s="424" t="s">
        <v>3</v>
      </c>
      <c r="V62" s="370"/>
      <c r="W62" s="425" t="s">
        <v>223</v>
      </c>
      <c r="Y62" s="524">
        <f ca="1">science_cap*(1-EXP(-AF62/(science_param*($A63-Explore!$S63*20)+15000)))*(1+(mason_bonus*Construction!BB62/Construction!BS62))+IF(Overview!$B$14="Beastfolk",Construction!DA62/Construction!E62,0)*(1 + Production!O62/100*prestige_pop_multiplier)</f>
        <v>0</v>
      </c>
      <c r="Z62" s="284">
        <f ca="1">keep_cap*(1-EXP(-AG62/(keep_param*($A63-Explore!$S63*20)+15000)))*(1+(mason_bonus*Construction!BB62/Construction!BS62))+IF(Overview!$B$14="Beastfolk",Construction!DF62/Construction!E62,0)*(1 + Production!O62/100*prestige_pop_multiplier)</f>
        <v>0</v>
      </c>
      <c r="AA62" s="284">
        <f ca="1">harbor_towers_cap*(1-EXP(-AH62/(harbor_towers_param*($A63-Explore!$S63*20)+15000)))*(1+(mason_bonus*Construction!BB62/Construction!BS62))+IF(Overview!$B$14="Beastfolk",2*Construction!DC62/Construction!E62,0)*(1 + Production!O62/100*prestige_pop_multiplier)</f>
        <v>0</v>
      </c>
      <c r="AB62" s="284">
        <f ca="1">walls_forges_cap*(1-EXP(-AI62/(walls_forges_param*($A63-Explore!$S63*20)+15000)))*(1+(mason_bonus*Construction!BB62/Construction!BS62))+IF(Overview!$B$14="Beastfolk",0.2*Construction!CY62/Construction!E62,0)</f>
        <v>0</v>
      </c>
      <c r="AC62" s="284">
        <f ca="1">walls_forges_cap*(1-EXP(-AJ62/(walls_forges_param*($A63-Explore!$S63*20)+15000)))*(1+(mason_bonus*Construction!BB62/Construction!BS62))+IF(Overview!$B$14="Beastfolk",5*Construction!DB62/Construction!E62,0)</f>
        <v>0</v>
      </c>
      <c r="AD62" s="97">
        <f ca="1">harbor_towers_cap*(1-EXP(-AK62/(harbor_towers_param*($A63-Explore!$S63*20)+15000)))*(1+(mason_bonus*Construction!BB62/Construction!BS62))+IF(Overview!$B$14="Beastfolk",Construction!DE62/Construction!E62)*(1 + Production!O62/100*prestige_pop_multiplier)</f>
        <v>0</v>
      </c>
      <c r="AF62" s="56">
        <f ca="1">(1+Overview!$O$28+IF(Magic!BA62&gt;0,0.1,0))*SUM(AR62:AU62)</f>
        <v>0</v>
      </c>
      <c r="AG62" s="26">
        <f ca="1">(1+Overview!$O$28+IF(Magic!BA62&gt;0,0.1,0))*SUM(AW62:AZ62)</f>
        <v>0</v>
      </c>
      <c r="AH62" s="164">
        <f ca="1">(1+Overview!$O$28+IF(Magic!BA62&gt;0,0.1,0))*SUM(BB62:BE62)</f>
        <v>0</v>
      </c>
      <c r="AI62" s="164">
        <f ca="1">(1+Overview!$O$28+IF(Magic!BA62&gt;0,0.1,0))*SUM(BG62:BJ62)</f>
        <v>0</v>
      </c>
      <c r="AJ62" s="164">
        <f ca="1">(1+Overview!$O$28+IF(Magic!BA62&gt;0,0.1,0))*SUM(BL62:BO62)</f>
        <v>0</v>
      </c>
      <c r="AK62" s="166">
        <f ca="1">(1+Overview!$O$28+IF(Magic!BA62&gt;0,0.1,0))*SUM(BQ62:BT62)</f>
        <v>0</v>
      </c>
      <c r="AM62" s="52">
        <f t="shared" si="52"/>
        <v>0</v>
      </c>
      <c r="AN62" s="16">
        <f t="shared" si="52"/>
        <v>0</v>
      </c>
      <c r="AO62" s="16">
        <f t="shared" si="52"/>
        <v>0</v>
      </c>
      <c r="AP62" s="53">
        <f t="shared" si="52"/>
        <v>0</v>
      </c>
      <c r="AR62" s="56">
        <f t="shared" si="29"/>
        <v>0</v>
      </c>
      <c r="AS62" s="26">
        <f t="shared" si="53"/>
        <v>0</v>
      </c>
      <c r="AT62" s="26">
        <f t="shared" si="53"/>
        <v>0</v>
      </c>
      <c r="AU62" s="57">
        <f t="shared" si="31"/>
        <v>0</v>
      </c>
      <c r="AW62" s="56">
        <f t="shared" si="32"/>
        <v>0</v>
      </c>
      <c r="AX62" s="26">
        <f t="shared" si="54"/>
        <v>0</v>
      </c>
      <c r="AY62" s="26">
        <f t="shared" si="54"/>
        <v>0</v>
      </c>
      <c r="AZ62" s="57">
        <f t="shared" si="34"/>
        <v>0</v>
      </c>
      <c r="BB62" s="56">
        <f t="shared" si="35"/>
        <v>0</v>
      </c>
      <c r="BC62" s="26">
        <f t="shared" si="36"/>
        <v>0</v>
      </c>
      <c r="BD62" s="26">
        <f t="shared" si="50"/>
        <v>0</v>
      </c>
      <c r="BE62" s="57">
        <f t="shared" si="37"/>
        <v>0</v>
      </c>
      <c r="BG62" s="56">
        <f t="shared" si="38"/>
        <v>0</v>
      </c>
      <c r="BH62" s="26">
        <f t="shared" si="55"/>
        <v>0</v>
      </c>
      <c r="BI62" s="26">
        <f t="shared" si="55"/>
        <v>0</v>
      </c>
      <c r="BJ62" s="57">
        <f t="shared" si="40"/>
        <v>0</v>
      </c>
      <c r="BL62" s="56">
        <f t="shared" si="41"/>
        <v>0</v>
      </c>
      <c r="BM62" s="26">
        <f t="shared" si="56"/>
        <v>0</v>
      </c>
      <c r="BN62" s="26">
        <f t="shared" si="56"/>
        <v>0</v>
      </c>
      <c r="BO62" s="57">
        <f t="shared" si="43"/>
        <v>0</v>
      </c>
      <c r="BQ62" s="56">
        <f t="shared" si="44"/>
        <v>0</v>
      </c>
      <c r="BR62" s="26">
        <f t="shared" si="57"/>
        <v>0</v>
      </c>
      <c r="BS62" s="26">
        <f t="shared" si="57"/>
        <v>0</v>
      </c>
      <c r="BT62" s="57">
        <f t="shared" si="46"/>
        <v>0</v>
      </c>
      <c r="BV62" s="52" t="e">
        <f>OR(Production!C62,Construction!N62:'Construction'!AF62,Construction!BV62:CN62,Explore!S62:Z62,Military!AF62:AL62,Military!X62,Military!BE62:BL62,Rezone!L62:R62,Magic!G62:Q62)</f>
        <v>#VALUE!</v>
      </c>
      <c r="BW62" s="527">
        <f t="shared" si="47"/>
        <v>0</v>
      </c>
      <c r="BX62" s="527"/>
      <c r="BY62" s="557">
        <f t="shared" si="51"/>
        <v>43694.45833333319</v>
      </c>
      <c r="BZ62" s="565">
        <f t="shared" si="48"/>
        <v>43694.291666666526</v>
      </c>
      <c r="CA62" s="529"/>
      <c r="CB62" s="807"/>
      <c r="CC62" s="812"/>
    </row>
    <row r="63" spans="1:81" s="12" customFormat="1">
      <c r="A63" s="515">
        <f>Construction!E63</f>
        <v>1000</v>
      </c>
      <c r="C63" s="54">
        <f ca="1">Production!H63</f>
        <v>3586571</v>
      </c>
      <c r="D63" s="13">
        <f ca="1">Production!J63</f>
        <v>278669</v>
      </c>
      <c r="E63" s="13">
        <f ca="1">Production!L63</f>
        <v>231000</v>
      </c>
      <c r="F63" s="158">
        <f ca="1">Production!M63</f>
        <v>20000</v>
      </c>
      <c r="G63" s="153"/>
      <c r="H63" s="54">
        <f ca="1">Military!Z63</f>
        <v>3695</v>
      </c>
      <c r="I63" s="155">
        <f ca="1">Population!I63</f>
        <v>1</v>
      </c>
      <c r="J63" s="154">
        <f ca="1">Population!F63/Population!U63</f>
        <v>1</v>
      </c>
      <c r="K63" s="1006">
        <f>Rezone!J63</f>
        <v>61</v>
      </c>
      <c r="L63" s="583">
        <f t="shared" si="49"/>
        <v>43694.499999999854</v>
      </c>
      <c r="M63" s="651">
        <f t="shared" si="26"/>
        <v>0</v>
      </c>
      <c r="N63" s="644">
        <f t="shared" si="27"/>
        <v>1000</v>
      </c>
      <c r="O63" s="428" t="s">
        <v>4</v>
      </c>
      <c r="P63" s="429"/>
      <c r="Q63" s="430" t="s">
        <v>223</v>
      </c>
      <c r="R63" s="428" t="s">
        <v>7</v>
      </c>
      <c r="S63" s="429"/>
      <c r="T63" s="431" t="s">
        <v>223</v>
      </c>
      <c r="U63" s="430" t="s">
        <v>3</v>
      </c>
      <c r="V63" s="429"/>
      <c r="W63" s="431" t="s">
        <v>223</v>
      </c>
      <c r="Y63" s="525">
        <f ca="1">science_cap*(1-EXP(-AF63/(science_param*($A64-Explore!$S64*20)+15000)))*(1+(mason_bonus*Construction!BB63/Construction!BS63))+IF(Overview!$B$14="Beastfolk",Construction!DA63/Construction!E63,0)*(1 + Production!O63/100*prestige_pop_multiplier)</f>
        <v>0</v>
      </c>
      <c r="Z63" s="468">
        <f ca="1">keep_cap*(1-EXP(-AG63/(keep_param*($A64-Explore!$S64*20)+15000)))*(1+(mason_bonus*Construction!BB63/Construction!BS63))+IF(Overview!$B$14="Beastfolk",Construction!DF63/Construction!E63,0)*(1 + Production!O63/100*prestige_pop_multiplier)</f>
        <v>0</v>
      </c>
      <c r="AA63" s="457">
        <f ca="1">harbor_towers_cap*(1-EXP(-AH63/(harbor_towers_param*($A64-Explore!$S64*20)+15000)))*(1+(mason_bonus*Construction!BB63/Construction!BS63))+IF(Overview!$B$14="Beastfolk",2*Construction!DC63/Construction!E63,0)*(1 + Production!O63/100*prestige_pop_multiplier)</f>
        <v>0</v>
      </c>
      <c r="AB63" s="457">
        <f ca="1">walls_forges_cap*(1-EXP(-AI63/(walls_forges_param*($A64-Explore!$S64*20)+15000)))*(1+(mason_bonus*Construction!BB63/Construction!BS63))+IF(Overview!$B$14="Beastfolk",0.2*Construction!CY63/Construction!E63,0)</f>
        <v>0</v>
      </c>
      <c r="AC63" s="457">
        <f ca="1">walls_forges_cap*(1-EXP(-AJ63/(walls_forges_param*($A64-Explore!$S64*20)+15000)))*(1+(mason_bonus*Construction!BB63/Construction!BS63))+IF(Overview!$B$14="Beastfolk",5*Construction!DB63/Construction!E63,0)</f>
        <v>0</v>
      </c>
      <c r="AD63" s="96">
        <f ca="1">harbor_towers_cap*(1-EXP(-AK63/(harbor_towers_param*($A64-Explore!$S64*20)+15000)))*(1+(mason_bonus*Construction!BB63/Construction!BS63))+IF(Overview!$B$14="Beastfolk",Construction!DE63/Construction!E63)*(1 + Production!O63/100*prestige_pop_multiplier)</f>
        <v>0</v>
      </c>
      <c r="AF63" s="54">
        <f ca="1">(1+Overview!$O$28+IF(Magic!BA63&gt;0,0.1,0))*SUM(AR63:AU63)</f>
        <v>0</v>
      </c>
      <c r="AG63" s="13">
        <f ca="1">(1+Overview!$O$28+IF(Magic!BA63&gt;0,0.1,0))*SUM(AW63:AZ63)</f>
        <v>0</v>
      </c>
      <c r="AH63" s="153">
        <f ca="1">(1+Overview!$O$28+IF(Magic!BA63&gt;0,0.1,0))*SUM(BB63:BE63)</f>
        <v>0</v>
      </c>
      <c r="AI63" s="153">
        <f ca="1">(1+Overview!$O$28+IF(Magic!BA63&gt;0,0.1,0))*SUM(BG63:BJ63)</f>
        <v>0</v>
      </c>
      <c r="AJ63" s="153">
        <f ca="1">(1+Overview!$O$28+IF(Magic!BA63&gt;0,0.1,0))*SUM(BL63:BO63)</f>
        <v>0</v>
      </c>
      <c r="AK63" s="158">
        <f ca="1">(1+Overview!$O$28+IF(Magic!BA63&gt;0,0.1,0))*SUM(BQ63:BT63)</f>
        <v>0</v>
      </c>
      <c r="AM63" s="50">
        <f t="shared" si="52"/>
        <v>0</v>
      </c>
      <c r="AN63" s="12">
        <f t="shared" si="52"/>
        <v>0</v>
      </c>
      <c r="AO63" s="12">
        <f t="shared" si="52"/>
        <v>0</v>
      </c>
      <c r="AP63" s="51">
        <f t="shared" si="52"/>
        <v>0</v>
      </c>
      <c r="AR63" s="54">
        <f t="shared" si="29"/>
        <v>0</v>
      </c>
      <c r="AS63" s="13">
        <f t="shared" si="53"/>
        <v>0</v>
      </c>
      <c r="AT63" s="13">
        <f t="shared" si="53"/>
        <v>0</v>
      </c>
      <c r="AU63" s="55">
        <f t="shared" si="31"/>
        <v>0</v>
      </c>
      <c r="AW63" s="54">
        <f t="shared" si="32"/>
        <v>0</v>
      </c>
      <c r="AX63" s="13">
        <f t="shared" si="54"/>
        <v>0</v>
      </c>
      <c r="AY63" s="13">
        <f t="shared" si="54"/>
        <v>0</v>
      </c>
      <c r="AZ63" s="55">
        <f t="shared" si="34"/>
        <v>0</v>
      </c>
      <c r="BB63" s="54">
        <f t="shared" si="35"/>
        <v>0</v>
      </c>
      <c r="BC63" s="13">
        <f t="shared" si="36"/>
        <v>0</v>
      </c>
      <c r="BD63" s="13">
        <f t="shared" si="50"/>
        <v>0</v>
      </c>
      <c r="BE63" s="55">
        <f t="shared" si="37"/>
        <v>0</v>
      </c>
      <c r="BG63" s="54">
        <f t="shared" si="38"/>
        <v>0</v>
      </c>
      <c r="BH63" s="13">
        <f t="shared" si="55"/>
        <v>0</v>
      </c>
      <c r="BI63" s="13">
        <f t="shared" si="55"/>
        <v>0</v>
      </c>
      <c r="BJ63" s="55">
        <f t="shared" si="40"/>
        <v>0</v>
      </c>
      <c r="BL63" s="54">
        <f t="shared" si="41"/>
        <v>0</v>
      </c>
      <c r="BM63" s="13">
        <f t="shared" si="56"/>
        <v>0</v>
      </c>
      <c r="BN63" s="13">
        <f t="shared" si="56"/>
        <v>0</v>
      </c>
      <c r="BO63" s="55">
        <f t="shared" si="43"/>
        <v>0</v>
      </c>
      <c r="BQ63" s="54">
        <f t="shared" si="44"/>
        <v>0</v>
      </c>
      <c r="BR63" s="13">
        <f t="shared" si="57"/>
        <v>0</v>
      </c>
      <c r="BS63" s="13">
        <f t="shared" si="57"/>
        <v>0</v>
      </c>
      <c r="BT63" s="55">
        <f t="shared" si="46"/>
        <v>0</v>
      </c>
      <c r="BV63" s="50" t="e">
        <f>OR(Production!C63,Construction!N63:'Construction'!AF63,Construction!BV63:CN63,Explore!S63:Z63,Military!AF63:AL63,Military!X63,Military!BE63:BL63,Rezone!L63:R63,Magic!G63:Q63)</f>
        <v>#VALUE!</v>
      </c>
      <c r="BW63" s="551">
        <f t="shared" si="47"/>
        <v>0</v>
      </c>
      <c r="BX63" s="551"/>
      <c r="BY63" s="558">
        <f t="shared" si="51"/>
        <v>43694.499999999854</v>
      </c>
      <c r="BZ63" s="566">
        <f t="shared" si="48"/>
        <v>43694.33333333319</v>
      </c>
      <c r="CA63" s="631"/>
      <c r="CB63" s="808"/>
      <c r="CC63" s="813"/>
    </row>
    <row r="64" spans="1:81" s="15" customFormat="1">
      <c r="A64" s="516">
        <f>Construction!E64</f>
        <v>1000</v>
      </c>
      <c r="B64" s="16"/>
      <c r="C64" s="89">
        <f ca="1">Production!H64</f>
        <v>3597222</v>
      </c>
      <c r="D64" s="23">
        <f ca="1">Production!J64</f>
        <v>278382</v>
      </c>
      <c r="E64" s="23">
        <f ca="1">Production!L64</f>
        <v>231000</v>
      </c>
      <c r="F64" s="57">
        <f ca="1">Production!M64</f>
        <v>20000</v>
      </c>
      <c r="G64" s="26"/>
      <c r="H64" s="89">
        <f ca="1">Military!Z64</f>
        <v>3695</v>
      </c>
      <c r="I64" s="540">
        <f ca="1">Population!I64</f>
        <v>1</v>
      </c>
      <c r="J64" s="165">
        <f ca="1">Population!F64/Population!U64</f>
        <v>1</v>
      </c>
      <c r="K64" s="1005">
        <f>Rezone!J64</f>
        <v>62</v>
      </c>
      <c r="L64" s="584">
        <f t="shared" si="49"/>
        <v>43694.541666666519</v>
      </c>
      <c r="M64" s="639">
        <f t="shared" si="26"/>
        <v>0</v>
      </c>
      <c r="N64" s="645">
        <f t="shared" si="27"/>
        <v>1000</v>
      </c>
      <c r="O64" s="423" t="s">
        <v>4</v>
      </c>
      <c r="P64" s="370"/>
      <c r="Q64" s="424" t="s">
        <v>223</v>
      </c>
      <c r="R64" s="423" t="s">
        <v>7</v>
      </c>
      <c r="S64" s="370"/>
      <c r="T64" s="425" t="s">
        <v>223</v>
      </c>
      <c r="U64" s="424" t="s">
        <v>3</v>
      </c>
      <c r="V64" s="370"/>
      <c r="W64" s="425" t="s">
        <v>223</v>
      </c>
      <c r="X64" s="16"/>
      <c r="Y64" s="524">
        <f ca="1">science_cap*(1-EXP(-AF64/(science_param*($A65-Explore!$S65*20)+15000)))*(1+(mason_bonus*Construction!BB64/Construction!BS64))+IF(Overview!$B$14="Beastfolk",Construction!DA64/Construction!E64,0)*(1 + Production!O64/100*prestige_pop_multiplier)</f>
        <v>0</v>
      </c>
      <c r="Z64" s="284">
        <f ca="1">keep_cap*(1-EXP(-AG64/(keep_param*($A65-Explore!$S65*20)+15000)))*(1+(mason_bonus*Construction!BB64/Construction!BS64))+IF(Overview!$B$14="Beastfolk",Construction!DF64/Construction!E64,0)*(1 + Production!O64/100*prestige_pop_multiplier)</f>
        <v>0</v>
      </c>
      <c r="AA64" s="284">
        <f ca="1">harbor_towers_cap*(1-EXP(-AH64/(harbor_towers_param*($A65-Explore!$S65*20)+15000)))*(1+(mason_bonus*Construction!BB64/Construction!BS64))+IF(Overview!$B$14="Beastfolk",2*Construction!DC64/Construction!E64,0)*(1 + Production!O64/100*prestige_pop_multiplier)</f>
        <v>0</v>
      </c>
      <c r="AB64" s="284">
        <f ca="1">walls_forges_cap*(1-EXP(-AI64/(walls_forges_param*($A65-Explore!$S65*20)+15000)))*(1+(mason_bonus*Construction!BB64/Construction!BS64))+IF(Overview!$B$14="Beastfolk",0.2*Construction!CY64/Construction!E64,0)</f>
        <v>0</v>
      </c>
      <c r="AC64" s="284">
        <f ca="1">walls_forges_cap*(1-EXP(-AJ64/(walls_forges_param*($A65-Explore!$S65*20)+15000)))*(1+(mason_bonus*Construction!BB64/Construction!BS64))+IF(Overview!$B$14="Beastfolk",5*Construction!DB64/Construction!E64,0)</f>
        <v>0</v>
      </c>
      <c r="AD64" s="97">
        <f ca="1">harbor_towers_cap*(1-EXP(-AK64/(harbor_towers_param*($A65-Explore!$S65*20)+15000)))*(1+(mason_bonus*Construction!BB64/Construction!BS64))+IF(Overview!$B$14="Beastfolk",Construction!DE64/Construction!E64)*(1 + Production!O64/100*prestige_pop_multiplier)</f>
        <v>0</v>
      </c>
      <c r="AE64" s="16"/>
      <c r="AF64" s="56">
        <f ca="1">(1+Overview!$O$28+IF(Magic!BA64&gt;0,0.1,0))*SUM(AR64:AU64)</f>
        <v>0</v>
      </c>
      <c r="AG64" s="26">
        <f ca="1">(1+Overview!$O$28+IF(Magic!BA64&gt;0,0.1,0))*SUM(AW64:AZ64)</f>
        <v>0</v>
      </c>
      <c r="AH64" s="164">
        <f ca="1">(1+Overview!$O$28+IF(Magic!BA64&gt;0,0.1,0))*SUM(BB64:BE64)</f>
        <v>0</v>
      </c>
      <c r="AI64" s="164">
        <f ca="1">(1+Overview!$O$28+IF(Magic!BA64&gt;0,0.1,0))*SUM(BG64:BJ64)</f>
        <v>0</v>
      </c>
      <c r="AJ64" s="164">
        <f ca="1">(1+Overview!$O$28+IF(Magic!BA64&gt;0,0.1,0))*SUM(BL64:BO64)</f>
        <v>0</v>
      </c>
      <c r="AK64" s="166">
        <f ca="1">(1+Overview!$O$28+IF(Magic!BA64&gt;0,0.1,0))*SUM(BQ64:BT64)</f>
        <v>0</v>
      </c>
      <c r="AL64" s="16"/>
      <c r="AM64" s="70">
        <f t="shared" si="52"/>
        <v>0</v>
      </c>
      <c r="AN64" s="15">
        <f t="shared" si="52"/>
        <v>0</v>
      </c>
      <c r="AO64" s="15">
        <f t="shared" si="52"/>
        <v>0</v>
      </c>
      <c r="AP64" s="74">
        <f t="shared" si="52"/>
        <v>0</v>
      </c>
      <c r="AQ64" s="16"/>
      <c r="AR64" s="89">
        <f t="shared" si="29"/>
        <v>0</v>
      </c>
      <c r="AS64" s="23">
        <f t="shared" si="53"/>
        <v>0</v>
      </c>
      <c r="AT64" s="23">
        <f t="shared" si="53"/>
        <v>0</v>
      </c>
      <c r="AU64" s="71">
        <f t="shared" si="31"/>
        <v>0</v>
      </c>
      <c r="AV64" s="16"/>
      <c r="AW64" s="89">
        <f t="shared" si="32"/>
        <v>0</v>
      </c>
      <c r="AX64" s="23">
        <f t="shared" si="54"/>
        <v>0</v>
      </c>
      <c r="AY64" s="23">
        <f t="shared" si="54"/>
        <v>0</v>
      </c>
      <c r="AZ64" s="71">
        <f t="shared" si="34"/>
        <v>0</v>
      </c>
      <c r="BA64" s="16"/>
      <c r="BB64" s="89">
        <f t="shared" si="35"/>
        <v>0</v>
      </c>
      <c r="BC64" s="23">
        <f t="shared" si="36"/>
        <v>0</v>
      </c>
      <c r="BD64" s="23">
        <f t="shared" si="50"/>
        <v>0</v>
      </c>
      <c r="BE64" s="71">
        <f t="shared" si="37"/>
        <v>0</v>
      </c>
      <c r="BF64" s="16"/>
      <c r="BG64" s="89">
        <f t="shared" si="38"/>
        <v>0</v>
      </c>
      <c r="BH64" s="23">
        <f t="shared" si="55"/>
        <v>0</v>
      </c>
      <c r="BI64" s="23">
        <f t="shared" si="55"/>
        <v>0</v>
      </c>
      <c r="BJ64" s="71">
        <f t="shared" si="40"/>
        <v>0</v>
      </c>
      <c r="BK64" s="16"/>
      <c r="BL64" s="89">
        <f t="shared" si="41"/>
        <v>0</v>
      </c>
      <c r="BM64" s="23">
        <f t="shared" si="56"/>
        <v>0</v>
      </c>
      <c r="BN64" s="23">
        <f t="shared" si="56"/>
        <v>0</v>
      </c>
      <c r="BO64" s="71">
        <f t="shared" si="43"/>
        <v>0</v>
      </c>
      <c r="BP64" s="16"/>
      <c r="BQ64" s="89">
        <f t="shared" si="44"/>
        <v>0</v>
      </c>
      <c r="BR64" s="23">
        <f t="shared" si="57"/>
        <v>0</v>
      </c>
      <c r="BS64" s="23">
        <f t="shared" si="57"/>
        <v>0</v>
      </c>
      <c r="BT64" s="71">
        <f t="shared" si="46"/>
        <v>0</v>
      </c>
      <c r="BV64" s="70" t="e">
        <f>OR(Production!C64,Construction!N64:'Construction'!AF64,Construction!BV64:CN64,Explore!S64:Z64,Military!AF64:AL64,Military!X64,Military!BE64:BL64,Rezone!L64:R64,Magic!G64:Q64)</f>
        <v>#VALUE!</v>
      </c>
      <c r="BW64" s="528">
        <f t="shared" si="47"/>
        <v>0</v>
      </c>
      <c r="BX64" s="528"/>
      <c r="BY64" s="559">
        <f t="shared" si="51"/>
        <v>43694.541666666519</v>
      </c>
      <c r="BZ64" s="567">
        <f t="shared" si="48"/>
        <v>43694.374999999854</v>
      </c>
      <c r="CA64" s="629"/>
      <c r="CB64" s="809"/>
      <c r="CC64" s="814"/>
    </row>
    <row r="65" spans="1:84" s="16" customFormat="1">
      <c r="A65" s="513">
        <f>Construction!E65</f>
        <v>1000</v>
      </c>
      <c r="C65" s="56">
        <f ca="1">Production!H65</f>
        <v>3607873</v>
      </c>
      <c r="D65" s="26">
        <f ca="1">Production!J65</f>
        <v>278098</v>
      </c>
      <c r="E65" s="26">
        <f ca="1">Production!L65</f>
        <v>231000</v>
      </c>
      <c r="F65" s="57">
        <f ca="1">Production!M65</f>
        <v>20000</v>
      </c>
      <c r="G65" s="26"/>
      <c r="H65" s="56">
        <f ca="1">Military!Z65</f>
        <v>3695</v>
      </c>
      <c r="I65" s="540">
        <f ca="1">Population!I65</f>
        <v>1</v>
      </c>
      <c r="J65" s="165">
        <f ca="1">Population!F65/Population!U65</f>
        <v>1</v>
      </c>
      <c r="K65" s="1005">
        <f>Rezone!J65</f>
        <v>63</v>
      </c>
      <c r="L65" s="584">
        <f t="shared" si="49"/>
        <v>43694.583333333183</v>
      </c>
      <c r="M65" s="316">
        <f t="shared" si="26"/>
        <v>0</v>
      </c>
      <c r="N65" s="641">
        <f t="shared" si="27"/>
        <v>1000</v>
      </c>
      <c r="O65" s="423" t="s">
        <v>4</v>
      </c>
      <c r="P65" s="370"/>
      <c r="Q65" s="424" t="s">
        <v>223</v>
      </c>
      <c r="R65" s="423" t="s">
        <v>7</v>
      </c>
      <c r="S65" s="370"/>
      <c r="T65" s="425" t="s">
        <v>223</v>
      </c>
      <c r="U65" s="424" t="s">
        <v>3</v>
      </c>
      <c r="V65" s="370"/>
      <c r="W65" s="425" t="s">
        <v>223</v>
      </c>
      <c r="Y65" s="524">
        <f ca="1">science_cap*(1-EXP(-AF65/(science_param*($A66-Explore!$S66*20)+15000)))*(1+(mason_bonus*Construction!BB65/Construction!BS65))+IF(Overview!$B$14="Beastfolk",Construction!DA65/Construction!E65,0)*(1 + Production!O65/100*prestige_pop_multiplier)</f>
        <v>0</v>
      </c>
      <c r="Z65" s="284">
        <f ca="1">keep_cap*(1-EXP(-AG65/(keep_param*($A66-Explore!$S66*20)+15000)))*(1+(mason_bonus*Construction!BB65/Construction!BS65))+IF(Overview!$B$14="Beastfolk",Construction!DF65/Construction!E65,0)*(1 + Production!O65/100*prestige_pop_multiplier)</f>
        <v>0</v>
      </c>
      <c r="AA65" s="284">
        <f ca="1">harbor_towers_cap*(1-EXP(-AH65/(harbor_towers_param*($A66-Explore!$S66*20)+15000)))*(1+(mason_bonus*Construction!BB65/Construction!BS65))+IF(Overview!$B$14="Beastfolk",2*Construction!DC65/Construction!E65,0)*(1 + Production!O65/100*prestige_pop_multiplier)</f>
        <v>0</v>
      </c>
      <c r="AB65" s="284">
        <f ca="1">walls_forges_cap*(1-EXP(-AI65/(walls_forges_param*($A66-Explore!$S66*20)+15000)))*(1+(mason_bonus*Construction!BB65/Construction!BS65))+IF(Overview!$B$14="Beastfolk",0.2*Construction!CY65/Construction!E65,0)</f>
        <v>0</v>
      </c>
      <c r="AC65" s="284">
        <f ca="1">walls_forges_cap*(1-EXP(-AJ65/(walls_forges_param*($A66-Explore!$S66*20)+15000)))*(1+(mason_bonus*Construction!BB65/Construction!BS65))+IF(Overview!$B$14="Beastfolk",5*Construction!DB65/Construction!E65,0)</f>
        <v>0</v>
      </c>
      <c r="AD65" s="97">
        <f ca="1">harbor_towers_cap*(1-EXP(-AK65/(harbor_towers_param*($A66-Explore!$S66*20)+15000)))*(1+(mason_bonus*Construction!BB65/Construction!BS65))+IF(Overview!$B$14="Beastfolk",Construction!DE65/Construction!E65)*(1 + Production!O65/100*prestige_pop_multiplier)</f>
        <v>0</v>
      </c>
      <c r="AF65" s="56">
        <f ca="1">(1+Overview!$O$28+IF(Magic!BA65&gt;0,0.1,0))*SUM(AR65:AU65)</f>
        <v>0</v>
      </c>
      <c r="AG65" s="26">
        <f ca="1">(1+Overview!$O$28+IF(Magic!BA65&gt;0,0.1,0))*SUM(AW65:AZ65)</f>
        <v>0</v>
      </c>
      <c r="AH65" s="164">
        <f ca="1">(1+Overview!$O$28+IF(Magic!BA65&gt;0,0.1,0))*SUM(BB65:BE65)</f>
        <v>0</v>
      </c>
      <c r="AI65" s="164">
        <f ca="1">(1+Overview!$O$28+IF(Magic!BA65&gt;0,0.1,0))*SUM(BG65:BJ65)</f>
        <v>0</v>
      </c>
      <c r="AJ65" s="164">
        <f ca="1">(1+Overview!$O$28+IF(Magic!BA65&gt;0,0.1,0))*SUM(BL65:BO65)</f>
        <v>0</v>
      </c>
      <c r="AK65" s="166">
        <f ca="1">(1+Overview!$O$28+IF(Magic!BA65&gt;0,0.1,0))*SUM(BQ65:BT65)</f>
        <v>0</v>
      </c>
      <c r="AM65" s="52">
        <f t="shared" si="52"/>
        <v>0</v>
      </c>
      <c r="AN65" s="16">
        <f t="shared" si="52"/>
        <v>0</v>
      </c>
      <c r="AO65" s="16">
        <f t="shared" si="52"/>
        <v>0</v>
      </c>
      <c r="AP65" s="53">
        <f t="shared" si="52"/>
        <v>0</v>
      </c>
      <c r="AR65" s="56">
        <f t="shared" si="29"/>
        <v>0</v>
      </c>
      <c r="AS65" s="26">
        <f t="shared" si="53"/>
        <v>0</v>
      </c>
      <c r="AT65" s="26">
        <f t="shared" si="53"/>
        <v>0</v>
      </c>
      <c r="AU65" s="57">
        <f t="shared" si="31"/>
        <v>0</v>
      </c>
      <c r="AW65" s="56">
        <f t="shared" si="32"/>
        <v>0</v>
      </c>
      <c r="AX65" s="26">
        <f t="shared" si="54"/>
        <v>0</v>
      </c>
      <c r="AY65" s="26">
        <f t="shared" si="54"/>
        <v>0</v>
      </c>
      <c r="AZ65" s="57">
        <f t="shared" si="34"/>
        <v>0</v>
      </c>
      <c r="BB65" s="56">
        <f t="shared" si="35"/>
        <v>0</v>
      </c>
      <c r="BC65" s="26">
        <f t="shared" si="36"/>
        <v>0</v>
      </c>
      <c r="BD65" s="26">
        <f t="shared" si="50"/>
        <v>0</v>
      </c>
      <c r="BE65" s="57">
        <f t="shared" si="37"/>
        <v>0</v>
      </c>
      <c r="BG65" s="56">
        <f t="shared" si="38"/>
        <v>0</v>
      </c>
      <c r="BH65" s="26">
        <f t="shared" si="55"/>
        <v>0</v>
      </c>
      <c r="BI65" s="26">
        <f t="shared" si="55"/>
        <v>0</v>
      </c>
      <c r="BJ65" s="57">
        <f t="shared" si="40"/>
        <v>0</v>
      </c>
      <c r="BL65" s="56">
        <f t="shared" si="41"/>
        <v>0</v>
      </c>
      <c r="BM65" s="26">
        <f t="shared" si="56"/>
        <v>0</v>
      </c>
      <c r="BN65" s="26">
        <f t="shared" si="56"/>
        <v>0</v>
      </c>
      <c r="BO65" s="57">
        <f t="shared" si="43"/>
        <v>0</v>
      </c>
      <c r="BQ65" s="56">
        <f t="shared" si="44"/>
        <v>0</v>
      </c>
      <c r="BR65" s="26">
        <f t="shared" si="57"/>
        <v>0</v>
      </c>
      <c r="BS65" s="26">
        <f t="shared" si="57"/>
        <v>0</v>
      </c>
      <c r="BT65" s="57">
        <f t="shared" si="46"/>
        <v>0</v>
      </c>
      <c r="BV65" s="52" t="e">
        <f>OR(Production!C65,Construction!N65:'Construction'!AF65,Construction!BV65:CN65,Explore!S65:Z65,Military!AF65:AL65,Military!X65,Military!BE65:BL65,Rezone!L65:R65,Magic!G65:Q65)</f>
        <v>#VALUE!</v>
      </c>
      <c r="BW65" s="527">
        <f t="shared" si="47"/>
        <v>0</v>
      </c>
      <c r="BX65" s="527"/>
      <c r="BY65" s="557">
        <f t="shared" si="51"/>
        <v>43694.583333333183</v>
      </c>
      <c r="BZ65" s="565">
        <f t="shared" si="48"/>
        <v>43694.416666666519</v>
      </c>
      <c r="CA65" s="806"/>
      <c r="CB65" s="807"/>
      <c r="CC65" s="812"/>
    </row>
    <row r="66" spans="1:84" s="16" customFormat="1">
      <c r="A66" s="513">
        <f>Construction!E66</f>
        <v>1000</v>
      </c>
      <c r="C66" s="56">
        <f ca="1">Production!H66</f>
        <v>3618524</v>
      </c>
      <c r="D66" s="26">
        <f ca="1">Production!J66</f>
        <v>277817</v>
      </c>
      <c r="E66" s="26">
        <f ca="1">Production!L66</f>
        <v>231000</v>
      </c>
      <c r="F66" s="57">
        <f ca="1">Production!M66</f>
        <v>20000</v>
      </c>
      <c r="G66" s="26"/>
      <c r="H66" s="56">
        <f ca="1">Military!Z66</f>
        <v>3695</v>
      </c>
      <c r="I66" s="540">
        <f ca="1">Population!I66</f>
        <v>1</v>
      </c>
      <c r="J66" s="165">
        <f ca="1">Population!F66/Population!U66</f>
        <v>1</v>
      </c>
      <c r="K66" s="1005">
        <f>Rezone!J66</f>
        <v>64</v>
      </c>
      <c r="L66" s="584">
        <f t="shared" si="49"/>
        <v>43694.624999999847</v>
      </c>
      <c r="M66" s="316">
        <f t="shared" si="26"/>
        <v>0</v>
      </c>
      <c r="N66" s="641">
        <f t="shared" si="27"/>
        <v>1000</v>
      </c>
      <c r="O66" s="423" t="s">
        <v>4</v>
      </c>
      <c r="P66" s="370"/>
      <c r="Q66" s="424" t="s">
        <v>223</v>
      </c>
      <c r="R66" s="423" t="s">
        <v>7</v>
      </c>
      <c r="S66" s="370"/>
      <c r="T66" s="425" t="s">
        <v>223</v>
      </c>
      <c r="U66" s="424" t="s">
        <v>3</v>
      </c>
      <c r="V66" s="370"/>
      <c r="W66" s="425" t="s">
        <v>223</v>
      </c>
      <c r="Y66" s="524">
        <f ca="1">science_cap*(1-EXP(-AF66/(science_param*($A67-Explore!$S67*20)+15000)))*(1+(mason_bonus*Construction!BB66/Construction!BS66))+IF(Overview!$B$14="Beastfolk",Construction!DA66/Construction!E66,0)*(1 + Production!O66/100*prestige_pop_multiplier)</f>
        <v>0</v>
      </c>
      <c r="Z66" s="284">
        <f ca="1">keep_cap*(1-EXP(-AG66/(keep_param*($A67-Explore!$S67*20)+15000)))*(1+(mason_bonus*Construction!BB66/Construction!BS66))+IF(Overview!$B$14="Beastfolk",Construction!DF66/Construction!E66,0)*(1 + Production!O66/100*prestige_pop_multiplier)</f>
        <v>0</v>
      </c>
      <c r="AA66" s="284">
        <f ca="1">harbor_towers_cap*(1-EXP(-AH66/(harbor_towers_param*($A67-Explore!$S67*20)+15000)))*(1+(mason_bonus*Construction!BB66/Construction!BS66))+IF(Overview!$B$14="Beastfolk",2*Construction!DC66/Construction!E66,0)*(1 + Production!O66/100*prestige_pop_multiplier)</f>
        <v>0</v>
      </c>
      <c r="AB66" s="284">
        <f ca="1">walls_forges_cap*(1-EXP(-AI66/(walls_forges_param*($A67-Explore!$S67*20)+15000)))*(1+(mason_bonus*Construction!BB66/Construction!BS66))+IF(Overview!$B$14="Beastfolk",0.2*Construction!CY66/Construction!E66,0)</f>
        <v>0</v>
      </c>
      <c r="AC66" s="284">
        <f ca="1">walls_forges_cap*(1-EXP(-AJ66/(walls_forges_param*($A67-Explore!$S67*20)+15000)))*(1+(mason_bonus*Construction!BB66/Construction!BS66))+IF(Overview!$B$14="Beastfolk",5*Construction!DB66/Construction!E66,0)</f>
        <v>0</v>
      </c>
      <c r="AD66" s="97">
        <f ca="1">harbor_towers_cap*(1-EXP(-AK66/(harbor_towers_param*($A67-Explore!$S67*20)+15000)))*(1+(mason_bonus*Construction!BB66/Construction!BS66))+IF(Overview!$B$14="Beastfolk",Construction!DE66/Construction!E66)*(1 + Production!O66/100*prestige_pop_multiplier)</f>
        <v>0</v>
      </c>
      <c r="AF66" s="56">
        <f ca="1">(1+Overview!$O$28+IF(Magic!BA66&gt;0,0.1,0))*SUM(AR66:AU66)</f>
        <v>0</v>
      </c>
      <c r="AG66" s="26">
        <f ca="1">(1+Overview!$O$28+IF(Magic!BA66&gt;0,0.1,0))*SUM(AW66:AZ66)</f>
        <v>0</v>
      </c>
      <c r="AH66" s="164">
        <f ca="1">(1+Overview!$O$28+IF(Magic!BA66&gt;0,0.1,0))*SUM(BB66:BE66)</f>
        <v>0</v>
      </c>
      <c r="AI66" s="164">
        <f ca="1">(1+Overview!$O$28+IF(Magic!BA66&gt;0,0.1,0))*SUM(BG66:BJ66)</f>
        <v>0</v>
      </c>
      <c r="AJ66" s="164">
        <f ca="1">(1+Overview!$O$28+IF(Magic!BA66&gt;0,0.1,0))*SUM(BL66:BO66)</f>
        <v>0</v>
      </c>
      <c r="AK66" s="166">
        <f ca="1">(1+Overview!$O$28+IF(Magic!BA66&gt;0,0.1,0))*SUM(BQ66:BT66)</f>
        <v>0</v>
      </c>
      <c r="AM66" s="52">
        <f t="shared" si="52"/>
        <v>0</v>
      </c>
      <c r="AN66" s="16">
        <f t="shared" si="52"/>
        <v>0</v>
      </c>
      <c r="AO66" s="16">
        <f t="shared" si="52"/>
        <v>0</v>
      </c>
      <c r="AP66" s="53">
        <f t="shared" si="52"/>
        <v>0</v>
      </c>
      <c r="AR66" s="56">
        <f t="shared" si="29"/>
        <v>0</v>
      </c>
      <c r="AS66" s="26">
        <f t="shared" si="53"/>
        <v>0</v>
      </c>
      <c r="AT66" s="26">
        <f t="shared" si="53"/>
        <v>0</v>
      </c>
      <c r="AU66" s="57">
        <f t="shared" si="31"/>
        <v>0</v>
      </c>
      <c r="AW66" s="56">
        <f t="shared" si="32"/>
        <v>0</v>
      </c>
      <c r="AX66" s="26">
        <f t="shared" si="54"/>
        <v>0</v>
      </c>
      <c r="AY66" s="26">
        <f t="shared" si="54"/>
        <v>0</v>
      </c>
      <c r="AZ66" s="57">
        <f t="shared" si="34"/>
        <v>0</v>
      </c>
      <c r="BB66" s="56">
        <f t="shared" si="35"/>
        <v>0</v>
      </c>
      <c r="BC66" s="26">
        <f t="shared" si="36"/>
        <v>0</v>
      </c>
      <c r="BD66" s="26">
        <f t="shared" si="50"/>
        <v>0</v>
      </c>
      <c r="BE66" s="57">
        <f t="shared" si="37"/>
        <v>0</v>
      </c>
      <c r="BG66" s="56">
        <f t="shared" si="38"/>
        <v>0</v>
      </c>
      <c r="BH66" s="26">
        <f t="shared" si="55"/>
        <v>0</v>
      </c>
      <c r="BI66" s="26">
        <f t="shared" si="55"/>
        <v>0</v>
      </c>
      <c r="BJ66" s="57">
        <f t="shared" si="40"/>
        <v>0</v>
      </c>
      <c r="BL66" s="56">
        <f t="shared" si="41"/>
        <v>0</v>
      </c>
      <c r="BM66" s="26">
        <f t="shared" si="56"/>
        <v>0</v>
      </c>
      <c r="BN66" s="26">
        <f t="shared" si="56"/>
        <v>0</v>
      </c>
      <c r="BO66" s="57">
        <f t="shared" si="43"/>
        <v>0</v>
      </c>
      <c r="BQ66" s="56">
        <f t="shared" si="44"/>
        <v>0</v>
      </c>
      <c r="BR66" s="26">
        <f t="shared" si="57"/>
        <v>0</v>
      </c>
      <c r="BS66" s="26">
        <f t="shared" si="57"/>
        <v>0</v>
      </c>
      <c r="BT66" s="57">
        <f t="shared" si="46"/>
        <v>0</v>
      </c>
      <c r="BV66" s="52" t="e">
        <f>OR(Production!C66,Construction!N66:'Construction'!AF66,Construction!BV66:CN66,Explore!S66:Z66,Military!AF66:AL66,Military!X66,Military!BE66:BL66,Rezone!L66:R66,Magic!G66:Q66)</f>
        <v>#VALUE!</v>
      </c>
      <c r="BW66" s="527">
        <f t="shared" si="47"/>
        <v>0</v>
      </c>
      <c r="BX66" s="527"/>
      <c r="BY66" s="557">
        <f t="shared" si="51"/>
        <v>43694.624999999847</v>
      </c>
      <c r="BZ66" s="565">
        <f t="shared" si="48"/>
        <v>43694.458333333183</v>
      </c>
      <c r="CA66" s="529"/>
      <c r="CB66" s="807"/>
      <c r="CC66" s="812"/>
    </row>
    <row r="67" spans="1:84" s="16" customFormat="1">
      <c r="A67" s="513">
        <f>Construction!E67</f>
        <v>1000</v>
      </c>
      <c r="C67" s="56">
        <f ca="1">Production!H67</f>
        <v>3629175</v>
      </c>
      <c r="D67" s="26">
        <f ca="1">Production!J67</f>
        <v>277539</v>
      </c>
      <c r="E67" s="26">
        <f ca="1">Production!L67</f>
        <v>231000</v>
      </c>
      <c r="F67" s="57">
        <f ca="1">Production!M67</f>
        <v>20000</v>
      </c>
      <c r="G67" s="26"/>
      <c r="H67" s="56">
        <f ca="1">Military!Z67</f>
        <v>3695</v>
      </c>
      <c r="I67" s="540">
        <f ca="1">Population!I67</f>
        <v>1</v>
      </c>
      <c r="J67" s="165">
        <f ca="1">Population!F67/Population!U67</f>
        <v>1</v>
      </c>
      <c r="K67" s="1005">
        <f>Rezone!J67</f>
        <v>65</v>
      </c>
      <c r="L67" s="584">
        <f t="shared" si="49"/>
        <v>43694.666666666511</v>
      </c>
      <c r="M67" s="316">
        <f t="shared" si="26"/>
        <v>0</v>
      </c>
      <c r="N67" s="641">
        <f t="shared" si="27"/>
        <v>1000</v>
      </c>
      <c r="O67" s="423" t="s">
        <v>4</v>
      </c>
      <c r="P67" s="370"/>
      <c r="Q67" s="424" t="s">
        <v>223</v>
      </c>
      <c r="R67" s="423" t="s">
        <v>7</v>
      </c>
      <c r="S67" s="370"/>
      <c r="T67" s="425" t="s">
        <v>223</v>
      </c>
      <c r="U67" s="424" t="s">
        <v>3</v>
      </c>
      <c r="V67" s="370"/>
      <c r="W67" s="425" t="s">
        <v>223</v>
      </c>
      <c r="Y67" s="524">
        <f ca="1">science_cap*(1-EXP(-AF67/(science_param*($A68-Explore!$S68*20)+15000)))*(1+(mason_bonus*Construction!BB67/Construction!BS67))+IF(Overview!$B$14="Beastfolk",Construction!DA67/Construction!E67,0)*(1 + Production!O67/100*prestige_pop_multiplier)</f>
        <v>0</v>
      </c>
      <c r="Z67" s="284">
        <f ca="1">keep_cap*(1-EXP(-AG67/(keep_param*($A68-Explore!$S68*20)+15000)))*(1+(mason_bonus*Construction!BB67/Construction!BS67))+IF(Overview!$B$14="Beastfolk",Construction!DF67/Construction!E67,0)*(1 + Production!O67/100*prestige_pop_multiplier)</f>
        <v>0</v>
      </c>
      <c r="AA67" s="284">
        <f ca="1">harbor_towers_cap*(1-EXP(-AH67/(harbor_towers_param*($A68-Explore!$S68*20)+15000)))*(1+(mason_bonus*Construction!BB67/Construction!BS67))+IF(Overview!$B$14="Beastfolk",2*Construction!DC67/Construction!E67,0)*(1 + Production!O67/100*prestige_pop_multiplier)</f>
        <v>0</v>
      </c>
      <c r="AB67" s="284">
        <f ca="1">walls_forges_cap*(1-EXP(-AI67/(walls_forges_param*($A68-Explore!$S68*20)+15000)))*(1+(mason_bonus*Construction!BB67/Construction!BS67))+IF(Overview!$B$14="Beastfolk",0.2*Construction!CY67/Construction!E67,0)</f>
        <v>0</v>
      </c>
      <c r="AC67" s="284">
        <f ca="1">walls_forges_cap*(1-EXP(-AJ67/(walls_forges_param*($A68-Explore!$S68*20)+15000)))*(1+(mason_bonus*Construction!BB67/Construction!BS67))+IF(Overview!$B$14="Beastfolk",5*Construction!DB67/Construction!E67,0)</f>
        <v>0</v>
      </c>
      <c r="AD67" s="97">
        <f ca="1">harbor_towers_cap*(1-EXP(-AK67/(harbor_towers_param*($A68-Explore!$S68*20)+15000)))*(1+(mason_bonus*Construction!BB67/Construction!BS67))+IF(Overview!$B$14="Beastfolk",Construction!DE67/Construction!E67)*(1 + Production!O67/100*prestige_pop_multiplier)</f>
        <v>0</v>
      </c>
      <c r="AF67" s="56">
        <f ca="1">(1+Overview!$O$28+IF(Magic!BA67&gt;0,0.1,0))*SUM(AR67:AU67)</f>
        <v>0</v>
      </c>
      <c r="AG67" s="26">
        <f ca="1">(1+Overview!$O$28+IF(Magic!BA67&gt;0,0.1,0))*SUM(AW67:AZ67)</f>
        <v>0</v>
      </c>
      <c r="AH67" s="164">
        <f ca="1">(1+Overview!$O$28+IF(Magic!BA67&gt;0,0.1,0))*SUM(BB67:BE67)</f>
        <v>0</v>
      </c>
      <c r="AI67" s="164">
        <f ca="1">(1+Overview!$O$28+IF(Magic!BA67&gt;0,0.1,0))*SUM(BG67:BJ67)</f>
        <v>0</v>
      </c>
      <c r="AJ67" s="164">
        <f ca="1">(1+Overview!$O$28+IF(Magic!BA67&gt;0,0.1,0))*SUM(BL67:BO67)</f>
        <v>0</v>
      </c>
      <c r="AK67" s="166">
        <f ca="1">(1+Overview!$O$28+IF(Magic!BA67&gt;0,0.1,0))*SUM(BQ67:BT67)</f>
        <v>0</v>
      </c>
      <c r="AM67" s="52">
        <f t="shared" si="52"/>
        <v>0</v>
      </c>
      <c r="AN67" s="16">
        <f t="shared" si="52"/>
        <v>0</v>
      </c>
      <c r="AO67" s="16">
        <f t="shared" si="52"/>
        <v>0</v>
      </c>
      <c r="AP67" s="53">
        <f t="shared" si="52"/>
        <v>0</v>
      </c>
      <c r="AR67" s="56">
        <f t="shared" si="29"/>
        <v>0</v>
      </c>
      <c r="AS67" s="26">
        <f t="shared" si="53"/>
        <v>0</v>
      </c>
      <c r="AT67" s="26">
        <f t="shared" si="53"/>
        <v>0</v>
      </c>
      <c r="AU67" s="57">
        <f t="shared" si="31"/>
        <v>0</v>
      </c>
      <c r="AW67" s="56">
        <f t="shared" si="32"/>
        <v>0</v>
      </c>
      <c r="AX67" s="26">
        <f t="shared" si="54"/>
        <v>0</v>
      </c>
      <c r="AY67" s="26">
        <f t="shared" si="54"/>
        <v>0</v>
      </c>
      <c r="AZ67" s="57">
        <f t="shared" si="34"/>
        <v>0</v>
      </c>
      <c r="BB67" s="56">
        <f t="shared" si="35"/>
        <v>0</v>
      </c>
      <c r="BC67" s="26">
        <f t="shared" si="36"/>
        <v>0</v>
      </c>
      <c r="BD67" s="26">
        <f t="shared" si="50"/>
        <v>0</v>
      </c>
      <c r="BE67" s="57">
        <f t="shared" si="37"/>
        <v>0</v>
      </c>
      <c r="BG67" s="56">
        <f t="shared" si="38"/>
        <v>0</v>
      </c>
      <c r="BH67" s="26">
        <f t="shared" si="55"/>
        <v>0</v>
      </c>
      <c r="BI67" s="26">
        <f t="shared" si="55"/>
        <v>0</v>
      </c>
      <c r="BJ67" s="57">
        <f t="shared" si="40"/>
        <v>0</v>
      </c>
      <c r="BL67" s="56">
        <f t="shared" si="41"/>
        <v>0</v>
      </c>
      <c r="BM67" s="26">
        <f t="shared" si="56"/>
        <v>0</v>
      </c>
      <c r="BN67" s="26">
        <f t="shared" si="56"/>
        <v>0</v>
      </c>
      <c r="BO67" s="57">
        <f t="shared" si="43"/>
        <v>0</v>
      </c>
      <c r="BQ67" s="56">
        <f t="shared" si="44"/>
        <v>0</v>
      </c>
      <c r="BR67" s="26">
        <f t="shared" si="57"/>
        <v>0</v>
      </c>
      <c r="BS67" s="26">
        <f t="shared" si="57"/>
        <v>0</v>
      </c>
      <c r="BT67" s="57">
        <f t="shared" si="46"/>
        <v>0</v>
      </c>
      <c r="BV67" s="52" t="e">
        <f>OR(Production!C67,Construction!N67:'Construction'!AF67,Construction!BV67:CN67,Explore!S67:Z67,Military!AF67:AL67,Military!X67,Military!BE67:BL67,Rezone!L67:R67,Magic!G67:Q67)</f>
        <v>#VALUE!</v>
      </c>
      <c r="BW67" s="527">
        <f t="shared" si="47"/>
        <v>0</v>
      </c>
      <c r="BX67" s="527"/>
      <c r="BY67" s="557">
        <f t="shared" si="51"/>
        <v>43694.666666666511</v>
      </c>
      <c r="BZ67" s="565">
        <f t="shared" si="48"/>
        <v>43694.499999999847</v>
      </c>
      <c r="CA67" s="529"/>
      <c r="CB67" s="807"/>
      <c r="CC67" s="812"/>
    </row>
    <row r="68" spans="1:84" s="16" customFormat="1">
      <c r="A68" s="513">
        <f>Construction!E68</f>
        <v>1000</v>
      </c>
      <c r="C68" s="56">
        <f ca="1">Production!H68</f>
        <v>3639826</v>
      </c>
      <c r="D68" s="26">
        <f ca="1">Production!J68</f>
        <v>277264</v>
      </c>
      <c r="E68" s="26">
        <f ca="1">Production!L68</f>
        <v>231000</v>
      </c>
      <c r="F68" s="57">
        <f ca="1">Production!M68</f>
        <v>20000</v>
      </c>
      <c r="G68" s="26"/>
      <c r="H68" s="56">
        <f ca="1">Military!Z68</f>
        <v>3695</v>
      </c>
      <c r="I68" s="540">
        <f ca="1">Population!I68</f>
        <v>1</v>
      </c>
      <c r="J68" s="165">
        <f ca="1">Population!F68/Population!U68</f>
        <v>1</v>
      </c>
      <c r="K68" s="1005">
        <f>Rezone!J68</f>
        <v>66</v>
      </c>
      <c r="L68" s="584">
        <f t="shared" si="49"/>
        <v>43694.708333333176</v>
      </c>
      <c r="M68" s="316">
        <f t="shared" si="26"/>
        <v>0</v>
      </c>
      <c r="N68" s="641">
        <f t="shared" ref="N68:N131" si="58">A68</f>
        <v>1000</v>
      </c>
      <c r="O68" s="423" t="s">
        <v>4</v>
      </c>
      <c r="P68" s="370"/>
      <c r="Q68" s="424" t="s">
        <v>223</v>
      </c>
      <c r="R68" s="423" t="s">
        <v>7</v>
      </c>
      <c r="S68" s="370"/>
      <c r="T68" s="425" t="s">
        <v>223</v>
      </c>
      <c r="U68" s="424" t="s">
        <v>3</v>
      </c>
      <c r="V68" s="370"/>
      <c r="W68" s="425" t="s">
        <v>223</v>
      </c>
      <c r="Y68" s="524">
        <f ca="1">science_cap*(1-EXP(-AF68/(science_param*($A69-Explore!$S69*20)+15000)))*(1+(mason_bonus*Construction!BB68/Construction!BS68))+IF(Overview!$B$14="Beastfolk",Construction!DA68/Construction!E68,0)*(1 + Production!O68/100*prestige_pop_multiplier)</f>
        <v>0</v>
      </c>
      <c r="Z68" s="284">
        <f ca="1">keep_cap*(1-EXP(-AG68/(keep_param*($A69-Explore!$S69*20)+15000)))*(1+(mason_bonus*Construction!BB68/Construction!BS68))+IF(Overview!$B$14="Beastfolk",Construction!DF68/Construction!E68,0)*(1 + Production!O68/100*prestige_pop_multiplier)</f>
        <v>0</v>
      </c>
      <c r="AA68" s="284">
        <f ca="1">harbor_towers_cap*(1-EXP(-AH68/(harbor_towers_param*($A69-Explore!$S69*20)+15000)))*(1+(mason_bonus*Construction!BB68/Construction!BS68))+IF(Overview!$B$14="Beastfolk",2*Construction!DC68/Construction!E68,0)*(1 + Production!O68/100*prestige_pop_multiplier)</f>
        <v>0</v>
      </c>
      <c r="AB68" s="284">
        <f ca="1">walls_forges_cap*(1-EXP(-AI68/(walls_forges_param*($A69-Explore!$S69*20)+15000)))*(1+(mason_bonus*Construction!BB68/Construction!BS68))+IF(Overview!$B$14="Beastfolk",0.2*Construction!CY68/Construction!E68,0)</f>
        <v>0</v>
      </c>
      <c r="AC68" s="284">
        <f ca="1">walls_forges_cap*(1-EXP(-AJ68/(walls_forges_param*($A69-Explore!$S69*20)+15000)))*(1+(mason_bonus*Construction!BB68/Construction!BS68))+IF(Overview!$B$14="Beastfolk",5*Construction!DB68/Construction!E68,0)</f>
        <v>0</v>
      </c>
      <c r="AD68" s="97">
        <f ca="1">harbor_towers_cap*(1-EXP(-AK68/(harbor_towers_param*($A69-Explore!$S69*20)+15000)))*(1+(mason_bonus*Construction!BB68/Construction!BS68))+IF(Overview!$B$14="Beastfolk",Construction!DE68/Construction!E68)*(1 + Production!O68/100*prestige_pop_multiplier)</f>
        <v>0</v>
      </c>
      <c r="AF68" s="56">
        <f ca="1">(1+Overview!$O$28+IF(Magic!BA68&gt;0,0.1,0))*SUM(AR68:AU68)</f>
        <v>0</v>
      </c>
      <c r="AG68" s="26">
        <f ca="1">(1+Overview!$O$28+IF(Magic!BA68&gt;0,0.1,0))*SUM(AW68:AZ68)</f>
        <v>0</v>
      </c>
      <c r="AH68" s="164">
        <f ca="1">(1+Overview!$O$28+IF(Magic!BA68&gt;0,0.1,0))*SUM(BB68:BE68)</f>
        <v>0</v>
      </c>
      <c r="AI68" s="164">
        <f ca="1">(1+Overview!$O$28+IF(Magic!BA68&gt;0,0.1,0))*SUM(BG68:BJ68)</f>
        <v>0</v>
      </c>
      <c r="AJ68" s="164">
        <f ca="1">(1+Overview!$O$28+IF(Magic!BA68&gt;0,0.1,0))*SUM(BL68:BO68)</f>
        <v>0</v>
      </c>
      <c r="AK68" s="166">
        <f ca="1">(1+Overview!$O$28+IF(Magic!BA68&gt;0,0.1,0))*SUM(BQ68:BT68)</f>
        <v>0</v>
      </c>
      <c r="AM68" s="52">
        <f t="shared" si="52"/>
        <v>0</v>
      </c>
      <c r="AN68" s="16">
        <f t="shared" si="52"/>
        <v>0</v>
      </c>
      <c r="AO68" s="16">
        <f t="shared" si="52"/>
        <v>0</v>
      </c>
      <c r="AP68" s="53">
        <f t="shared" si="52"/>
        <v>0</v>
      </c>
      <c r="AR68" s="56">
        <f t="shared" ref="AR68:AR131" si="59">IF($O68=AR$2,IF($Q68=$Y$2,$P68)) + IF($R68=AR$2,IF($T68=$Y$2,$S68)) + IF($U68=AR$2,IF($W68=$Y$2,$V68))</f>
        <v>0</v>
      </c>
      <c r="AS68" s="26">
        <f t="shared" si="53"/>
        <v>0</v>
      </c>
      <c r="AT68" s="26">
        <f t="shared" si="53"/>
        <v>0</v>
      </c>
      <c r="AU68" s="57">
        <f t="shared" ref="AU68:AU131" si="60">IF($O68=AU$2,IF($Q68=$Y$2,12*$P68)) + IF($R68=AU$2,IF($T68=$Y$2,12*$S68)) + IF($U68=AU$2,IF($W68=$Y$2,12*$V68))</f>
        <v>0</v>
      </c>
      <c r="AW68" s="56">
        <f t="shared" ref="AW68:AW131" si="61">IF($O68=AW$2,IF($Q68=$Z$2,$P68)) + IF($R68=AW$2,IF($T68=$Z$2,$S68)) + IF($U68=AW$2,IF($W68=$Z$2,$V68))</f>
        <v>0</v>
      </c>
      <c r="AX68" s="26">
        <f t="shared" si="54"/>
        <v>0</v>
      </c>
      <c r="AY68" s="26">
        <f t="shared" si="54"/>
        <v>0</v>
      </c>
      <c r="AZ68" s="57">
        <f t="shared" ref="AZ68:AZ131" si="62">IF($O68=AZ$2,IF($Q68=$Z$2,12*$P68)) + IF($R68=AZ$2,IF($T68=$Z$2,12*$S68)) + IF($U68=AZ$2,IF($W68=$Z$2,12*$V68))</f>
        <v>0</v>
      </c>
      <c r="BB68" s="56">
        <f t="shared" ref="BB68:BB131" si="63">IF($O68=BB$2,IF($Q68=$AA$2,$P68)) + IF($R68=BB$2,IF($T68=$AA$2,$S68)) + IF($U68=BB$2,IF($W68=$AA$2,$V68))</f>
        <v>0</v>
      </c>
      <c r="BC68" s="26">
        <f t="shared" ref="BC68:BC131" si="64">IF($O68=BC$2,IF($Q68=$AA$2,2*$P68)) + IF($R68=BC$2,IF($T68=$AA$2,2*$S68)) + IF($U68=BC$2,IF($W68=$AA$2,2*$V68))</f>
        <v>0</v>
      </c>
      <c r="BD68" s="26">
        <f t="shared" si="50"/>
        <v>0</v>
      </c>
      <c r="BE68" s="57">
        <f t="shared" ref="BE68:BE131" si="65">IF($O68=BE$2,IF($Q68=$AA$2,12*$P68)) + IF($R68=BE$2,IF($T68=$AA$2,12*$S68)) + IF($U68=BE$2,IF($W68=$AA$2,12*$V68))</f>
        <v>0</v>
      </c>
      <c r="BG68" s="56">
        <f t="shared" ref="BG68:BG131" si="66">IF($O68=BG$2,IF($Q68=$AB$2,$P68)) + IF($R68=BG$2,IF($T68=$AB$2,$S68)) + IF($U68=BG$2,IF($W68=$AB$2,$V68))</f>
        <v>0</v>
      </c>
      <c r="BH68" s="26">
        <f t="shared" si="55"/>
        <v>0</v>
      </c>
      <c r="BI68" s="26">
        <f t="shared" si="55"/>
        <v>0</v>
      </c>
      <c r="BJ68" s="57">
        <f t="shared" ref="BJ68:BJ131" si="67">IF($O68=BJ$2,IF($Q68=$AB$2,12*$P68)) + IF($R68=BJ$2,IF($T68=$AB$2,12*$S68)) + IF($U68=BJ$2,IF($W68=$AB$2,12*$V68))</f>
        <v>0</v>
      </c>
      <c r="BL68" s="56">
        <f t="shared" ref="BL68:BL131" si="68">IF($O68=BL$2,IF($Q68=$AC$2,$P68)) + IF($R68=BL$2,IF($T68=$AC$2,$S68)) + IF($U68=BL$2,IF($W68=$AC$2,$V68))</f>
        <v>0</v>
      </c>
      <c r="BM68" s="26">
        <f t="shared" si="56"/>
        <v>0</v>
      </c>
      <c r="BN68" s="26">
        <f t="shared" si="56"/>
        <v>0</v>
      </c>
      <c r="BO68" s="57">
        <f t="shared" ref="BO68:BO131" si="69">IF($O68=BO$2,IF($Q68=$AC$2,12*$P68)) + IF($R68=BO$2,IF($T68=$AC$2,12*$S68)) + IF($U68=BO$2,IF($W68=$AC$2,12*$V68))</f>
        <v>0</v>
      </c>
      <c r="BQ68" s="56">
        <f t="shared" ref="BQ68:BQ131" si="70">IF($O68=BQ$2,IF($Q68=$AD$2,$P68)) + IF($R68=BQ$2,IF($T68=$AD$2,$S68)) + IF($U68=BQ$2,IF($W68=$AD$2,$V68))</f>
        <v>0</v>
      </c>
      <c r="BR68" s="26">
        <f t="shared" si="57"/>
        <v>0</v>
      </c>
      <c r="BS68" s="26">
        <f t="shared" si="57"/>
        <v>0</v>
      </c>
      <c r="BT68" s="57">
        <f t="shared" ref="BT68:BT131" si="71">IF($O68=BT$2,IF($Q68=$AD$2,12*$P68)) + IF($R68=BT$2,IF($T68=$AD$2,12*$S68)) + IF($U68=BT$2,IF($W68=$AD$2,12*$V68))</f>
        <v>0</v>
      </c>
      <c r="BV68" s="52" t="e">
        <f>OR(Production!C68,Construction!N68:'Construction'!AF68,Construction!BV68:CN68,Explore!S68:Z68,Military!AF68:AL68,Military!X68,Military!BE68:BL68,Rezone!L68:R68,Magic!G68:Q68)</f>
        <v>#VALUE!</v>
      </c>
      <c r="BW68" s="527">
        <f t="shared" ref="BW68:BW131" si="72">M68</f>
        <v>0</v>
      </c>
      <c r="BX68" s="527"/>
      <c r="BY68" s="557">
        <f t="shared" si="51"/>
        <v>43694.708333333176</v>
      </c>
      <c r="BZ68" s="565">
        <f t="shared" si="48"/>
        <v>43694.541666666511</v>
      </c>
      <c r="CA68" s="529"/>
      <c r="CB68" s="807"/>
      <c r="CC68" s="812"/>
    </row>
    <row r="69" spans="1:84" s="16" customFormat="1">
      <c r="A69" s="513">
        <f>Construction!E69</f>
        <v>1000</v>
      </c>
      <c r="C69" s="56">
        <f ca="1">Production!H69</f>
        <v>3650477</v>
      </c>
      <c r="D69" s="26">
        <f ca="1">Production!J69</f>
        <v>276991</v>
      </c>
      <c r="E69" s="26">
        <f ca="1">Production!L69</f>
        <v>231000</v>
      </c>
      <c r="F69" s="57">
        <f ca="1">Production!M69</f>
        <v>20000</v>
      </c>
      <c r="G69" s="26"/>
      <c r="H69" s="56">
        <f ca="1">Military!Z69</f>
        <v>3695</v>
      </c>
      <c r="I69" s="540">
        <f ca="1">Population!I69</f>
        <v>1</v>
      </c>
      <c r="J69" s="165">
        <f ca="1">Population!F69/Population!U69</f>
        <v>1</v>
      </c>
      <c r="K69" s="1005">
        <f>Rezone!J69</f>
        <v>67</v>
      </c>
      <c r="L69" s="584">
        <f t="shared" si="49"/>
        <v>43694.74999999984</v>
      </c>
      <c r="M69" s="316">
        <f t="shared" si="26"/>
        <v>0</v>
      </c>
      <c r="N69" s="641">
        <f t="shared" si="58"/>
        <v>1000</v>
      </c>
      <c r="O69" s="423" t="s">
        <v>4</v>
      </c>
      <c r="P69" s="370"/>
      <c r="Q69" s="424" t="s">
        <v>223</v>
      </c>
      <c r="R69" s="423" t="s">
        <v>7</v>
      </c>
      <c r="S69" s="370"/>
      <c r="T69" s="425" t="s">
        <v>223</v>
      </c>
      <c r="U69" s="424" t="s">
        <v>3</v>
      </c>
      <c r="V69" s="370"/>
      <c r="W69" s="425" t="s">
        <v>223</v>
      </c>
      <c r="Y69" s="524">
        <f ca="1">science_cap*(1-EXP(-AF69/(science_param*($A70-Explore!$S70*20)+15000)))*(1+(mason_bonus*Construction!BB69/Construction!BS69))+IF(Overview!$B$14="Beastfolk",Construction!DA69/Construction!E69,0)*(1 + Production!O69/100*prestige_pop_multiplier)</f>
        <v>0</v>
      </c>
      <c r="Z69" s="284">
        <f ca="1">keep_cap*(1-EXP(-AG69/(keep_param*($A70-Explore!$S70*20)+15000)))*(1+(mason_bonus*Construction!BB69/Construction!BS69))+IF(Overview!$B$14="Beastfolk",Construction!DF69/Construction!E69,0)*(1 + Production!O69/100*prestige_pop_multiplier)</f>
        <v>0</v>
      </c>
      <c r="AA69" s="284">
        <f ca="1">harbor_towers_cap*(1-EXP(-AH69/(harbor_towers_param*($A70-Explore!$S70*20)+15000)))*(1+(mason_bonus*Construction!BB69/Construction!BS69))+IF(Overview!$B$14="Beastfolk",2*Construction!DC69/Construction!E69,0)*(1 + Production!O69/100*prestige_pop_multiplier)</f>
        <v>0</v>
      </c>
      <c r="AB69" s="284">
        <f ca="1">walls_forges_cap*(1-EXP(-AI69/(walls_forges_param*($A70-Explore!$S70*20)+15000)))*(1+(mason_bonus*Construction!BB69/Construction!BS69))+IF(Overview!$B$14="Beastfolk",0.2*Construction!CY69/Construction!E69,0)</f>
        <v>0</v>
      </c>
      <c r="AC69" s="284">
        <f ca="1">walls_forges_cap*(1-EXP(-AJ69/(walls_forges_param*($A70-Explore!$S70*20)+15000)))*(1+(mason_bonus*Construction!BB69/Construction!BS69))+IF(Overview!$B$14="Beastfolk",5*Construction!DB69/Construction!E69,0)</f>
        <v>0</v>
      </c>
      <c r="AD69" s="97">
        <f ca="1">harbor_towers_cap*(1-EXP(-AK69/(harbor_towers_param*($A70-Explore!$S70*20)+15000)))*(1+(mason_bonus*Construction!BB69/Construction!BS69))+IF(Overview!$B$14="Beastfolk",Construction!DE69/Construction!E69)*(1 + Production!O69/100*prestige_pop_multiplier)</f>
        <v>0</v>
      </c>
      <c r="AF69" s="56">
        <f ca="1">(1+Overview!$O$28+IF(Magic!BA69&gt;0,0.1,0))*SUM(AR69:AU69)</f>
        <v>0</v>
      </c>
      <c r="AG69" s="26">
        <f ca="1">(1+Overview!$O$28+IF(Magic!BA69&gt;0,0.1,0))*SUM(AW69:AZ69)</f>
        <v>0</v>
      </c>
      <c r="AH69" s="164">
        <f ca="1">(1+Overview!$O$28+IF(Magic!BA69&gt;0,0.1,0))*SUM(BB69:BE69)</f>
        <v>0</v>
      </c>
      <c r="AI69" s="164">
        <f ca="1">(1+Overview!$O$28+IF(Magic!BA69&gt;0,0.1,0))*SUM(BG69:BJ69)</f>
        <v>0</v>
      </c>
      <c r="AJ69" s="164">
        <f ca="1">(1+Overview!$O$28+IF(Magic!BA69&gt;0,0.1,0))*SUM(BL69:BO69)</f>
        <v>0</v>
      </c>
      <c r="AK69" s="166">
        <f ca="1">(1+Overview!$O$28+IF(Magic!BA69&gt;0,0.1,0))*SUM(BQ69:BT69)</f>
        <v>0</v>
      </c>
      <c r="AM69" s="52">
        <f t="shared" si="52"/>
        <v>0</v>
      </c>
      <c r="AN69" s="16">
        <f t="shared" si="52"/>
        <v>0</v>
      </c>
      <c r="AO69" s="16">
        <f t="shared" si="52"/>
        <v>0</v>
      </c>
      <c r="AP69" s="53">
        <f t="shared" si="52"/>
        <v>0</v>
      </c>
      <c r="AR69" s="56">
        <f t="shared" si="59"/>
        <v>0</v>
      </c>
      <c r="AS69" s="26">
        <f t="shared" si="53"/>
        <v>0</v>
      </c>
      <c r="AT69" s="26">
        <f t="shared" si="53"/>
        <v>0</v>
      </c>
      <c r="AU69" s="57">
        <f t="shared" si="60"/>
        <v>0</v>
      </c>
      <c r="AW69" s="56">
        <f t="shared" si="61"/>
        <v>0</v>
      </c>
      <c r="AX69" s="26">
        <f t="shared" si="54"/>
        <v>0</v>
      </c>
      <c r="AY69" s="26">
        <f t="shared" si="54"/>
        <v>0</v>
      </c>
      <c r="AZ69" s="57">
        <f t="shared" si="62"/>
        <v>0</v>
      </c>
      <c r="BB69" s="56">
        <f t="shared" si="63"/>
        <v>0</v>
      </c>
      <c r="BC69" s="26">
        <f t="shared" si="64"/>
        <v>0</v>
      </c>
      <c r="BD69" s="26">
        <f t="shared" si="50"/>
        <v>0</v>
      </c>
      <c r="BE69" s="57">
        <f t="shared" si="65"/>
        <v>0</v>
      </c>
      <c r="BG69" s="56">
        <f t="shared" si="66"/>
        <v>0</v>
      </c>
      <c r="BH69" s="26">
        <f t="shared" si="55"/>
        <v>0</v>
      </c>
      <c r="BI69" s="26">
        <f t="shared" si="55"/>
        <v>0</v>
      </c>
      <c r="BJ69" s="57">
        <f t="shared" si="67"/>
        <v>0</v>
      </c>
      <c r="BL69" s="56">
        <f t="shared" si="68"/>
        <v>0</v>
      </c>
      <c r="BM69" s="26">
        <f t="shared" si="56"/>
        <v>0</v>
      </c>
      <c r="BN69" s="26">
        <f t="shared" si="56"/>
        <v>0</v>
      </c>
      <c r="BO69" s="57">
        <f t="shared" si="69"/>
        <v>0</v>
      </c>
      <c r="BQ69" s="56">
        <f t="shared" si="70"/>
        <v>0</v>
      </c>
      <c r="BR69" s="26">
        <f t="shared" si="57"/>
        <v>0</v>
      </c>
      <c r="BS69" s="26">
        <f t="shared" si="57"/>
        <v>0</v>
      </c>
      <c r="BT69" s="57">
        <f t="shared" si="71"/>
        <v>0</v>
      </c>
      <c r="BV69" s="52" t="e">
        <f>OR(Production!C69,Construction!N69:'Construction'!AF69,Construction!BV69:CN69,Explore!S69:Z69,Military!AF69:AL69,Military!X69,Military!BE69:BL69,Rezone!L69:R69,Magic!G69:Q69)</f>
        <v>#VALUE!</v>
      </c>
      <c r="BW69" s="527">
        <f t="shared" si="72"/>
        <v>0</v>
      </c>
      <c r="BX69" s="527"/>
      <c r="BY69" s="557">
        <f t="shared" ref="BY69:BY76" si="73">BY68+1/24</f>
        <v>43694.74999999984</v>
      </c>
      <c r="BZ69" s="565">
        <f t="shared" ref="BZ69:BZ132" si="74">BZ68+1/24</f>
        <v>43694.583333333176</v>
      </c>
      <c r="CA69" s="529"/>
      <c r="CB69" s="807"/>
      <c r="CC69" s="812"/>
    </row>
    <row r="70" spans="1:84" s="16" customFormat="1">
      <c r="A70" s="513">
        <f>Construction!E70</f>
        <v>1000</v>
      </c>
      <c r="C70" s="56">
        <f ca="1">Production!H70</f>
        <v>3661128</v>
      </c>
      <c r="D70" s="26">
        <f ca="1">Production!J70</f>
        <v>276721</v>
      </c>
      <c r="E70" s="26">
        <f ca="1">Production!L70</f>
        <v>231000</v>
      </c>
      <c r="F70" s="57">
        <f ca="1">Production!M70</f>
        <v>20000</v>
      </c>
      <c r="G70" s="26"/>
      <c r="H70" s="56">
        <f ca="1">Military!Z70</f>
        <v>3695</v>
      </c>
      <c r="I70" s="540">
        <f ca="1">Population!I70</f>
        <v>1</v>
      </c>
      <c r="J70" s="165">
        <f ca="1">Population!F70/Population!U70</f>
        <v>1</v>
      </c>
      <c r="K70" s="1005">
        <f>Rezone!J70</f>
        <v>68</v>
      </c>
      <c r="L70" s="584">
        <f t="shared" si="49"/>
        <v>43694.791666666504</v>
      </c>
      <c r="M70" s="316">
        <f t="shared" si="26"/>
        <v>0</v>
      </c>
      <c r="N70" s="641">
        <f t="shared" si="58"/>
        <v>1000</v>
      </c>
      <c r="O70" s="423" t="s">
        <v>4</v>
      </c>
      <c r="P70" s="370"/>
      <c r="Q70" s="424" t="s">
        <v>223</v>
      </c>
      <c r="R70" s="423" t="s">
        <v>7</v>
      </c>
      <c r="S70" s="370"/>
      <c r="T70" s="425" t="s">
        <v>223</v>
      </c>
      <c r="U70" s="424" t="s">
        <v>3</v>
      </c>
      <c r="V70" s="370"/>
      <c r="W70" s="425" t="s">
        <v>223</v>
      </c>
      <c r="Y70" s="524">
        <f ca="1">science_cap*(1-EXP(-AF70/(science_param*($A71-Explore!$S71*20)+15000)))*(1+(mason_bonus*Construction!BB70/Construction!BS70))+IF(Overview!$B$14="Beastfolk",Construction!DA70/Construction!E70,0)*(1 + Production!O70/100*prestige_pop_multiplier)</f>
        <v>0</v>
      </c>
      <c r="Z70" s="284">
        <f ca="1">keep_cap*(1-EXP(-AG70/(keep_param*($A71-Explore!$S71*20)+15000)))*(1+(mason_bonus*Construction!BB70/Construction!BS70))+IF(Overview!$B$14="Beastfolk",Construction!DF70/Construction!E70,0)*(1 + Production!O70/100*prestige_pop_multiplier)</f>
        <v>0</v>
      </c>
      <c r="AA70" s="284">
        <f ca="1">harbor_towers_cap*(1-EXP(-AH70/(harbor_towers_param*($A71-Explore!$S71*20)+15000)))*(1+(mason_bonus*Construction!BB70/Construction!BS70))+IF(Overview!$B$14="Beastfolk",2*Construction!DC70/Construction!E70,0)*(1 + Production!O70/100*prestige_pop_multiplier)</f>
        <v>0</v>
      </c>
      <c r="AB70" s="284">
        <f ca="1">walls_forges_cap*(1-EXP(-AI70/(walls_forges_param*($A71-Explore!$S71*20)+15000)))*(1+(mason_bonus*Construction!BB70/Construction!BS70))+IF(Overview!$B$14="Beastfolk",0.2*Construction!CY70/Construction!E70,0)</f>
        <v>0</v>
      </c>
      <c r="AC70" s="284">
        <f ca="1">walls_forges_cap*(1-EXP(-AJ70/(walls_forges_param*($A71-Explore!$S71*20)+15000)))*(1+(mason_bonus*Construction!BB70/Construction!BS70))+IF(Overview!$B$14="Beastfolk",5*Construction!DB70/Construction!E70,0)</f>
        <v>0</v>
      </c>
      <c r="AD70" s="97">
        <f ca="1">harbor_towers_cap*(1-EXP(-AK70/(harbor_towers_param*($A71-Explore!$S71*20)+15000)))*(1+(mason_bonus*Construction!BB70/Construction!BS70))+IF(Overview!$B$14="Beastfolk",Construction!DE70/Construction!E70)*(1 + Production!O70/100*prestige_pop_multiplier)</f>
        <v>0</v>
      </c>
      <c r="AF70" s="56">
        <f ca="1">(1+Overview!$O$28+IF(Magic!BA70&gt;0,0.1,0))*SUM(AR70:AU70)</f>
        <v>0</v>
      </c>
      <c r="AG70" s="26">
        <f ca="1">(1+Overview!$O$28+IF(Magic!BA70&gt;0,0.1,0))*SUM(AW70:AZ70)</f>
        <v>0</v>
      </c>
      <c r="AH70" s="164">
        <f ca="1">(1+Overview!$O$28+IF(Magic!BA70&gt;0,0.1,0))*SUM(BB70:BE70)</f>
        <v>0</v>
      </c>
      <c r="AI70" s="164">
        <f ca="1">(1+Overview!$O$28+IF(Magic!BA70&gt;0,0.1,0))*SUM(BG70:BJ70)</f>
        <v>0</v>
      </c>
      <c r="AJ70" s="164">
        <f ca="1">(1+Overview!$O$28+IF(Magic!BA70&gt;0,0.1,0))*SUM(BL70:BO70)</f>
        <v>0</v>
      </c>
      <c r="AK70" s="166">
        <f ca="1">(1+Overview!$O$28+IF(Magic!BA70&gt;0,0.1,0))*SUM(BQ70:BT70)</f>
        <v>0</v>
      </c>
      <c r="AM70" s="52">
        <f t="shared" si="52"/>
        <v>0</v>
      </c>
      <c r="AN70" s="16">
        <f t="shared" si="52"/>
        <v>0</v>
      </c>
      <c r="AO70" s="16">
        <f t="shared" si="52"/>
        <v>0</v>
      </c>
      <c r="AP70" s="53">
        <f t="shared" si="52"/>
        <v>0</v>
      </c>
      <c r="AR70" s="56">
        <f t="shared" si="59"/>
        <v>0</v>
      </c>
      <c r="AS70" s="26">
        <f t="shared" si="53"/>
        <v>0</v>
      </c>
      <c r="AT70" s="26">
        <f t="shared" si="53"/>
        <v>0</v>
      </c>
      <c r="AU70" s="57">
        <f t="shared" si="60"/>
        <v>0</v>
      </c>
      <c r="AW70" s="56">
        <f t="shared" si="61"/>
        <v>0</v>
      </c>
      <c r="AX70" s="26">
        <f t="shared" si="54"/>
        <v>0</v>
      </c>
      <c r="AY70" s="26">
        <f t="shared" si="54"/>
        <v>0</v>
      </c>
      <c r="AZ70" s="57">
        <f t="shared" si="62"/>
        <v>0</v>
      </c>
      <c r="BB70" s="56">
        <f t="shared" si="63"/>
        <v>0</v>
      </c>
      <c r="BC70" s="26">
        <f t="shared" si="64"/>
        <v>0</v>
      </c>
      <c r="BD70" s="26">
        <f t="shared" si="50"/>
        <v>0</v>
      </c>
      <c r="BE70" s="57">
        <f t="shared" si="65"/>
        <v>0</v>
      </c>
      <c r="BG70" s="56">
        <f t="shared" si="66"/>
        <v>0</v>
      </c>
      <c r="BH70" s="26">
        <f t="shared" si="55"/>
        <v>0</v>
      </c>
      <c r="BI70" s="26">
        <f t="shared" si="55"/>
        <v>0</v>
      </c>
      <c r="BJ70" s="57">
        <f t="shared" si="67"/>
        <v>0</v>
      </c>
      <c r="BL70" s="56">
        <f t="shared" si="68"/>
        <v>0</v>
      </c>
      <c r="BM70" s="26">
        <f t="shared" si="56"/>
        <v>0</v>
      </c>
      <c r="BN70" s="26">
        <f t="shared" si="56"/>
        <v>0</v>
      </c>
      <c r="BO70" s="57">
        <f t="shared" si="69"/>
        <v>0</v>
      </c>
      <c r="BQ70" s="56">
        <f t="shared" si="70"/>
        <v>0</v>
      </c>
      <c r="BR70" s="26">
        <f t="shared" si="57"/>
        <v>0</v>
      </c>
      <c r="BS70" s="26">
        <f t="shared" si="57"/>
        <v>0</v>
      </c>
      <c r="BT70" s="57">
        <f t="shared" si="71"/>
        <v>0</v>
      </c>
      <c r="BV70" s="52" t="e">
        <f>OR(Production!C70,Construction!N70:'Construction'!AF70,Construction!BV70:CN70,Explore!S70:Z70,Military!AF70:AL70,Military!X70,Military!BE70:BL70,Rezone!L70:R70,Magic!G70:Q70)</f>
        <v>#VALUE!</v>
      </c>
      <c r="BW70" s="527">
        <f t="shared" si="72"/>
        <v>0</v>
      </c>
      <c r="BX70" s="527"/>
      <c r="BY70" s="557">
        <f t="shared" si="73"/>
        <v>43694.791666666504</v>
      </c>
      <c r="BZ70" s="565">
        <f t="shared" si="74"/>
        <v>43694.62499999984</v>
      </c>
      <c r="CA70" s="529"/>
      <c r="CB70" s="807"/>
      <c r="CC70" s="812"/>
    </row>
    <row r="71" spans="1:84" s="16" customFormat="1">
      <c r="A71" s="513">
        <f>Construction!E71</f>
        <v>1000</v>
      </c>
      <c r="C71" s="56">
        <f ca="1">Production!H71</f>
        <v>3671779</v>
      </c>
      <c r="D71" s="26">
        <f ca="1">Production!J71</f>
        <v>276454</v>
      </c>
      <c r="E71" s="26">
        <f ca="1">Production!L71</f>
        <v>231000</v>
      </c>
      <c r="F71" s="57">
        <f ca="1">Production!M71</f>
        <v>20000</v>
      </c>
      <c r="G71" s="26"/>
      <c r="H71" s="56">
        <f ca="1">Military!Z71</f>
        <v>3695</v>
      </c>
      <c r="I71" s="540">
        <f ca="1">Population!I71</f>
        <v>1</v>
      </c>
      <c r="J71" s="165">
        <f ca="1">Population!F71/Population!U71</f>
        <v>1</v>
      </c>
      <c r="K71" s="1005">
        <f>Rezone!J71</f>
        <v>69</v>
      </c>
      <c r="L71" s="584">
        <f t="shared" si="49"/>
        <v>43694.833333333168</v>
      </c>
      <c r="M71" s="316">
        <f t="shared" si="26"/>
        <v>0</v>
      </c>
      <c r="N71" s="641">
        <f t="shared" si="58"/>
        <v>1000</v>
      </c>
      <c r="O71" s="423" t="s">
        <v>4</v>
      </c>
      <c r="P71" s="370"/>
      <c r="Q71" s="424" t="s">
        <v>223</v>
      </c>
      <c r="R71" s="423" t="s">
        <v>7</v>
      </c>
      <c r="S71" s="370"/>
      <c r="T71" s="425" t="s">
        <v>223</v>
      </c>
      <c r="U71" s="424" t="s">
        <v>3</v>
      </c>
      <c r="V71" s="370"/>
      <c r="W71" s="425" t="s">
        <v>223</v>
      </c>
      <c r="Y71" s="524">
        <f ca="1">science_cap*(1-EXP(-AF71/(science_param*($A72-Explore!$S72*20)+15000)))*(1+(mason_bonus*Construction!BB71/Construction!BS71))+IF(Overview!$B$14="Beastfolk",Construction!DA71/Construction!E71,0)*(1 + Production!O71/100*prestige_pop_multiplier)</f>
        <v>0</v>
      </c>
      <c r="Z71" s="284">
        <f ca="1">keep_cap*(1-EXP(-AG71/(keep_param*($A72-Explore!$S72*20)+15000)))*(1+(mason_bonus*Construction!BB71/Construction!BS71))+IF(Overview!$B$14="Beastfolk",Construction!DF71/Construction!E71,0)*(1 + Production!O71/100*prestige_pop_multiplier)</f>
        <v>0</v>
      </c>
      <c r="AA71" s="284">
        <f ca="1">harbor_towers_cap*(1-EXP(-AH71/(harbor_towers_param*($A72-Explore!$S72*20)+15000)))*(1+(mason_bonus*Construction!BB71/Construction!BS71))+IF(Overview!$B$14="Beastfolk",2*Construction!DC71/Construction!E71,0)*(1 + Production!O71/100*prestige_pop_multiplier)</f>
        <v>0</v>
      </c>
      <c r="AB71" s="284">
        <f ca="1">walls_forges_cap*(1-EXP(-AI71/(walls_forges_param*($A72-Explore!$S72*20)+15000)))*(1+(mason_bonus*Construction!BB71/Construction!BS71))+IF(Overview!$B$14="Beastfolk",0.2*Construction!CY71/Construction!E71,0)</f>
        <v>0</v>
      </c>
      <c r="AC71" s="284">
        <f ca="1">walls_forges_cap*(1-EXP(-AJ71/(walls_forges_param*($A72-Explore!$S72*20)+15000)))*(1+(mason_bonus*Construction!BB71/Construction!BS71))+IF(Overview!$B$14="Beastfolk",5*Construction!DB71/Construction!E71,0)</f>
        <v>0</v>
      </c>
      <c r="AD71" s="97">
        <f ca="1">harbor_towers_cap*(1-EXP(-AK71/(harbor_towers_param*($A72-Explore!$S72*20)+15000)))*(1+(mason_bonus*Construction!BB71/Construction!BS71))+IF(Overview!$B$14="Beastfolk",Construction!DE71/Construction!E71)*(1 + Production!O71/100*prestige_pop_multiplier)</f>
        <v>0</v>
      </c>
      <c r="AF71" s="56">
        <f ca="1">(1+Overview!$O$28+IF(Magic!BA71&gt;0,0.1,0))*SUM(AR71:AU71)</f>
        <v>0</v>
      </c>
      <c r="AG71" s="26">
        <f ca="1">(1+Overview!$O$28+IF(Magic!BA71&gt;0,0.1,0))*SUM(AW71:AZ71)</f>
        <v>0</v>
      </c>
      <c r="AH71" s="164">
        <f ca="1">(1+Overview!$O$28+IF(Magic!BA71&gt;0,0.1,0))*SUM(BB71:BE71)</f>
        <v>0</v>
      </c>
      <c r="AI71" s="164">
        <f ca="1">(1+Overview!$O$28+IF(Magic!BA71&gt;0,0.1,0))*SUM(BG71:BJ71)</f>
        <v>0</v>
      </c>
      <c r="AJ71" s="164">
        <f ca="1">(1+Overview!$O$28+IF(Magic!BA71&gt;0,0.1,0))*SUM(BL71:BO71)</f>
        <v>0</v>
      </c>
      <c r="AK71" s="166">
        <f ca="1">(1+Overview!$O$28+IF(Magic!BA71&gt;0,0.1,0))*SUM(BQ71:BT71)</f>
        <v>0</v>
      </c>
      <c r="AM71" s="52">
        <f t="shared" si="52"/>
        <v>0</v>
      </c>
      <c r="AN71" s="16">
        <f t="shared" si="52"/>
        <v>0</v>
      </c>
      <c r="AO71" s="16">
        <f t="shared" si="52"/>
        <v>0</v>
      </c>
      <c r="AP71" s="53">
        <f t="shared" si="52"/>
        <v>0</v>
      </c>
      <c r="AR71" s="56">
        <f t="shared" si="59"/>
        <v>0</v>
      </c>
      <c r="AS71" s="26">
        <f t="shared" si="53"/>
        <v>0</v>
      </c>
      <c r="AT71" s="26">
        <f t="shared" si="53"/>
        <v>0</v>
      </c>
      <c r="AU71" s="57">
        <f t="shared" si="60"/>
        <v>0</v>
      </c>
      <c r="AW71" s="56">
        <f t="shared" si="61"/>
        <v>0</v>
      </c>
      <c r="AX71" s="26">
        <f t="shared" si="54"/>
        <v>0</v>
      </c>
      <c r="AY71" s="26">
        <f t="shared" si="54"/>
        <v>0</v>
      </c>
      <c r="AZ71" s="57">
        <f t="shared" si="62"/>
        <v>0</v>
      </c>
      <c r="BB71" s="56">
        <f t="shared" si="63"/>
        <v>0</v>
      </c>
      <c r="BC71" s="26">
        <f t="shared" si="64"/>
        <v>0</v>
      </c>
      <c r="BD71" s="26">
        <f t="shared" si="50"/>
        <v>0</v>
      </c>
      <c r="BE71" s="57">
        <f t="shared" si="65"/>
        <v>0</v>
      </c>
      <c r="BG71" s="56">
        <f t="shared" si="66"/>
        <v>0</v>
      </c>
      <c r="BH71" s="26">
        <f t="shared" si="55"/>
        <v>0</v>
      </c>
      <c r="BI71" s="26">
        <f t="shared" si="55"/>
        <v>0</v>
      </c>
      <c r="BJ71" s="57">
        <f t="shared" si="67"/>
        <v>0</v>
      </c>
      <c r="BL71" s="56">
        <f t="shared" si="68"/>
        <v>0</v>
      </c>
      <c r="BM71" s="26">
        <f t="shared" si="56"/>
        <v>0</v>
      </c>
      <c r="BN71" s="26">
        <f t="shared" si="56"/>
        <v>0</v>
      </c>
      <c r="BO71" s="57">
        <f t="shared" si="69"/>
        <v>0</v>
      </c>
      <c r="BQ71" s="56">
        <f t="shared" si="70"/>
        <v>0</v>
      </c>
      <c r="BR71" s="26">
        <f t="shared" si="57"/>
        <v>0</v>
      </c>
      <c r="BS71" s="26">
        <f t="shared" si="57"/>
        <v>0</v>
      </c>
      <c r="BT71" s="57">
        <f t="shared" si="71"/>
        <v>0</v>
      </c>
      <c r="BV71" s="52" t="e">
        <f>OR(Production!C71,Construction!N71:'Construction'!AF71,Construction!BV71:CN71,Explore!S71:Z71,Military!AF71:AL71,Military!X71,Military!BE71:BL71,Rezone!L71:R71,Magic!G71:Q71)</f>
        <v>#VALUE!</v>
      </c>
      <c r="BW71" s="527">
        <f t="shared" si="72"/>
        <v>0</v>
      </c>
      <c r="BX71" s="527"/>
      <c r="BY71" s="557">
        <f t="shared" si="73"/>
        <v>43694.833333333168</v>
      </c>
      <c r="BZ71" s="565">
        <f t="shared" si="74"/>
        <v>43694.666666666504</v>
      </c>
      <c r="CA71" s="529"/>
      <c r="CB71" s="807"/>
      <c r="CC71" s="812"/>
    </row>
    <row r="72" spans="1:84" s="16" customFormat="1">
      <c r="A72" s="513">
        <f>Construction!E72</f>
        <v>1000</v>
      </c>
      <c r="C72" s="56">
        <f ca="1">Production!H72</f>
        <v>3682430</v>
      </c>
      <c r="D72" s="26">
        <f ca="1">Production!J72</f>
        <v>276189</v>
      </c>
      <c r="E72" s="26">
        <f ca="1">Production!L72</f>
        <v>231000</v>
      </c>
      <c r="F72" s="57">
        <f ca="1">Production!M72</f>
        <v>20000</v>
      </c>
      <c r="G72" s="26"/>
      <c r="H72" s="56">
        <f ca="1">Military!Z72</f>
        <v>3695</v>
      </c>
      <c r="I72" s="540">
        <f ca="1">Population!I72</f>
        <v>1</v>
      </c>
      <c r="J72" s="165">
        <f ca="1">Population!F72/Population!U72</f>
        <v>1</v>
      </c>
      <c r="K72" s="1005">
        <f>Rezone!J72</f>
        <v>70</v>
      </c>
      <c r="L72" s="584">
        <f t="shared" si="49"/>
        <v>43694.874999999833</v>
      </c>
      <c r="M72" s="316">
        <f t="shared" si="26"/>
        <v>0</v>
      </c>
      <c r="N72" s="641">
        <f t="shared" si="58"/>
        <v>1000</v>
      </c>
      <c r="O72" s="423" t="s">
        <v>4</v>
      </c>
      <c r="P72" s="370"/>
      <c r="Q72" s="424" t="s">
        <v>223</v>
      </c>
      <c r="R72" s="423" t="s">
        <v>7</v>
      </c>
      <c r="S72" s="370"/>
      <c r="T72" s="425" t="s">
        <v>223</v>
      </c>
      <c r="U72" s="424" t="s">
        <v>3</v>
      </c>
      <c r="V72" s="370"/>
      <c r="W72" s="425" t="s">
        <v>223</v>
      </c>
      <c r="Y72" s="524">
        <f ca="1">science_cap*(1-EXP(-AF72/(science_param*($A73-Explore!$S73*20)+15000)))*(1+(mason_bonus*Construction!BB72/Construction!BS72))+IF(Overview!$B$14="Beastfolk",Construction!DA72/Construction!E72,0)*(1 + Production!O72/100*prestige_pop_multiplier)</f>
        <v>0</v>
      </c>
      <c r="Z72" s="284">
        <f ca="1">keep_cap*(1-EXP(-AG72/(keep_param*($A73-Explore!$S73*20)+15000)))*(1+(mason_bonus*Construction!BB72/Construction!BS72))+IF(Overview!$B$14="Beastfolk",Construction!DF72/Construction!E72,0)*(1 + Production!O72/100*prestige_pop_multiplier)</f>
        <v>0</v>
      </c>
      <c r="AA72" s="284">
        <f ca="1">harbor_towers_cap*(1-EXP(-AH72/(harbor_towers_param*($A73-Explore!$S73*20)+15000)))*(1+(mason_bonus*Construction!BB72/Construction!BS72))+IF(Overview!$B$14="Beastfolk",2*Construction!DC72/Construction!E72,0)*(1 + Production!O72/100*prestige_pop_multiplier)</f>
        <v>0</v>
      </c>
      <c r="AB72" s="284">
        <f ca="1">walls_forges_cap*(1-EXP(-AI72/(walls_forges_param*($A73-Explore!$S73*20)+15000)))*(1+(mason_bonus*Construction!BB72/Construction!BS72))+IF(Overview!$B$14="Beastfolk",0.2*Construction!CY72/Construction!E72,0)</f>
        <v>0</v>
      </c>
      <c r="AC72" s="284">
        <f ca="1">walls_forges_cap*(1-EXP(-AJ72/(walls_forges_param*($A73-Explore!$S73*20)+15000)))*(1+(mason_bonus*Construction!BB72/Construction!BS72))+IF(Overview!$B$14="Beastfolk",5*Construction!DB72/Construction!E72,0)</f>
        <v>0</v>
      </c>
      <c r="AD72" s="97">
        <f ca="1">harbor_towers_cap*(1-EXP(-AK72/(harbor_towers_param*($A73-Explore!$S73*20)+15000)))*(1+(mason_bonus*Construction!BB72/Construction!BS72))+IF(Overview!$B$14="Beastfolk",Construction!DE72/Construction!E72)*(1 + Production!O72/100*prestige_pop_multiplier)</f>
        <v>0</v>
      </c>
      <c r="AF72" s="56">
        <f ca="1">(1+Overview!$O$28+IF(Magic!BA72&gt;0,0.1,0))*SUM(AR72:AU72)</f>
        <v>0</v>
      </c>
      <c r="AG72" s="26">
        <f ca="1">(1+Overview!$O$28+IF(Magic!BA72&gt;0,0.1,0))*SUM(AW72:AZ72)</f>
        <v>0</v>
      </c>
      <c r="AH72" s="164">
        <f ca="1">(1+Overview!$O$28+IF(Magic!BA72&gt;0,0.1,0))*SUM(BB72:BE72)</f>
        <v>0</v>
      </c>
      <c r="AI72" s="164">
        <f ca="1">(1+Overview!$O$28+IF(Magic!BA72&gt;0,0.1,0))*SUM(BG72:BJ72)</f>
        <v>0</v>
      </c>
      <c r="AJ72" s="164">
        <f ca="1">(1+Overview!$O$28+IF(Magic!BA72&gt;0,0.1,0))*SUM(BL72:BO72)</f>
        <v>0</v>
      </c>
      <c r="AK72" s="166">
        <f ca="1">(1+Overview!$O$28+IF(Magic!BA72&gt;0,0.1,0))*SUM(BQ72:BT72)</f>
        <v>0</v>
      </c>
      <c r="AM72" s="52">
        <f t="shared" si="52"/>
        <v>0</v>
      </c>
      <c r="AN72" s="16">
        <f t="shared" si="52"/>
        <v>0</v>
      </c>
      <c r="AO72" s="16">
        <f t="shared" si="52"/>
        <v>0</v>
      </c>
      <c r="AP72" s="53">
        <f t="shared" si="52"/>
        <v>0</v>
      </c>
      <c r="AR72" s="56">
        <f t="shared" si="59"/>
        <v>0</v>
      </c>
      <c r="AS72" s="26">
        <f t="shared" si="53"/>
        <v>0</v>
      </c>
      <c r="AT72" s="26">
        <f t="shared" si="53"/>
        <v>0</v>
      </c>
      <c r="AU72" s="57">
        <f t="shared" si="60"/>
        <v>0</v>
      </c>
      <c r="AW72" s="56">
        <f t="shared" si="61"/>
        <v>0</v>
      </c>
      <c r="AX72" s="26">
        <f t="shared" si="54"/>
        <v>0</v>
      </c>
      <c r="AY72" s="26">
        <f t="shared" si="54"/>
        <v>0</v>
      </c>
      <c r="AZ72" s="57">
        <f t="shared" si="62"/>
        <v>0</v>
      </c>
      <c r="BB72" s="56">
        <f t="shared" si="63"/>
        <v>0</v>
      </c>
      <c r="BC72" s="26">
        <f t="shared" si="64"/>
        <v>0</v>
      </c>
      <c r="BD72" s="26">
        <f t="shared" si="50"/>
        <v>0</v>
      </c>
      <c r="BE72" s="57">
        <f t="shared" si="65"/>
        <v>0</v>
      </c>
      <c r="BG72" s="56">
        <f t="shared" si="66"/>
        <v>0</v>
      </c>
      <c r="BH72" s="26">
        <f t="shared" si="55"/>
        <v>0</v>
      </c>
      <c r="BI72" s="26">
        <f t="shared" si="55"/>
        <v>0</v>
      </c>
      <c r="BJ72" s="57">
        <f t="shared" si="67"/>
        <v>0</v>
      </c>
      <c r="BL72" s="56">
        <f t="shared" si="68"/>
        <v>0</v>
      </c>
      <c r="BM72" s="26">
        <f t="shared" si="56"/>
        <v>0</v>
      </c>
      <c r="BN72" s="26">
        <f t="shared" si="56"/>
        <v>0</v>
      </c>
      <c r="BO72" s="57">
        <f t="shared" si="69"/>
        <v>0</v>
      </c>
      <c r="BQ72" s="56">
        <f t="shared" si="70"/>
        <v>0</v>
      </c>
      <c r="BR72" s="26">
        <f t="shared" si="57"/>
        <v>0</v>
      </c>
      <c r="BS72" s="26">
        <f t="shared" si="57"/>
        <v>0</v>
      </c>
      <c r="BT72" s="57">
        <f t="shared" si="71"/>
        <v>0</v>
      </c>
      <c r="BV72" s="52" t="e">
        <f>OR(Production!C72,Construction!N72:'Construction'!AF72,Construction!BV72:CN72,Explore!S72:Z72,Military!AF72:AL72,Military!X72,Military!BE72:BL72,Rezone!L72:R72,Magic!G72:Q72)</f>
        <v>#VALUE!</v>
      </c>
      <c r="BW72" s="527">
        <f t="shared" si="72"/>
        <v>0</v>
      </c>
      <c r="BX72" s="527"/>
      <c r="BY72" s="557">
        <f t="shared" si="73"/>
        <v>43694.874999999833</v>
      </c>
      <c r="BZ72" s="565">
        <f t="shared" si="74"/>
        <v>43694.708333333168</v>
      </c>
      <c r="CA72" s="529"/>
      <c r="CB72" s="807"/>
      <c r="CC72" s="812"/>
    </row>
    <row r="73" spans="1:84" s="16" customFormat="1">
      <c r="A73" s="513">
        <f>Construction!E73</f>
        <v>1000</v>
      </c>
      <c r="C73" s="56">
        <f ca="1">Production!H73</f>
        <v>3693081</v>
      </c>
      <c r="D73" s="26">
        <f ca="1">Production!J73</f>
        <v>275927</v>
      </c>
      <c r="E73" s="26">
        <f ca="1">Production!L73</f>
        <v>231000</v>
      </c>
      <c r="F73" s="57">
        <f ca="1">Production!M73</f>
        <v>20000</v>
      </c>
      <c r="G73" s="26"/>
      <c r="H73" s="56">
        <f ca="1">Military!Z73</f>
        <v>3695</v>
      </c>
      <c r="I73" s="540">
        <f ca="1">Population!I73</f>
        <v>1</v>
      </c>
      <c r="J73" s="165">
        <f ca="1">Population!F73/Population!U73</f>
        <v>1</v>
      </c>
      <c r="K73" s="1005">
        <f>Rezone!J73</f>
        <v>71</v>
      </c>
      <c r="L73" s="584">
        <f t="shared" si="49"/>
        <v>43694.916666666497</v>
      </c>
      <c r="M73" s="316">
        <f t="shared" si="26"/>
        <v>0</v>
      </c>
      <c r="N73" s="641">
        <f t="shared" si="58"/>
        <v>1000</v>
      </c>
      <c r="O73" s="423" t="s">
        <v>4</v>
      </c>
      <c r="P73" s="370"/>
      <c r="Q73" s="424" t="s">
        <v>223</v>
      </c>
      <c r="R73" s="423" t="s">
        <v>7</v>
      </c>
      <c r="S73" s="370"/>
      <c r="T73" s="425" t="s">
        <v>223</v>
      </c>
      <c r="U73" s="424" t="s">
        <v>3</v>
      </c>
      <c r="V73" s="370"/>
      <c r="W73" s="425" t="s">
        <v>223</v>
      </c>
      <c r="Y73" s="524">
        <f ca="1">science_cap*(1-EXP(-AF73/(science_param*($A74-Explore!$S74*20)+15000)))*(1+(mason_bonus*Construction!BB73/Construction!BS73))+IF(Overview!$B$14="Beastfolk",Construction!DA73/Construction!E73,0)*(1 + Production!O73/100*prestige_pop_multiplier)</f>
        <v>0</v>
      </c>
      <c r="Z73" s="284">
        <f ca="1">keep_cap*(1-EXP(-AG73/(keep_param*($A74-Explore!$S74*20)+15000)))*(1+(mason_bonus*Construction!BB73/Construction!BS73))+IF(Overview!$B$14="Beastfolk",Construction!DF73/Construction!E73,0)*(1 + Production!O73/100*prestige_pop_multiplier)</f>
        <v>0</v>
      </c>
      <c r="AA73" s="284">
        <f ca="1">harbor_towers_cap*(1-EXP(-AH73/(harbor_towers_param*($A74-Explore!$S74*20)+15000)))*(1+(mason_bonus*Construction!BB73/Construction!BS73))+IF(Overview!$B$14="Beastfolk",2*Construction!DC73/Construction!E73,0)*(1 + Production!O73/100*prestige_pop_multiplier)</f>
        <v>0</v>
      </c>
      <c r="AB73" s="284">
        <f ca="1">walls_forges_cap*(1-EXP(-AI73/(walls_forges_param*($A74-Explore!$S74*20)+15000)))*(1+(mason_bonus*Construction!BB73/Construction!BS73))+IF(Overview!$B$14="Beastfolk",0.2*Construction!CY73/Construction!E73,0)</f>
        <v>0</v>
      </c>
      <c r="AC73" s="284">
        <f ca="1">walls_forges_cap*(1-EXP(-AJ73/(walls_forges_param*($A74-Explore!$S74*20)+15000)))*(1+(mason_bonus*Construction!BB73/Construction!BS73))+IF(Overview!$B$14="Beastfolk",5*Construction!DB73/Construction!E73,0)</f>
        <v>0</v>
      </c>
      <c r="AD73" s="97">
        <f ca="1">harbor_towers_cap*(1-EXP(-AK73/(harbor_towers_param*($A74-Explore!$S74*20)+15000)))*(1+(mason_bonus*Construction!BB73/Construction!BS73))+IF(Overview!$B$14="Beastfolk",Construction!DE73/Construction!E73)*(1 + Production!O73/100*prestige_pop_multiplier)</f>
        <v>0</v>
      </c>
      <c r="AF73" s="56">
        <f ca="1">(1+Overview!$O$28+IF(Magic!BA73&gt;0,0.1,0))*SUM(AR73:AU73)</f>
        <v>0</v>
      </c>
      <c r="AG73" s="26">
        <f ca="1">(1+Overview!$O$28+IF(Magic!BA73&gt;0,0.1,0))*SUM(AW73:AZ73)</f>
        <v>0</v>
      </c>
      <c r="AH73" s="164">
        <f ca="1">(1+Overview!$O$28+IF(Magic!BA73&gt;0,0.1,0))*SUM(BB73:BE73)</f>
        <v>0</v>
      </c>
      <c r="AI73" s="164">
        <f ca="1">(1+Overview!$O$28+IF(Magic!BA73&gt;0,0.1,0))*SUM(BG73:BJ73)</f>
        <v>0</v>
      </c>
      <c r="AJ73" s="164">
        <f ca="1">(1+Overview!$O$28+IF(Magic!BA73&gt;0,0.1,0))*SUM(BL73:BO73)</f>
        <v>0</v>
      </c>
      <c r="AK73" s="166">
        <f ca="1">(1+Overview!$O$28+IF(Magic!BA73&gt;0,0.1,0))*SUM(BQ73:BT73)</f>
        <v>0</v>
      </c>
      <c r="AM73" s="52">
        <f t="shared" si="52"/>
        <v>0</v>
      </c>
      <c r="AN73" s="16">
        <f t="shared" si="52"/>
        <v>0</v>
      </c>
      <c r="AO73" s="16">
        <f t="shared" si="52"/>
        <v>0</v>
      </c>
      <c r="AP73" s="53">
        <f t="shared" si="52"/>
        <v>0</v>
      </c>
      <c r="AR73" s="56">
        <f t="shared" si="59"/>
        <v>0</v>
      </c>
      <c r="AS73" s="26">
        <f t="shared" si="53"/>
        <v>0</v>
      </c>
      <c r="AT73" s="26">
        <f t="shared" si="53"/>
        <v>0</v>
      </c>
      <c r="AU73" s="57">
        <f t="shared" si="60"/>
        <v>0</v>
      </c>
      <c r="AW73" s="56">
        <f t="shared" si="61"/>
        <v>0</v>
      </c>
      <c r="AX73" s="26">
        <f t="shared" si="54"/>
        <v>0</v>
      </c>
      <c r="AY73" s="26">
        <f t="shared" si="54"/>
        <v>0</v>
      </c>
      <c r="AZ73" s="57">
        <f t="shared" si="62"/>
        <v>0</v>
      </c>
      <c r="BB73" s="56">
        <f t="shared" si="63"/>
        <v>0</v>
      </c>
      <c r="BC73" s="26">
        <f t="shared" si="64"/>
        <v>0</v>
      </c>
      <c r="BD73" s="26">
        <f t="shared" si="50"/>
        <v>0</v>
      </c>
      <c r="BE73" s="57">
        <f t="shared" si="65"/>
        <v>0</v>
      </c>
      <c r="BG73" s="56">
        <f t="shared" si="66"/>
        <v>0</v>
      </c>
      <c r="BH73" s="26">
        <f t="shared" si="55"/>
        <v>0</v>
      </c>
      <c r="BI73" s="26">
        <f t="shared" si="55"/>
        <v>0</v>
      </c>
      <c r="BJ73" s="57">
        <f t="shared" si="67"/>
        <v>0</v>
      </c>
      <c r="BL73" s="56">
        <f t="shared" si="68"/>
        <v>0</v>
      </c>
      <c r="BM73" s="26">
        <f t="shared" si="56"/>
        <v>0</v>
      </c>
      <c r="BN73" s="26">
        <f t="shared" si="56"/>
        <v>0</v>
      </c>
      <c r="BO73" s="57">
        <f t="shared" si="69"/>
        <v>0</v>
      </c>
      <c r="BQ73" s="56">
        <f t="shared" si="70"/>
        <v>0</v>
      </c>
      <c r="BR73" s="26">
        <f t="shared" si="57"/>
        <v>0</v>
      </c>
      <c r="BS73" s="26">
        <f t="shared" si="57"/>
        <v>0</v>
      </c>
      <c r="BT73" s="57">
        <f t="shared" si="71"/>
        <v>0</v>
      </c>
      <c r="BV73" s="52" t="e">
        <f>OR(Production!C73,Construction!N73:'Construction'!AF73,Construction!BV73:CN73,Explore!S73:Z73,Military!AF73:AL73,Military!X73,Military!BE73:BL73,Rezone!L73:R73,Magic!G73:Q73)</f>
        <v>#VALUE!</v>
      </c>
      <c r="BW73" s="527">
        <f t="shared" si="72"/>
        <v>0</v>
      </c>
      <c r="BX73" s="527"/>
      <c r="BY73" s="557">
        <f t="shared" si="73"/>
        <v>43694.916666666497</v>
      </c>
      <c r="BZ73" s="565">
        <f t="shared" si="74"/>
        <v>43694.749999999833</v>
      </c>
      <c r="CA73" s="529"/>
      <c r="CB73" s="807"/>
      <c r="CC73" s="812"/>
    </row>
    <row r="74" spans="1:84" s="16" customFormat="1" ht="13.5" thickBot="1">
      <c r="A74" s="513">
        <f>Construction!E74</f>
        <v>1000</v>
      </c>
      <c r="C74" s="56">
        <f ca="1">Production!H74</f>
        <v>3703732</v>
      </c>
      <c r="D74" s="26">
        <f ca="1">Production!J74</f>
        <v>275668</v>
      </c>
      <c r="E74" s="26">
        <f ca="1">Production!L74</f>
        <v>231000</v>
      </c>
      <c r="F74" s="57">
        <f ca="1">Production!M74</f>
        <v>20000</v>
      </c>
      <c r="G74" s="26"/>
      <c r="H74" s="56">
        <f ca="1">Military!Z74</f>
        <v>3695</v>
      </c>
      <c r="I74" s="540">
        <f ca="1">Population!I74</f>
        <v>1</v>
      </c>
      <c r="J74" s="165">
        <f ca="1">Population!F74/Population!U74</f>
        <v>1</v>
      </c>
      <c r="K74" s="1005">
        <f>Rezone!J74</f>
        <v>72</v>
      </c>
      <c r="L74" s="584">
        <f t="shared" si="49"/>
        <v>43694.958333333161</v>
      </c>
      <c r="M74" s="316">
        <f t="shared" si="26"/>
        <v>0</v>
      </c>
      <c r="N74" s="641">
        <f t="shared" si="58"/>
        <v>1000</v>
      </c>
      <c r="O74" s="423" t="s">
        <v>4</v>
      </c>
      <c r="P74" s="370"/>
      <c r="Q74" s="424" t="s">
        <v>223</v>
      </c>
      <c r="R74" s="423" t="s">
        <v>7</v>
      </c>
      <c r="S74" s="370"/>
      <c r="T74" s="425" t="s">
        <v>223</v>
      </c>
      <c r="U74" s="424" t="s">
        <v>3</v>
      </c>
      <c r="V74" s="370"/>
      <c r="W74" s="425" t="s">
        <v>223</v>
      </c>
      <c r="Y74" s="524">
        <f ca="1">science_cap*(1-EXP(-AF74/(science_param*($A75-Explore!$S75*20)+15000)))*(1+(mason_bonus*Construction!BB74/Construction!BS74))+IF(Overview!$B$14="Beastfolk",Construction!DA74/Construction!E74,0)*(1 + Production!O74/100*prestige_pop_multiplier)</f>
        <v>0</v>
      </c>
      <c r="Z74" s="284">
        <f ca="1">keep_cap*(1-EXP(-AG74/(keep_param*($A75-Explore!$S75*20)+15000)))*(1+(mason_bonus*Construction!BB74/Construction!BS74))+IF(Overview!$B$14="Beastfolk",Construction!DF74/Construction!E74,0)*(1 + Production!O74/100*prestige_pop_multiplier)</f>
        <v>0</v>
      </c>
      <c r="AA74" s="284">
        <f ca="1">harbor_towers_cap*(1-EXP(-AH74/(harbor_towers_param*($A75-Explore!$S75*20)+15000)))*(1+(mason_bonus*Construction!BB74/Construction!BS74))+IF(Overview!$B$14="Beastfolk",2*Construction!DC74/Construction!E74,0)*(1 + Production!O74/100*prestige_pop_multiplier)</f>
        <v>0</v>
      </c>
      <c r="AB74" s="284">
        <f ca="1">walls_forges_cap*(1-EXP(-AI74/(walls_forges_param*($A75-Explore!$S75*20)+15000)))*(1+(mason_bonus*Construction!BB74/Construction!BS74))+IF(Overview!$B$14="Beastfolk",0.2*Construction!CY74/Construction!E74,0)</f>
        <v>0</v>
      </c>
      <c r="AC74" s="284">
        <f ca="1">walls_forges_cap*(1-EXP(-AJ74/(walls_forges_param*($A75-Explore!$S75*20)+15000)))*(1+(mason_bonus*Construction!BB74/Construction!BS74))+IF(Overview!$B$14="Beastfolk",5*Construction!DB74/Construction!E74,0)</f>
        <v>0</v>
      </c>
      <c r="AD74" s="97">
        <f ca="1">harbor_towers_cap*(1-EXP(-AK74/(harbor_towers_param*($A75-Explore!$S75*20)+15000)))*(1+(mason_bonus*Construction!BB74/Construction!BS74))+IF(Overview!$B$14="Beastfolk",Construction!DE74/Construction!E74)*(1 + Production!O74/100*prestige_pop_multiplier)</f>
        <v>0</v>
      </c>
      <c r="AF74" s="56">
        <f ca="1">(1+Overview!$O$28+IF(Magic!BA74&gt;0,0.1,0))*SUM(AR74:AU74)</f>
        <v>0</v>
      </c>
      <c r="AG74" s="26">
        <f ca="1">(1+Overview!$O$28+IF(Magic!BA74&gt;0,0.1,0))*SUM(AW74:AZ74)</f>
        <v>0</v>
      </c>
      <c r="AH74" s="164">
        <f ca="1">(1+Overview!$O$28+IF(Magic!BA74&gt;0,0.1,0))*SUM(BB74:BE74)</f>
        <v>0</v>
      </c>
      <c r="AI74" s="164">
        <f ca="1">(1+Overview!$O$28+IF(Magic!BA74&gt;0,0.1,0))*SUM(BG74:BJ74)</f>
        <v>0</v>
      </c>
      <c r="AJ74" s="164">
        <f ca="1">(1+Overview!$O$28+IF(Magic!BA74&gt;0,0.1,0))*SUM(BL74:BO74)</f>
        <v>0</v>
      </c>
      <c r="AK74" s="166">
        <f ca="1">(1+Overview!$O$28+IF(Magic!BA74&gt;0,0.1,0))*SUM(BQ74:BT74)</f>
        <v>0</v>
      </c>
      <c r="AM74" s="52">
        <f t="shared" si="52"/>
        <v>0</v>
      </c>
      <c r="AN74" s="16">
        <f t="shared" si="52"/>
        <v>0</v>
      </c>
      <c r="AO74" s="16">
        <f t="shared" si="52"/>
        <v>0</v>
      </c>
      <c r="AP74" s="53">
        <f t="shared" si="52"/>
        <v>0</v>
      </c>
      <c r="AR74" s="56">
        <f t="shared" si="59"/>
        <v>0</v>
      </c>
      <c r="AS74" s="26">
        <f t="shared" si="53"/>
        <v>0</v>
      </c>
      <c r="AT74" s="26">
        <f t="shared" si="53"/>
        <v>0</v>
      </c>
      <c r="AU74" s="57">
        <f t="shared" si="60"/>
        <v>0</v>
      </c>
      <c r="AW74" s="56">
        <f t="shared" si="61"/>
        <v>0</v>
      </c>
      <c r="AX74" s="26">
        <f t="shared" si="54"/>
        <v>0</v>
      </c>
      <c r="AY74" s="26">
        <f t="shared" si="54"/>
        <v>0</v>
      </c>
      <c r="AZ74" s="57">
        <f t="shared" si="62"/>
        <v>0</v>
      </c>
      <c r="BB74" s="56">
        <f t="shared" si="63"/>
        <v>0</v>
      </c>
      <c r="BC74" s="26">
        <f t="shared" si="64"/>
        <v>0</v>
      </c>
      <c r="BD74" s="26">
        <f t="shared" si="50"/>
        <v>0</v>
      </c>
      <c r="BE74" s="57">
        <f t="shared" si="65"/>
        <v>0</v>
      </c>
      <c r="BG74" s="56">
        <f t="shared" si="66"/>
        <v>0</v>
      </c>
      <c r="BH74" s="26">
        <f t="shared" si="55"/>
        <v>0</v>
      </c>
      <c r="BI74" s="26">
        <f t="shared" si="55"/>
        <v>0</v>
      </c>
      <c r="BJ74" s="57">
        <f t="shared" si="67"/>
        <v>0</v>
      </c>
      <c r="BL74" s="56">
        <f t="shared" si="68"/>
        <v>0</v>
      </c>
      <c r="BM74" s="26">
        <f t="shared" si="56"/>
        <v>0</v>
      </c>
      <c r="BN74" s="26">
        <f t="shared" si="56"/>
        <v>0</v>
      </c>
      <c r="BO74" s="57">
        <f t="shared" si="69"/>
        <v>0</v>
      </c>
      <c r="BQ74" s="56">
        <f t="shared" si="70"/>
        <v>0</v>
      </c>
      <c r="BR74" s="26">
        <f t="shared" si="57"/>
        <v>0</v>
      </c>
      <c r="BS74" s="26">
        <f t="shared" si="57"/>
        <v>0</v>
      </c>
      <c r="BT74" s="57">
        <f t="shared" si="71"/>
        <v>0</v>
      </c>
      <c r="BV74" s="52" t="e">
        <f>OR(Production!C74,Construction!N74:'Construction'!AF74,Construction!BV74:CN74,Explore!S74:Z74,Military!AF74:AL74,Military!X74,Military!BE74:BL74,Rezone!L74:R74,Magic!G74:Q74)</f>
        <v>#VALUE!</v>
      </c>
      <c r="BW74" s="527">
        <f t="shared" si="72"/>
        <v>0</v>
      </c>
      <c r="BX74" s="527"/>
      <c r="BY74" s="557">
        <f t="shared" si="73"/>
        <v>43694.958333333161</v>
      </c>
      <c r="BZ74" s="565">
        <f t="shared" si="74"/>
        <v>43694.791666666497</v>
      </c>
      <c r="CA74" s="529"/>
      <c r="CB74" s="807"/>
      <c r="CC74" s="812"/>
    </row>
    <row r="75" spans="1:84" s="936" customFormat="1" ht="13.5" thickBot="1">
      <c r="A75" s="1308">
        <f>Construction!E75</f>
        <v>1000</v>
      </c>
      <c r="C75" s="1176">
        <f ca="1">Production!H75</f>
        <v>3714383</v>
      </c>
      <c r="D75" s="279">
        <f ca="1">Production!J75</f>
        <v>275411</v>
      </c>
      <c r="E75" s="279">
        <f ca="1">Production!L75</f>
        <v>231000</v>
      </c>
      <c r="F75" s="1307">
        <f ca="1">Production!M75</f>
        <v>20000</v>
      </c>
      <c r="G75" s="279"/>
      <c r="H75" s="1176">
        <f ca="1">Military!Z75</f>
        <v>3695</v>
      </c>
      <c r="I75" s="541">
        <f ca="1">Population!I75</f>
        <v>1</v>
      </c>
      <c r="J75" s="176">
        <f ca="1">Population!F75/Population!U75</f>
        <v>1</v>
      </c>
      <c r="K75" s="1007">
        <f>Rezone!J75</f>
        <v>73</v>
      </c>
      <c r="L75" s="585">
        <f t="shared" si="49"/>
        <v>43694.999999999825</v>
      </c>
      <c r="M75" s="1309">
        <f t="shared" si="26"/>
        <v>0</v>
      </c>
      <c r="N75" s="1310">
        <f t="shared" si="58"/>
        <v>1000</v>
      </c>
      <c r="O75" s="817" t="s">
        <v>4</v>
      </c>
      <c r="P75" s="508"/>
      <c r="Q75" s="1311" t="s">
        <v>223</v>
      </c>
      <c r="R75" s="817" t="s">
        <v>7</v>
      </c>
      <c r="S75" s="508"/>
      <c r="T75" s="1312" t="s">
        <v>223</v>
      </c>
      <c r="U75" s="1311" t="s">
        <v>3</v>
      </c>
      <c r="V75" s="508"/>
      <c r="W75" s="1312" t="s">
        <v>223</v>
      </c>
      <c r="Y75" s="1313">
        <f ca="1">science_cap*(1-EXP(-AF75/(science_param*($A76-Explore!$S76*20)+15000)))*(1+(mason_bonus*Construction!BB75/Construction!BS75))+IF(Overview!$B$14="Beastfolk",Construction!DA75/Construction!E75,0)*(1 + Production!O75/100*prestige_pop_multiplier)</f>
        <v>0</v>
      </c>
      <c r="Z75" s="1314">
        <f ca="1">keep_cap*(1-EXP(-AG75/(keep_param*($A76-Explore!$S76*20)+15000)))*(1+(mason_bonus*Construction!BB75/Construction!BS75))+IF(Overview!$B$14="Beastfolk",Construction!DF75/Construction!E75,0)*(1 + Production!O75/100*prestige_pop_multiplier)</f>
        <v>0</v>
      </c>
      <c r="AA75" s="1314">
        <f ca="1">harbor_towers_cap*(1-EXP(-AH75/(harbor_towers_param*($A76-Explore!$S76*20)+15000)))*(1+(mason_bonus*Construction!BB75/Construction!BS75))+IF(Overview!$B$14="Beastfolk",2*Construction!DC75/Construction!E75,0)*(1 + Production!O75/100*prestige_pop_multiplier)</f>
        <v>0</v>
      </c>
      <c r="AB75" s="1314">
        <f ca="1">walls_forges_cap*(1-EXP(-AI75/(walls_forges_param*($A76-Explore!$S76*20)+15000)))*(1+(mason_bonus*Construction!BB75/Construction!BS75))+IF(Overview!$B$14="Beastfolk",0.2*Construction!CY75/Construction!E75,0)</f>
        <v>0</v>
      </c>
      <c r="AC75" s="1314">
        <f ca="1">walls_forges_cap*(1-EXP(-AJ75/(walls_forges_param*($A76-Explore!$S76*20)+15000)))*(1+(mason_bonus*Construction!BB75/Construction!BS75))+IF(Overview!$B$14="Beastfolk",5*Construction!DB75/Construction!E75,0)</f>
        <v>0</v>
      </c>
      <c r="AD75" s="1315">
        <f ca="1">harbor_towers_cap*(1-EXP(-AK75/(harbor_towers_param*($A76-Explore!$S76*20)+15000)))*(1+(mason_bonus*Construction!BB75/Construction!BS75))+IF(Overview!$B$14="Beastfolk",Construction!DE75/Construction!E75)*(1 + Production!O75/100*prestige_pop_multiplier)</f>
        <v>0</v>
      </c>
      <c r="AF75" s="1176">
        <f ca="1">(1+Overview!$O$28+IF(Magic!BA75&gt;0,0.1,0))*SUM(AR75:AU75)</f>
        <v>0</v>
      </c>
      <c r="AG75" s="279">
        <f ca="1">(1+Overview!$O$28+IF(Magic!BA75&gt;0,0.1,0))*SUM(AW75:AZ75)</f>
        <v>0</v>
      </c>
      <c r="AH75" s="174">
        <f ca="1">(1+Overview!$O$28+IF(Magic!BA75&gt;0,0.1,0))*SUM(BB75:BE75)</f>
        <v>0</v>
      </c>
      <c r="AI75" s="174">
        <f ca="1">(1+Overview!$O$28+IF(Magic!BA75&gt;0,0.1,0))*SUM(BG75:BJ75)</f>
        <v>0</v>
      </c>
      <c r="AJ75" s="174">
        <f ca="1">(1+Overview!$O$28+IF(Magic!BA75&gt;0,0.1,0))*SUM(BL75:BO75)</f>
        <v>0</v>
      </c>
      <c r="AK75" s="179">
        <f ca="1">(1+Overview!$O$28+IF(Magic!BA75&gt;0,0.1,0))*SUM(BQ75:BT75)</f>
        <v>0</v>
      </c>
      <c r="AM75" s="937">
        <f t="shared" si="52"/>
        <v>0</v>
      </c>
      <c r="AN75" s="936">
        <f t="shared" si="52"/>
        <v>0</v>
      </c>
      <c r="AO75" s="936">
        <f t="shared" si="52"/>
        <v>0</v>
      </c>
      <c r="AP75" s="938">
        <f t="shared" si="52"/>
        <v>0</v>
      </c>
      <c r="AR75" s="1176">
        <f t="shared" si="59"/>
        <v>0</v>
      </c>
      <c r="AS75" s="279">
        <f t="shared" si="53"/>
        <v>0</v>
      </c>
      <c r="AT75" s="279">
        <f t="shared" si="53"/>
        <v>0</v>
      </c>
      <c r="AU75" s="1307">
        <f t="shared" si="60"/>
        <v>0</v>
      </c>
      <c r="AW75" s="1176">
        <f t="shared" si="61"/>
        <v>0</v>
      </c>
      <c r="AX75" s="279">
        <f t="shared" si="54"/>
        <v>0</v>
      </c>
      <c r="AY75" s="279">
        <f t="shared" si="54"/>
        <v>0</v>
      </c>
      <c r="AZ75" s="1307">
        <f t="shared" si="62"/>
        <v>0</v>
      </c>
      <c r="BB75" s="1176">
        <f t="shared" si="63"/>
        <v>0</v>
      </c>
      <c r="BC75" s="279">
        <f t="shared" si="64"/>
        <v>0</v>
      </c>
      <c r="BD75" s="279">
        <f>IF($O75=BF$2,IF($Q75=$AA$2,2*$P75)) + IF($R75=BF$2,IF($T75=$AA$2,2*$S75)) + IF($U75=BF$2,IF($W75=$AA$2,2*$V75))</f>
        <v>0</v>
      </c>
      <c r="BE75" s="1307">
        <f t="shared" si="65"/>
        <v>0</v>
      </c>
      <c r="BG75" s="1176">
        <f t="shared" si="66"/>
        <v>0</v>
      </c>
      <c r="BH75" s="279">
        <f t="shared" si="55"/>
        <v>0</v>
      </c>
      <c r="BI75" s="279">
        <f t="shared" si="55"/>
        <v>0</v>
      </c>
      <c r="BJ75" s="1307">
        <f t="shared" si="67"/>
        <v>0</v>
      </c>
      <c r="BL75" s="1176">
        <f t="shared" si="68"/>
        <v>0</v>
      </c>
      <c r="BM75" s="279">
        <f t="shared" si="56"/>
        <v>0</v>
      </c>
      <c r="BN75" s="279">
        <f t="shared" si="56"/>
        <v>0</v>
      </c>
      <c r="BO75" s="1307">
        <f t="shared" si="69"/>
        <v>0</v>
      </c>
      <c r="BQ75" s="1176">
        <f t="shared" si="70"/>
        <v>0</v>
      </c>
      <c r="BR75" s="279">
        <f t="shared" si="57"/>
        <v>0</v>
      </c>
      <c r="BS75" s="279">
        <f t="shared" si="57"/>
        <v>0</v>
      </c>
      <c r="BT75" s="1307">
        <f t="shared" si="71"/>
        <v>0</v>
      </c>
      <c r="BV75" s="937" t="e">
        <f>OR(Production!C75,Construction!N75:'Construction'!AF75,Construction!BV75:CN75,Explore!S75:Z75,Military!AF75:AL75,Military!X75,Military!BE75:BL75,Rezone!L75:R75,Magic!G75:Q75)</f>
        <v>#VALUE!</v>
      </c>
      <c r="BW75" s="1302">
        <f t="shared" si="72"/>
        <v>0</v>
      </c>
      <c r="BX75" s="1302"/>
      <c r="BY75" s="1316">
        <f t="shared" si="73"/>
        <v>43694.999999999825</v>
      </c>
      <c r="BZ75" s="1317">
        <f t="shared" si="74"/>
        <v>43694.833333333161</v>
      </c>
      <c r="CA75" s="1301"/>
      <c r="CB75" s="810"/>
      <c r="CC75" s="1318"/>
    </row>
    <row r="76" spans="1:84" s="170" customFormat="1">
      <c r="A76" s="510">
        <f>Construction!E76</f>
        <v>1000</v>
      </c>
      <c r="C76" s="152">
        <f ca="1">Production!H76</f>
        <v>3725034</v>
      </c>
      <c r="D76" s="164">
        <f ca="1">Production!J76</f>
        <v>275157</v>
      </c>
      <c r="E76" s="164">
        <f ca="1">Production!L76</f>
        <v>231000</v>
      </c>
      <c r="F76" s="166">
        <f ca="1">Production!M76</f>
        <v>20000</v>
      </c>
      <c r="G76" s="164"/>
      <c r="H76" s="152">
        <f ca="1">Military!Z76</f>
        <v>3695</v>
      </c>
      <c r="I76" s="540">
        <f ca="1">Population!I76</f>
        <v>1</v>
      </c>
      <c r="J76" s="165">
        <f ca="1">Population!F76/Population!U76</f>
        <v>1</v>
      </c>
      <c r="K76" s="1005">
        <f>Rezone!J76</f>
        <v>74</v>
      </c>
      <c r="L76" s="584">
        <f t="shared" si="49"/>
        <v>43695.04166666649</v>
      </c>
      <c r="M76" s="649">
        <f t="shared" si="26"/>
        <v>0</v>
      </c>
      <c r="N76" s="531">
        <f t="shared" si="58"/>
        <v>1000</v>
      </c>
      <c r="O76" s="406" t="s">
        <v>4</v>
      </c>
      <c r="P76" s="370"/>
      <c r="Q76" s="408" t="s">
        <v>223</v>
      </c>
      <c r="R76" s="406" t="s">
        <v>7</v>
      </c>
      <c r="S76" s="370"/>
      <c r="T76" s="408" t="s">
        <v>223</v>
      </c>
      <c r="U76" s="406" t="s">
        <v>3</v>
      </c>
      <c r="V76" s="407"/>
      <c r="W76" s="409" t="s">
        <v>223</v>
      </c>
      <c r="Y76" s="503">
        <f ca="1">science_cap*(1-EXP(-AF76/(science_param*($A77-Explore!$S77*20)+15000)))*(1+(mason_bonus*Construction!BB76/Construction!BS76))+IF(Overview!$B$14="Beastfolk",Construction!DA76/Construction!E76,0)*(1 + Production!O76/100*prestige_pop_multiplier)</f>
        <v>0</v>
      </c>
      <c r="Z76" s="455">
        <f ca="1">keep_cap*(1-EXP(-AG76/(keep_param*($A77-Explore!$S77*20)+15000)))*(1+(mason_bonus*Construction!BB76/Construction!BS76))+IF(Overview!$B$14="Beastfolk",Construction!DF76/Construction!E76,0)*(1 + Production!O76/100*prestige_pop_multiplier)</f>
        <v>0</v>
      </c>
      <c r="AA76" s="455">
        <f ca="1">harbor_towers_cap*(1-EXP(-AH76/(harbor_towers_param*($A77-Explore!$S77*20)+15000)))*(1+(mason_bonus*Construction!BB76/Construction!BS76))+IF(Overview!$B$14="Beastfolk",2*Construction!DC76/Construction!E76,0)*(1 + Production!O76/100*prestige_pop_multiplier)</f>
        <v>0</v>
      </c>
      <c r="AB76" s="455">
        <f ca="1">walls_forges_cap*(1-EXP(-AI76/(walls_forges_param*($A77-Explore!$S77*20)+15000)))*(1+(mason_bonus*Construction!BB76/Construction!BS76))+IF(Overview!$B$14="Beastfolk",0.2*Construction!CY76/Construction!E76,0)</f>
        <v>0</v>
      </c>
      <c r="AC76" s="455">
        <f ca="1">walls_forges_cap*(1-EXP(-AJ76/(walls_forges_param*($A77-Explore!$S77*20)+15000)))*(1+(mason_bonus*Construction!BB76/Construction!BS76))+IF(Overview!$B$14="Beastfolk",5*Construction!DB76/Construction!E76,0)</f>
        <v>0</v>
      </c>
      <c r="AD76" s="171">
        <f ca="1">harbor_towers_cap*(1-EXP(-AK76/(harbor_towers_param*($A77-Explore!$S77*20)+15000)))*(1+(mason_bonus*Construction!BB76/Construction!BS76))+IF(Overview!$B$14="Beastfolk",Construction!DE76/Construction!E76)*(1 + Production!O76/100*prestige_pop_multiplier)</f>
        <v>0</v>
      </c>
      <c r="AF76" s="56">
        <f ca="1">(1+Overview!$O$28+IF(Magic!BA76&gt;0,0.1,0))*SUM(AR76:AU76)</f>
        <v>0</v>
      </c>
      <c r="AG76" s="26">
        <f ca="1">(1+Overview!$O$28+IF(Magic!BA76&gt;0,0.1,0))*SUM(AW76:AZ76)</f>
        <v>0</v>
      </c>
      <c r="AH76" s="164">
        <f ca="1">(1+Overview!$O$28+IF(Magic!BA76&gt;0,0.1,0))*SUM(BB76:BE76)</f>
        <v>0</v>
      </c>
      <c r="AI76" s="164">
        <f ca="1">(1+Overview!$O$28+IF(Magic!BA76&gt;0,0.1,0))*SUM(BG76:BJ76)</f>
        <v>0</v>
      </c>
      <c r="AJ76" s="164">
        <f ca="1">(1+Overview!$O$28+IF(Magic!BA76&gt;0,0.1,0))*SUM(BL76:BO76)</f>
        <v>0</v>
      </c>
      <c r="AK76" s="166">
        <f ca="1">(1+Overview!$O$28+IF(Magic!BA76&gt;0,0.1,0))*SUM(BQ76:BT76)</f>
        <v>0</v>
      </c>
      <c r="AM76" s="156">
        <f t="shared" si="52"/>
        <v>0</v>
      </c>
      <c r="AN76" s="170">
        <f t="shared" si="52"/>
        <v>0</v>
      </c>
      <c r="AO76" s="170">
        <f t="shared" si="52"/>
        <v>0</v>
      </c>
      <c r="AP76" s="157">
        <f t="shared" si="52"/>
        <v>0</v>
      </c>
      <c r="AR76" s="152">
        <f t="shared" si="59"/>
        <v>0</v>
      </c>
      <c r="AS76" s="164">
        <f t="shared" si="53"/>
        <v>0</v>
      </c>
      <c r="AT76" s="164">
        <f t="shared" si="53"/>
        <v>0</v>
      </c>
      <c r="AU76" s="166">
        <f t="shared" si="60"/>
        <v>0</v>
      </c>
      <c r="AW76" s="152">
        <f t="shared" si="61"/>
        <v>0</v>
      </c>
      <c r="AX76" s="164">
        <f t="shared" si="54"/>
        <v>0</v>
      </c>
      <c r="AY76" s="164">
        <f t="shared" si="54"/>
        <v>0</v>
      </c>
      <c r="AZ76" s="166">
        <f t="shared" si="62"/>
        <v>0</v>
      </c>
      <c r="BB76" s="152">
        <f t="shared" si="63"/>
        <v>0</v>
      </c>
      <c r="BC76" s="164">
        <f t="shared" si="64"/>
        <v>0</v>
      </c>
      <c r="BD76" s="164">
        <f t="shared" ref="BD76:BD86" si="75">IF($O76=BF$2,IF($Q76=$AA$2,2*$P76)) + IF($R76=BF$2,IF($T76=$AA$2,2*$S76)) + IF($U76=BF$2,IF($W76=$AA$2,2*$V76))</f>
        <v>0</v>
      </c>
      <c r="BE76" s="166">
        <f t="shared" si="65"/>
        <v>0</v>
      </c>
      <c r="BG76" s="152">
        <f t="shared" si="66"/>
        <v>0</v>
      </c>
      <c r="BH76" s="164">
        <f t="shared" si="55"/>
        <v>0</v>
      </c>
      <c r="BI76" s="164">
        <f t="shared" si="55"/>
        <v>0</v>
      </c>
      <c r="BJ76" s="166">
        <f t="shared" si="67"/>
        <v>0</v>
      </c>
      <c r="BL76" s="152">
        <f t="shared" si="68"/>
        <v>0</v>
      </c>
      <c r="BM76" s="164">
        <f t="shared" si="56"/>
        <v>0</v>
      </c>
      <c r="BN76" s="164">
        <f t="shared" si="56"/>
        <v>0</v>
      </c>
      <c r="BO76" s="166">
        <f t="shared" si="69"/>
        <v>0</v>
      </c>
      <c r="BQ76" s="152">
        <f t="shared" si="70"/>
        <v>0</v>
      </c>
      <c r="BR76" s="164">
        <f t="shared" si="57"/>
        <v>0</v>
      </c>
      <c r="BS76" s="164">
        <f t="shared" si="57"/>
        <v>0</v>
      </c>
      <c r="BT76" s="166">
        <f t="shared" si="71"/>
        <v>0</v>
      </c>
      <c r="BV76" s="156" t="e">
        <f>OR(Production!C76,Construction!N76:'Construction'!AF76,Construction!BV76:CN76,Explore!S76:Z76,Military!AF76:AL76,Military!X76,Military!BE76:BL76,Rezone!L76:R76,Magic!G76:Q76)</f>
        <v>#VALUE!</v>
      </c>
      <c r="BW76" s="548">
        <f t="shared" si="72"/>
        <v>0</v>
      </c>
      <c r="BX76" s="548"/>
      <c r="BY76" s="554">
        <f t="shared" si="73"/>
        <v>43695.04166666649</v>
      </c>
      <c r="BZ76" s="562">
        <f t="shared" si="74"/>
        <v>43694.874999999825</v>
      </c>
      <c r="CA76" s="629"/>
      <c r="CB76" s="807"/>
      <c r="CC76" s="774"/>
    </row>
    <row r="77" spans="1:84" s="170" customFormat="1">
      <c r="A77" s="510">
        <f>Construction!E77</f>
        <v>1000</v>
      </c>
      <c r="C77" s="152">
        <f ca="1">Production!H77</f>
        <v>3735685</v>
      </c>
      <c r="D77" s="164">
        <f ca="1">Production!J77</f>
        <v>274905</v>
      </c>
      <c r="E77" s="164">
        <f ca="1">Production!L77</f>
        <v>231000</v>
      </c>
      <c r="F77" s="166">
        <f ca="1">Production!M77</f>
        <v>20000</v>
      </c>
      <c r="G77" s="164"/>
      <c r="H77" s="152">
        <f ca="1">Military!Z77</f>
        <v>3695</v>
      </c>
      <c r="I77" s="540">
        <f ca="1">Population!I77</f>
        <v>1</v>
      </c>
      <c r="J77" s="165">
        <f ca="1">Population!F77/Population!U77</f>
        <v>1</v>
      </c>
      <c r="K77" s="1005">
        <f>Rezone!J77</f>
        <v>75</v>
      </c>
      <c r="L77" s="584">
        <f t="shared" si="49"/>
        <v>43695.083333333154</v>
      </c>
      <c r="M77" s="649">
        <f t="shared" si="26"/>
        <v>0</v>
      </c>
      <c r="N77" s="531">
        <f t="shared" si="58"/>
        <v>1000</v>
      </c>
      <c r="O77" s="406" t="s">
        <v>4</v>
      </c>
      <c r="P77" s="370"/>
      <c r="Q77" s="408" t="s">
        <v>223</v>
      </c>
      <c r="R77" s="406" t="s">
        <v>7</v>
      </c>
      <c r="S77" s="370"/>
      <c r="T77" s="408" t="s">
        <v>223</v>
      </c>
      <c r="U77" s="406" t="s">
        <v>3</v>
      </c>
      <c r="V77" s="407"/>
      <c r="W77" s="409" t="s">
        <v>223</v>
      </c>
      <c r="Y77" s="503">
        <f ca="1">science_cap*(1-EXP(-AF77/(science_param*($A78-Explore!$S78*20)+15000)))*(1+(mason_bonus*Construction!BB77/Construction!BS77))+IF(Overview!$B$14="Beastfolk",Construction!DA77/Construction!E77,0)*(1 + Production!O77/100*prestige_pop_multiplier)</f>
        <v>0</v>
      </c>
      <c r="Z77" s="455">
        <f ca="1">keep_cap*(1-EXP(-AG77/(keep_param*($A78-Explore!$S78*20)+15000)))*(1+(mason_bonus*Construction!BB77/Construction!BS77))+IF(Overview!$B$14="Beastfolk",Construction!DF77/Construction!E77,0)*(1 + Production!O77/100*prestige_pop_multiplier)</f>
        <v>0</v>
      </c>
      <c r="AA77" s="455">
        <f ca="1">harbor_towers_cap*(1-EXP(-AH77/(harbor_towers_param*($A78-Explore!$S78*20)+15000)))*(1+(mason_bonus*Construction!BB77/Construction!BS77))+IF(Overview!$B$14="Beastfolk",2*Construction!DC77/Construction!E77,0)*(1 + Production!O77/100*prestige_pop_multiplier)</f>
        <v>0</v>
      </c>
      <c r="AB77" s="455">
        <f ca="1">walls_forges_cap*(1-EXP(-AI77/(walls_forges_param*($A78-Explore!$S78*20)+15000)))*(1+(mason_bonus*Construction!BB77/Construction!BS77))+IF(Overview!$B$14="Beastfolk",0.2*Construction!CY77/Construction!E77,0)</f>
        <v>0</v>
      </c>
      <c r="AC77" s="455">
        <f ca="1">walls_forges_cap*(1-EXP(-AJ77/(walls_forges_param*($A78-Explore!$S78*20)+15000)))*(1+(mason_bonus*Construction!BB77/Construction!BS77))+IF(Overview!$B$14="Beastfolk",5*Construction!DB77/Construction!E77,0)</f>
        <v>0</v>
      </c>
      <c r="AD77" s="171">
        <f ca="1">harbor_towers_cap*(1-EXP(-AK77/(harbor_towers_param*($A78-Explore!$S78*20)+15000)))*(1+(mason_bonus*Construction!BB77/Construction!BS77))+IF(Overview!$B$14="Beastfolk",Construction!DE77/Construction!E77)*(1 + Production!O77/100*prestige_pop_multiplier)</f>
        <v>0</v>
      </c>
      <c r="AF77" s="56">
        <f ca="1">(1+Overview!$O$28+IF(Magic!BA77&gt;0,0.1,0))*SUM(AR77:AU77)</f>
        <v>0</v>
      </c>
      <c r="AG77" s="26">
        <f ca="1">(1+Overview!$O$28+IF(Magic!BA77&gt;0,0.1,0))*SUM(AW77:AZ77)</f>
        <v>0</v>
      </c>
      <c r="AH77" s="164">
        <f ca="1">(1+Overview!$O$28+IF(Magic!BA77&gt;0,0.1,0))*SUM(BB77:BE77)</f>
        <v>0</v>
      </c>
      <c r="AI77" s="164">
        <f ca="1">(1+Overview!$O$28+IF(Magic!BA77&gt;0,0.1,0))*SUM(BG77:BJ77)</f>
        <v>0</v>
      </c>
      <c r="AJ77" s="164">
        <f ca="1">(1+Overview!$O$28+IF(Magic!BA77&gt;0,0.1,0))*SUM(BL77:BO77)</f>
        <v>0</v>
      </c>
      <c r="AK77" s="166">
        <f ca="1">(1+Overview!$O$28+IF(Magic!BA77&gt;0,0.1,0))*SUM(BQ77:BT77)</f>
        <v>0</v>
      </c>
      <c r="AM77" s="156">
        <f t="shared" ref="AM77:AP92" si="76">IF(AND($O77=AM$2,$Q77&lt;&gt;""),$P77) + IF(AND($R77=AM$2,$T77&lt;&gt;""),$S77) + IF(AND($U77=AM$2,$W77&lt;&gt;""),$V77)</f>
        <v>0</v>
      </c>
      <c r="AN77" s="170">
        <f t="shared" si="76"/>
        <v>0</v>
      </c>
      <c r="AO77" s="170">
        <f t="shared" si="76"/>
        <v>0</v>
      </c>
      <c r="AP77" s="157">
        <f t="shared" si="76"/>
        <v>0</v>
      </c>
      <c r="AR77" s="152">
        <f t="shared" si="59"/>
        <v>0</v>
      </c>
      <c r="AS77" s="164">
        <f t="shared" ref="AS77:AT92" si="77">IF($O77=AS$2,IF($Q77=$Y$2,2*$P77)) + IF($R77=AS$2,IF($T77=$Y$2,2*$S77)) + IF($U77=AS$2,IF($W77=$Y$2,2*$V77))</f>
        <v>0</v>
      </c>
      <c r="AT77" s="164">
        <f t="shared" si="77"/>
        <v>0</v>
      </c>
      <c r="AU77" s="166">
        <f t="shared" si="60"/>
        <v>0</v>
      </c>
      <c r="AW77" s="152">
        <f t="shared" si="61"/>
        <v>0</v>
      </c>
      <c r="AX77" s="164">
        <f t="shared" ref="AX77:AY92" si="78">IF($O77=AX$2,IF($Q77=$Z$2,2*$P77)) + IF($R77=AX$2,IF($T77=$Z$2,2*$S77)) + IF($U77=AX$2,IF($W77=$Z$2,2*$V77))</f>
        <v>0</v>
      </c>
      <c r="AY77" s="164">
        <f t="shared" si="78"/>
        <v>0</v>
      </c>
      <c r="AZ77" s="166">
        <f t="shared" si="62"/>
        <v>0</v>
      </c>
      <c r="BB77" s="152">
        <f t="shared" si="63"/>
        <v>0</v>
      </c>
      <c r="BC77" s="164">
        <f t="shared" si="64"/>
        <v>0</v>
      </c>
      <c r="BD77" s="164">
        <f t="shared" si="75"/>
        <v>0</v>
      </c>
      <c r="BE77" s="166">
        <f t="shared" si="65"/>
        <v>0</v>
      </c>
      <c r="BG77" s="152">
        <f t="shared" si="66"/>
        <v>0</v>
      </c>
      <c r="BH77" s="164">
        <f t="shared" ref="BH77:BI92" si="79">IF($O77=BH$2,IF($Q77=$AB$2,2*$P77)) + IF($R77=BH$2,IF($T77=$AB$2,2*$S77)) + IF($U77=BH$2,IF($W77=$AB$2,2*$V77))</f>
        <v>0</v>
      </c>
      <c r="BI77" s="164">
        <f t="shared" si="79"/>
        <v>0</v>
      </c>
      <c r="BJ77" s="166">
        <f t="shared" si="67"/>
        <v>0</v>
      </c>
      <c r="BL77" s="152">
        <f t="shared" si="68"/>
        <v>0</v>
      </c>
      <c r="BM77" s="164">
        <f t="shared" ref="BM77:BN92" si="80">IF($O77=BM$2,IF($Q77=$AC$2,2*$P77)) + IF($R77=BM$2,IF($T77=$AC$2,2*$S77)) + IF($U77=BM$2,IF($W77=$AC$2,2*$V77))</f>
        <v>0</v>
      </c>
      <c r="BN77" s="164">
        <f t="shared" si="80"/>
        <v>0</v>
      </c>
      <c r="BO77" s="166">
        <f t="shared" si="69"/>
        <v>0</v>
      </c>
      <c r="BQ77" s="152">
        <f t="shared" si="70"/>
        <v>0</v>
      </c>
      <c r="BR77" s="164">
        <f t="shared" ref="BR77:BS92" si="81">IF($O77=BR$2,IF($Q77=$AD$2,2*$P77)) + IF($R77=BR$2,IF($T77=$AD$2,2*$S77)) + IF($U77=BR$2,IF($W77=$AD$2,2*$V77))</f>
        <v>0</v>
      </c>
      <c r="BS77" s="164">
        <f t="shared" si="81"/>
        <v>0</v>
      </c>
      <c r="BT77" s="166">
        <f t="shared" si="71"/>
        <v>0</v>
      </c>
      <c r="BV77" s="156" t="e">
        <f>OR(Production!C77,Construction!N77:'Construction'!AF77,Construction!BV77:CN77,Explore!S77:Z77,Military!AF77:AL77,Military!X77,Military!BE77:BL77,Rezone!L77:R77,Magic!G77:Q77)</f>
        <v>#VALUE!</v>
      </c>
      <c r="BW77" s="548">
        <f t="shared" si="72"/>
        <v>0</v>
      </c>
      <c r="BX77" s="548"/>
      <c r="BY77" s="554">
        <f t="shared" ref="BY77:BY135" si="82">BY76+1/24</f>
        <v>43695.083333333154</v>
      </c>
      <c r="BZ77" s="562">
        <f t="shared" si="74"/>
        <v>43694.91666666649</v>
      </c>
      <c r="CA77" s="629"/>
      <c r="CB77" s="807"/>
      <c r="CC77" s="774"/>
      <c r="CF77" s="673"/>
    </row>
    <row r="78" spans="1:84" s="16" customFormat="1">
      <c r="A78" s="513">
        <f>Construction!E78</f>
        <v>1000</v>
      </c>
      <c r="C78" s="56">
        <f ca="1">Production!H78</f>
        <v>3746336</v>
      </c>
      <c r="D78" s="26">
        <f ca="1">Production!J78</f>
        <v>274656</v>
      </c>
      <c r="E78" s="26">
        <f ca="1">Production!L78</f>
        <v>231000</v>
      </c>
      <c r="F78" s="57">
        <f ca="1">Production!M78</f>
        <v>20000</v>
      </c>
      <c r="G78" s="26"/>
      <c r="H78" s="56">
        <f ca="1">Military!Z78</f>
        <v>3695</v>
      </c>
      <c r="I78" s="540">
        <f ca="1">Population!I78</f>
        <v>1</v>
      </c>
      <c r="J78" s="165">
        <f ca="1">Population!F78/Population!U78</f>
        <v>1</v>
      </c>
      <c r="K78" s="1005">
        <f>Rezone!J78</f>
        <v>76</v>
      </c>
      <c r="L78" s="584">
        <f t="shared" si="49"/>
        <v>43695.124999999818</v>
      </c>
      <c r="M78" s="316">
        <f t="shared" si="26"/>
        <v>0</v>
      </c>
      <c r="N78" s="641">
        <f t="shared" si="58"/>
        <v>1000</v>
      </c>
      <c r="O78" s="423" t="s">
        <v>4</v>
      </c>
      <c r="P78" s="370"/>
      <c r="Q78" s="424" t="s">
        <v>223</v>
      </c>
      <c r="R78" s="423" t="s">
        <v>7</v>
      </c>
      <c r="S78" s="370"/>
      <c r="T78" s="424" t="s">
        <v>223</v>
      </c>
      <c r="U78" s="406" t="s">
        <v>3</v>
      </c>
      <c r="V78" s="407"/>
      <c r="W78" s="409" t="s">
        <v>223</v>
      </c>
      <c r="Y78" s="503">
        <f ca="1">science_cap*(1-EXP(-AF78/(science_param*($A79-Explore!$S79*20)+15000)))*(1+(mason_bonus*Construction!BB78/Construction!BS78))+IF(Overview!$B$14="Beastfolk",Construction!DA78/Construction!E78,0)*(1 + Production!O78/100*prestige_pop_multiplier)</f>
        <v>0</v>
      </c>
      <c r="Z78" s="455">
        <f ca="1">keep_cap*(1-EXP(-AG78/(keep_param*($A79-Explore!$S79*20)+15000)))*(1+(mason_bonus*Construction!BB78/Construction!BS78))+IF(Overview!$B$14="Beastfolk",Construction!DF78/Construction!E78,0)*(1 + Production!O78/100*prestige_pop_multiplier)</f>
        <v>0</v>
      </c>
      <c r="AA78" s="455">
        <f ca="1">harbor_towers_cap*(1-EXP(-AH78/(harbor_towers_param*($A79-Explore!$S79*20)+15000)))*(1+(mason_bonus*Construction!BB78/Construction!BS78))+IF(Overview!$B$14="Beastfolk",2*Construction!DC78/Construction!E78,0)*(1 + Production!O78/100*prestige_pop_multiplier)</f>
        <v>0</v>
      </c>
      <c r="AB78" s="455">
        <f ca="1">walls_forges_cap*(1-EXP(-AI78/(walls_forges_param*($A79-Explore!$S79*20)+15000)))*(1+(mason_bonus*Construction!BB78/Construction!BS78))+IF(Overview!$B$14="Beastfolk",0.2*Construction!CY78/Construction!E78,0)</f>
        <v>0</v>
      </c>
      <c r="AC78" s="455">
        <f ca="1">walls_forges_cap*(1-EXP(-AJ78/(walls_forges_param*($A79-Explore!$S79*20)+15000)))*(1+(mason_bonus*Construction!BB78/Construction!BS78))+IF(Overview!$B$14="Beastfolk",5*Construction!DB78/Construction!E78,0)</f>
        <v>0</v>
      </c>
      <c r="AD78" s="171">
        <f ca="1">harbor_towers_cap*(1-EXP(-AK78/(harbor_towers_param*($A79-Explore!$S79*20)+15000)))*(1+(mason_bonus*Construction!BB78/Construction!BS78))+IF(Overview!$B$14="Beastfolk",Construction!DE78/Construction!E78)*(1 + Production!O78/100*prestige_pop_multiplier)</f>
        <v>0</v>
      </c>
      <c r="AF78" s="56">
        <f ca="1">(1+Overview!$O$28+IF(Magic!BA78&gt;0,0.1,0))*SUM(AR78:AU78)</f>
        <v>0</v>
      </c>
      <c r="AG78" s="26">
        <f ca="1">(1+Overview!$O$28+IF(Magic!BA78&gt;0,0.1,0))*SUM(AW78:AZ78)</f>
        <v>0</v>
      </c>
      <c r="AH78" s="164">
        <f ca="1">(1+Overview!$O$28+IF(Magic!BA78&gt;0,0.1,0))*SUM(BB78:BE78)</f>
        <v>0</v>
      </c>
      <c r="AI78" s="164">
        <f ca="1">(1+Overview!$O$28+IF(Magic!BA78&gt;0,0.1,0))*SUM(BG78:BJ78)</f>
        <v>0</v>
      </c>
      <c r="AJ78" s="164">
        <f ca="1">(1+Overview!$O$28+IF(Magic!BA78&gt;0,0.1,0))*SUM(BL78:BO78)</f>
        <v>0</v>
      </c>
      <c r="AK78" s="166">
        <f ca="1">(1+Overview!$O$28+IF(Magic!BA78&gt;0,0.1,0))*SUM(BQ78:BT78)</f>
        <v>0</v>
      </c>
      <c r="AM78" s="52">
        <f t="shared" si="76"/>
        <v>0</v>
      </c>
      <c r="AN78" s="16">
        <f t="shared" si="76"/>
        <v>0</v>
      </c>
      <c r="AO78" s="16">
        <f t="shared" si="76"/>
        <v>0</v>
      </c>
      <c r="AP78" s="53">
        <f t="shared" si="76"/>
        <v>0</v>
      </c>
      <c r="AR78" s="56">
        <f t="shared" si="59"/>
        <v>0</v>
      </c>
      <c r="AS78" s="26">
        <f t="shared" si="77"/>
        <v>0</v>
      </c>
      <c r="AT78" s="26">
        <f t="shared" si="77"/>
        <v>0</v>
      </c>
      <c r="AU78" s="57">
        <f t="shared" si="60"/>
        <v>0</v>
      </c>
      <c r="AW78" s="56">
        <f t="shared" si="61"/>
        <v>0</v>
      </c>
      <c r="AX78" s="26">
        <f t="shared" si="78"/>
        <v>0</v>
      </c>
      <c r="AY78" s="26">
        <f t="shared" si="78"/>
        <v>0</v>
      </c>
      <c r="AZ78" s="57">
        <f t="shared" si="62"/>
        <v>0</v>
      </c>
      <c r="BB78" s="56">
        <f t="shared" si="63"/>
        <v>0</v>
      </c>
      <c r="BC78" s="26">
        <f t="shared" si="64"/>
        <v>0</v>
      </c>
      <c r="BD78" s="26">
        <f t="shared" si="75"/>
        <v>0</v>
      </c>
      <c r="BE78" s="57">
        <f t="shared" si="65"/>
        <v>0</v>
      </c>
      <c r="BG78" s="56">
        <f t="shared" si="66"/>
        <v>0</v>
      </c>
      <c r="BH78" s="26">
        <f t="shared" si="79"/>
        <v>0</v>
      </c>
      <c r="BI78" s="26">
        <f t="shared" si="79"/>
        <v>0</v>
      </c>
      <c r="BJ78" s="57">
        <f t="shared" si="67"/>
        <v>0</v>
      </c>
      <c r="BL78" s="56">
        <f t="shared" si="68"/>
        <v>0</v>
      </c>
      <c r="BM78" s="26">
        <f t="shared" si="80"/>
        <v>0</v>
      </c>
      <c r="BN78" s="26">
        <f t="shared" si="80"/>
        <v>0</v>
      </c>
      <c r="BO78" s="57">
        <f t="shared" si="69"/>
        <v>0</v>
      </c>
      <c r="BQ78" s="56">
        <f t="shared" si="70"/>
        <v>0</v>
      </c>
      <c r="BR78" s="26">
        <f t="shared" si="81"/>
        <v>0</v>
      </c>
      <c r="BS78" s="26">
        <f t="shared" si="81"/>
        <v>0</v>
      </c>
      <c r="BT78" s="57">
        <f t="shared" si="71"/>
        <v>0</v>
      </c>
      <c r="BV78" s="52" t="e">
        <f>OR(Production!C78,Construction!N78:'Construction'!AF78,Construction!BV78:CN78,Explore!S78:Z78,Military!AF78:AL78,Military!X78,Military!BE78:BL78,Rezone!L78:R78,Magic!G78:Q78)</f>
        <v>#VALUE!</v>
      </c>
      <c r="BW78" s="527">
        <f t="shared" si="72"/>
        <v>0</v>
      </c>
      <c r="BX78" s="527"/>
      <c r="BY78" s="557">
        <f t="shared" si="82"/>
        <v>43695.124999999818</v>
      </c>
      <c r="BZ78" s="565">
        <f t="shared" si="74"/>
        <v>43694.958333333154</v>
      </c>
      <c r="CA78" s="529"/>
      <c r="CB78" s="807"/>
      <c r="CC78" s="812"/>
      <c r="CD78" s="170"/>
      <c r="CF78" s="674"/>
    </row>
    <row r="79" spans="1:84" s="16" customFormat="1">
      <c r="A79" s="513">
        <f>Construction!E79</f>
        <v>1000</v>
      </c>
      <c r="C79" s="56">
        <f ca="1">Production!H79</f>
        <v>3756987</v>
      </c>
      <c r="D79" s="26">
        <f ca="1">Production!J79</f>
        <v>274409</v>
      </c>
      <c r="E79" s="26">
        <f ca="1">Production!L79</f>
        <v>231000</v>
      </c>
      <c r="F79" s="57">
        <f ca="1">Production!M79</f>
        <v>20000</v>
      </c>
      <c r="G79" s="26"/>
      <c r="H79" s="56">
        <f ca="1">Military!Z79</f>
        <v>3695</v>
      </c>
      <c r="I79" s="540">
        <f ca="1">Population!I79</f>
        <v>1</v>
      </c>
      <c r="J79" s="165">
        <f ca="1">Population!F79/Population!U79</f>
        <v>1</v>
      </c>
      <c r="K79" s="1005">
        <f>Rezone!J79</f>
        <v>77</v>
      </c>
      <c r="L79" s="584">
        <f t="shared" si="49"/>
        <v>43695.166666666482</v>
      </c>
      <c r="M79" s="316">
        <f t="shared" ref="M79:M135" si="83">IF(ISERROR(BV79),0,BV79*1)</f>
        <v>0</v>
      </c>
      <c r="N79" s="641">
        <f t="shared" si="58"/>
        <v>1000</v>
      </c>
      <c r="O79" s="423" t="s">
        <v>4</v>
      </c>
      <c r="P79" s="370"/>
      <c r="Q79" s="424" t="s">
        <v>223</v>
      </c>
      <c r="R79" s="423" t="s">
        <v>7</v>
      </c>
      <c r="S79" s="370"/>
      <c r="T79" s="424" t="s">
        <v>223</v>
      </c>
      <c r="U79" s="406" t="s">
        <v>3</v>
      </c>
      <c r="V79" s="407"/>
      <c r="W79" s="409" t="s">
        <v>223</v>
      </c>
      <c r="Y79" s="503">
        <f ca="1">science_cap*(1-EXP(-AF79/(science_param*($A80-Explore!$S80*20)+15000)))*(1+(mason_bonus*Construction!BB79/Construction!BS79))+IF(Overview!$B$14="Beastfolk",Construction!DA79/Construction!E79,0)*(1 + Production!O79/100*prestige_pop_multiplier)</f>
        <v>0</v>
      </c>
      <c r="Z79" s="455">
        <f ca="1">keep_cap*(1-EXP(-AG79/(keep_param*($A80-Explore!$S80*20)+15000)))*(1+(mason_bonus*Construction!BB79/Construction!BS79))+IF(Overview!$B$14="Beastfolk",Construction!DF79/Construction!E79,0)*(1 + Production!O79/100*prestige_pop_multiplier)</f>
        <v>0</v>
      </c>
      <c r="AA79" s="455">
        <f ca="1">harbor_towers_cap*(1-EXP(-AH79/(harbor_towers_param*($A80-Explore!$S80*20)+15000)))*(1+(mason_bonus*Construction!BB79/Construction!BS79))+IF(Overview!$B$14="Beastfolk",2*Construction!DC79/Construction!E79,0)*(1 + Production!O79/100*prestige_pop_multiplier)</f>
        <v>0</v>
      </c>
      <c r="AB79" s="455">
        <f ca="1">walls_forges_cap*(1-EXP(-AI79/(walls_forges_param*($A80-Explore!$S80*20)+15000)))*(1+(mason_bonus*Construction!BB79/Construction!BS79))+IF(Overview!$B$14="Beastfolk",0.2*Construction!CY79/Construction!E79,0)</f>
        <v>0</v>
      </c>
      <c r="AC79" s="455">
        <f ca="1">walls_forges_cap*(1-EXP(-AJ79/(walls_forges_param*($A80-Explore!$S80*20)+15000)))*(1+(mason_bonus*Construction!BB79/Construction!BS79))+IF(Overview!$B$14="Beastfolk",5*Construction!DB79/Construction!E79,0)</f>
        <v>0</v>
      </c>
      <c r="AD79" s="171">
        <f ca="1">harbor_towers_cap*(1-EXP(-AK79/(harbor_towers_param*($A80-Explore!$S80*20)+15000)))*(1+(mason_bonus*Construction!BB79/Construction!BS79))+IF(Overview!$B$14="Beastfolk",Construction!DE79/Construction!E79)*(1 + Production!O79/100*prestige_pop_multiplier)</f>
        <v>0</v>
      </c>
      <c r="AF79" s="56">
        <f ca="1">(1+Overview!$O$28+IF(Magic!BA79&gt;0,0.1,0))*SUM(AR79:AU79)</f>
        <v>0</v>
      </c>
      <c r="AG79" s="26">
        <f ca="1">(1+Overview!$O$28+IF(Magic!BA79&gt;0,0.1,0))*SUM(AW79:AZ79)</f>
        <v>0</v>
      </c>
      <c r="AH79" s="164">
        <f ca="1">(1+Overview!$O$28+IF(Magic!BA79&gt;0,0.1,0))*SUM(BB79:BE79)</f>
        <v>0</v>
      </c>
      <c r="AI79" s="164">
        <f ca="1">(1+Overview!$O$28+IF(Magic!BA79&gt;0,0.1,0))*SUM(BG79:BJ79)</f>
        <v>0</v>
      </c>
      <c r="AJ79" s="164">
        <f ca="1">(1+Overview!$O$28+IF(Magic!BA79&gt;0,0.1,0))*SUM(BL79:BO79)</f>
        <v>0</v>
      </c>
      <c r="AK79" s="166">
        <f ca="1">(1+Overview!$O$28+IF(Magic!BA79&gt;0,0.1,0))*SUM(BQ79:BT79)</f>
        <v>0</v>
      </c>
      <c r="AM79" s="52">
        <f t="shared" si="76"/>
        <v>0</v>
      </c>
      <c r="AN79" s="16">
        <f t="shared" si="76"/>
        <v>0</v>
      </c>
      <c r="AO79" s="16">
        <f t="shared" si="76"/>
        <v>0</v>
      </c>
      <c r="AP79" s="53">
        <f t="shared" si="76"/>
        <v>0</v>
      </c>
      <c r="AR79" s="56">
        <f t="shared" si="59"/>
        <v>0</v>
      </c>
      <c r="AS79" s="26">
        <f t="shared" si="77"/>
        <v>0</v>
      </c>
      <c r="AT79" s="26">
        <f t="shared" si="77"/>
        <v>0</v>
      </c>
      <c r="AU79" s="57">
        <f t="shared" si="60"/>
        <v>0</v>
      </c>
      <c r="AW79" s="56">
        <f t="shared" si="61"/>
        <v>0</v>
      </c>
      <c r="AX79" s="26">
        <f t="shared" si="78"/>
        <v>0</v>
      </c>
      <c r="AY79" s="26">
        <f t="shared" si="78"/>
        <v>0</v>
      </c>
      <c r="AZ79" s="57">
        <f t="shared" si="62"/>
        <v>0</v>
      </c>
      <c r="BB79" s="56">
        <f t="shared" si="63"/>
        <v>0</v>
      </c>
      <c r="BC79" s="26">
        <f t="shared" si="64"/>
        <v>0</v>
      </c>
      <c r="BD79" s="26">
        <f t="shared" si="75"/>
        <v>0</v>
      </c>
      <c r="BE79" s="57">
        <f t="shared" si="65"/>
        <v>0</v>
      </c>
      <c r="BG79" s="56">
        <f t="shared" si="66"/>
        <v>0</v>
      </c>
      <c r="BH79" s="26">
        <f t="shared" si="79"/>
        <v>0</v>
      </c>
      <c r="BI79" s="26">
        <f t="shared" si="79"/>
        <v>0</v>
      </c>
      <c r="BJ79" s="57">
        <f t="shared" si="67"/>
        <v>0</v>
      </c>
      <c r="BL79" s="56">
        <f t="shared" si="68"/>
        <v>0</v>
      </c>
      <c r="BM79" s="26">
        <f t="shared" si="80"/>
        <v>0</v>
      </c>
      <c r="BN79" s="26">
        <f t="shared" si="80"/>
        <v>0</v>
      </c>
      <c r="BO79" s="57">
        <f t="shared" si="69"/>
        <v>0</v>
      </c>
      <c r="BQ79" s="56">
        <f t="shared" si="70"/>
        <v>0</v>
      </c>
      <c r="BR79" s="26">
        <f t="shared" si="81"/>
        <v>0</v>
      </c>
      <c r="BS79" s="26">
        <f t="shared" si="81"/>
        <v>0</v>
      </c>
      <c r="BT79" s="57">
        <f t="shared" si="71"/>
        <v>0</v>
      </c>
      <c r="BV79" s="52" t="e">
        <f>OR(Production!C79,Construction!N79:'Construction'!AF79,Construction!BV79:CN79,Explore!S79:Z79,Military!AF79:AL79,Military!X79,Military!BE79:BL79,Rezone!L79:R79,Magic!G79:Q79)</f>
        <v>#VALUE!</v>
      </c>
      <c r="BW79" s="527">
        <f t="shared" si="72"/>
        <v>0</v>
      </c>
      <c r="BX79" s="527"/>
      <c r="BY79" s="557">
        <f t="shared" si="82"/>
        <v>43695.166666666482</v>
      </c>
      <c r="BZ79" s="565">
        <f t="shared" si="74"/>
        <v>43694.999999999818</v>
      </c>
      <c r="CA79" s="529"/>
      <c r="CB79" s="807"/>
      <c r="CC79" s="812"/>
      <c r="CD79" s="170"/>
      <c r="CF79" s="675"/>
    </row>
    <row r="80" spans="1:84" s="16" customFormat="1">
      <c r="A80" s="513">
        <f>Construction!E80</f>
        <v>1000</v>
      </c>
      <c r="C80" s="56">
        <f ca="1">Production!H80</f>
        <v>3767638</v>
      </c>
      <c r="D80" s="26">
        <f ca="1">Production!J80</f>
        <v>274165</v>
      </c>
      <c r="E80" s="26">
        <f ca="1">Production!L80</f>
        <v>231000</v>
      </c>
      <c r="F80" s="57">
        <f ca="1">Production!M80</f>
        <v>20000</v>
      </c>
      <c r="G80" s="26"/>
      <c r="H80" s="56">
        <f ca="1">Military!Z80</f>
        <v>3695</v>
      </c>
      <c r="I80" s="540">
        <f ca="1">Population!I80</f>
        <v>1</v>
      </c>
      <c r="J80" s="165">
        <f ca="1">Population!F80/Population!U80</f>
        <v>1</v>
      </c>
      <c r="K80" s="1005">
        <f>Rezone!J80</f>
        <v>78</v>
      </c>
      <c r="L80" s="584">
        <f t="shared" ref="L80:L86" si="84">L79+1/24</f>
        <v>43695.208333333147</v>
      </c>
      <c r="M80" s="316">
        <f t="shared" si="83"/>
        <v>0</v>
      </c>
      <c r="N80" s="641">
        <f t="shared" si="58"/>
        <v>1000</v>
      </c>
      <c r="O80" s="423" t="s">
        <v>4</v>
      </c>
      <c r="P80" s="370"/>
      <c r="Q80" s="424" t="s">
        <v>223</v>
      </c>
      <c r="R80" s="423" t="s">
        <v>7</v>
      </c>
      <c r="S80" s="370"/>
      <c r="T80" s="424" t="s">
        <v>223</v>
      </c>
      <c r="U80" s="406" t="s">
        <v>3</v>
      </c>
      <c r="V80" s="407"/>
      <c r="W80" s="409" t="s">
        <v>223</v>
      </c>
      <c r="Y80" s="503">
        <f ca="1">science_cap*(1-EXP(-AF80/(science_param*($A81-Explore!$S81*20)+15000)))*(1+(mason_bonus*Construction!BB80/Construction!BS80))+IF(Overview!$B$14="Beastfolk",Construction!DA80/Construction!E80,0)*(1 + Production!O80/100*prestige_pop_multiplier)</f>
        <v>0</v>
      </c>
      <c r="Z80" s="455">
        <f ca="1">keep_cap*(1-EXP(-AG80/(keep_param*($A81-Explore!$S81*20)+15000)))*(1+(mason_bonus*Construction!BB80/Construction!BS80))+IF(Overview!$B$14="Beastfolk",Construction!DF80/Construction!E80,0)*(1 + Production!O80/100*prestige_pop_multiplier)</f>
        <v>0</v>
      </c>
      <c r="AA80" s="455">
        <f ca="1">harbor_towers_cap*(1-EXP(-AH80/(harbor_towers_param*($A81-Explore!$S81*20)+15000)))*(1+(mason_bonus*Construction!BB80/Construction!BS80))+IF(Overview!$B$14="Beastfolk",2*Construction!DC80/Construction!E80,0)*(1 + Production!O80/100*prestige_pop_multiplier)</f>
        <v>0</v>
      </c>
      <c r="AB80" s="455">
        <f ca="1">walls_forges_cap*(1-EXP(-AI80/(walls_forges_param*($A81-Explore!$S81*20)+15000)))*(1+(mason_bonus*Construction!BB80/Construction!BS80))+IF(Overview!$B$14="Beastfolk",0.2*Construction!CY80/Construction!E80,0)</f>
        <v>0</v>
      </c>
      <c r="AC80" s="455">
        <f ca="1">walls_forges_cap*(1-EXP(-AJ80/(walls_forges_param*($A81-Explore!$S81*20)+15000)))*(1+(mason_bonus*Construction!BB80/Construction!BS80))+IF(Overview!$B$14="Beastfolk",5*Construction!DB80/Construction!E80,0)</f>
        <v>0</v>
      </c>
      <c r="AD80" s="171">
        <f ca="1">harbor_towers_cap*(1-EXP(-AK80/(harbor_towers_param*($A81-Explore!$S81*20)+15000)))*(1+(mason_bonus*Construction!BB80/Construction!BS80))+IF(Overview!$B$14="Beastfolk",Construction!DE80/Construction!E80)*(1 + Production!O80/100*prestige_pop_multiplier)</f>
        <v>0</v>
      </c>
      <c r="AF80" s="56">
        <f ca="1">(1+Overview!$O$28+IF(Magic!BA80&gt;0,0.1,0))*SUM(AR80:AU80)</f>
        <v>0</v>
      </c>
      <c r="AG80" s="26">
        <f ca="1">(1+Overview!$O$28+IF(Magic!BA80&gt;0,0.1,0))*SUM(AW80:AZ80)</f>
        <v>0</v>
      </c>
      <c r="AH80" s="164">
        <f ca="1">(1+Overview!$O$28+IF(Magic!BA80&gt;0,0.1,0))*SUM(BB80:BE80)</f>
        <v>0</v>
      </c>
      <c r="AI80" s="164">
        <f ca="1">(1+Overview!$O$28+IF(Magic!BA80&gt;0,0.1,0))*SUM(BG80:BJ80)</f>
        <v>0</v>
      </c>
      <c r="AJ80" s="164">
        <f ca="1">(1+Overview!$O$28+IF(Magic!BA80&gt;0,0.1,0))*SUM(BL80:BO80)</f>
        <v>0</v>
      </c>
      <c r="AK80" s="166">
        <f ca="1">(1+Overview!$O$28+IF(Magic!BA80&gt;0,0.1,0))*SUM(BQ80:BT80)</f>
        <v>0</v>
      </c>
      <c r="AM80" s="52">
        <f t="shared" si="76"/>
        <v>0</v>
      </c>
      <c r="AN80" s="16">
        <f t="shared" si="76"/>
        <v>0</v>
      </c>
      <c r="AO80" s="16">
        <f t="shared" si="76"/>
        <v>0</v>
      </c>
      <c r="AP80" s="53">
        <f t="shared" si="76"/>
        <v>0</v>
      </c>
      <c r="AR80" s="56">
        <f t="shared" si="59"/>
        <v>0</v>
      </c>
      <c r="AS80" s="26">
        <f t="shared" si="77"/>
        <v>0</v>
      </c>
      <c r="AT80" s="26">
        <f t="shared" si="77"/>
        <v>0</v>
      </c>
      <c r="AU80" s="57">
        <f t="shared" si="60"/>
        <v>0</v>
      </c>
      <c r="AW80" s="56">
        <f t="shared" si="61"/>
        <v>0</v>
      </c>
      <c r="AX80" s="26">
        <f t="shared" si="78"/>
        <v>0</v>
      </c>
      <c r="AY80" s="26">
        <f t="shared" si="78"/>
        <v>0</v>
      </c>
      <c r="AZ80" s="57">
        <f t="shared" si="62"/>
        <v>0</v>
      </c>
      <c r="BB80" s="56">
        <f t="shared" si="63"/>
        <v>0</v>
      </c>
      <c r="BC80" s="26">
        <f t="shared" si="64"/>
        <v>0</v>
      </c>
      <c r="BD80" s="26">
        <f t="shared" si="75"/>
        <v>0</v>
      </c>
      <c r="BE80" s="57">
        <f t="shared" si="65"/>
        <v>0</v>
      </c>
      <c r="BG80" s="56">
        <f t="shared" si="66"/>
        <v>0</v>
      </c>
      <c r="BH80" s="26">
        <f t="shared" si="79"/>
        <v>0</v>
      </c>
      <c r="BI80" s="26">
        <f t="shared" si="79"/>
        <v>0</v>
      </c>
      <c r="BJ80" s="57">
        <f t="shared" si="67"/>
        <v>0</v>
      </c>
      <c r="BL80" s="56">
        <f t="shared" si="68"/>
        <v>0</v>
      </c>
      <c r="BM80" s="26">
        <f t="shared" si="80"/>
        <v>0</v>
      </c>
      <c r="BN80" s="26">
        <f t="shared" si="80"/>
        <v>0</v>
      </c>
      <c r="BO80" s="57">
        <f t="shared" si="69"/>
        <v>0</v>
      </c>
      <c r="BQ80" s="56">
        <f t="shared" si="70"/>
        <v>0</v>
      </c>
      <c r="BR80" s="26">
        <f t="shared" si="81"/>
        <v>0</v>
      </c>
      <c r="BS80" s="26">
        <f t="shared" si="81"/>
        <v>0</v>
      </c>
      <c r="BT80" s="57">
        <f t="shared" si="71"/>
        <v>0</v>
      </c>
      <c r="BV80" s="52" t="e">
        <f>OR(Production!C80,Construction!N80:'Construction'!AF80,Construction!BV80:CN80,Explore!S80:Z80,Military!AF80:AL80,Military!X80,Military!BE80:BL80,Rezone!L80:R80,Magic!G80:Q80)</f>
        <v>#VALUE!</v>
      </c>
      <c r="BW80" s="527">
        <f t="shared" si="72"/>
        <v>0</v>
      </c>
      <c r="BX80" s="527"/>
      <c r="BY80" s="557">
        <f t="shared" si="82"/>
        <v>43695.208333333147</v>
      </c>
      <c r="BZ80" s="565">
        <f t="shared" si="74"/>
        <v>43695.041666666482</v>
      </c>
      <c r="CA80" s="529"/>
      <c r="CB80" s="807"/>
      <c r="CC80" s="812"/>
      <c r="CD80" s="170"/>
      <c r="CF80" s="675"/>
    </row>
    <row r="81" spans="1:84" s="16" customFormat="1">
      <c r="A81" s="513">
        <f>Construction!E81</f>
        <v>1000</v>
      </c>
      <c r="C81" s="56">
        <f ca="1">Production!H81</f>
        <v>3778289</v>
      </c>
      <c r="D81" s="26">
        <f ca="1">Production!J81</f>
        <v>273923</v>
      </c>
      <c r="E81" s="26">
        <f ca="1">Production!L81</f>
        <v>231000</v>
      </c>
      <c r="F81" s="57">
        <f ca="1">Production!M81</f>
        <v>20000</v>
      </c>
      <c r="G81" s="26"/>
      <c r="H81" s="56">
        <f ca="1">Military!Z81</f>
        <v>3695</v>
      </c>
      <c r="I81" s="540">
        <f ca="1">Population!I81</f>
        <v>1</v>
      </c>
      <c r="J81" s="165">
        <f ca="1">Population!F81/Population!U81</f>
        <v>1</v>
      </c>
      <c r="K81" s="1005">
        <f>Rezone!J81</f>
        <v>79</v>
      </c>
      <c r="L81" s="584">
        <f t="shared" si="84"/>
        <v>43695.249999999811</v>
      </c>
      <c r="M81" s="316">
        <f t="shared" si="83"/>
        <v>0</v>
      </c>
      <c r="N81" s="641">
        <f t="shared" si="58"/>
        <v>1000</v>
      </c>
      <c r="O81" s="423" t="s">
        <v>4</v>
      </c>
      <c r="P81" s="370"/>
      <c r="Q81" s="424" t="s">
        <v>223</v>
      </c>
      <c r="R81" s="423" t="s">
        <v>7</v>
      </c>
      <c r="S81" s="370"/>
      <c r="T81" s="424" t="s">
        <v>223</v>
      </c>
      <c r="U81" s="406" t="s">
        <v>3</v>
      </c>
      <c r="V81" s="407"/>
      <c r="W81" s="409" t="s">
        <v>223</v>
      </c>
      <c r="Y81" s="503">
        <f ca="1">science_cap*(1-EXP(-AF81/(science_param*($A82-Explore!$S82*20)+15000)))*(1+(mason_bonus*Construction!BB81/Construction!BS81))+IF(Overview!$B$14="Beastfolk",Construction!DA81/Construction!E81,0)*(1 + Production!O81/100*prestige_pop_multiplier)</f>
        <v>0</v>
      </c>
      <c r="Z81" s="455">
        <f ca="1">keep_cap*(1-EXP(-AG81/(keep_param*($A82-Explore!$S82*20)+15000)))*(1+(mason_bonus*Construction!BB81/Construction!BS81))+IF(Overview!$B$14="Beastfolk",Construction!DF81/Construction!E81,0)*(1 + Production!O81/100*prestige_pop_multiplier)</f>
        <v>0</v>
      </c>
      <c r="AA81" s="455">
        <f ca="1">harbor_towers_cap*(1-EXP(-AH81/(harbor_towers_param*($A82-Explore!$S82*20)+15000)))*(1+(mason_bonus*Construction!BB81/Construction!BS81))+IF(Overview!$B$14="Beastfolk",2*Construction!DC81/Construction!E81,0)*(1 + Production!O81/100*prestige_pop_multiplier)</f>
        <v>0</v>
      </c>
      <c r="AB81" s="455">
        <f ca="1">walls_forges_cap*(1-EXP(-AI81/(walls_forges_param*($A82-Explore!$S82*20)+15000)))*(1+(mason_bonus*Construction!BB81/Construction!BS81))+IF(Overview!$B$14="Beastfolk",0.2*Construction!CY81/Construction!E81,0)</f>
        <v>0</v>
      </c>
      <c r="AC81" s="455">
        <f ca="1">walls_forges_cap*(1-EXP(-AJ81/(walls_forges_param*($A82-Explore!$S82*20)+15000)))*(1+(mason_bonus*Construction!BB81/Construction!BS81))+IF(Overview!$B$14="Beastfolk",5*Construction!DB81/Construction!E81,0)</f>
        <v>0</v>
      </c>
      <c r="AD81" s="171">
        <f ca="1">harbor_towers_cap*(1-EXP(-AK81/(harbor_towers_param*($A82-Explore!$S82*20)+15000)))*(1+(mason_bonus*Construction!BB81/Construction!BS81))+IF(Overview!$B$14="Beastfolk",Construction!DE81/Construction!E81)*(1 + Production!O81/100*prestige_pop_multiplier)</f>
        <v>0</v>
      </c>
      <c r="AF81" s="56">
        <f ca="1">(1+Overview!$O$28+IF(Magic!BA81&gt;0,0.1,0))*SUM(AR81:AU81)</f>
        <v>0</v>
      </c>
      <c r="AG81" s="26">
        <f ca="1">(1+Overview!$O$28+IF(Magic!BA81&gt;0,0.1,0))*SUM(AW81:AZ81)</f>
        <v>0</v>
      </c>
      <c r="AH81" s="164">
        <f ca="1">(1+Overview!$O$28+IF(Magic!BA81&gt;0,0.1,0))*SUM(BB81:BE81)</f>
        <v>0</v>
      </c>
      <c r="AI81" s="164">
        <f ca="1">(1+Overview!$O$28+IF(Magic!BA81&gt;0,0.1,0))*SUM(BG81:BJ81)</f>
        <v>0</v>
      </c>
      <c r="AJ81" s="164">
        <f ca="1">(1+Overview!$O$28+IF(Magic!BA81&gt;0,0.1,0))*SUM(BL81:BO81)</f>
        <v>0</v>
      </c>
      <c r="AK81" s="166">
        <f ca="1">(1+Overview!$O$28+IF(Magic!BA81&gt;0,0.1,0))*SUM(BQ81:BT81)</f>
        <v>0</v>
      </c>
      <c r="AM81" s="52">
        <f t="shared" si="76"/>
        <v>0</v>
      </c>
      <c r="AN81" s="16">
        <f t="shared" si="76"/>
        <v>0</v>
      </c>
      <c r="AO81" s="16">
        <f t="shared" si="76"/>
        <v>0</v>
      </c>
      <c r="AP81" s="53">
        <f t="shared" si="76"/>
        <v>0</v>
      </c>
      <c r="AR81" s="56">
        <f t="shared" si="59"/>
        <v>0</v>
      </c>
      <c r="AS81" s="26">
        <f t="shared" si="77"/>
        <v>0</v>
      </c>
      <c r="AT81" s="26">
        <f t="shared" si="77"/>
        <v>0</v>
      </c>
      <c r="AU81" s="57">
        <f t="shared" si="60"/>
        <v>0</v>
      </c>
      <c r="AW81" s="56">
        <f t="shared" si="61"/>
        <v>0</v>
      </c>
      <c r="AX81" s="26">
        <f t="shared" si="78"/>
        <v>0</v>
      </c>
      <c r="AY81" s="26">
        <f t="shared" si="78"/>
        <v>0</v>
      </c>
      <c r="AZ81" s="57">
        <f t="shared" si="62"/>
        <v>0</v>
      </c>
      <c r="BB81" s="56">
        <f t="shared" si="63"/>
        <v>0</v>
      </c>
      <c r="BC81" s="26">
        <f t="shared" si="64"/>
        <v>0</v>
      </c>
      <c r="BD81" s="26">
        <f t="shared" si="75"/>
        <v>0</v>
      </c>
      <c r="BE81" s="57">
        <f t="shared" si="65"/>
        <v>0</v>
      </c>
      <c r="BG81" s="56">
        <f t="shared" si="66"/>
        <v>0</v>
      </c>
      <c r="BH81" s="26">
        <f t="shared" si="79"/>
        <v>0</v>
      </c>
      <c r="BI81" s="26">
        <f t="shared" si="79"/>
        <v>0</v>
      </c>
      <c r="BJ81" s="57">
        <f t="shared" si="67"/>
        <v>0</v>
      </c>
      <c r="BL81" s="56">
        <f t="shared" si="68"/>
        <v>0</v>
      </c>
      <c r="BM81" s="26">
        <f t="shared" si="80"/>
        <v>0</v>
      </c>
      <c r="BN81" s="26">
        <f t="shared" si="80"/>
        <v>0</v>
      </c>
      <c r="BO81" s="57">
        <f t="shared" si="69"/>
        <v>0</v>
      </c>
      <c r="BQ81" s="56">
        <f t="shared" si="70"/>
        <v>0</v>
      </c>
      <c r="BR81" s="26">
        <f t="shared" si="81"/>
        <v>0</v>
      </c>
      <c r="BS81" s="26">
        <f t="shared" si="81"/>
        <v>0</v>
      </c>
      <c r="BT81" s="57">
        <f t="shared" si="71"/>
        <v>0</v>
      </c>
      <c r="BV81" s="52" t="e">
        <f>OR(Production!C81,Construction!N81:'Construction'!AF81,Construction!BV81:CN81,Explore!S81:Z81,Military!AF81:AL81,Military!X81,Military!BE81:BL81,Rezone!L81:R81,Magic!G81:Q81)</f>
        <v>#VALUE!</v>
      </c>
      <c r="BW81" s="527">
        <f t="shared" si="72"/>
        <v>0</v>
      </c>
      <c r="BX81" s="527"/>
      <c r="BY81" s="557">
        <f t="shared" si="82"/>
        <v>43695.249999999811</v>
      </c>
      <c r="BZ81" s="565">
        <f t="shared" si="74"/>
        <v>43695.083333333147</v>
      </c>
      <c r="CA81" s="529"/>
      <c r="CB81" s="807"/>
      <c r="CC81" s="812"/>
      <c r="CD81" s="170"/>
    </row>
    <row r="82" spans="1:84" s="16" customFormat="1">
      <c r="A82" s="513">
        <f>Construction!E82</f>
        <v>1000</v>
      </c>
      <c r="C82" s="56">
        <f ca="1">Production!H82</f>
        <v>3788940</v>
      </c>
      <c r="D82" s="26">
        <f ca="1">Production!J82</f>
        <v>273684</v>
      </c>
      <c r="E82" s="26">
        <f ca="1">Production!L82</f>
        <v>231000</v>
      </c>
      <c r="F82" s="57">
        <f ca="1">Production!M82</f>
        <v>20000</v>
      </c>
      <c r="G82" s="26"/>
      <c r="H82" s="56">
        <f ca="1">Military!Z82</f>
        <v>3695</v>
      </c>
      <c r="I82" s="540">
        <f ca="1">Population!I82</f>
        <v>1</v>
      </c>
      <c r="J82" s="165">
        <f ca="1">Population!F82/Population!U82</f>
        <v>1</v>
      </c>
      <c r="K82" s="1005">
        <f>Rezone!J82</f>
        <v>80</v>
      </c>
      <c r="L82" s="584">
        <f t="shared" si="84"/>
        <v>43695.291666666475</v>
      </c>
      <c r="M82" s="316">
        <f t="shared" si="83"/>
        <v>0</v>
      </c>
      <c r="N82" s="641">
        <f t="shared" si="58"/>
        <v>1000</v>
      </c>
      <c r="O82" s="423" t="s">
        <v>4</v>
      </c>
      <c r="P82" s="370"/>
      <c r="Q82" s="424" t="s">
        <v>223</v>
      </c>
      <c r="R82" s="423" t="s">
        <v>7</v>
      </c>
      <c r="S82" s="370"/>
      <c r="T82" s="424" t="s">
        <v>223</v>
      </c>
      <c r="U82" s="406" t="s">
        <v>3</v>
      </c>
      <c r="V82" s="407"/>
      <c r="W82" s="409" t="s">
        <v>223</v>
      </c>
      <c r="Y82" s="503">
        <f ca="1">science_cap*(1-EXP(-AF82/(science_param*($A83-Explore!$S83*20)+15000)))*(1+(mason_bonus*Construction!BB82/Construction!BS82))+IF(Overview!$B$14="Beastfolk",Construction!DA82/Construction!E82,0)*(1 + Production!O82/100*prestige_pop_multiplier)</f>
        <v>0</v>
      </c>
      <c r="Z82" s="455">
        <f ca="1">keep_cap*(1-EXP(-AG82/(keep_param*($A83-Explore!$S83*20)+15000)))*(1+(mason_bonus*Construction!BB82/Construction!BS82))+IF(Overview!$B$14="Beastfolk",Construction!DF82/Construction!E82,0)*(1 + Production!O82/100*prestige_pop_multiplier)</f>
        <v>0</v>
      </c>
      <c r="AA82" s="455">
        <f ca="1">harbor_towers_cap*(1-EXP(-AH82/(harbor_towers_param*($A83-Explore!$S83*20)+15000)))*(1+(mason_bonus*Construction!BB82/Construction!BS82))+IF(Overview!$B$14="Beastfolk",2*Construction!DC82/Construction!E82,0)*(1 + Production!O82/100*prestige_pop_multiplier)</f>
        <v>0</v>
      </c>
      <c r="AB82" s="455">
        <f ca="1">walls_forges_cap*(1-EXP(-AI82/(walls_forges_param*($A83-Explore!$S83*20)+15000)))*(1+(mason_bonus*Construction!BB82/Construction!BS82))+IF(Overview!$B$14="Beastfolk",0.2*Construction!CY82/Construction!E82,0)</f>
        <v>0</v>
      </c>
      <c r="AC82" s="455">
        <f ca="1">walls_forges_cap*(1-EXP(-AJ82/(walls_forges_param*($A83-Explore!$S83*20)+15000)))*(1+(mason_bonus*Construction!BB82/Construction!BS82))+IF(Overview!$B$14="Beastfolk",5*Construction!DB82/Construction!E82,0)</f>
        <v>0</v>
      </c>
      <c r="AD82" s="171">
        <f ca="1">harbor_towers_cap*(1-EXP(-AK82/(harbor_towers_param*($A83-Explore!$S83*20)+15000)))*(1+(mason_bonus*Construction!BB82/Construction!BS82))+IF(Overview!$B$14="Beastfolk",Construction!DE82/Construction!E82)*(1 + Production!O82/100*prestige_pop_multiplier)</f>
        <v>0</v>
      </c>
      <c r="AF82" s="56">
        <f ca="1">(1+Overview!$O$28+IF(Magic!BA82&gt;0,0.1,0))*SUM(AR82:AU82)</f>
        <v>0</v>
      </c>
      <c r="AG82" s="26">
        <f ca="1">(1+Overview!$O$28+IF(Magic!BA82&gt;0,0.1,0))*SUM(AW82:AZ82)</f>
        <v>0</v>
      </c>
      <c r="AH82" s="164">
        <f ca="1">(1+Overview!$O$28+IF(Magic!BA82&gt;0,0.1,0))*SUM(BB82:BE82)</f>
        <v>0</v>
      </c>
      <c r="AI82" s="164">
        <f ca="1">(1+Overview!$O$28+IF(Magic!BA82&gt;0,0.1,0))*SUM(BG82:BJ82)</f>
        <v>0</v>
      </c>
      <c r="AJ82" s="164">
        <f ca="1">(1+Overview!$O$28+IF(Magic!BA82&gt;0,0.1,0))*SUM(BL82:BO82)</f>
        <v>0</v>
      </c>
      <c r="AK82" s="166">
        <f ca="1">(1+Overview!$O$28+IF(Magic!BA82&gt;0,0.1,0))*SUM(BQ82:BT82)</f>
        <v>0</v>
      </c>
      <c r="AM82" s="52">
        <f t="shared" si="76"/>
        <v>0</v>
      </c>
      <c r="AN82" s="16">
        <f t="shared" si="76"/>
        <v>0</v>
      </c>
      <c r="AO82" s="16">
        <f t="shared" si="76"/>
        <v>0</v>
      </c>
      <c r="AP82" s="53">
        <f t="shared" si="76"/>
        <v>0</v>
      </c>
      <c r="AR82" s="56">
        <f t="shared" si="59"/>
        <v>0</v>
      </c>
      <c r="AS82" s="26">
        <f t="shared" si="77"/>
        <v>0</v>
      </c>
      <c r="AT82" s="26">
        <f t="shared" si="77"/>
        <v>0</v>
      </c>
      <c r="AU82" s="57">
        <f t="shared" si="60"/>
        <v>0</v>
      </c>
      <c r="AW82" s="56">
        <f t="shared" si="61"/>
        <v>0</v>
      </c>
      <c r="AX82" s="26">
        <f t="shared" si="78"/>
        <v>0</v>
      </c>
      <c r="AY82" s="26">
        <f t="shared" si="78"/>
        <v>0</v>
      </c>
      <c r="AZ82" s="57">
        <f t="shared" si="62"/>
        <v>0</v>
      </c>
      <c r="BB82" s="56">
        <f t="shared" si="63"/>
        <v>0</v>
      </c>
      <c r="BC82" s="26">
        <f t="shared" si="64"/>
        <v>0</v>
      </c>
      <c r="BD82" s="26">
        <f t="shared" si="75"/>
        <v>0</v>
      </c>
      <c r="BE82" s="57">
        <f t="shared" si="65"/>
        <v>0</v>
      </c>
      <c r="BG82" s="56">
        <f t="shared" si="66"/>
        <v>0</v>
      </c>
      <c r="BH82" s="26">
        <f t="shared" si="79"/>
        <v>0</v>
      </c>
      <c r="BI82" s="26">
        <f t="shared" si="79"/>
        <v>0</v>
      </c>
      <c r="BJ82" s="57">
        <f t="shared" si="67"/>
        <v>0</v>
      </c>
      <c r="BL82" s="56">
        <f t="shared" si="68"/>
        <v>0</v>
      </c>
      <c r="BM82" s="26">
        <f t="shared" si="80"/>
        <v>0</v>
      </c>
      <c r="BN82" s="26">
        <f t="shared" si="80"/>
        <v>0</v>
      </c>
      <c r="BO82" s="57">
        <f t="shared" si="69"/>
        <v>0</v>
      </c>
      <c r="BQ82" s="56">
        <f t="shared" si="70"/>
        <v>0</v>
      </c>
      <c r="BR82" s="26">
        <f t="shared" si="81"/>
        <v>0</v>
      </c>
      <c r="BS82" s="26">
        <f t="shared" si="81"/>
        <v>0</v>
      </c>
      <c r="BT82" s="57">
        <f t="shared" si="71"/>
        <v>0</v>
      </c>
      <c r="BV82" s="52" t="e">
        <f>OR(Production!C82,Construction!N82:'Construction'!AF82,Construction!BV82:CN82,Explore!S82:Z82,Military!AF82:AL82,Military!X82,Military!BE82:BL82,Rezone!L82:R82,Magic!G82:Q82)</f>
        <v>#VALUE!</v>
      </c>
      <c r="BW82" s="527">
        <f t="shared" si="72"/>
        <v>0</v>
      </c>
      <c r="BX82" s="527"/>
      <c r="BY82" s="557">
        <f t="shared" si="82"/>
        <v>43695.291666666475</v>
      </c>
      <c r="BZ82" s="565">
        <f t="shared" si="74"/>
        <v>43695.124999999811</v>
      </c>
      <c r="CA82" s="529"/>
      <c r="CB82" s="807"/>
      <c r="CC82" s="812"/>
      <c r="CD82" s="170"/>
    </row>
    <row r="83" spans="1:84" s="16" customFormat="1">
      <c r="A83" s="513">
        <f>Construction!E83</f>
        <v>1000</v>
      </c>
      <c r="C83" s="56">
        <f ca="1">Production!H83</f>
        <v>3799591</v>
      </c>
      <c r="D83" s="26">
        <f ca="1">Production!J83</f>
        <v>273447</v>
      </c>
      <c r="E83" s="26">
        <f ca="1">Production!L83</f>
        <v>231000</v>
      </c>
      <c r="F83" s="57">
        <f ca="1">Production!M83</f>
        <v>20000</v>
      </c>
      <c r="G83" s="26"/>
      <c r="H83" s="56">
        <f ca="1">Military!Z83</f>
        <v>3695</v>
      </c>
      <c r="I83" s="540">
        <f ca="1">Population!I83</f>
        <v>1</v>
      </c>
      <c r="J83" s="165">
        <f ca="1">Population!F83/Population!U83</f>
        <v>1</v>
      </c>
      <c r="K83" s="1005">
        <f>Rezone!J83</f>
        <v>81</v>
      </c>
      <c r="L83" s="584">
        <f t="shared" si="84"/>
        <v>43695.333333333139</v>
      </c>
      <c r="M83" s="316">
        <f t="shared" si="83"/>
        <v>0</v>
      </c>
      <c r="N83" s="641">
        <f t="shared" si="58"/>
        <v>1000</v>
      </c>
      <c r="O83" s="423" t="s">
        <v>4</v>
      </c>
      <c r="P83" s="370"/>
      <c r="Q83" s="424" t="s">
        <v>223</v>
      </c>
      <c r="R83" s="423" t="s">
        <v>7</v>
      </c>
      <c r="S83" s="370"/>
      <c r="T83" s="424" t="s">
        <v>223</v>
      </c>
      <c r="U83" s="406" t="s">
        <v>3</v>
      </c>
      <c r="V83" s="407"/>
      <c r="W83" s="409" t="s">
        <v>223</v>
      </c>
      <c r="Y83" s="503">
        <f ca="1">science_cap*(1-EXP(-AF83/(science_param*($A84-Explore!$S84*20)+15000)))*(1+(mason_bonus*Construction!BB83/Construction!BS83))+IF(Overview!$B$14="Beastfolk",Construction!DA83/Construction!E83,0)*(1 + Production!O83/100*prestige_pop_multiplier)</f>
        <v>0</v>
      </c>
      <c r="Z83" s="455">
        <f ca="1">keep_cap*(1-EXP(-AG83/(keep_param*($A84-Explore!$S84*20)+15000)))*(1+(mason_bonus*Construction!BB83/Construction!BS83))+IF(Overview!$B$14="Beastfolk",Construction!DF83/Construction!E83,0)*(1 + Production!O83/100*prestige_pop_multiplier)</f>
        <v>0</v>
      </c>
      <c r="AA83" s="455">
        <f ca="1">harbor_towers_cap*(1-EXP(-AH83/(harbor_towers_param*($A84-Explore!$S84*20)+15000)))*(1+(mason_bonus*Construction!BB83/Construction!BS83))+IF(Overview!$B$14="Beastfolk",2*Construction!DC83/Construction!E83,0)*(1 + Production!O83/100*prestige_pop_multiplier)</f>
        <v>0</v>
      </c>
      <c r="AB83" s="455">
        <f ca="1">walls_forges_cap*(1-EXP(-AI83/(walls_forges_param*($A84-Explore!$S84*20)+15000)))*(1+(mason_bonus*Construction!BB83/Construction!BS83))+IF(Overview!$B$14="Beastfolk",0.2*Construction!CY83/Construction!E83,0)</f>
        <v>0</v>
      </c>
      <c r="AC83" s="455">
        <f ca="1">walls_forges_cap*(1-EXP(-AJ83/(walls_forges_param*($A84-Explore!$S84*20)+15000)))*(1+(mason_bonus*Construction!BB83/Construction!BS83))+IF(Overview!$B$14="Beastfolk",5*Construction!DB83/Construction!E83,0)</f>
        <v>0</v>
      </c>
      <c r="AD83" s="171">
        <f ca="1">harbor_towers_cap*(1-EXP(-AK83/(harbor_towers_param*($A84-Explore!$S84*20)+15000)))*(1+(mason_bonus*Construction!BB83/Construction!BS83))+IF(Overview!$B$14="Beastfolk",Construction!DE83/Construction!E83)*(1 + Production!O83/100*prestige_pop_multiplier)</f>
        <v>0</v>
      </c>
      <c r="AF83" s="56">
        <f ca="1">(1+Overview!$O$28+IF(Magic!BA83&gt;0,0.1,0))*SUM(AR83:AU83)</f>
        <v>0</v>
      </c>
      <c r="AG83" s="26">
        <f ca="1">(1+Overview!$O$28+IF(Magic!BA83&gt;0,0.1,0))*SUM(AW83:AZ83)</f>
        <v>0</v>
      </c>
      <c r="AH83" s="164">
        <f ca="1">(1+Overview!$O$28+IF(Magic!BA83&gt;0,0.1,0))*SUM(BB83:BE83)</f>
        <v>0</v>
      </c>
      <c r="AI83" s="164">
        <f ca="1">(1+Overview!$O$28+IF(Magic!BA83&gt;0,0.1,0))*SUM(BG83:BJ83)</f>
        <v>0</v>
      </c>
      <c r="AJ83" s="164">
        <f ca="1">(1+Overview!$O$28+IF(Magic!BA83&gt;0,0.1,0))*SUM(BL83:BO83)</f>
        <v>0</v>
      </c>
      <c r="AK83" s="166">
        <f ca="1">(1+Overview!$O$28+IF(Magic!BA83&gt;0,0.1,0))*SUM(BQ83:BT83)</f>
        <v>0</v>
      </c>
      <c r="AM83" s="52">
        <f t="shared" si="76"/>
        <v>0</v>
      </c>
      <c r="AN83" s="16">
        <f t="shared" si="76"/>
        <v>0</v>
      </c>
      <c r="AO83" s="16">
        <f t="shared" si="76"/>
        <v>0</v>
      </c>
      <c r="AP83" s="53">
        <f t="shared" si="76"/>
        <v>0</v>
      </c>
      <c r="AR83" s="56">
        <f t="shared" si="59"/>
        <v>0</v>
      </c>
      <c r="AS83" s="26">
        <f t="shared" si="77"/>
        <v>0</v>
      </c>
      <c r="AT83" s="26">
        <f t="shared" si="77"/>
        <v>0</v>
      </c>
      <c r="AU83" s="57">
        <f t="shared" si="60"/>
        <v>0</v>
      </c>
      <c r="AW83" s="56">
        <f t="shared" si="61"/>
        <v>0</v>
      </c>
      <c r="AX83" s="26">
        <f t="shared" si="78"/>
        <v>0</v>
      </c>
      <c r="AY83" s="26">
        <f t="shared" si="78"/>
        <v>0</v>
      </c>
      <c r="AZ83" s="57">
        <f t="shared" si="62"/>
        <v>0</v>
      </c>
      <c r="BB83" s="56">
        <f t="shared" si="63"/>
        <v>0</v>
      </c>
      <c r="BC83" s="26">
        <f t="shared" si="64"/>
        <v>0</v>
      </c>
      <c r="BD83" s="26">
        <f t="shared" si="75"/>
        <v>0</v>
      </c>
      <c r="BE83" s="57">
        <f t="shared" si="65"/>
        <v>0</v>
      </c>
      <c r="BG83" s="56">
        <f t="shared" si="66"/>
        <v>0</v>
      </c>
      <c r="BH83" s="26">
        <f t="shared" si="79"/>
        <v>0</v>
      </c>
      <c r="BI83" s="26">
        <f t="shared" si="79"/>
        <v>0</v>
      </c>
      <c r="BJ83" s="57">
        <f t="shared" si="67"/>
        <v>0</v>
      </c>
      <c r="BL83" s="56">
        <f t="shared" si="68"/>
        <v>0</v>
      </c>
      <c r="BM83" s="26">
        <f t="shared" si="80"/>
        <v>0</v>
      </c>
      <c r="BN83" s="26">
        <f t="shared" si="80"/>
        <v>0</v>
      </c>
      <c r="BO83" s="57">
        <f t="shared" si="69"/>
        <v>0</v>
      </c>
      <c r="BQ83" s="56">
        <f t="shared" si="70"/>
        <v>0</v>
      </c>
      <c r="BR83" s="26">
        <f t="shared" si="81"/>
        <v>0</v>
      </c>
      <c r="BS83" s="26">
        <f t="shared" si="81"/>
        <v>0</v>
      </c>
      <c r="BT83" s="57">
        <f t="shared" si="71"/>
        <v>0</v>
      </c>
      <c r="BV83" s="52" t="e">
        <f>OR(Production!C83,Construction!N83:'Construction'!AF83,Construction!BV83:CN83,Explore!S83:Z83,Military!AF83:AL83,Military!X83,Military!BE83:BL83,Rezone!L83:R83,Magic!G83:Q83)</f>
        <v>#VALUE!</v>
      </c>
      <c r="BW83" s="527">
        <f t="shared" si="72"/>
        <v>0</v>
      </c>
      <c r="BX83" s="527"/>
      <c r="BY83" s="557">
        <f t="shared" si="82"/>
        <v>43695.333333333139</v>
      </c>
      <c r="BZ83" s="565">
        <f t="shared" si="74"/>
        <v>43695.166666666475</v>
      </c>
      <c r="CA83" s="529"/>
      <c r="CB83" s="807"/>
      <c r="CC83" s="812"/>
      <c r="CD83" s="170"/>
    </row>
    <row r="84" spans="1:84" s="16" customFormat="1">
      <c r="A84" s="513">
        <f>Construction!E84</f>
        <v>1000</v>
      </c>
      <c r="C84" s="56">
        <f ca="1">Production!H84</f>
        <v>3810242</v>
      </c>
      <c r="D84" s="26">
        <f ca="1">Production!J84</f>
        <v>273213</v>
      </c>
      <c r="E84" s="26">
        <f ca="1">Production!L84</f>
        <v>231000</v>
      </c>
      <c r="F84" s="57">
        <f ca="1">Production!M84</f>
        <v>20000</v>
      </c>
      <c r="G84" s="26"/>
      <c r="H84" s="56">
        <f ca="1">Military!Z84</f>
        <v>3695</v>
      </c>
      <c r="I84" s="540">
        <f ca="1">Population!I84</f>
        <v>1</v>
      </c>
      <c r="J84" s="165">
        <f ca="1">Population!F84/Population!U84</f>
        <v>1</v>
      </c>
      <c r="K84" s="1005">
        <f>Rezone!J84</f>
        <v>82</v>
      </c>
      <c r="L84" s="584">
        <f t="shared" si="84"/>
        <v>43695.374999999804</v>
      </c>
      <c r="M84" s="316">
        <f t="shared" si="83"/>
        <v>0</v>
      </c>
      <c r="N84" s="641">
        <f t="shared" si="58"/>
        <v>1000</v>
      </c>
      <c r="O84" s="423" t="s">
        <v>4</v>
      </c>
      <c r="P84" s="370"/>
      <c r="Q84" s="424" t="s">
        <v>223</v>
      </c>
      <c r="R84" s="423" t="s">
        <v>7</v>
      </c>
      <c r="S84" s="370"/>
      <c r="T84" s="425" t="s">
        <v>223</v>
      </c>
      <c r="U84" s="408" t="s">
        <v>3</v>
      </c>
      <c r="V84" s="407"/>
      <c r="W84" s="409" t="s">
        <v>223</v>
      </c>
      <c r="Y84" s="503">
        <f ca="1">science_cap*(1-EXP(-AF84/(science_param*($A85-Explore!$S85*20)+15000)))*(1+(mason_bonus*Construction!BB84/Construction!BS84))+IF(Overview!$B$14="Beastfolk",Construction!DA84/Construction!E84,0)*(1 + Production!O84/100*prestige_pop_multiplier)</f>
        <v>0</v>
      </c>
      <c r="Z84" s="455">
        <f ca="1">keep_cap*(1-EXP(-AG84/(keep_param*($A85-Explore!$S85*20)+15000)))*(1+(mason_bonus*Construction!BB84/Construction!BS84))+IF(Overview!$B$14="Beastfolk",Construction!DF84/Construction!E84,0)*(1 + Production!O84/100*prestige_pop_multiplier)</f>
        <v>0</v>
      </c>
      <c r="AA84" s="455">
        <f ca="1">harbor_towers_cap*(1-EXP(-AH84/(harbor_towers_param*($A85-Explore!$S85*20)+15000)))*(1+(mason_bonus*Construction!BB84/Construction!BS84))+IF(Overview!$B$14="Beastfolk",2*Construction!DC84/Construction!E84,0)*(1 + Production!O84/100*prestige_pop_multiplier)</f>
        <v>0</v>
      </c>
      <c r="AB84" s="455">
        <f ca="1">walls_forges_cap*(1-EXP(-AI84/(walls_forges_param*($A85-Explore!$S85*20)+15000)))*(1+(mason_bonus*Construction!BB84/Construction!BS84))+IF(Overview!$B$14="Beastfolk",0.2*Construction!CY84/Construction!E84,0)</f>
        <v>0</v>
      </c>
      <c r="AC84" s="455">
        <f ca="1">walls_forges_cap*(1-EXP(-AJ84/(walls_forges_param*($A85-Explore!$S85*20)+15000)))*(1+(mason_bonus*Construction!BB84/Construction!BS84))+IF(Overview!$B$14="Beastfolk",5*Construction!DB84/Construction!E84,0)</f>
        <v>0</v>
      </c>
      <c r="AD84" s="171">
        <f ca="1">harbor_towers_cap*(1-EXP(-AK84/(harbor_towers_param*($A85-Explore!$S85*20)+15000)))*(1+(mason_bonus*Construction!BB84/Construction!BS84))+IF(Overview!$B$14="Beastfolk",Construction!DE84/Construction!E84)*(1 + Production!O84/100*prestige_pop_multiplier)</f>
        <v>0</v>
      </c>
      <c r="AF84" s="56">
        <f ca="1">(1+Overview!$O$28+IF(Magic!BA84&gt;0,0.1,0))*SUM(AR84:AU84)</f>
        <v>0</v>
      </c>
      <c r="AG84" s="26">
        <f ca="1">(1+Overview!$O$28+IF(Magic!BA84&gt;0,0.1,0))*SUM(AW84:AZ84)</f>
        <v>0</v>
      </c>
      <c r="AH84" s="164">
        <f ca="1">(1+Overview!$O$28+IF(Magic!BA84&gt;0,0.1,0))*SUM(BB84:BE84)</f>
        <v>0</v>
      </c>
      <c r="AI84" s="164">
        <f ca="1">(1+Overview!$O$28+IF(Magic!BA84&gt;0,0.1,0))*SUM(BG84:BJ84)</f>
        <v>0</v>
      </c>
      <c r="AJ84" s="164">
        <f ca="1">(1+Overview!$O$28+IF(Magic!BA84&gt;0,0.1,0))*SUM(BL84:BO84)</f>
        <v>0</v>
      </c>
      <c r="AK84" s="166">
        <f ca="1">(1+Overview!$O$28+IF(Magic!BA84&gt;0,0.1,0))*SUM(BQ84:BT84)</f>
        <v>0</v>
      </c>
      <c r="AM84" s="52">
        <f t="shared" si="76"/>
        <v>0</v>
      </c>
      <c r="AN84" s="16">
        <f t="shared" si="76"/>
        <v>0</v>
      </c>
      <c r="AO84" s="16">
        <f t="shared" si="76"/>
        <v>0</v>
      </c>
      <c r="AP84" s="53">
        <f t="shared" si="76"/>
        <v>0</v>
      </c>
      <c r="AR84" s="56">
        <f t="shared" si="59"/>
        <v>0</v>
      </c>
      <c r="AS84" s="26">
        <f t="shared" si="77"/>
        <v>0</v>
      </c>
      <c r="AT84" s="26">
        <f t="shared" si="77"/>
        <v>0</v>
      </c>
      <c r="AU84" s="57">
        <f t="shared" si="60"/>
        <v>0</v>
      </c>
      <c r="AW84" s="56">
        <f t="shared" si="61"/>
        <v>0</v>
      </c>
      <c r="AX84" s="26">
        <f t="shared" si="78"/>
        <v>0</v>
      </c>
      <c r="AY84" s="26">
        <f t="shared" si="78"/>
        <v>0</v>
      </c>
      <c r="AZ84" s="57">
        <f t="shared" si="62"/>
        <v>0</v>
      </c>
      <c r="BB84" s="56">
        <f t="shared" si="63"/>
        <v>0</v>
      </c>
      <c r="BC84" s="26">
        <f t="shared" si="64"/>
        <v>0</v>
      </c>
      <c r="BD84" s="26">
        <f t="shared" si="75"/>
        <v>0</v>
      </c>
      <c r="BE84" s="57">
        <f t="shared" si="65"/>
        <v>0</v>
      </c>
      <c r="BG84" s="56">
        <f t="shared" si="66"/>
        <v>0</v>
      </c>
      <c r="BH84" s="26">
        <f t="shared" si="79"/>
        <v>0</v>
      </c>
      <c r="BI84" s="26">
        <f t="shared" si="79"/>
        <v>0</v>
      </c>
      <c r="BJ84" s="57">
        <f t="shared" si="67"/>
        <v>0</v>
      </c>
      <c r="BL84" s="56">
        <f t="shared" si="68"/>
        <v>0</v>
      </c>
      <c r="BM84" s="26">
        <f t="shared" si="80"/>
        <v>0</v>
      </c>
      <c r="BN84" s="26">
        <f t="shared" si="80"/>
        <v>0</v>
      </c>
      <c r="BO84" s="57">
        <f t="shared" si="69"/>
        <v>0</v>
      </c>
      <c r="BQ84" s="56">
        <f t="shared" si="70"/>
        <v>0</v>
      </c>
      <c r="BR84" s="26">
        <f t="shared" si="81"/>
        <v>0</v>
      </c>
      <c r="BS84" s="26">
        <f t="shared" si="81"/>
        <v>0</v>
      </c>
      <c r="BT84" s="57">
        <f t="shared" si="71"/>
        <v>0</v>
      </c>
      <c r="BV84" s="52" t="e">
        <f>OR(Production!C84,Construction!N84:'Construction'!AF84,Construction!BV84:CN84,Explore!S84:Z84,Military!AF84:AL84,Military!X84,Military!BE84:BL84,Rezone!L84:R84,Magic!G84:Q84)</f>
        <v>#VALUE!</v>
      </c>
      <c r="BW84" s="527">
        <f t="shared" si="72"/>
        <v>0</v>
      </c>
      <c r="BX84" s="527"/>
      <c r="BY84" s="557">
        <f t="shared" si="82"/>
        <v>43695.374999999804</v>
      </c>
      <c r="BZ84" s="565">
        <f t="shared" si="74"/>
        <v>43695.208333333139</v>
      </c>
      <c r="CA84" s="529"/>
      <c r="CB84" s="807"/>
      <c r="CC84" s="812"/>
      <c r="CD84" s="170"/>
    </row>
    <row r="85" spans="1:84" s="16" customFormat="1">
      <c r="A85" s="513">
        <f>Construction!E85</f>
        <v>1000</v>
      </c>
      <c r="C85" s="56">
        <f ca="1">Production!H85</f>
        <v>3820893</v>
      </c>
      <c r="D85" s="26">
        <f ca="1">Production!J85</f>
        <v>272981</v>
      </c>
      <c r="E85" s="26">
        <f ca="1">Production!L85</f>
        <v>231000</v>
      </c>
      <c r="F85" s="57">
        <f ca="1">Production!M85</f>
        <v>20000</v>
      </c>
      <c r="G85" s="26"/>
      <c r="H85" s="56">
        <f ca="1">Military!Z85</f>
        <v>3695</v>
      </c>
      <c r="I85" s="540">
        <f ca="1">Population!I85</f>
        <v>1</v>
      </c>
      <c r="J85" s="165">
        <f ca="1">Population!F85/Population!U85</f>
        <v>1</v>
      </c>
      <c r="K85" s="1005">
        <f>Rezone!J85</f>
        <v>83</v>
      </c>
      <c r="L85" s="584">
        <f t="shared" si="84"/>
        <v>43695.416666666468</v>
      </c>
      <c r="M85" s="316">
        <f t="shared" si="83"/>
        <v>0</v>
      </c>
      <c r="N85" s="641">
        <f t="shared" si="58"/>
        <v>1000</v>
      </c>
      <c r="O85" s="423" t="s">
        <v>4</v>
      </c>
      <c r="P85" s="370"/>
      <c r="Q85" s="424" t="s">
        <v>223</v>
      </c>
      <c r="R85" s="423" t="s">
        <v>7</v>
      </c>
      <c r="S85" s="370"/>
      <c r="T85" s="425" t="s">
        <v>223</v>
      </c>
      <c r="U85" s="408" t="s">
        <v>3</v>
      </c>
      <c r="V85" s="407"/>
      <c r="W85" s="409" t="s">
        <v>223</v>
      </c>
      <c r="Y85" s="503">
        <f ca="1">science_cap*(1-EXP(-AF85/(science_param*($A86-Explore!$S86*20)+15000)))*(1+(mason_bonus*Construction!BB85/Construction!BS85))+IF(Overview!$B$14="Beastfolk",Construction!DA85/Construction!E85,0)*(1 + Production!O85/100*prestige_pop_multiplier)</f>
        <v>0</v>
      </c>
      <c r="Z85" s="455">
        <f ca="1">keep_cap*(1-EXP(-AG85/(keep_param*($A86-Explore!$S86*20)+15000)))*(1+(mason_bonus*Construction!BB85/Construction!BS85))+IF(Overview!$B$14="Beastfolk",Construction!DF85/Construction!E85,0)*(1 + Production!O85/100*prestige_pop_multiplier)</f>
        <v>0</v>
      </c>
      <c r="AA85" s="455">
        <f ca="1">harbor_towers_cap*(1-EXP(-AH85/(harbor_towers_param*($A86-Explore!$S86*20)+15000)))*(1+(mason_bonus*Construction!BB85/Construction!BS85))+IF(Overview!$B$14="Beastfolk",2*Construction!DC85/Construction!E85,0)*(1 + Production!O85/100*prestige_pop_multiplier)</f>
        <v>0</v>
      </c>
      <c r="AB85" s="455">
        <f ca="1">walls_forges_cap*(1-EXP(-AI85/(walls_forges_param*($A86-Explore!$S86*20)+15000)))*(1+(mason_bonus*Construction!BB85/Construction!BS85))+IF(Overview!$B$14="Beastfolk",0.2*Construction!CY85/Construction!E85,0)</f>
        <v>0</v>
      </c>
      <c r="AC85" s="455">
        <f ca="1">walls_forges_cap*(1-EXP(-AJ85/(walls_forges_param*($A86-Explore!$S86*20)+15000)))*(1+(mason_bonus*Construction!BB85/Construction!BS85))+IF(Overview!$B$14="Beastfolk",5*Construction!DB85/Construction!E85,0)</f>
        <v>0</v>
      </c>
      <c r="AD85" s="171">
        <f ca="1">harbor_towers_cap*(1-EXP(-AK85/(harbor_towers_param*($A86-Explore!$S86*20)+15000)))*(1+(mason_bonus*Construction!BB85/Construction!BS85))+IF(Overview!$B$14="Beastfolk",Construction!DE85/Construction!E85)*(1 + Production!O85/100*prestige_pop_multiplier)</f>
        <v>0</v>
      </c>
      <c r="AF85" s="56">
        <f ca="1">(1+Overview!$O$28+IF(Magic!BA85&gt;0,0.1,0))*SUM(AR85:AU85)</f>
        <v>0</v>
      </c>
      <c r="AG85" s="26">
        <f ca="1">(1+Overview!$O$28+IF(Magic!BA85&gt;0,0.1,0))*SUM(AW85:AZ85)</f>
        <v>0</v>
      </c>
      <c r="AH85" s="164">
        <f ca="1">(1+Overview!$O$28+IF(Magic!BA85&gt;0,0.1,0))*SUM(BB85:BE85)</f>
        <v>0</v>
      </c>
      <c r="AI85" s="164">
        <f ca="1">(1+Overview!$O$28+IF(Magic!BA85&gt;0,0.1,0))*SUM(BG85:BJ85)</f>
        <v>0</v>
      </c>
      <c r="AJ85" s="164">
        <f ca="1">(1+Overview!$O$28+IF(Magic!BA85&gt;0,0.1,0))*SUM(BL85:BO85)</f>
        <v>0</v>
      </c>
      <c r="AK85" s="166">
        <f ca="1">(1+Overview!$O$28+IF(Magic!BA85&gt;0,0.1,0))*SUM(BQ85:BT85)</f>
        <v>0</v>
      </c>
      <c r="AM85" s="52">
        <f t="shared" si="76"/>
        <v>0</v>
      </c>
      <c r="AN85" s="16">
        <f t="shared" si="76"/>
        <v>0</v>
      </c>
      <c r="AO85" s="16">
        <f t="shared" si="76"/>
        <v>0</v>
      </c>
      <c r="AP85" s="53">
        <f t="shared" si="76"/>
        <v>0</v>
      </c>
      <c r="AR85" s="56">
        <f t="shared" si="59"/>
        <v>0</v>
      </c>
      <c r="AS85" s="26">
        <f t="shared" si="77"/>
        <v>0</v>
      </c>
      <c r="AT85" s="26">
        <f t="shared" si="77"/>
        <v>0</v>
      </c>
      <c r="AU85" s="57">
        <f t="shared" si="60"/>
        <v>0</v>
      </c>
      <c r="AW85" s="56">
        <f t="shared" si="61"/>
        <v>0</v>
      </c>
      <c r="AX85" s="26">
        <f t="shared" si="78"/>
        <v>0</v>
      </c>
      <c r="AY85" s="26">
        <f t="shared" si="78"/>
        <v>0</v>
      </c>
      <c r="AZ85" s="57">
        <f t="shared" si="62"/>
        <v>0</v>
      </c>
      <c r="BB85" s="56">
        <f t="shared" si="63"/>
        <v>0</v>
      </c>
      <c r="BC85" s="26">
        <f t="shared" si="64"/>
        <v>0</v>
      </c>
      <c r="BD85" s="26">
        <f t="shared" si="75"/>
        <v>0</v>
      </c>
      <c r="BE85" s="57">
        <f t="shared" si="65"/>
        <v>0</v>
      </c>
      <c r="BG85" s="56">
        <f t="shared" si="66"/>
        <v>0</v>
      </c>
      <c r="BH85" s="26">
        <f t="shared" si="79"/>
        <v>0</v>
      </c>
      <c r="BI85" s="26">
        <f t="shared" si="79"/>
        <v>0</v>
      </c>
      <c r="BJ85" s="57">
        <f t="shared" si="67"/>
        <v>0</v>
      </c>
      <c r="BL85" s="56">
        <f t="shared" si="68"/>
        <v>0</v>
      </c>
      <c r="BM85" s="26">
        <f t="shared" si="80"/>
        <v>0</v>
      </c>
      <c r="BN85" s="26">
        <f t="shared" si="80"/>
        <v>0</v>
      </c>
      <c r="BO85" s="57">
        <f t="shared" si="69"/>
        <v>0</v>
      </c>
      <c r="BQ85" s="56">
        <f t="shared" si="70"/>
        <v>0</v>
      </c>
      <c r="BR85" s="26">
        <f t="shared" si="81"/>
        <v>0</v>
      </c>
      <c r="BS85" s="26">
        <f t="shared" si="81"/>
        <v>0</v>
      </c>
      <c r="BT85" s="57">
        <f t="shared" si="71"/>
        <v>0</v>
      </c>
      <c r="BV85" s="52" t="e">
        <f>OR(Production!C85,Construction!N85:'Construction'!AF85,Construction!BV85:CN85,Explore!S85:Z85,Military!AF85:AL85,Military!X85,Military!BE85:BL85,Rezone!L85:R85,Magic!G85:Q85)</f>
        <v>#VALUE!</v>
      </c>
      <c r="BW85" s="527">
        <f t="shared" si="72"/>
        <v>0</v>
      </c>
      <c r="BX85" s="527"/>
      <c r="BY85" s="557">
        <f t="shared" si="82"/>
        <v>43695.416666666468</v>
      </c>
      <c r="BZ85" s="565">
        <f t="shared" si="74"/>
        <v>43695.249999999804</v>
      </c>
      <c r="CA85" s="529"/>
      <c r="CB85" s="807"/>
      <c r="CC85" s="812"/>
      <c r="CD85" s="170"/>
    </row>
    <row r="86" spans="1:84" s="170" customFormat="1">
      <c r="A86" s="510">
        <f>Construction!E86</f>
        <v>1000</v>
      </c>
      <c r="C86" s="152">
        <f ca="1">Production!H86</f>
        <v>3831544</v>
      </c>
      <c r="D86" s="164">
        <f ca="1">Production!J86</f>
        <v>272751</v>
      </c>
      <c r="E86" s="164">
        <f ca="1">Production!L86</f>
        <v>231000</v>
      </c>
      <c r="F86" s="166">
        <f ca="1">Production!M86</f>
        <v>20000</v>
      </c>
      <c r="G86" s="164"/>
      <c r="H86" s="152">
        <f ca="1">Military!Z86</f>
        <v>3695</v>
      </c>
      <c r="I86" s="540">
        <f ca="1">Population!I86</f>
        <v>1</v>
      </c>
      <c r="J86" s="165">
        <f ca="1">Population!F86/Population!U86</f>
        <v>1</v>
      </c>
      <c r="K86" s="1005">
        <f>Rezone!J86</f>
        <v>84</v>
      </c>
      <c r="L86" s="584">
        <f t="shared" si="84"/>
        <v>43695.458333333132</v>
      </c>
      <c r="M86" s="649">
        <f t="shared" si="83"/>
        <v>0</v>
      </c>
      <c r="N86" s="531">
        <f t="shared" si="58"/>
        <v>1000</v>
      </c>
      <c r="O86" s="406" t="s">
        <v>4</v>
      </c>
      <c r="P86" s="370"/>
      <c r="Q86" s="408" t="s">
        <v>223</v>
      </c>
      <c r="R86" s="423" t="s">
        <v>7</v>
      </c>
      <c r="S86" s="370"/>
      <c r="T86" s="408" t="s">
        <v>223</v>
      </c>
      <c r="U86" s="406" t="s">
        <v>3</v>
      </c>
      <c r="V86" s="407"/>
      <c r="W86" s="409" t="s">
        <v>223</v>
      </c>
      <c r="Y86" s="503">
        <f ca="1">science_cap*(1-EXP(-AF86/(science_param*($A87-Explore!$S87*20)+15000)))*(1+(mason_bonus*Construction!BB86/Construction!BS86))+IF(Overview!$B$14="Beastfolk",Construction!DA86/Construction!E86,0)*(1 + Production!O86/100*prestige_pop_multiplier)</f>
        <v>0</v>
      </c>
      <c r="Z86" s="455">
        <f ca="1">keep_cap*(1-EXP(-AG86/(keep_param*($A87-Explore!$S87*20)+15000)))*(1+(mason_bonus*Construction!BB86/Construction!BS86))+IF(Overview!$B$14="Beastfolk",Construction!DF86/Construction!E86,0)*(1 + Production!O86/100*prestige_pop_multiplier)</f>
        <v>0</v>
      </c>
      <c r="AA86" s="455">
        <f ca="1">harbor_towers_cap*(1-EXP(-AH86/(harbor_towers_param*($A87-Explore!$S87*20)+15000)))*(1+(mason_bonus*Construction!BB86/Construction!BS86))+IF(Overview!$B$14="Beastfolk",2*Construction!DC86/Construction!E86,0)*(1 + Production!O86/100*prestige_pop_multiplier)</f>
        <v>0</v>
      </c>
      <c r="AB86" s="455">
        <f ca="1">walls_forges_cap*(1-EXP(-AI86/(walls_forges_param*($A87-Explore!$S87*20)+15000)))*(1+(mason_bonus*Construction!BB86/Construction!BS86))+IF(Overview!$B$14="Beastfolk",0.2*Construction!CY86/Construction!E86,0)</f>
        <v>0</v>
      </c>
      <c r="AC86" s="455">
        <f ca="1">walls_forges_cap*(1-EXP(-AJ86/(walls_forges_param*($A87-Explore!$S87*20)+15000)))*(1+(mason_bonus*Construction!BB86/Construction!BS86))+IF(Overview!$B$14="Beastfolk",5*Construction!DB86/Construction!E86,0)</f>
        <v>0</v>
      </c>
      <c r="AD86" s="171">
        <f ca="1">harbor_towers_cap*(1-EXP(-AK86/(harbor_towers_param*($A87-Explore!$S87*20)+15000)))*(1+(mason_bonus*Construction!BB86/Construction!BS86))+IF(Overview!$B$14="Beastfolk",Construction!DE86/Construction!E86)*(1 + Production!O86/100*prestige_pop_multiplier)</f>
        <v>0</v>
      </c>
      <c r="AF86" s="56">
        <f ca="1">(1+Overview!$O$28+IF(Magic!BA86&gt;0,0.1,0))*SUM(AR86:AU86)</f>
        <v>0</v>
      </c>
      <c r="AG86" s="26">
        <f ca="1">(1+Overview!$O$28+IF(Magic!BA86&gt;0,0.1,0))*SUM(AW86:AZ86)</f>
        <v>0</v>
      </c>
      <c r="AH86" s="164">
        <f ca="1">(1+Overview!$O$28+IF(Magic!BA86&gt;0,0.1,0))*SUM(BB86:BE86)</f>
        <v>0</v>
      </c>
      <c r="AI86" s="164">
        <f ca="1">(1+Overview!$O$28+IF(Magic!BA86&gt;0,0.1,0))*SUM(BG86:BJ86)</f>
        <v>0</v>
      </c>
      <c r="AJ86" s="164">
        <f ca="1">(1+Overview!$O$28+IF(Magic!BA86&gt;0,0.1,0))*SUM(BL86:BO86)</f>
        <v>0</v>
      </c>
      <c r="AK86" s="166">
        <f ca="1">(1+Overview!$O$28+IF(Magic!BA86&gt;0,0.1,0))*SUM(BQ86:BT86)</f>
        <v>0</v>
      </c>
      <c r="AM86" s="156">
        <f t="shared" si="76"/>
        <v>0</v>
      </c>
      <c r="AN86" s="170">
        <f t="shared" si="76"/>
        <v>0</v>
      </c>
      <c r="AO86" s="170">
        <f t="shared" si="76"/>
        <v>0</v>
      </c>
      <c r="AP86" s="157">
        <f t="shared" si="76"/>
        <v>0</v>
      </c>
      <c r="AR86" s="152">
        <f t="shared" si="59"/>
        <v>0</v>
      </c>
      <c r="AS86" s="164">
        <f t="shared" si="77"/>
        <v>0</v>
      </c>
      <c r="AT86" s="164">
        <f t="shared" si="77"/>
        <v>0</v>
      </c>
      <c r="AU86" s="166">
        <f t="shared" si="60"/>
        <v>0</v>
      </c>
      <c r="AW86" s="152">
        <f t="shared" si="61"/>
        <v>0</v>
      </c>
      <c r="AX86" s="164">
        <f t="shared" si="78"/>
        <v>0</v>
      </c>
      <c r="AY86" s="164">
        <f t="shared" si="78"/>
        <v>0</v>
      </c>
      <c r="AZ86" s="166">
        <f t="shared" si="62"/>
        <v>0</v>
      </c>
      <c r="BB86" s="152">
        <f t="shared" si="63"/>
        <v>0</v>
      </c>
      <c r="BC86" s="164">
        <f t="shared" si="64"/>
        <v>0</v>
      </c>
      <c r="BD86" s="164">
        <f t="shared" si="75"/>
        <v>0</v>
      </c>
      <c r="BE86" s="166">
        <f t="shared" si="65"/>
        <v>0</v>
      </c>
      <c r="BG86" s="152">
        <f t="shared" si="66"/>
        <v>0</v>
      </c>
      <c r="BH86" s="164">
        <f t="shared" si="79"/>
        <v>0</v>
      </c>
      <c r="BI86" s="164">
        <f t="shared" si="79"/>
        <v>0</v>
      </c>
      <c r="BJ86" s="166">
        <f t="shared" si="67"/>
        <v>0</v>
      </c>
      <c r="BL86" s="152">
        <f t="shared" si="68"/>
        <v>0</v>
      </c>
      <c r="BM86" s="164">
        <f t="shared" si="80"/>
        <v>0</v>
      </c>
      <c r="BN86" s="164">
        <f t="shared" si="80"/>
        <v>0</v>
      </c>
      <c r="BO86" s="166">
        <f t="shared" si="69"/>
        <v>0</v>
      </c>
      <c r="BQ86" s="152">
        <f t="shared" si="70"/>
        <v>0</v>
      </c>
      <c r="BR86" s="164">
        <f t="shared" si="81"/>
        <v>0</v>
      </c>
      <c r="BS86" s="164">
        <f t="shared" si="81"/>
        <v>0</v>
      </c>
      <c r="BT86" s="166">
        <f t="shared" si="71"/>
        <v>0</v>
      </c>
      <c r="BV86" s="156" t="e">
        <f>OR(Production!C86,Construction!N86:'Construction'!AF86,Construction!BV86:CN86,Explore!S86:Z86,Military!AF86:AL86,Military!X86,Military!BE86:BL86,Rezone!L86:R86,Magic!G86:Q86)</f>
        <v>#VALUE!</v>
      </c>
      <c r="BW86" s="548">
        <f t="shared" si="72"/>
        <v>0</v>
      </c>
      <c r="BX86" s="548"/>
      <c r="BY86" s="554">
        <f t="shared" si="82"/>
        <v>43695.458333333132</v>
      </c>
      <c r="BZ86" s="562">
        <f t="shared" si="74"/>
        <v>43695.291666666468</v>
      </c>
      <c r="CA86" s="629"/>
      <c r="CB86" s="807"/>
      <c r="CC86" s="774"/>
    </row>
    <row r="87" spans="1:84" s="163" customFormat="1">
      <c r="A87" s="509">
        <f>Construction!E87</f>
        <v>1000</v>
      </c>
      <c r="C87" s="151">
        <f ca="1">Production!H87</f>
        <v>3842195</v>
      </c>
      <c r="D87" s="153">
        <f ca="1">Production!J87</f>
        <v>272523</v>
      </c>
      <c r="E87" s="153">
        <f ca="1">Production!L87</f>
        <v>231000</v>
      </c>
      <c r="F87" s="158">
        <f ca="1">Production!M87</f>
        <v>20000</v>
      </c>
      <c r="G87" s="153"/>
      <c r="H87" s="151">
        <f ca="1">Military!Z87</f>
        <v>3695</v>
      </c>
      <c r="I87" s="155">
        <f ca="1">Population!I87</f>
        <v>1</v>
      </c>
      <c r="J87" s="154">
        <f ca="1">Population!F87/Population!U87</f>
        <v>1</v>
      </c>
      <c r="K87" s="1006">
        <f>Rezone!J87</f>
        <v>85</v>
      </c>
      <c r="L87" s="583">
        <f>L86+1/24</f>
        <v>43695.499999999796</v>
      </c>
      <c r="M87" s="647">
        <f t="shared" si="83"/>
        <v>0</v>
      </c>
      <c r="N87" s="640">
        <f t="shared" si="58"/>
        <v>1000</v>
      </c>
      <c r="O87" s="709" t="s">
        <v>4</v>
      </c>
      <c r="P87" s="429"/>
      <c r="Q87" s="411" t="s">
        <v>223</v>
      </c>
      <c r="R87" s="428" t="s">
        <v>7</v>
      </c>
      <c r="S87" s="429"/>
      <c r="T87" s="412" t="s">
        <v>223</v>
      </c>
      <c r="U87" s="709" t="s">
        <v>3</v>
      </c>
      <c r="V87" s="410"/>
      <c r="W87" s="412" t="s">
        <v>223</v>
      </c>
      <c r="Y87" s="502">
        <f ca="1">science_cap*(1-EXP(-AF87/(science_param*($A88-Explore!$S88*20)+15000)))*(1+(mason_bonus*Construction!BB87/Construction!BS87))+IF(Overview!$B$14="Beastfolk",Construction!DA87/Construction!E87,0)*(1 + Production!O87/100*prestige_pop_multiplier)</f>
        <v>0</v>
      </c>
      <c r="Z87" s="447">
        <f ca="1">keep_cap*(1-EXP(-AG87/(keep_param*($A88-Explore!$S88*20)+15000)))*(1+(mason_bonus*Construction!BB87/Construction!BS87))+IF(Overview!$B$14="Beastfolk",Construction!DF87/Construction!E87,0)*(1 + Production!O87/100*prestige_pop_multiplier)</f>
        <v>0</v>
      </c>
      <c r="AA87" s="447">
        <f ca="1">harbor_towers_cap*(1-EXP(-AH87/(harbor_towers_param*($A88-Explore!$S88*20)+15000)))*(1+(mason_bonus*Construction!BB87/Construction!BS87))+IF(Overview!$B$14="Beastfolk",2*Construction!DC87/Construction!E87,0)*(1 + Production!O87/100*prestige_pop_multiplier)</f>
        <v>0</v>
      </c>
      <c r="AB87" s="447">
        <f ca="1">walls_forges_cap*(1-EXP(-AI87/(walls_forges_param*($A88-Explore!$S88*20)+15000)))*(1+(mason_bonus*Construction!BB87/Construction!BS87))+IF(Overview!$B$14="Beastfolk",0.2*Construction!CY87/Construction!E87,0)</f>
        <v>0</v>
      </c>
      <c r="AC87" s="447">
        <f ca="1">walls_forges_cap*(1-EXP(-AJ87/(walls_forges_param*($A88-Explore!$S88*20)+15000)))*(1+(mason_bonus*Construction!BB87/Construction!BS87))+IF(Overview!$B$14="Beastfolk",5*Construction!DB87/Construction!E87,0)</f>
        <v>0</v>
      </c>
      <c r="AD87" s="162">
        <f ca="1">harbor_towers_cap*(1-EXP(-AK87/(harbor_towers_param*($A88-Explore!$S88*20)+15000)))*(1+(mason_bonus*Construction!BB87/Construction!BS87))+IF(Overview!$B$14="Beastfolk",Construction!DE87/Construction!E87)*(1 + Production!O87/100*prestige_pop_multiplier)</f>
        <v>0</v>
      </c>
      <c r="AF87" s="54">
        <f ca="1">(1+Overview!$O$28+IF(Magic!BA87&gt;0,0.1,0))*SUM(AR87:AU87)</f>
        <v>0</v>
      </c>
      <c r="AG87" s="13">
        <f ca="1">(1+Overview!$O$28+IF(Magic!BA87&gt;0,0.1,0))*SUM(AW87:AZ87)</f>
        <v>0</v>
      </c>
      <c r="AH87" s="153">
        <f ca="1">(1+Overview!$O$28+IF(Magic!BA87&gt;0,0.1,0))*SUM(BB87:BE87)</f>
        <v>0</v>
      </c>
      <c r="AI87" s="153">
        <f ca="1">(1+Overview!$O$28+IF(Magic!BA87&gt;0,0.1,0))*SUM(BG87:BJ87)</f>
        <v>0</v>
      </c>
      <c r="AJ87" s="153">
        <f ca="1">(1+Overview!$O$28+IF(Magic!BA87&gt;0,0.1,0))*SUM(BL87:BO87)</f>
        <v>0</v>
      </c>
      <c r="AK87" s="158">
        <f ca="1">(1+Overview!$O$28+IF(Magic!BA87&gt;0,0.1,0))*SUM(BQ87:BT87)</f>
        <v>0</v>
      </c>
      <c r="AM87" s="184">
        <f t="shared" si="76"/>
        <v>0</v>
      </c>
      <c r="AN87" s="163">
        <f t="shared" si="76"/>
        <v>0</v>
      </c>
      <c r="AO87" s="163">
        <f t="shared" si="76"/>
        <v>0</v>
      </c>
      <c r="AP87" s="185">
        <f t="shared" si="76"/>
        <v>0</v>
      </c>
      <c r="AR87" s="151">
        <f t="shared" si="59"/>
        <v>0</v>
      </c>
      <c r="AS87" s="153">
        <f t="shared" si="77"/>
        <v>0</v>
      </c>
      <c r="AT87" s="153">
        <f t="shared" si="77"/>
        <v>0</v>
      </c>
      <c r="AU87" s="158">
        <f t="shared" si="60"/>
        <v>0</v>
      </c>
      <c r="AW87" s="151">
        <f t="shared" si="61"/>
        <v>0</v>
      </c>
      <c r="AX87" s="153">
        <f t="shared" si="78"/>
        <v>0</v>
      </c>
      <c r="AY87" s="153">
        <f t="shared" si="78"/>
        <v>0</v>
      </c>
      <c r="AZ87" s="158">
        <f t="shared" si="62"/>
        <v>0</v>
      </c>
      <c r="BB87" s="151">
        <f t="shared" si="63"/>
        <v>0</v>
      </c>
      <c r="BC87" s="153">
        <f t="shared" si="64"/>
        <v>0</v>
      </c>
      <c r="BD87" s="153">
        <f>IF($O87=BF$2,IF($Q87=$AA$2,2*$P87)) + IF($R87=BF$2,IF($T87=$AA$2,2*$S87)) + IF($U87=BF$2,IF($W87=$AA$2,2*$V87))</f>
        <v>0</v>
      </c>
      <c r="BE87" s="158">
        <f t="shared" si="65"/>
        <v>0</v>
      </c>
      <c r="BG87" s="151">
        <f t="shared" si="66"/>
        <v>0</v>
      </c>
      <c r="BH87" s="153">
        <f t="shared" si="79"/>
        <v>0</v>
      </c>
      <c r="BI87" s="153">
        <f t="shared" si="79"/>
        <v>0</v>
      </c>
      <c r="BJ87" s="158">
        <f t="shared" si="67"/>
        <v>0</v>
      </c>
      <c r="BL87" s="151">
        <f t="shared" si="68"/>
        <v>0</v>
      </c>
      <c r="BM87" s="153">
        <f t="shared" si="80"/>
        <v>0</v>
      </c>
      <c r="BN87" s="153">
        <f t="shared" si="80"/>
        <v>0</v>
      </c>
      <c r="BO87" s="158">
        <f t="shared" si="69"/>
        <v>0</v>
      </c>
      <c r="BQ87" s="151">
        <f t="shared" si="70"/>
        <v>0</v>
      </c>
      <c r="BR87" s="153">
        <f t="shared" si="81"/>
        <v>0</v>
      </c>
      <c r="BS87" s="153">
        <f t="shared" si="81"/>
        <v>0</v>
      </c>
      <c r="BT87" s="158">
        <f t="shared" si="71"/>
        <v>0</v>
      </c>
      <c r="BV87" s="184" t="e">
        <f>OR(Production!C87,Construction!N87:'Construction'!AF87,Construction!BV87:CN87,Explore!S87:Z87,Military!AF87:AL87,Military!X87,Military!BE87:BL87,Rezone!L87:R87,Magic!G87:Q87)</f>
        <v>#VALUE!</v>
      </c>
      <c r="BW87" s="319">
        <f t="shared" si="72"/>
        <v>0</v>
      </c>
      <c r="BX87" s="319"/>
      <c r="BY87" s="553">
        <f t="shared" si="82"/>
        <v>43695.499999999796</v>
      </c>
      <c r="BZ87" s="561">
        <f t="shared" si="74"/>
        <v>43695.333333333132</v>
      </c>
      <c r="CA87" s="627"/>
      <c r="CB87" s="808"/>
      <c r="CC87" s="773"/>
    </row>
    <row r="88" spans="1:84" s="170" customFormat="1">
      <c r="A88" s="510">
        <f>Construction!E88</f>
        <v>1000</v>
      </c>
      <c r="C88" s="152">
        <f ca="1">Production!H88</f>
        <v>3852846</v>
      </c>
      <c r="D88" s="164">
        <f ca="1">Production!J88</f>
        <v>272298</v>
      </c>
      <c r="E88" s="164">
        <f ca="1">Production!L88</f>
        <v>231000</v>
      </c>
      <c r="F88" s="166">
        <f ca="1">Production!M88</f>
        <v>20000</v>
      </c>
      <c r="G88" s="164"/>
      <c r="H88" s="152">
        <f ca="1">Military!Z88</f>
        <v>3695</v>
      </c>
      <c r="I88" s="540">
        <f ca="1">Population!I88</f>
        <v>1</v>
      </c>
      <c r="J88" s="165">
        <f ca="1">Population!F88/Population!U88</f>
        <v>1</v>
      </c>
      <c r="K88" s="1005">
        <f>Rezone!J88</f>
        <v>86</v>
      </c>
      <c r="L88" s="584">
        <f t="shared" ref="L88:L135" si="85">L87+1/24</f>
        <v>43695.541666666461</v>
      </c>
      <c r="M88" s="649">
        <f t="shared" si="83"/>
        <v>0</v>
      </c>
      <c r="N88" s="531">
        <f t="shared" si="58"/>
        <v>1000</v>
      </c>
      <c r="O88" s="406" t="s">
        <v>4</v>
      </c>
      <c r="P88" s="370"/>
      <c r="Q88" s="408" t="s">
        <v>223</v>
      </c>
      <c r="R88" s="423" t="s">
        <v>7</v>
      </c>
      <c r="S88" s="370"/>
      <c r="T88" s="408" t="s">
        <v>223</v>
      </c>
      <c r="U88" s="406" t="s">
        <v>3</v>
      </c>
      <c r="V88" s="407"/>
      <c r="W88" s="409" t="s">
        <v>223</v>
      </c>
      <c r="Y88" s="503">
        <f ca="1">science_cap*(1-EXP(-AF88/(science_param*($A89-Explore!$S89*20)+15000)))*(1+(mason_bonus*Construction!BB88/Construction!BS88))+IF(Overview!$B$14="Beastfolk",Construction!DA88/Construction!E88,0)*(1 + Production!O88/100*prestige_pop_multiplier)</f>
        <v>0</v>
      </c>
      <c r="Z88" s="455">
        <f ca="1">keep_cap*(1-EXP(-AG88/(keep_param*($A89-Explore!$S89*20)+15000)))*(1+(mason_bonus*Construction!BB88/Construction!BS88))+IF(Overview!$B$14="Beastfolk",Construction!DF88/Construction!E88,0)*(1 + Production!O88/100*prestige_pop_multiplier)</f>
        <v>0</v>
      </c>
      <c r="AA88" s="455">
        <f ca="1">harbor_towers_cap*(1-EXP(-AH88/(harbor_towers_param*($A89-Explore!$S89*20)+15000)))*(1+(mason_bonus*Construction!BB88/Construction!BS88))+IF(Overview!$B$14="Beastfolk",2*Construction!DC88/Construction!E88,0)*(1 + Production!O88/100*prestige_pop_multiplier)</f>
        <v>0</v>
      </c>
      <c r="AB88" s="455">
        <f ca="1">walls_forges_cap*(1-EXP(-AI88/(walls_forges_param*($A89-Explore!$S89*20)+15000)))*(1+(mason_bonus*Construction!BB88/Construction!BS88))+IF(Overview!$B$14="Beastfolk",0.2*Construction!CY88/Construction!E88,0)</f>
        <v>0</v>
      </c>
      <c r="AC88" s="455">
        <f ca="1">walls_forges_cap*(1-EXP(-AJ88/(walls_forges_param*($A89-Explore!$S89*20)+15000)))*(1+(mason_bonus*Construction!BB88/Construction!BS88))+IF(Overview!$B$14="Beastfolk",5*Construction!DB88/Construction!E88,0)</f>
        <v>0</v>
      </c>
      <c r="AD88" s="171">
        <f ca="1">harbor_towers_cap*(1-EXP(-AK88/(harbor_towers_param*($A89-Explore!$S89*20)+15000)))*(1+(mason_bonus*Construction!BB88/Construction!BS88))+IF(Overview!$B$14="Beastfolk",Construction!DE88/Construction!E88)*(1 + Production!O88/100*prestige_pop_multiplier)</f>
        <v>0</v>
      </c>
      <c r="AF88" s="56">
        <f ca="1">(1+Overview!$O$28+IF(Magic!BA88&gt;0,0.1,0))*SUM(AR88:AU88)</f>
        <v>0</v>
      </c>
      <c r="AG88" s="26">
        <f ca="1">(1+Overview!$O$28+IF(Magic!BA88&gt;0,0.1,0))*SUM(AW88:AZ88)</f>
        <v>0</v>
      </c>
      <c r="AH88" s="164">
        <f ca="1">(1+Overview!$O$28+IF(Magic!BA88&gt;0,0.1,0))*SUM(BB88:BE88)</f>
        <v>0</v>
      </c>
      <c r="AI88" s="164">
        <f ca="1">(1+Overview!$O$28+IF(Magic!BA88&gt;0,0.1,0))*SUM(BG88:BJ88)</f>
        <v>0</v>
      </c>
      <c r="AJ88" s="164">
        <f ca="1">(1+Overview!$O$28+IF(Magic!BA88&gt;0,0.1,0))*SUM(BL88:BO88)</f>
        <v>0</v>
      </c>
      <c r="AK88" s="166">
        <f ca="1">(1+Overview!$O$28+IF(Magic!BA88&gt;0,0.1,0))*SUM(BQ88:BT88)</f>
        <v>0</v>
      </c>
      <c r="AM88" s="156">
        <f t="shared" si="76"/>
        <v>0</v>
      </c>
      <c r="AN88" s="170">
        <f t="shared" si="76"/>
        <v>0</v>
      </c>
      <c r="AO88" s="170">
        <f t="shared" si="76"/>
        <v>0</v>
      </c>
      <c r="AP88" s="157">
        <f t="shared" si="76"/>
        <v>0</v>
      </c>
      <c r="AR88" s="152">
        <f t="shared" si="59"/>
        <v>0</v>
      </c>
      <c r="AS88" s="164">
        <f t="shared" si="77"/>
        <v>0</v>
      </c>
      <c r="AT88" s="164">
        <f t="shared" si="77"/>
        <v>0</v>
      </c>
      <c r="AU88" s="166">
        <f t="shared" si="60"/>
        <v>0</v>
      </c>
      <c r="AW88" s="152">
        <f t="shared" si="61"/>
        <v>0</v>
      </c>
      <c r="AX88" s="164">
        <f t="shared" si="78"/>
        <v>0</v>
      </c>
      <c r="AY88" s="164">
        <f t="shared" si="78"/>
        <v>0</v>
      </c>
      <c r="AZ88" s="166">
        <f t="shared" si="62"/>
        <v>0</v>
      </c>
      <c r="BB88" s="152">
        <f t="shared" si="63"/>
        <v>0</v>
      </c>
      <c r="BC88" s="164">
        <f t="shared" si="64"/>
        <v>0</v>
      </c>
      <c r="BD88" s="164">
        <f t="shared" ref="BD88:BD135" si="86">IF($O88=BF$2,IF($Q88=$AA$2,2*$P88)) + IF($R88=BF$2,IF($T88=$AA$2,2*$S88)) + IF($U88=BF$2,IF($W88=$AA$2,2*$V88))</f>
        <v>0</v>
      </c>
      <c r="BE88" s="166">
        <f t="shared" si="65"/>
        <v>0</v>
      </c>
      <c r="BG88" s="152">
        <f t="shared" si="66"/>
        <v>0</v>
      </c>
      <c r="BH88" s="164">
        <f t="shared" si="79"/>
        <v>0</v>
      </c>
      <c r="BI88" s="164">
        <f t="shared" si="79"/>
        <v>0</v>
      </c>
      <c r="BJ88" s="166">
        <f t="shared" si="67"/>
        <v>0</v>
      </c>
      <c r="BL88" s="152">
        <f t="shared" si="68"/>
        <v>0</v>
      </c>
      <c r="BM88" s="164">
        <f t="shared" si="80"/>
        <v>0</v>
      </c>
      <c r="BN88" s="164">
        <f t="shared" si="80"/>
        <v>0</v>
      </c>
      <c r="BO88" s="166">
        <f t="shared" si="69"/>
        <v>0</v>
      </c>
      <c r="BQ88" s="152">
        <f t="shared" si="70"/>
        <v>0</v>
      </c>
      <c r="BR88" s="164">
        <f t="shared" si="81"/>
        <v>0</v>
      </c>
      <c r="BS88" s="164">
        <f t="shared" si="81"/>
        <v>0</v>
      </c>
      <c r="BT88" s="166">
        <f t="shared" si="71"/>
        <v>0</v>
      </c>
      <c r="BV88" s="156" t="e">
        <f>OR(Production!C88,Construction!N88:'Construction'!AF88,Construction!BV88:CN88,Explore!S88:Z88,Military!AF88:AL88,Military!X88,Military!BE88:BL88,Rezone!L88:R88,Magic!G88:Q88)</f>
        <v>#VALUE!</v>
      </c>
      <c r="BW88" s="548">
        <f t="shared" si="72"/>
        <v>0</v>
      </c>
      <c r="BX88" s="548"/>
      <c r="BY88" s="554">
        <f t="shared" si="82"/>
        <v>43695.541666666461</v>
      </c>
      <c r="BZ88" s="562">
        <f t="shared" si="74"/>
        <v>43695.374999999796</v>
      </c>
      <c r="CA88" s="629"/>
      <c r="CB88" s="809"/>
      <c r="CC88" s="774"/>
      <c r="CD88" s="532"/>
    </row>
    <row r="89" spans="1:84" s="170" customFormat="1">
      <c r="A89" s="510">
        <f>Construction!E89</f>
        <v>1000</v>
      </c>
      <c r="C89" s="152">
        <f ca="1">Production!H89</f>
        <v>3863497</v>
      </c>
      <c r="D89" s="164">
        <f ca="1">Production!J89</f>
        <v>272075</v>
      </c>
      <c r="E89" s="164">
        <f ca="1">Production!L89</f>
        <v>231000</v>
      </c>
      <c r="F89" s="166">
        <f ca="1">Production!M89</f>
        <v>20000</v>
      </c>
      <c r="G89" s="164"/>
      <c r="H89" s="152">
        <f ca="1">Military!Z89</f>
        <v>3695</v>
      </c>
      <c r="I89" s="540">
        <f ca="1">Population!I89</f>
        <v>1</v>
      </c>
      <c r="J89" s="165">
        <f ca="1">Population!F89/Population!U89</f>
        <v>1</v>
      </c>
      <c r="K89" s="1005">
        <f>Rezone!J89</f>
        <v>87</v>
      </c>
      <c r="L89" s="584">
        <f t="shared" si="85"/>
        <v>43695.583333333125</v>
      </c>
      <c r="M89" s="649">
        <f t="shared" si="83"/>
        <v>0</v>
      </c>
      <c r="N89" s="531">
        <f t="shared" si="58"/>
        <v>1000</v>
      </c>
      <c r="O89" s="406" t="s">
        <v>4</v>
      </c>
      <c r="P89" s="370"/>
      <c r="Q89" s="408" t="s">
        <v>223</v>
      </c>
      <c r="R89" s="423" t="s">
        <v>7</v>
      </c>
      <c r="S89" s="370"/>
      <c r="T89" s="408" t="s">
        <v>223</v>
      </c>
      <c r="U89" s="406" t="s">
        <v>3</v>
      </c>
      <c r="V89" s="407"/>
      <c r="W89" s="409" t="s">
        <v>223</v>
      </c>
      <c r="Y89" s="503">
        <f ca="1">science_cap*(1-EXP(-AF89/(science_param*($A90-Explore!$S90*20)+15000)))*(1+(mason_bonus*Construction!BB89/Construction!BS89))+IF(Overview!$B$14="Beastfolk",Construction!DA89/Construction!E89,0)*(1 + Production!O89/100*prestige_pop_multiplier)</f>
        <v>0</v>
      </c>
      <c r="Z89" s="455">
        <f ca="1">keep_cap*(1-EXP(-AG89/(keep_param*($A90-Explore!$S90*20)+15000)))*(1+(mason_bonus*Construction!BB89/Construction!BS89))+IF(Overview!$B$14="Beastfolk",Construction!DF89/Construction!E89,0)*(1 + Production!O89/100*prestige_pop_multiplier)</f>
        <v>0</v>
      </c>
      <c r="AA89" s="455">
        <f ca="1">harbor_towers_cap*(1-EXP(-AH89/(harbor_towers_param*($A90-Explore!$S90*20)+15000)))*(1+(mason_bonus*Construction!BB89/Construction!BS89))+IF(Overview!$B$14="Beastfolk",2*Construction!DC89/Construction!E89,0)*(1 + Production!O89/100*prestige_pop_multiplier)</f>
        <v>0</v>
      </c>
      <c r="AB89" s="455">
        <f ca="1">walls_forges_cap*(1-EXP(-AI89/(walls_forges_param*($A90-Explore!$S90*20)+15000)))*(1+(mason_bonus*Construction!BB89/Construction!BS89))+IF(Overview!$B$14="Beastfolk",0.2*Construction!CY89/Construction!E89,0)</f>
        <v>0</v>
      </c>
      <c r="AC89" s="455">
        <f ca="1">walls_forges_cap*(1-EXP(-AJ89/(walls_forges_param*($A90-Explore!$S90*20)+15000)))*(1+(mason_bonus*Construction!BB89/Construction!BS89))+IF(Overview!$B$14="Beastfolk",5*Construction!DB89/Construction!E89,0)</f>
        <v>0</v>
      </c>
      <c r="AD89" s="171">
        <f ca="1">harbor_towers_cap*(1-EXP(-AK89/(harbor_towers_param*($A90-Explore!$S90*20)+15000)))*(1+(mason_bonus*Construction!BB89/Construction!BS89))+IF(Overview!$B$14="Beastfolk",Construction!DE89/Construction!E89)*(1 + Production!O89/100*prestige_pop_multiplier)</f>
        <v>0</v>
      </c>
      <c r="AF89" s="56">
        <f ca="1">(1+Overview!$O$28+IF(Magic!BA89&gt;0,0.1,0))*SUM(AR89:AU89)</f>
        <v>0</v>
      </c>
      <c r="AG89" s="26">
        <f ca="1">(1+Overview!$O$28+IF(Magic!BA89&gt;0,0.1,0))*SUM(AW89:AZ89)</f>
        <v>0</v>
      </c>
      <c r="AH89" s="164">
        <f ca="1">(1+Overview!$O$28+IF(Magic!BA89&gt;0,0.1,0))*SUM(BB89:BE89)</f>
        <v>0</v>
      </c>
      <c r="AI89" s="164">
        <f ca="1">(1+Overview!$O$28+IF(Magic!BA89&gt;0,0.1,0))*SUM(BG89:BJ89)</f>
        <v>0</v>
      </c>
      <c r="AJ89" s="164">
        <f ca="1">(1+Overview!$O$28+IF(Magic!BA89&gt;0,0.1,0))*SUM(BL89:BO89)</f>
        <v>0</v>
      </c>
      <c r="AK89" s="166">
        <f ca="1">(1+Overview!$O$28+IF(Magic!BA89&gt;0,0.1,0))*SUM(BQ89:BT89)</f>
        <v>0</v>
      </c>
      <c r="AM89" s="156">
        <f t="shared" si="76"/>
        <v>0</v>
      </c>
      <c r="AN89" s="170">
        <f t="shared" si="76"/>
        <v>0</v>
      </c>
      <c r="AO89" s="170">
        <f t="shared" si="76"/>
        <v>0</v>
      </c>
      <c r="AP89" s="157">
        <f t="shared" si="76"/>
        <v>0</v>
      </c>
      <c r="AR89" s="152">
        <f t="shared" si="59"/>
        <v>0</v>
      </c>
      <c r="AS89" s="164">
        <f t="shared" si="77"/>
        <v>0</v>
      </c>
      <c r="AT89" s="164">
        <f t="shared" si="77"/>
        <v>0</v>
      </c>
      <c r="AU89" s="166">
        <f t="shared" si="60"/>
        <v>0</v>
      </c>
      <c r="AW89" s="152">
        <f t="shared" si="61"/>
        <v>0</v>
      </c>
      <c r="AX89" s="164">
        <f t="shared" si="78"/>
        <v>0</v>
      </c>
      <c r="AY89" s="164">
        <f t="shared" si="78"/>
        <v>0</v>
      </c>
      <c r="AZ89" s="166">
        <f t="shared" si="62"/>
        <v>0</v>
      </c>
      <c r="BB89" s="152">
        <f t="shared" si="63"/>
        <v>0</v>
      </c>
      <c r="BC89" s="164">
        <f t="shared" si="64"/>
        <v>0</v>
      </c>
      <c r="BD89" s="164">
        <f t="shared" si="86"/>
        <v>0</v>
      </c>
      <c r="BE89" s="166">
        <f t="shared" si="65"/>
        <v>0</v>
      </c>
      <c r="BG89" s="152">
        <f t="shared" si="66"/>
        <v>0</v>
      </c>
      <c r="BH89" s="164">
        <f t="shared" si="79"/>
        <v>0</v>
      </c>
      <c r="BI89" s="164">
        <f t="shared" si="79"/>
        <v>0</v>
      </c>
      <c r="BJ89" s="166">
        <f t="shared" si="67"/>
        <v>0</v>
      </c>
      <c r="BL89" s="152">
        <f t="shared" si="68"/>
        <v>0</v>
      </c>
      <c r="BM89" s="164">
        <f t="shared" si="80"/>
        <v>0</v>
      </c>
      <c r="BN89" s="164">
        <f t="shared" si="80"/>
        <v>0</v>
      </c>
      <c r="BO89" s="166">
        <f t="shared" si="69"/>
        <v>0</v>
      </c>
      <c r="BQ89" s="152">
        <f t="shared" si="70"/>
        <v>0</v>
      </c>
      <c r="BR89" s="164">
        <f t="shared" si="81"/>
        <v>0</v>
      </c>
      <c r="BS89" s="164">
        <f t="shared" si="81"/>
        <v>0</v>
      </c>
      <c r="BT89" s="166">
        <f t="shared" si="71"/>
        <v>0</v>
      </c>
      <c r="BV89" s="156" t="e">
        <f>OR(Production!C89,Construction!N89:'Construction'!AF89,Construction!BV89:CN89,Explore!S89:Z89,Military!AF89:AL89,Military!X89,Military!BE89:BL89,Rezone!L89:R89,Magic!G89:Q89)</f>
        <v>#VALUE!</v>
      </c>
      <c r="BW89" s="548">
        <f t="shared" si="72"/>
        <v>0</v>
      </c>
      <c r="BX89" s="548"/>
      <c r="BY89" s="554">
        <f t="shared" si="82"/>
        <v>43695.583333333125</v>
      </c>
      <c r="BZ89" s="562">
        <f t="shared" si="74"/>
        <v>43695.416666666461</v>
      </c>
      <c r="CA89" s="806"/>
      <c r="CB89" s="807"/>
      <c r="CC89" s="774"/>
      <c r="CF89" s="673"/>
    </row>
    <row r="90" spans="1:84" s="16" customFormat="1">
      <c r="A90" s="513">
        <f>Construction!E90</f>
        <v>1000</v>
      </c>
      <c r="C90" s="56">
        <f ca="1">Production!H90</f>
        <v>3874148</v>
      </c>
      <c r="D90" s="26">
        <f ca="1">Production!J90</f>
        <v>271854</v>
      </c>
      <c r="E90" s="26">
        <f ca="1">Production!L90</f>
        <v>231000</v>
      </c>
      <c r="F90" s="57">
        <f ca="1">Production!M90</f>
        <v>20000</v>
      </c>
      <c r="G90" s="26"/>
      <c r="H90" s="56">
        <f ca="1">Military!Z90</f>
        <v>3695</v>
      </c>
      <c r="I90" s="540">
        <f ca="1">Population!I90</f>
        <v>1</v>
      </c>
      <c r="J90" s="165">
        <f ca="1">Population!F90/Population!U90</f>
        <v>1</v>
      </c>
      <c r="K90" s="1005">
        <f>Rezone!J90</f>
        <v>88</v>
      </c>
      <c r="L90" s="584">
        <f t="shared" si="85"/>
        <v>43695.624999999789</v>
      </c>
      <c r="M90" s="316">
        <f t="shared" si="83"/>
        <v>0</v>
      </c>
      <c r="N90" s="641">
        <f t="shared" si="58"/>
        <v>1000</v>
      </c>
      <c r="O90" s="423" t="s">
        <v>4</v>
      </c>
      <c r="P90" s="370"/>
      <c r="Q90" s="424" t="s">
        <v>223</v>
      </c>
      <c r="R90" s="423" t="s">
        <v>7</v>
      </c>
      <c r="S90" s="370"/>
      <c r="T90" s="424" t="s">
        <v>223</v>
      </c>
      <c r="U90" s="406" t="s">
        <v>3</v>
      </c>
      <c r="V90" s="407"/>
      <c r="W90" s="409" t="s">
        <v>223</v>
      </c>
      <c r="Y90" s="503">
        <f ca="1">science_cap*(1-EXP(-AF90/(science_param*($A91-Explore!$S91*20)+15000)))*(1+(mason_bonus*Construction!BB90/Construction!BS90))+IF(Overview!$B$14="Beastfolk",Construction!DA90/Construction!E90,0)*(1 + Production!O90/100*prestige_pop_multiplier)</f>
        <v>0</v>
      </c>
      <c r="Z90" s="455">
        <f ca="1">keep_cap*(1-EXP(-AG90/(keep_param*($A91-Explore!$S91*20)+15000)))*(1+(mason_bonus*Construction!BB90/Construction!BS90))+IF(Overview!$B$14="Beastfolk",Construction!DF90/Construction!E90,0)*(1 + Production!O90/100*prestige_pop_multiplier)</f>
        <v>0</v>
      </c>
      <c r="AA90" s="455">
        <f ca="1">harbor_towers_cap*(1-EXP(-AH90/(harbor_towers_param*($A91-Explore!$S91*20)+15000)))*(1+(mason_bonus*Construction!BB90/Construction!BS90))+IF(Overview!$B$14="Beastfolk",2*Construction!DC90/Construction!E90,0)*(1 + Production!O90/100*prestige_pop_multiplier)</f>
        <v>0</v>
      </c>
      <c r="AB90" s="455">
        <f ca="1">walls_forges_cap*(1-EXP(-AI90/(walls_forges_param*($A91-Explore!$S91*20)+15000)))*(1+(mason_bonus*Construction!BB90/Construction!BS90))+IF(Overview!$B$14="Beastfolk",0.2*Construction!CY90/Construction!E90,0)</f>
        <v>0</v>
      </c>
      <c r="AC90" s="455">
        <f ca="1">walls_forges_cap*(1-EXP(-AJ90/(walls_forges_param*($A91-Explore!$S91*20)+15000)))*(1+(mason_bonus*Construction!BB90/Construction!BS90))+IF(Overview!$B$14="Beastfolk",5*Construction!DB90/Construction!E90,0)</f>
        <v>0</v>
      </c>
      <c r="AD90" s="171">
        <f ca="1">harbor_towers_cap*(1-EXP(-AK90/(harbor_towers_param*($A91-Explore!$S91*20)+15000)))*(1+(mason_bonus*Construction!BB90/Construction!BS90))+IF(Overview!$B$14="Beastfolk",Construction!DE90/Construction!E90)*(1 + Production!O90/100*prestige_pop_multiplier)</f>
        <v>0</v>
      </c>
      <c r="AF90" s="56">
        <f ca="1">(1+Overview!$O$28+IF(Magic!BA90&gt;0,0.1,0))*SUM(AR90:AU90)</f>
        <v>0</v>
      </c>
      <c r="AG90" s="26">
        <f ca="1">(1+Overview!$O$28+IF(Magic!BA90&gt;0,0.1,0))*SUM(AW90:AZ90)</f>
        <v>0</v>
      </c>
      <c r="AH90" s="164">
        <f ca="1">(1+Overview!$O$28+IF(Magic!BA90&gt;0,0.1,0))*SUM(BB90:BE90)</f>
        <v>0</v>
      </c>
      <c r="AI90" s="164">
        <f ca="1">(1+Overview!$O$28+IF(Magic!BA90&gt;0,0.1,0))*SUM(BG90:BJ90)</f>
        <v>0</v>
      </c>
      <c r="AJ90" s="164">
        <f ca="1">(1+Overview!$O$28+IF(Magic!BA90&gt;0,0.1,0))*SUM(BL90:BO90)</f>
        <v>0</v>
      </c>
      <c r="AK90" s="166">
        <f ca="1">(1+Overview!$O$28+IF(Magic!BA90&gt;0,0.1,0))*SUM(BQ90:BT90)</f>
        <v>0</v>
      </c>
      <c r="AM90" s="52">
        <f t="shared" si="76"/>
        <v>0</v>
      </c>
      <c r="AN90" s="16">
        <f t="shared" si="76"/>
        <v>0</v>
      </c>
      <c r="AO90" s="16">
        <f t="shared" si="76"/>
        <v>0</v>
      </c>
      <c r="AP90" s="53">
        <f t="shared" si="76"/>
        <v>0</v>
      </c>
      <c r="AR90" s="56">
        <f t="shared" si="59"/>
        <v>0</v>
      </c>
      <c r="AS90" s="26">
        <f t="shared" si="77"/>
        <v>0</v>
      </c>
      <c r="AT90" s="26">
        <f t="shared" si="77"/>
        <v>0</v>
      </c>
      <c r="AU90" s="57">
        <f t="shared" si="60"/>
        <v>0</v>
      </c>
      <c r="AW90" s="56">
        <f t="shared" si="61"/>
        <v>0</v>
      </c>
      <c r="AX90" s="26">
        <f t="shared" si="78"/>
        <v>0</v>
      </c>
      <c r="AY90" s="26">
        <f t="shared" si="78"/>
        <v>0</v>
      </c>
      <c r="AZ90" s="57">
        <f t="shared" si="62"/>
        <v>0</v>
      </c>
      <c r="BB90" s="56">
        <f t="shared" si="63"/>
        <v>0</v>
      </c>
      <c r="BC90" s="26">
        <f t="shared" si="64"/>
        <v>0</v>
      </c>
      <c r="BD90" s="26">
        <f t="shared" si="86"/>
        <v>0</v>
      </c>
      <c r="BE90" s="57">
        <f t="shared" si="65"/>
        <v>0</v>
      </c>
      <c r="BG90" s="56">
        <f t="shared" si="66"/>
        <v>0</v>
      </c>
      <c r="BH90" s="26">
        <f t="shared" si="79"/>
        <v>0</v>
      </c>
      <c r="BI90" s="26">
        <f t="shared" si="79"/>
        <v>0</v>
      </c>
      <c r="BJ90" s="57">
        <f t="shared" si="67"/>
        <v>0</v>
      </c>
      <c r="BL90" s="56">
        <f t="shared" si="68"/>
        <v>0</v>
      </c>
      <c r="BM90" s="26">
        <f t="shared" si="80"/>
        <v>0</v>
      </c>
      <c r="BN90" s="26">
        <f t="shared" si="80"/>
        <v>0</v>
      </c>
      <c r="BO90" s="57">
        <f t="shared" si="69"/>
        <v>0</v>
      </c>
      <c r="BQ90" s="56">
        <f t="shared" si="70"/>
        <v>0</v>
      </c>
      <c r="BR90" s="26">
        <f t="shared" si="81"/>
        <v>0</v>
      </c>
      <c r="BS90" s="26">
        <f t="shared" si="81"/>
        <v>0</v>
      </c>
      <c r="BT90" s="57">
        <f t="shared" si="71"/>
        <v>0</v>
      </c>
      <c r="BV90" s="52" t="e">
        <f>OR(Production!C90,Construction!N90:'Construction'!AF90,Construction!BV90:CN90,Explore!S90:Z90,Military!AF90:AL90,Military!X90,Military!BE90:BL90,Rezone!L90:R90,Magic!G90:Q90)</f>
        <v>#VALUE!</v>
      </c>
      <c r="BW90" s="527">
        <f t="shared" si="72"/>
        <v>0</v>
      </c>
      <c r="BX90" s="527"/>
      <c r="BY90" s="557">
        <f t="shared" si="82"/>
        <v>43695.624999999789</v>
      </c>
      <c r="BZ90" s="565">
        <f t="shared" si="74"/>
        <v>43695.458333333125</v>
      </c>
      <c r="CA90" s="529"/>
      <c r="CB90" s="807"/>
      <c r="CC90" s="812"/>
      <c r="CD90" s="170"/>
      <c r="CF90" s="674"/>
    </row>
    <row r="91" spans="1:84" s="16" customFormat="1">
      <c r="A91" s="513">
        <f>Construction!E91</f>
        <v>1000</v>
      </c>
      <c r="C91" s="56">
        <f ca="1">Production!H91</f>
        <v>3884799</v>
      </c>
      <c r="D91" s="26">
        <f ca="1">Production!J91</f>
        <v>271635</v>
      </c>
      <c r="E91" s="26">
        <f ca="1">Production!L91</f>
        <v>231000</v>
      </c>
      <c r="F91" s="57">
        <f ca="1">Production!M91</f>
        <v>20000</v>
      </c>
      <c r="G91" s="26"/>
      <c r="H91" s="56">
        <f ca="1">Military!Z91</f>
        <v>3695</v>
      </c>
      <c r="I91" s="540">
        <f ca="1">Population!I91</f>
        <v>1</v>
      </c>
      <c r="J91" s="165">
        <f ca="1">Population!F91/Population!U91</f>
        <v>1</v>
      </c>
      <c r="K91" s="1005">
        <f>Rezone!J91</f>
        <v>89</v>
      </c>
      <c r="L91" s="584">
        <f t="shared" si="85"/>
        <v>43695.666666666453</v>
      </c>
      <c r="M91" s="316">
        <f t="shared" si="83"/>
        <v>0</v>
      </c>
      <c r="N91" s="641">
        <f t="shared" si="58"/>
        <v>1000</v>
      </c>
      <c r="O91" s="423" t="s">
        <v>4</v>
      </c>
      <c r="P91" s="370"/>
      <c r="Q91" s="424" t="s">
        <v>223</v>
      </c>
      <c r="R91" s="406" t="s">
        <v>7</v>
      </c>
      <c r="S91" s="370"/>
      <c r="T91" s="424" t="s">
        <v>223</v>
      </c>
      <c r="U91" s="406" t="s">
        <v>3</v>
      </c>
      <c r="V91" s="407"/>
      <c r="W91" s="409" t="s">
        <v>223</v>
      </c>
      <c r="Y91" s="503">
        <f ca="1">science_cap*(1-EXP(-AF91/(science_param*($A92-Explore!$S92*20)+15000)))*(1+(mason_bonus*Construction!BB91/Construction!BS91))+IF(Overview!$B$14="Beastfolk",Construction!DA91/Construction!E91,0)*(1 + Production!O91/100*prestige_pop_multiplier)</f>
        <v>0</v>
      </c>
      <c r="Z91" s="455">
        <f ca="1">keep_cap*(1-EXP(-AG91/(keep_param*($A92-Explore!$S92*20)+15000)))*(1+(mason_bonus*Construction!BB91/Construction!BS91))+IF(Overview!$B$14="Beastfolk",Construction!DF91/Construction!E91,0)*(1 + Production!O91/100*prestige_pop_multiplier)</f>
        <v>0</v>
      </c>
      <c r="AA91" s="455">
        <f ca="1">harbor_towers_cap*(1-EXP(-AH91/(harbor_towers_param*($A92-Explore!$S92*20)+15000)))*(1+(mason_bonus*Construction!BB91/Construction!BS91))+IF(Overview!$B$14="Beastfolk",2*Construction!DC91/Construction!E91,0)*(1 + Production!O91/100*prestige_pop_multiplier)</f>
        <v>0</v>
      </c>
      <c r="AB91" s="455">
        <f ca="1">walls_forges_cap*(1-EXP(-AI91/(walls_forges_param*($A92-Explore!$S92*20)+15000)))*(1+(mason_bonus*Construction!BB91/Construction!BS91))+IF(Overview!$B$14="Beastfolk",0.2*Construction!CY91/Construction!E91,0)</f>
        <v>0</v>
      </c>
      <c r="AC91" s="455">
        <f ca="1">walls_forges_cap*(1-EXP(-AJ91/(walls_forges_param*($A92-Explore!$S92*20)+15000)))*(1+(mason_bonus*Construction!BB91/Construction!BS91))+IF(Overview!$B$14="Beastfolk",5*Construction!DB91/Construction!E91,0)</f>
        <v>0</v>
      </c>
      <c r="AD91" s="171">
        <f ca="1">harbor_towers_cap*(1-EXP(-AK91/(harbor_towers_param*($A92-Explore!$S92*20)+15000)))*(1+(mason_bonus*Construction!BB91/Construction!BS91))+IF(Overview!$B$14="Beastfolk",Construction!DE91/Construction!E91)*(1 + Production!O91/100*prestige_pop_multiplier)</f>
        <v>0</v>
      </c>
      <c r="AF91" s="56">
        <f ca="1">(1+Overview!$O$28+IF(Magic!BA91&gt;0,0.1,0))*SUM(AR91:AU91)</f>
        <v>0</v>
      </c>
      <c r="AG91" s="26">
        <f ca="1">(1+Overview!$O$28+IF(Magic!BA91&gt;0,0.1,0))*SUM(AW91:AZ91)</f>
        <v>0</v>
      </c>
      <c r="AH91" s="164">
        <f ca="1">(1+Overview!$O$28+IF(Magic!BA91&gt;0,0.1,0))*SUM(BB91:BE91)</f>
        <v>0</v>
      </c>
      <c r="AI91" s="164">
        <f ca="1">(1+Overview!$O$28+IF(Magic!BA91&gt;0,0.1,0))*SUM(BG91:BJ91)</f>
        <v>0</v>
      </c>
      <c r="AJ91" s="164">
        <f ca="1">(1+Overview!$O$28+IF(Magic!BA91&gt;0,0.1,0))*SUM(BL91:BO91)</f>
        <v>0</v>
      </c>
      <c r="AK91" s="166">
        <f ca="1">(1+Overview!$O$28+IF(Magic!BA91&gt;0,0.1,0))*SUM(BQ91:BT91)</f>
        <v>0</v>
      </c>
      <c r="AM91" s="52">
        <f t="shared" si="76"/>
        <v>0</v>
      </c>
      <c r="AN91" s="16">
        <f t="shared" si="76"/>
        <v>0</v>
      </c>
      <c r="AO91" s="16">
        <f t="shared" si="76"/>
        <v>0</v>
      </c>
      <c r="AP91" s="53">
        <f t="shared" si="76"/>
        <v>0</v>
      </c>
      <c r="AR91" s="56">
        <f t="shared" si="59"/>
        <v>0</v>
      </c>
      <c r="AS91" s="26">
        <f t="shared" si="77"/>
        <v>0</v>
      </c>
      <c r="AT91" s="26">
        <f t="shared" si="77"/>
        <v>0</v>
      </c>
      <c r="AU91" s="57">
        <f t="shared" si="60"/>
        <v>0</v>
      </c>
      <c r="AW91" s="56">
        <f t="shared" si="61"/>
        <v>0</v>
      </c>
      <c r="AX91" s="26">
        <f t="shared" si="78"/>
        <v>0</v>
      </c>
      <c r="AY91" s="26">
        <f t="shared" si="78"/>
        <v>0</v>
      </c>
      <c r="AZ91" s="57">
        <f t="shared" si="62"/>
        <v>0</v>
      </c>
      <c r="BB91" s="56">
        <f t="shared" si="63"/>
        <v>0</v>
      </c>
      <c r="BC91" s="26">
        <f t="shared" si="64"/>
        <v>0</v>
      </c>
      <c r="BD91" s="26">
        <f t="shared" si="86"/>
        <v>0</v>
      </c>
      <c r="BE91" s="57">
        <f t="shared" si="65"/>
        <v>0</v>
      </c>
      <c r="BG91" s="56">
        <f t="shared" si="66"/>
        <v>0</v>
      </c>
      <c r="BH91" s="26">
        <f t="shared" si="79"/>
        <v>0</v>
      </c>
      <c r="BI91" s="26">
        <f t="shared" si="79"/>
        <v>0</v>
      </c>
      <c r="BJ91" s="57">
        <f t="shared" si="67"/>
        <v>0</v>
      </c>
      <c r="BL91" s="56">
        <f t="shared" si="68"/>
        <v>0</v>
      </c>
      <c r="BM91" s="26">
        <f t="shared" si="80"/>
        <v>0</v>
      </c>
      <c r="BN91" s="26">
        <f t="shared" si="80"/>
        <v>0</v>
      </c>
      <c r="BO91" s="57">
        <f t="shared" si="69"/>
        <v>0</v>
      </c>
      <c r="BQ91" s="56">
        <f t="shared" si="70"/>
        <v>0</v>
      </c>
      <c r="BR91" s="26">
        <f t="shared" si="81"/>
        <v>0</v>
      </c>
      <c r="BS91" s="26">
        <f t="shared" si="81"/>
        <v>0</v>
      </c>
      <c r="BT91" s="57">
        <f t="shared" si="71"/>
        <v>0</v>
      </c>
      <c r="BV91" s="52" t="e">
        <f>OR(Production!C91,Construction!N91:'Construction'!AF91,Construction!BV91:CN91,Explore!S91:Z91,Military!AF91:AL91,Military!X91,Military!BE91:BL91,Rezone!L91:R91,Magic!G91:Q91)</f>
        <v>#VALUE!</v>
      </c>
      <c r="BW91" s="527">
        <f t="shared" si="72"/>
        <v>0</v>
      </c>
      <c r="BX91" s="527"/>
      <c r="BY91" s="557">
        <f t="shared" si="82"/>
        <v>43695.666666666453</v>
      </c>
      <c r="BZ91" s="565">
        <f t="shared" si="74"/>
        <v>43695.499999999789</v>
      </c>
      <c r="CA91" s="529"/>
      <c r="CB91" s="807"/>
      <c r="CC91" s="812"/>
      <c r="CD91" s="170"/>
      <c r="CF91" s="675"/>
    </row>
    <row r="92" spans="1:84" s="16" customFormat="1">
      <c r="A92" s="513">
        <f>Construction!E92</f>
        <v>1000</v>
      </c>
      <c r="C92" s="56">
        <f ca="1">Production!H92</f>
        <v>3895450</v>
      </c>
      <c r="D92" s="26">
        <f ca="1">Production!J92</f>
        <v>271419</v>
      </c>
      <c r="E92" s="26">
        <f ca="1">Production!L92</f>
        <v>231000</v>
      </c>
      <c r="F92" s="57">
        <f ca="1">Production!M92</f>
        <v>20000</v>
      </c>
      <c r="G92" s="26"/>
      <c r="H92" s="56">
        <f ca="1">Military!Z92</f>
        <v>3695</v>
      </c>
      <c r="I92" s="540">
        <f ca="1">Population!I92</f>
        <v>1</v>
      </c>
      <c r="J92" s="165">
        <f ca="1">Population!F92/Population!U92</f>
        <v>1</v>
      </c>
      <c r="K92" s="1005">
        <f>Rezone!J92</f>
        <v>90</v>
      </c>
      <c r="L92" s="584">
        <f t="shared" si="85"/>
        <v>43695.708333333117</v>
      </c>
      <c r="M92" s="316">
        <f t="shared" si="83"/>
        <v>0</v>
      </c>
      <c r="N92" s="641">
        <f t="shared" si="58"/>
        <v>1000</v>
      </c>
      <c r="O92" s="423" t="s">
        <v>4</v>
      </c>
      <c r="P92" s="370"/>
      <c r="Q92" s="424" t="s">
        <v>223</v>
      </c>
      <c r="R92" s="423" t="s">
        <v>7</v>
      </c>
      <c r="S92" s="370"/>
      <c r="T92" s="424" t="s">
        <v>223</v>
      </c>
      <c r="U92" s="406" t="s">
        <v>3</v>
      </c>
      <c r="V92" s="407"/>
      <c r="W92" s="409" t="s">
        <v>223</v>
      </c>
      <c r="Y92" s="503">
        <f ca="1">science_cap*(1-EXP(-AF92/(science_param*($A93-Explore!$S93*20)+15000)))*(1+(mason_bonus*Construction!BB92/Construction!BS92))+IF(Overview!$B$14="Beastfolk",Construction!DA92/Construction!E92,0)*(1 + Production!O92/100*prestige_pop_multiplier)</f>
        <v>0</v>
      </c>
      <c r="Z92" s="455">
        <f ca="1">keep_cap*(1-EXP(-AG92/(keep_param*($A93-Explore!$S93*20)+15000)))*(1+(mason_bonus*Construction!BB92/Construction!BS92))+IF(Overview!$B$14="Beastfolk",Construction!DF92/Construction!E92,0)*(1 + Production!O92/100*prestige_pop_multiplier)</f>
        <v>0</v>
      </c>
      <c r="AA92" s="455">
        <f ca="1">harbor_towers_cap*(1-EXP(-AH92/(harbor_towers_param*($A93-Explore!$S93*20)+15000)))*(1+(mason_bonus*Construction!BB92/Construction!BS92))+IF(Overview!$B$14="Beastfolk",2*Construction!DC92/Construction!E92,0)*(1 + Production!O92/100*prestige_pop_multiplier)</f>
        <v>0</v>
      </c>
      <c r="AB92" s="455">
        <f ca="1">walls_forges_cap*(1-EXP(-AI92/(walls_forges_param*($A93-Explore!$S93*20)+15000)))*(1+(mason_bonus*Construction!BB92/Construction!BS92))+IF(Overview!$B$14="Beastfolk",0.2*Construction!CY92/Construction!E92,0)</f>
        <v>0</v>
      </c>
      <c r="AC92" s="455">
        <f ca="1">walls_forges_cap*(1-EXP(-AJ92/(walls_forges_param*($A93-Explore!$S93*20)+15000)))*(1+(mason_bonus*Construction!BB92/Construction!BS92))+IF(Overview!$B$14="Beastfolk",5*Construction!DB92/Construction!E92,0)</f>
        <v>0</v>
      </c>
      <c r="AD92" s="171">
        <f ca="1">harbor_towers_cap*(1-EXP(-AK92/(harbor_towers_param*($A93-Explore!$S93*20)+15000)))*(1+(mason_bonus*Construction!BB92/Construction!BS92))+IF(Overview!$B$14="Beastfolk",Construction!DE92/Construction!E92)*(1 + Production!O92/100*prestige_pop_multiplier)</f>
        <v>0</v>
      </c>
      <c r="AF92" s="56">
        <f ca="1">(1+Overview!$O$28+IF(Magic!BA92&gt;0,0.1,0))*SUM(AR92:AU92)</f>
        <v>0</v>
      </c>
      <c r="AG92" s="26">
        <f ca="1">(1+Overview!$O$28+IF(Magic!BA92&gt;0,0.1,0))*SUM(AW92:AZ92)</f>
        <v>0</v>
      </c>
      <c r="AH92" s="164">
        <f ca="1">(1+Overview!$O$28+IF(Magic!BA92&gt;0,0.1,0))*SUM(BB92:BE92)</f>
        <v>0</v>
      </c>
      <c r="AI92" s="164">
        <f ca="1">(1+Overview!$O$28+IF(Magic!BA92&gt;0,0.1,0))*SUM(BG92:BJ92)</f>
        <v>0</v>
      </c>
      <c r="AJ92" s="164">
        <f ca="1">(1+Overview!$O$28+IF(Magic!BA92&gt;0,0.1,0))*SUM(BL92:BO92)</f>
        <v>0</v>
      </c>
      <c r="AK92" s="166">
        <f ca="1">(1+Overview!$O$28+IF(Magic!BA92&gt;0,0.1,0))*SUM(BQ92:BT92)</f>
        <v>0</v>
      </c>
      <c r="AM92" s="52">
        <f t="shared" si="76"/>
        <v>0</v>
      </c>
      <c r="AN92" s="16">
        <f t="shared" si="76"/>
        <v>0</v>
      </c>
      <c r="AO92" s="16">
        <f t="shared" si="76"/>
        <v>0</v>
      </c>
      <c r="AP92" s="53">
        <f t="shared" si="76"/>
        <v>0</v>
      </c>
      <c r="AR92" s="56">
        <f t="shared" si="59"/>
        <v>0</v>
      </c>
      <c r="AS92" s="26">
        <f t="shared" si="77"/>
        <v>0</v>
      </c>
      <c r="AT92" s="26">
        <f t="shared" si="77"/>
        <v>0</v>
      </c>
      <c r="AU92" s="57">
        <f t="shared" si="60"/>
        <v>0</v>
      </c>
      <c r="AW92" s="56">
        <f t="shared" si="61"/>
        <v>0</v>
      </c>
      <c r="AX92" s="26">
        <f t="shared" si="78"/>
        <v>0</v>
      </c>
      <c r="AY92" s="26">
        <f t="shared" si="78"/>
        <v>0</v>
      </c>
      <c r="AZ92" s="57">
        <f t="shared" si="62"/>
        <v>0</v>
      </c>
      <c r="BB92" s="56">
        <f t="shared" si="63"/>
        <v>0</v>
      </c>
      <c r="BC92" s="26">
        <f t="shared" si="64"/>
        <v>0</v>
      </c>
      <c r="BD92" s="26">
        <f t="shared" si="86"/>
        <v>0</v>
      </c>
      <c r="BE92" s="57">
        <f t="shared" si="65"/>
        <v>0</v>
      </c>
      <c r="BG92" s="56">
        <f t="shared" si="66"/>
        <v>0</v>
      </c>
      <c r="BH92" s="26">
        <f t="shared" si="79"/>
        <v>0</v>
      </c>
      <c r="BI92" s="26">
        <f t="shared" si="79"/>
        <v>0</v>
      </c>
      <c r="BJ92" s="57">
        <f t="shared" si="67"/>
        <v>0</v>
      </c>
      <c r="BL92" s="56">
        <f t="shared" si="68"/>
        <v>0</v>
      </c>
      <c r="BM92" s="26">
        <f t="shared" si="80"/>
        <v>0</v>
      </c>
      <c r="BN92" s="26">
        <f t="shared" si="80"/>
        <v>0</v>
      </c>
      <c r="BO92" s="57">
        <f t="shared" si="69"/>
        <v>0</v>
      </c>
      <c r="BQ92" s="56">
        <f t="shared" si="70"/>
        <v>0</v>
      </c>
      <c r="BR92" s="26">
        <f t="shared" si="81"/>
        <v>0</v>
      </c>
      <c r="BS92" s="26">
        <f t="shared" si="81"/>
        <v>0</v>
      </c>
      <c r="BT92" s="57">
        <f t="shared" si="71"/>
        <v>0</v>
      </c>
      <c r="BV92" s="52" t="e">
        <f>OR(Production!C92,Construction!N92:'Construction'!AF92,Construction!BV92:CN92,Explore!S92:Z92,Military!AF92:AL92,Military!X92,Military!BE92:BL92,Rezone!L92:R92,Magic!G92:Q92)</f>
        <v>#VALUE!</v>
      </c>
      <c r="BW92" s="527">
        <f t="shared" si="72"/>
        <v>0</v>
      </c>
      <c r="BX92" s="527"/>
      <c r="BY92" s="557">
        <f t="shared" si="82"/>
        <v>43695.708333333117</v>
      </c>
      <c r="BZ92" s="565">
        <f t="shared" si="74"/>
        <v>43695.541666666453</v>
      </c>
      <c r="CA92" s="529"/>
      <c r="CB92" s="807"/>
      <c r="CC92" s="812"/>
      <c r="CD92" s="170"/>
      <c r="CF92" s="675"/>
    </row>
    <row r="93" spans="1:84" s="16" customFormat="1">
      <c r="A93" s="513">
        <f>Construction!E93</f>
        <v>1000</v>
      </c>
      <c r="C93" s="56">
        <f ca="1">Production!H93</f>
        <v>3906101</v>
      </c>
      <c r="D93" s="26">
        <f ca="1">Production!J93</f>
        <v>271205</v>
      </c>
      <c r="E93" s="26">
        <f ca="1">Production!L93</f>
        <v>231000</v>
      </c>
      <c r="F93" s="57">
        <f ca="1">Production!M93</f>
        <v>20000</v>
      </c>
      <c r="G93" s="26"/>
      <c r="H93" s="56">
        <f ca="1">Military!Z93</f>
        <v>3695</v>
      </c>
      <c r="I93" s="540">
        <f ca="1">Population!I93</f>
        <v>1</v>
      </c>
      <c r="J93" s="165">
        <f ca="1">Population!F93/Population!U93</f>
        <v>1</v>
      </c>
      <c r="K93" s="1005">
        <f>Rezone!J93</f>
        <v>91</v>
      </c>
      <c r="L93" s="584">
        <f t="shared" si="85"/>
        <v>43695.749999999782</v>
      </c>
      <c r="M93" s="316">
        <f t="shared" si="83"/>
        <v>0</v>
      </c>
      <c r="N93" s="641">
        <f t="shared" si="58"/>
        <v>1000</v>
      </c>
      <c r="O93" s="423" t="s">
        <v>4</v>
      </c>
      <c r="P93" s="370"/>
      <c r="Q93" s="424" t="s">
        <v>223</v>
      </c>
      <c r="R93" s="423" t="s">
        <v>7</v>
      </c>
      <c r="S93" s="370"/>
      <c r="T93" s="424" t="s">
        <v>223</v>
      </c>
      <c r="U93" s="406" t="s">
        <v>3</v>
      </c>
      <c r="V93" s="407"/>
      <c r="W93" s="409" t="s">
        <v>223</v>
      </c>
      <c r="Y93" s="503">
        <f ca="1">science_cap*(1-EXP(-AF93/(science_param*($A94-Explore!$S94*20)+15000)))*(1+(mason_bonus*Construction!BB93/Construction!BS93))+IF(Overview!$B$14="Beastfolk",Construction!DA93/Construction!E93,0)*(1 + Production!O93/100*prestige_pop_multiplier)</f>
        <v>0</v>
      </c>
      <c r="Z93" s="455">
        <f ca="1">keep_cap*(1-EXP(-AG93/(keep_param*($A94-Explore!$S94*20)+15000)))*(1+(mason_bonus*Construction!BB93/Construction!BS93))+IF(Overview!$B$14="Beastfolk",Construction!DF93/Construction!E93,0)*(1 + Production!O93/100*prestige_pop_multiplier)</f>
        <v>0</v>
      </c>
      <c r="AA93" s="455">
        <f ca="1">harbor_towers_cap*(1-EXP(-AH93/(harbor_towers_param*($A94-Explore!$S94*20)+15000)))*(1+(mason_bonus*Construction!BB93/Construction!BS93))+IF(Overview!$B$14="Beastfolk",2*Construction!DC93/Construction!E93,0)*(1 + Production!O93/100*prestige_pop_multiplier)</f>
        <v>0</v>
      </c>
      <c r="AB93" s="455">
        <f ca="1">walls_forges_cap*(1-EXP(-AI93/(walls_forges_param*($A94-Explore!$S94*20)+15000)))*(1+(mason_bonus*Construction!BB93/Construction!BS93))+IF(Overview!$B$14="Beastfolk",0.2*Construction!CY93/Construction!E93,0)</f>
        <v>0</v>
      </c>
      <c r="AC93" s="455">
        <f ca="1">walls_forges_cap*(1-EXP(-AJ93/(walls_forges_param*($A94-Explore!$S94*20)+15000)))*(1+(mason_bonus*Construction!BB93/Construction!BS93))+IF(Overview!$B$14="Beastfolk",5*Construction!DB93/Construction!E93,0)</f>
        <v>0</v>
      </c>
      <c r="AD93" s="171">
        <f ca="1">harbor_towers_cap*(1-EXP(-AK93/(harbor_towers_param*($A94-Explore!$S94*20)+15000)))*(1+(mason_bonus*Construction!BB93/Construction!BS93))+IF(Overview!$B$14="Beastfolk",Construction!DE93/Construction!E93)*(1 + Production!O93/100*prestige_pop_multiplier)</f>
        <v>0</v>
      </c>
      <c r="AF93" s="56">
        <f ca="1">(1+Overview!$O$28+IF(Magic!BA93&gt;0,0.1,0))*SUM(AR93:AU93)</f>
        <v>0</v>
      </c>
      <c r="AG93" s="26">
        <f ca="1">(1+Overview!$O$28+IF(Magic!BA93&gt;0,0.1,0))*SUM(AW93:AZ93)</f>
        <v>0</v>
      </c>
      <c r="AH93" s="164">
        <f ca="1">(1+Overview!$O$28+IF(Magic!BA93&gt;0,0.1,0))*SUM(BB93:BE93)</f>
        <v>0</v>
      </c>
      <c r="AI93" s="164">
        <f ca="1">(1+Overview!$O$28+IF(Magic!BA93&gt;0,0.1,0))*SUM(BG93:BJ93)</f>
        <v>0</v>
      </c>
      <c r="AJ93" s="164">
        <f ca="1">(1+Overview!$O$28+IF(Magic!BA93&gt;0,0.1,0))*SUM(BL93:BO93)</f>
        <v>0</v>
      </c>
      <c r="AK93" s="166">
        <f ca="1">(1+Overview!$O$28+IF(Magic!BA93&gt;0,0.1,0))*SUM(BQ93:BT93)</f>
        <v>0</v>
      </c>
      <c r="AM93" s="52">
        <f t="shared" ref="AM93:AP135" si="87">IF(AND($O93=AM$2,$Q93&lt;&gt;""),$P93) + IF(AND($R93=AM$2,$T93&lt;&gt;""),$S93) + IF(AND($U93=AM$2,$W93&lt;&gt;""),$V93)</f>
        <v>0</v>
      </c>
      <c r="AN93" s="16">
        <f t="shared" si="87"/>
        <v>0</v>
      </c>
      <c r="AO93" s="16">
        <f t="shared" si="87"/>
        <v>0</v>
      </c>
      <c r="AP93" s="53">
        <f t="shared" si="87"/>
        <v>0</v>
      </c>
      <c r="AR93" s="56">
        <f t="shared" si="59"/>
        <v>0</v>
      </c>
      <c r="AS93" s="26">
        <f t="shared" ref="AS93:AT135" si="88">IF($O93=AS$2,IF($Q93=$Y$2,2*$P93)) + IF($R93=AS$2,IF($T93=$Y$2,2*$S93)) + IF($U93=AS$2,IF($W93=$Y$2,2*$V93))</f>
        <v>0</v>
      </c>
      <c r="AT93" s="26">
        <f t="shared" si="88"/>
        <v>0</v>
      </c>
      <c r="AU93" s="57">
        <f t="shared" si="60"/>
        <v>0</v>
      </c>
      <c r="AW93" s="56">
        <f t="shared" si="61"/>
        <v>0</v>
      </c>
      <c r="AX93" s="26">
        <f t="shared" ref="AX93:AY135" si="89">IF($O93=AX$2,IF($Q93=$Z$2,2*$P93)) + IF($R93=AX$2,IF($T93=$Z$2,2*$S93)) + IF($U93=AX$2,IF($W93=$Z$2,2*$V93))</f>
        <v>0</v>
      </c>
      <c r="AY93" s="26">
        <f t="shared" si="89"/>
        <v>0</v>
      </c>
      <c r="AZ93" s="57">
        <f t="shared" si="62"/>
        <v>0</v>
      </c>
      <c r="BB93" s="56">
        <f t="shared" si="63"/>
        <v>0</v>
      </c>
      <c r="BC93" s="26">
        <f t="shared" si="64"/>
        <v>0</v>
      </c>
      <c r="BD93" s="26">
        <f t="shared" si="86"/>
        <v>0</v>
      </c>
      <c r="BE93" s="57">
        <f t="shared" si="65"/>
        <v>0</v>
      </c>
      <c r="BG93" s="56">
        <f t="shared" si="66"/>
        <v>0</v>
      </c>
      <c r="BH93" s="26">
        <f t="shared" ref="BH93:BI135" si="90">IF($O93=BH$2,IF($Q93=$AB$2,2*$P93)) + IF($R93=BH$2,IF($T93=$AB$2,2*$S93)) + IF($U93=BH$2,IF($W93=$AB$2,2*$V93))</f>
        <v>0</v>
      </c>
      <c r="BI93" s="26">
        <f t="shared" si="90"/>
        <v>0</v>
      </c>
      <c r="BJ93" s="57">
        <f t="shared" si="67"/>
        <v>0</v>
      </c>
      <c r="BL93" s="56">
        <f t="shared" si="68"/>
        <v>0</v>
      </c>
      <c r="BM93" s="26">
        <f t="shared" ref="BM93:BN135" si="91">IF($O93=BM$2,IF($Q93=$AC$2,2*$P93)) + IF($R93=BM$2,IF($T93=$AC$2,2*$S93)) + IF($U93=BM$2,IF($W93=$AC$2,2*$V93))</f>
        <v>0</v>
      </c>
      <c r="BN93" s="26">
        <f t="shared" si="91"/>
        <v>0</v>
      </c>
      <c r="BO93" s="57">
        <f t="shared" si="69"/>
        <v>0</v>
      </c>
      <c r="BQ93" s="56">
        <f t="shared" si="70"/>
        <v>0</v>
      </c>
      <c r="BR93" s="26">
        <f t="shared" ref="BR93:BS135" si="92">IF($O93=BR$2,IF($Q93=$AD$2,2*$P93)) + IF($R93=BR$2,IF($T93=$AD$2,2*$S93)) + IF($U93=BR$2,IF($W93=$AD$2,2*$V93))</f>
        <v>0</v>
      </c>
      <c r="BS93" s="26">
        <f t="shared" si="92"/>
        <v>0</v>
      </c>
      <c r="BT93" s="57">
        <f t="shared" si="71"/>
        <v>0</v>
      </c>
      <c r="BV93" s="52" t="e">
        <f>OR(Production!C93,Construction!N93:'Construction'!AF93,Construction!BV93:CN93,Explore!S93:Z93,Military!AF93:AL93,Military!X93,Military!BE93:BL93,Rezone!L93:R93,Magic!G93:Q93)</f>
        <v>#VALUE!</v>
      </c>
      <c r="BW93" s="527">
        <f t="shared" si="72"/>
        <v>0</v>
      </c>
      <c r="BX93" s="527"/>
      <c r="BY93" s="557">
        <f t="shared" si="82"/>
        <v>43695.749999999782</v>
      </c>
      <c r="BZ93" s="565">
        <f t="shared" si="74"/>
        <v>43695.583333333117</v>
      </c>
      <c r="CA93" s="529"/>
      <c r="CB93" s="807"/>
      <c r="CC93" s="812"/>
      <c r="CD93" s="170"/>
    </row>
    <row r="94" spans="1:84" s="16" customFormat="1">
      <c r="A94" s="513">
        <f>Construction!E94</f>
        <v>1000</v>
      </c>
      <c r="C94" s="56">
        <f ca="1">Production!H94</f>
        <v>3916752</v>
      </c>
      <c r="D94" s="26">
        <f ca="1">Production!J94</f>
        <v>270993</v>
      </c>
      <c r="E94" s="26">
        <f ca="1">Production!L94</f>
        <v>231000</v>
      </c>
      <c r="F94" s="57">
        <f ca="1">Production!M94</f>
        <v>20000</v>
      </c>
      <c r="G94" s="26"/>
      <c r="H94" s="56">
        <f ca="1">Military!Z94</f>
        <v>3695</v>
      </c>
      <c r="I94" s="540">
        <f ca="1">Population!I94</f>
        <v>1</v>
      </c>
      <c r="J94" s="165">
        <f ca="1">Population!F94/Population!U94</f>
        <v>1</v>
      </c>
      <c r="K94" s="1005">
        <f>Rezone!J94</f>
        <v>92</v>
      </c>
      <c r="L94" s="584">
        <f t="shared" si="85"/>
        <v>43695.791666666446</v>
      </c>
      <c r="M94" s="316">
        <f t="shared" si="83"/>
        <v>0</v>
      </c>
      <c r="N94" s="641">
        <f t="shared" si="58"/>
        <v>1000</v>
      </c>
      <c r="O94" s="423" t="s">
        <v>4</v>
      </c>
      <c r="P94" s="370"/>
      <c r="Q94" s="424" t="s">
        <v>223</v>
      </c>
      <c r="R94" s="423" t="s">
        <v>7</v>
      </c>
      <c r="S94" s="370"/>
      <c r="T94" s="424" t="s">
        <v>223</v>
      </c>
      <c r="U94" s="406" t="s">
        <v>3</v>
      </c>
      <c r="V94" s="407"/>
      <c r="W94" s="409" t="s">
        <v>223</v>
      </c>
      <c r="Y94" s="503">
        <f ca="1">science_cap*(1-EXP(-AF94/(science_param*($A95-Explore!$S95*20)+15000)))*(1+(mason_bonus*Construction!BB94/Construction!BS94))+IF(Overview!$B$14="Beastfolk",Construction!DA94/Construction!E94,0)*(1 + Production!O94/100*prestige_pop_multiplier)</f>
        <v>0</v>
      </c>
      <c r="Z94" s="455">
        <f ca="1">keep_cap*(1-EXP(-AG94/(keep_param*($A95-Explore!$S95*20)+15000)))*(1+(mason_bonus*Construction!BB94/Construction!BS94))+IF(Overview!$B$14="Beastfolk",Construction!DF94/Construction!E94,0)*(1 + Production!O94/100*prestige_pop_multiplier)</f>
        <v>0</v>
      </c>
      <c r="AA94" s="455">
        <f ca="1">harbor_towers_cap*(1-EXP(-AH94/(harbor_towers_param*($A95-Explore!$S95*20)+15000)))*(1+(mason_bonus*Construction!BB94/Construction!BS94))+IF(Overview!$B$14="Beastfolk",2*Construction!DC94/Construction!E94,0)*(1 + Production!O94/100*prestige_pop_multiplier)</f>
        <v>0</v>
      </c>
      <c r="AB94" s="455">
        <f ca="1">walls_forges_cap*(1-EXP(-AI94/(walls_forges_param*($A95-Explore!$S95*20)+15000)))*(1+(mason_bonus*Construction!BB94/Construction!BS94))+IF(Overview!$B$14="Beastfolk",0.2*Construction!CY94/Construction!E94,0)</f>
        <v>0</v>
      </c>
      <c r="AC94" s="455">
        <f ca="1">walls_forges_cap*(1-EXP(-AJ94/(walls_forges_param*($A95-Explore!$S95*20)+15000)))*(1+(mason_bonus*Construction!BB94/Construction!BS94))+IF(Overview!$B$14="Beastfolk",5*Construction!DB94/Construction!E94,0)</f>
        <v>0</v>
      </c>
      <c r="AD94" s="171">
        <f ca="1">harbor_towers_cap*(1-EXP(-AK94/(harbor_towers_param*($A95-Explore!$S95*20)+15000)))*(1+(mason_bonus*Construction!BB94/Construction!BS94))+IF(Overview!$B$14="Beastfolk",Construction!DE94/Construction!E94)*(1 + Production!O94/100*prestige_pop_multiplier)</f>
        <v>0</v>
      </c>
      <c r="AF94" s="56">
        <f ca="1">(1+Overview!$O$28+IF(Magic!BA94&gt;0,0.1,0))*SUM(AR94:AU94)</f>
        <v>0</v>
      </c>
      <c r="AG94" s="26">
        <f ca="1">(1+Overview!$O$28+IF(Magic!BA94&gt;0,0.1,0))*SUM(AW94:AZ94)</f>
        <v>0</v>
      </c>
      <c r="AH94" s="164">
        <f ca="1">(1+Overview!$O$28+IF(Magic!BA94&gt;0,0.1,0))*SUM(BB94:BE94)</f>
        <v>0</v>
      </c>
      <c r="AI94" s="164">
        <f ca="1">(1+Overview!$O$28+IF(Magic!BA94&gt;0,0.1,0))*SUM(BG94:BJ94)</f>
        <v>0</v>
      </c>
      <c r="AJ94" s="164">
        <f ca="1">(1+Overview!$O$28+IF(Magic!BA94&gt;0,0.1,0))*SUM(BL94:BO94)</f>
        <v>0</v>
      </c>
      <c r="AK94" s="166">
        <f ca="1">(1+Overview!$O$28+IF(Magic!BA94&gt;0,0.1,0))*SUM(BQ94:BT94)</f>
        <v>0</v>
      </c>
      <c r="AM94" s="52">
        <f t="shared" si="87"/>
        <v>0</v>
      </c>
      <c r="AN94" s="16">
        <f t="shared" si="87"/>
        <v>0</v>
      </c>
      <c r="AO94" s="16">
        <f t="shared" si="87"/>
        <v>0</v>
      </c>
      <c r="AP94" s="53">
        <f t="shared" si="87"/>
        <v>0</v>
      </c>
      <c r="AR94" s="56">
        <f t="shared" si="59"/>
        <v>0</v>
      </c>
      <c r="AS94" s="26">
        <f t="shared" si="88"/>
        <v>0</v>
      </c>
      <c r="AT94" s="26">
        <f t="shared" si="88"/>
        <v>0</v>
      </c>
      <c r="AU94" s="57">
        <f t="shared" si="60"/>
        <v>0</v>
      </c>
      <c r="AW94" s="56">
        <f t="shared" si="61"/>
        <v>0</v>
      </c>
      <c r="AX94" s="26">
        <f t="shared" si="89"/>
        <v>0</v>
      </c>
      <c r="AY94" s="26">
        <f t="shared" si="89"/>
        <v>0</v>
      </c>
      <c r="AZ94" s="57">
        <f t="shared" si="62"/>
        <v>0</v>
      </c>
      <c r="BB94" s="56">
        <f t="shared" si="63"/>
        <v>0</v>
      </c>
      <c r="BC94" s="26">
        <f t="shared" si="64"/>
        <v>0</v>
      </c>
      <c r="BD94" s="26">
        <f t="shared" si="86"/>
        <v>0</v>
      </c>
      <c r="BE94" s="57">
        <f t="shared" si="65"/>
        <v>0</v>
      </c>
      <c r="BG94" s="56">
        <f t="shared" si="66"/>
        <v>0</v>
      </c>
      <c r="BH94" s="26">
        <f t="shared" si="90"/>
        <v>0</v>
      </c>
      <c r="BI94" s="26">
        <f t="shared" si="90"/>
        <v>0</v>
      </c>
      <c r="BJ94" s="57">
        <f t="shared" si="67"/>
        <v>0</v>
      </c>
      <c r="BL94" s="56">
        <f t="shared" si="68"/>
        <v>0</v>
      </c>
      <c r="BM94" s="26">
        <f t="shared" si="91"/>
        <v>0</v>
      </c>
      <c r="BN94" s="26">
        <f t="shared" si="91"/>
        <v>0</v>
      </c>
      <c r="BO94" s="57">
        <f t="shared" si="69"/>
        <v>0</v>
      </c>
      <c r="BQ94" s="56">
        <f t="shared" si="70"/>
        <v>0</v>
      </c>
      <c r="BR94" s="26">
        <f t="shared" si="92"/>
        <v>0</v>
      </c>
      <c r="BS94" s="26">
        <f t="shared" si="92"/>
        <v>0</v>
      </c>
      <c r="BT94" s="57">
        <f t="shared" si="71"/>
        <v>0</v>
      </c>
      <c r="BV94" s="52" t="e">
        <f>OR(Production!C94,Construction!N94:'Construction'!AF94,Construction!BV94:CN94,Explore!S94:Z94,Military!AF94:AL94,Military!X94,Military!BE94:BL94,Rezone!L94:R94,Magic!G94:Q94)</f>
        <v>#VALUE!</v>
      </c>
      <c r="BW94" s="527">
        <f t="shared" si="72"/>
        <v>0</v>
      </c>
      <c r="BX94" s="527"/>
      <c r="BY94" s="557">
        <f t="shared" si="82"/>
        <v>43695.791666666446</v>
      </c>
      <c r="BZ94" s="565">
        <f t="shared" si="74"/>
        <v>43695.624999999782</v>
      </c>
      <c r="CA94" s="529"/>
      <c r="CB94" s="807"/>
      <c r="CC94" s="812"/>
      <c r="CD94" s="170"/>
    </row>
    <row r="95" spans="1:84" s="16" customFormat="1">
      <c r="A95" s="513">
        <f>Construction!E95</f>
        <v>1000</v>
      </c>
      <c r="C95" s="56">
        <f ca="1">Production!H95</f>
        <v>3927403</v>
      </c>
      <c r="D95" s="26">
        <f ca="1">Production!J95</f>
        <v>270783</v>
      </c>
      <c r="E95" s="26">
        <f ca="1">Production!L95</f>
        <v>231000</v>
      </c>
      <c r="F95" s="57">
        <f ca="1">Production!M95</f>
        <v>20000</v>
      </c>
      <c r="G95" s="26"/>
      <c r="H95" s="56">
        <f ca="1">Military!Z95</f>
        <v>3695</v>
      </c>
      <c r="I95" s="540">
        <f ca="1">Population!I95</f>
        <v>1</v>
      </c>
      <c r="J95" s="165">
        <f ca="1">Population!F95/Population!U95</f>
        <v>1</v>
      </c>
      <c r="K95" s="1005">
        <f>Rezone!J95</f>
        <v>93</v>
      </c>
      <c r="L95" s="584">
        <f t="shared" si="85"/>
        <v>43695.83333333311</v>
      </c>
      <c r="M95" s="316">
        <f t="shared" si="83"/>
        <v>0</v>
      </c>
      <c r="N95" s="641">
        <f t="shared" si="58"/>
        <v>1000</v>
      </c>
      <c r="O95" s="423" t="s">
        <v>4</v>
      </c>
      <c r="P95" s="370"/>
      <c r="Q95" s="424" t="s">
        <v>223</v>
      </c>
      <c r="R95" s="423" t="s">
        <v>7</v>
      </c>
      <c r="S95" s="370"/>
      <c r="T95" s="424" t="s">
        <v>223</v>
      </c>
      <c r="U95" s="406" t="s">
        <v>3</v>
      </c>
      <c r="V95" s="407"/>
      <c r="W95" s="409" t="s">
        <v>223</v>
      </c>
      <c r="Y95" s="503">
        <f ca="1">science_cap*(1-EXP(-AF95/(science_param*($A96-Explore!$S96*20)+15000)))*(1+(mason_bonus*Construction!BB95/Construction!BS95))+IF(Overview!$B$14="Beastfolk",Construction!DA95/Construction!E95,0)*(1 + Production!O95/100*prestige_pop_multiplier)</f>
        <v>0</v>
      </c>
      <c r="Z95" s="455">
        <f ca="1">keep_cap*(1-EXP(-AG95/(keep_param*($A96-Explore!$S96*20)+15000)))*(1+(mason_bonus*Construction!BB95/Construction!BS95))+IF(Overview!$B$14="Beastfolk",Construction!DF95/Construction!E95,0)*(1 + Production!O95/100*prestige_pop_multiplier)</f>
        <v>0</v>
      </c>
      <c r="AA95" s="455">
        <f ca="1">harbor_towers_cap*(1-EXP(-AH95/(harbor_towers_param*($A96-Explore!$S96*20)+15000)))*(1+(mason_bonus*Construction!BB95/Construction!BS95))+IF(Overview!$B$14="Beastfolk",2*Construction!DC95/Construction!E95,0)*(1 + Production!O95/100*prestige_pop_multiplier)</f>
        <v>0</v>
      </c>
      <c r="AB95" s="455">
        <f ca="1">walls_forges_cap*(1-EXP(-AI95/(walls_forges_param*($A96-Explore!$S96*20)+15000)))*(1+(mason_bonus*Construction!BB95/Construction!BS95))+IF(Overview!$B$14="Beastfolk",0.2*Construction!CY95/Construction!E95,0)</f>
        <v>0</v>
      </c>
      <c r="AC95" s="455">
        <f ca="1">walls_forges_cap*(1-EXP(-AJ95/(walls_forges_param*($A96-Explore!$S96*20)+15000)))*(1+(mason_bonus*Construction!BB95/Construction!BS95))+IF(Overview!$B$14="Beastfolk",5*Construction!DB95/Construction!E95,0)</f>
        <v>0</v>
      </c>
      <c r="AD95" s="171">
        <f ca="1">harbor_towers_cap*(1-EXP(-AK95/(harbor_towers_param*($A96-Explore!$S96*20)+15000)))*(1+(mason_bonus*Construction!BB95/Construction!BS95))+IF(Overview!$B$14="Beastfolk",Construction!DE95/Construction!E95)*(1 + Production!O95/100*prestige_pop_multiplier)</f>
        <v>0</v>
      </c>
      <c r="AF95" s="56">
        <f ca="1">(1+Overview!$O$28+IF(Magic!BA95&gt;0,0.1,0))*SUM(AR95:AU95)</f>
        <v>0</v>
      </c>
      <c r="AG95" s="26">
        <f ca="1">(1+Overview!$O$28+IF(Magic!BA95&gt;0,0.1,0))*SUM(AW95:AZ95)</f>
        <v>0</v>
      </c>
      <c r="AH95" s="164">
        <f ca="1">(1+Overview!$O$28+IF(Magic!BA95&gt;0,0.1,0))*SUM(BB95:BE95)</f>
        <v>0</v>
      </c>
      <c r="AI95" s="164">
        <f ca="1">(1+Overview!$O$28+IF(Magic!BA95&gt;0,0.1,0))*SUM(BG95:BJ95)</f>
        <v>0</v>
      </c>
      <c r="AJ95" s="164">
        <f ca="1">(1+Overview!$O$28+IF(Magic!BA95&gt;0,0.1,0))*SUM(BL95:BO95)</f>
        <v>0</v>
      </c>
      <c r="AK95" s="166">
        <f ca="1">(1+Overview!$O$28+IF(Magic!BA95&gt;0,0.1,0))*SUM(BQ95:BT95)</f>
        <v>0</v>
      </c>
      <c r="AM95" s="52">
        <f t="shared" si="87"/>
        <v>0</v>
      </c>
      <c r="AN95" s="16">
        <f t="shared" si="87"/>
        <v>0</v>
      </c>
      <c r="AO95" s="16">
        <f t="shared" si="87"/>
        <v>0</v>
      </c>
      <c r="AP95" s="53">
        <f t="shared" si="87"/>
        <v>0</v>
      </c>
      <c r="AR95" s="56">
        <f t="shared" si="59"/>
        <v>0</v>
      </c>
      <c r="AS95" s="26">
        <f t="shared" si="88"/>
        <v>0</v>
      </c>
      <c r="AT95" s="26">
        <f t="shared" si="88"/>
        <v>0</v>
      </c>
      <c r="AU95" s="57">
        <f t="shared" si="60"/>
        <v>0</v>
      </c>
      <c r="AW95" s="56">
        <f t="shared" si="61"/>
        <v>0</v>
      </c>
      <c r="AX95" s="26">
        <f t="shared" si="89"/>
        <v>0</v>
      </c>
      <c r="AY95" s="26">
        <f t="shared" si="89"/>
        <v>0</v>
      </c>
      <c r="AZ95" s="57">
        <f t="shared" si="62"/>
        <v>0</v>
      </c>
      <c r="BB95" s="56">
        <f t="shared" si="63"/>
        <v>0</v>
      </c>
      <c r="BC95" s="26">
        <f t="shared" si="64"/>
        <v>0</v>
      </c>
      <c r="BD95" s="26">
        <f t="shared" si="86"/>
        <v>0</v>
      </c>
      <c r="BE95" s="57">
        <f t="shared" si="65"/>
        <v>0</v>
      </c>
      <c r="BG95" s="56">
        <f t="shared" si="66"/>
        <v>0</v>
      </c>
      <c r="BH95" s="26">
        <f t="shared" si="90"/>
        <v>0</v>
      </c>
      <c r="BI95" s="26">
        <f t="shared" si="90"/>
        <v>0</v>
      </c>
      <c r="BJ95" s="57">
        <f t="shared" si="67"/>
        <v>0</v>
      </c>
      <c r="BL95" s="56">
        <f t="shared" si="68"/>
        <v>0</v>
      </c>
      <c r="BM95" s="26">
        <f t="shared" si="91"/>
        <v>0</v>
      </c>
      <c r="BN95" s="26">
        <f t="shared" si="91"/>
        <v>0</v>
      </c>
      <c r="BO95" s="57">
        <f t="shared" si="69"/>
        <v>0</v>
      </c>
      <c r="BQ95" s="56">
        <f t="shared" si="70"/>
        <v>0</v>
      </c>
      <c r="BR95" s="26">
        <f t="shared" si="92"/>
        <v>0</v>
      </c>
      <c r="BS95" s="26">
        <f t="shared" si="92"/>
        <v>0</v>
      </c>
      <c r="BT95" s="57">
        <f t="shared" si="71"/>
        <v>0</v>
      </c>
      <c r="BV95" s="52" t="e">
        <f>OR(Production!C95,Construction!N95:'Construction'!AF95,Construction!BV95:CN95,Explore!S95:Z95,Military!AF95:AL95,Military!X95,Military!BE95:BL95,Rezone!L95:R95,Magic!G95:Q95)</f>
        <v>#VALUE!</v>
      </c>
      <c r="BW95" s="527">
        <f t="shared" si="72"/>
        <v>0</v>
      </c>
      <c r="BX95" s="527"/>
      <c r="BY95" s="557">
        <f t="shared" si="82"/>
        <v>43695.83333333311</v>
      </c>
      <c r="BZ95" s="565">
        <f t="shared" si="74"/>
        <v>43695.666666666446</v>
      </c>
      <c r="CA95" s="529"/>
      <c r="CB95" s="807"/>
      <c r="CC95" s="812"/>
      <c r="CD95" s="170"/>
    </row>
    <row r="96" spans="1:84" s="16" customFormat="1">
      <c r="A96" s="513">
        <f>Construction!E96</f>
        <v>1000</v>
      </c>
      <c r="C96" s="56">
        <f ca="1">Production!H96</f>
        <v>3938054</v>
      </c>
      <c r="D96" s="26">
        <f ca="1">Production!J96</f>
        <v>270575</v>
      </c>
      <c r="E96" s="26">
        <f ca="1">Production!L96</f>
        <v>231000</v>
      </c>
      <c r="F96" s="57">
        <f ca="1">Production!M96</f>
        <v>20000</v>
      </c>
      <c r="G96" s="26"/>
      <c r="H96" s="56">
        <f ca="1">Military!Z96</f>
        <v>3695</v>
      </c>
      <c r="I96" s="540">
        <f ca="1">Population!I96</f>
        <v>1</v>
      </c>
      <c r="J96" s="165">
        <f ca="1">Population!F96/Population!U96</f>
        <v>1</v>
      </c>
      <c r="K96" s="1005">
        <f>Rezone!J96</f>
        <v>94</v>
      </c>
      <c r="L96" s="584">
        <f t="shared" si="85"/>
        <v>43695.874999999774</v>
      </c>
      <c r="M96" s="316">
        <f t="shared" si="83"/>
        <v>0</v>
      </c>
      <c r="N96" s="641">
        <f t="shared" si="58"/>
        <v>1000</v>
      </c>
      <c r="O96" s="423" t="s">
        <v>4</v>
      </c>
      <c r="P96" s="370"/>
      <c r="Q96" s="424" t="s">
        <v>223</v>
      </c>
      <c r="R96" s="423" t="s">
        <v>7</v>
      </c>
      <c r="S96" s="370"/>
      <c r="T96" s="425" t="s">
        <v>223</v>
      </c>
      <c r="U96" s="408" t="s">
        <v>3</v>
      </c>
      <c r="V96" s="407"/>
      <c r="W96" s="409" t="s">
        <v>223</v>
      </c>
      <c r="Y96" s="503">
        <f ca="1">science_cap*(1-EXP(-AF96/(science_param*($A97-Explore!$S97*20)+15000)))*(1+(mason_bonus*Construction!BB96/Construction!BS96))+IF(Overview!$B$14="Beastfolk",Construction!DA96/Construction!E96,0)*(1 + Production!O96/100*prestige_pop_multiplier)</f>
        <v>0</v>
      </c>
      <c r="Z96" s="455">
        <f ca="1">keep_cap*(1-EXP(-AG96/(keep_param*($A97-Explore!$S97*20)+15000)))*(1+(mason_bonus*Construction!BB96/Construction!BS96))+IF(Overview!$B$14="Beastfolk",Construction!DF96/Construction!E96,0)*(1 + Production!O96/100*prestige_pop_multiplier)</f>
        <v>0</v>
      </c>
      <c r="AA96" s="455">
        <f ca="1">harbor_towers_cap*(1-EXP(-AH96/(harbor_towers_param*($A97-Explore!$S97*20)+15000)))*(1+(mason_bonus*Construction!BB96/Construction!BS96))+IF(Overview!$B$14="Beastfolk",2*Construction!DC96/Construction!E96,0)*(1 + Production!O96/100*prestige_pop_multiplier)</f>
        <v>0</v>
      </c>
      <c r="AB96" s="455">
        <f ca="1">walls_forges_cap*(1-EXP(-AI96/(walls_forges_param*($A97-Explore!$S97*20)+15000)))*(1+(mason_bonus*Construction!BB96/Construction!BS96))+IF(Overview!$B$14="Beastfolk",0.2*Construction!CY96/Construction!E96,0)</f>
        <v>0</v>
      </c>
      <c r="AC96" s="455">
        <f ca="1">walls_forges_cap*(1-EXP(-AJ96/(walls_forges_param*($A97-Explore!$S97*20)+15000)))*(1+(mason_bonus*Construction!BB96/Construction!BS96))+IF(Overview!$B$14="Beastfolk",5*Construction!DB96/Construction!E96,0)</f>
        <v>0</v>
      </c>
      <c r="AD96" s="171">
        <f ca="1">harbor_towers_cap*(1-EXP(-AK96/(harbor_towers_param*($A97-Explore!$S97*20)+15000)))*(1+(mason_bonus*Construction!BB96/Construction!BS96))+IF(Overview!$B$14="Beastfolk",Construction!DE96/Construction!E96)*(1 + Production!O96/100*prestige_pop_multiplier)</f>
        <v>0</v>
      </c>
      <c r="AF96" s="56">
        <f ca="1">(1+Overview!$O$28+IF(Magic!BA96&gt;0,0.1,0))*SUM(AR96:AU96)</f>
        <v>0</v>
      </c>
      <c r="AG96" s="26">
        <f ca="1">(1+Overview!$O$28+IF(Magic!BA96&gt;0,0.1,0))*SUM(AW96:AZ96)</f>
        <v>0</v>
      </c>
      <c r="AH96" s="164">
        <f ca="1">(1+Overview!$O$28+IF(Magic!BA96&gt;0,0.1,0))*SUM(BB96:BE96)</f>
        <v>0</v>
      </c>
      <c r="AI96" s="164">
        <f ca="1">(1+Overview!$O$28+IF(Magic!BA96&gt;0,0.1,0))*SUM(BG96:BJ96)</f>
        <v>0</v>
      </c>
      <c r="AJ96" s="164">
        <f ca="1">(1+Overview!$O$28+IF(Magic!BA96&gt;0,0.1,0))*SUM(BL96:BO96)</f>
        <v>0</v>
      </c>
      <c r="AK96" s="166">
        <f ca="1">(1+Overview!$O$28+IF(Magic!BA96&gt;0,0.1,0))*SUM(BQ96:BT96)</f>
        <v>0</v>
      </c>
      <c r="AM96" s="52">
        <f t="shared" si="87"/>
        <v>0</v>
      </c>
      <c r="AN96" s="16">
        <f t="shared" si="87"/>
        <v>0</v>
      </c>
      <c r="AO96" s="16">
        <f t="shared" si="87"/>
        <v>0</v>
      </c>
      <c r="AP96" s="53">
        <f t="shared" si="87"/>
        <v>0</v>
      </c>
      <c r="AR96" s="56">
        <f t="shared" si="59"/>
        <v>0</v>
      </c>
      <c r="AS96" s="26">
        <f t="shared" si="88"/>
        <v>0</v>
      </c>
      <c r="AT96" s="26">
        <f t="shared" si="88"/>
        <v>0</v>
      </c>
      <c r="AU96" s="57">
        <f t="shared" si="60"/>
        <v>0</v>
      </c>
      <c r="AW96" s="56">
        <f t="shared" si="61"/>
        <v>0</v>
      </c>
      <c r="AX96" s="26">
        <f t="shared" si="89"/>
        <v>0</v>
      </c>
      <c r="AY96" s="26">
        <f t="shared" si="89"/>
        <v>0</v>
      </c>
      <c r="AZ96" s="57">
        <f t="shared" si="62"/>
        <v>0</v>
      </c>
      <c r="BB96" s="56">
        <f t="shared" si="63"/>
        <v>0</v>
      </c>
      <c r="BC96" s="26">
        <f t="shared" si="64"/>
        <v>0</v>
      </c>
      <c r="BD96" s="26">
        <f t="shared" si="86"/>
        <v>0</v>
      </c>
      <c r="BE96" s="57">
        <f t="shared" si="65"/>
        <v>0</v>
      </c>
      <c r="BG96" s="56">
        <f t="shared" si="66"/>
        <v>0</v>
      </c>
      <c r="BH96" s="26">
        <f t="shared" si="90"/>
        <v>0</v>
      </c>
      <c r="BI96" s="26">
        <f t="shared" si="90"/>
        <v>0</v>
      </c>
      <c r="BJ96" s="57">
        <f t="shared" si="67"/>
        <v>0</v>
      </c>
      <c r="BL96" s="56">
        <f t="shared" si="68"/>
        <v>0</v>
      </c>
      <c r="BM96" s="26">
        <f t="shared" si="91"/>
        <v>0</v>
      </c>
      <c r="BN96" s="26">
        <f t="shared" si="91"/>
        <v>0</v>
      </c>
      <c r="BO96" s="57">
        <f t="shared" si="69"/>
        <v>0</v>
      </c>
      <c r="BQ96" s="56">
        <f t="shared" si="70"/>
        <v>0</v>
      </c>
      <c r="BR96" s="26">
        <f t="shared" si="92"/>
        <v>0</v>
      </c>
      <c r="BS96" s="26">
        <f t="shared" si="92"/>
        <v>0</v>
      </c>
      <c r="BT96" s="57">
        <f t="shared" si="71"/>
        <v>0</v>
      </c>
      <c r="BV96" s="52" t="e">
        <f>OR(Production!C96,Construction!N96:'Construction'!AF96,Construction!BV96:CN96,Explore!S96:Z96,Military!AF96:AL96,Military!X96,Military!BE96:BL96,Rezone!L96:R96,Magic!G96:Q96)</f>
        <v>#VALUE!</v>
      </c>
      <c r="BW96" s="527">
        <f t="shared" si="72"/>
        <v>0</v>
      </c>
      <c r="BX96" s="527"/>
      <c r="BY96" s="557">
        <f t="shared" si="82"/>
        <v>43695.874999999774</v>
      </c>
      <c r="BZ96" s="565">
        <f t="shared" si="74"/>
        <v>43695.70833333311</v>
      </c>
      <c r="CA96" s="529"/>
      <c r="CB96" s="807"/>
      <c r="CC96" s="812"/>
      <c r="CD96" s="170"/>
    </row>
    <row r="97" spans="1:82" s="16" customFormat="1">
      <c r="A97" s="513">
        <f>Construction!E97</f>
        <v>1000</v>
      </c>
      <c r="C97" s="56">
        <f ca="1">Production!H97</f>
        <v>3948705</v>
      </c>
      <c r="D97" s="26">
        <f ca="1">Production!J97</f>
        <v>270369</v>
      </c>
      <c r="E97" s="26">
        <f ca="1">Production!L97</f>
        <v>231000</v>
      </c>
      <c r="F97" s="57">
        <f ca="1">Production!M97</f>
        <v>20000</v>
      </c>
      <c r="G97" s="26"/>
      <c r="H97" s="56">
        <f ca="1">Military!Z97</f>
        <v>3695</v>
      </c>
      <c r="I97" s="540">
        <f ca="1">Population!I97</f>
        <v>1</v>
      </c>
      <c r="J97" s="165">
        <f ca="1">Population!F97/Population!U97</f>
        <v>1</v>
      </c>
      <c r="K97" s="1005">
        <f>Rezone!J97</f>
        <v>95</v>
      </c>
      <c r="L97" s="584">
        <f t="shared" si="85"/>
        <v>43695.916666666439</v>
      </c>
      <c r="M97" s="316">
        <f t="shared" si="83"/>
        <v>0</v>
      </c>
      <c r="N97" s="641">
        <f t="shared" si="58"/>
        <v>1000</v>
      </c>
      <c r="O97" s="423" t="s">
        <v>4</v>
      </c>
      <c r="P97" s="370"/>
      <c r="Q97" s="424" t="s">
        <v>223</v>
      </c>
      <c r="R97" s="423" t="s">
        <v>7</v>
      </c>
      <c r="S97" s="370"/>
      <c r="T97" s="425" t="s">
        <v>223</v>
      </c>
      <c r="U97" s="408" t="s">
        <v>3</v>
      </c>
      <c r="V97" s="407"/>
      <c r="W97" s="409" t="s">
        <v>223</v>
      </c>
      <c r="Y97" s="503">
        <f ca="1">science_cap*(1-EXP(-AF97/(science_param*($A98-Explore!$S98*20)+15000)))*(1+(mason_bonus*Construction!BB97/Construction!BS97))+IF(Overview!$B$14="Beastfolk",Construction!DA97/Construction!E97,0)*(1 + Production!O97/100*prestige_pop_multiplier)</f>
        <v>0</v>
      </c>
      <c r="Z97" s="455">
        <f ca="1">keep_cap*(1-EXP(-AG97/(keep_param*($A98-Explore!$S98*20)+15000)))*(1+(mason_bonus*Construction!BB97/Construction!BS97))+IF(Overview!$B$14="Beastfolk",Construction!DF97/Construction!E97,0)*(1 + Production!O97/100*prestige_pop_multiplier)</f>
        <v>0</v>
      </c>
      <c r="AA97" s="455">
        <f ca="1">harbor_towers_cap*(1-EXP(-AH97/(harbor_towers_param*($A98-Explore!$S98*20)+15000)))*(1+(mason_bonus*Construction!BB97/Construction!BS97))+IF(Overview!$B$14="Beastfolk",2*Construction!DC97/Construction!E97,0)*(1 + Production!O97/100*prestige_pop_multiplier)</f>
        <v>0</v>
      </c>
      <c r="AB97" s="455">
        <f ca="1">walls_forges_cap*(1-EXP(-AI97/(walls_forges_param*($A98-Explore!$S98*20)+15000)))*(1+(mason_bonus*Construction!BB97/Construction!BS97))+IF(Overview!$B$14="Beastfolk",0.2*Construction!CY97/Construction!E97,0)</f>
        <v>0</v>
      </c>
      <c r="AC97" s="455">
        <f ca="1">walls_forges_cap*(1-EXP(-AJ97/(walls_forges_param*($A98-Explore!$S98*20)+15000)))*(1+(mason_bonus*Construction!BB97/Construction!BS97))+IF(Overview!$B$14="Beastfolk",5*Construction!DB97/Construction!E97,0)</f>
        <v>0</v>
      </c>
      <c r="AD97" s="171">
        <f ca="1">harbor_towers_cap*(1-EXP(-AK97/(harbor_towers_param*($A98-Explore!$S98*20)+15000)))*(1+(mason_bonus*Construction!BB97/Construction!BS97))+IF(Overview!$B$14="Beastfolk",Construction!DE97/Construction!E97)*(1 + Production!O97/100*prestige_pop_multiplier)</f>
        <v>0</v>
      </c>
      <c r="AF97" s="56">
        <f ca="1">(1+Overview!$O$28+IF(Magic!BA97&gt;0,0.1,0))*SUM(AR97:AU97)</f>
        <v>0</v>
      </c>
      <c r="AG97" s="26">
        <f ca="1">(1+Overview!$O$28+IF(Magic!BA97&gt;0,0.1,0))*SUM(AW97:AZ97)</f>
        <v>0</v>
      </c>
      <c r="AH97" s="164">
        <f ca="1">(1+Overview!$O$28+IF(Magic!BA97&gt;0,0.1,0))*SUM(BB97:BE97)</f>
        <v>0</v>
      </c>
      <c r="AI97" s="164">
        <f ca="1">(1+Overview!$O$28+IF(Magic!BA97&gt;0,0.1,0))*SUM(BG97:BJ97)</f>
        <v>0</v>
      </c>
      <c r="AJ97" s="164">
        <f ca="1">(1+Overview!$O$28+IF(Magic!BA97&gt;0,0.1,0))*SUM(BL97:BO97)</f>
        <v>0</v>
      </c>
      <c r="AK97" s="166">
        <f ca="1">(1+Overview!$O$28+IF(Magic!BA97&gt;0,0.1,0))*SUM(BQ97:BT97)</f>
        <v>0</v>
      </c>
      <c r="AM97" s="52">
        <f t="shared" si="87"/>
        <v>0</v>
      </c>
      <c r="AN97" s="16">
        <f t="shared" si="87"/>
        <v>0</v>
      </c>
      <c r="AO97" s="16">
        <f t="shared" si="87"/>
        <v>0</v>
      </c>
      <c r="AP97" s="53">
        <f t="shared" si="87"/>
        <v>0</v>
      </c>
      <c r="AR97" s="56">
        <f t="shared" si="59"/>
        <v>0</v>
      </c>
      <c r="AS97" s="26">
        <f t="shared" si="88"/>
        <v>0</v>
      </c>
      <c r="AT97" s="26">
        <f t="shared" si="88"/>
        <v>0</v>
      </c>
      <c r="AU97" s="57">
        <f t="shared" si="60"/>
        <v>0</v>
      </c>
      <c r="AW97" s="56">
        <f t="shared" si="61"/>
        <v>0</v>
      </c>
      <c r="AX97" s="26">
        <f t="shared" si="89"/>
        <v>0</v>
      </c>
      <c r="AY97" s="26">
        <f t="shared" si="89"/>
        <v>0</v>
      </c>
      <c r="AZ97" s="57">
        <f t="shared" si="62"/>
        <v>0</v>
      </c>
      <c r="BB97" s="56">
        <f t="shared" si="63"/>
        <v>0</v>
      </c>
      <c r="BC97" s="26">
        <f t="shared" si="64"/>
        <v>0</v>
      </c>
      <c r="BD97" s="26">
        <f t="shared" si="86"/>
        <v>0</v>
      </c>
      <c r="BE97" s="57">
        <f t="shared" si="65"/>
        <v>0</v>
      </c>
      <c r="BG97" s="56">
        <f t="shared" si="66"/>
        <v>0</v>
      </c>
      <c r="BH97" s="26">
        <f t="shared" si="90"/>
        <v>0</v>
      </c>
      <c r="BI97" s="26">
        <f t="shared" si="90"/>
        <v>0</v>
      </c>
      <c r="BJ97" s="57">
        <f t="shared" si="67"/>
        <v>0</v>
      </c>
      <c r="BL97" s="56">
        <f t="shared" si="68"/>
        <v>0</v>
      </c>
      <c r="BM97" s="26">
        <f t="shared" si="91"/>
        <v>0</v>
      </c>
      <c r="BN97" s="26">
        <f t="shared" si="91"/>
        <v>0</v>
      </c>
      <c r="BO97" s="57">
        <f t="shared" si="69"/>
        <v>0</v>
      </c>
      <c r="BQ97" s="56">
        <f t="shared" si="70"/>
        <v>0</v>
      </c>
      <c r="BR97" s="26">
        <f t="shared" si="92"/>
        <v>0</v>
      </c>
      <c r="BS97" s="26">
        <f t="shared" si="92"/>
        <v>0</v>
      </c>
      <c r="BT97" s="57">
        <f t="shared" si="71"/>
        <v>0</v>
      </c>
      <c r="BV97" s="52" t="e">
        <f>OR(Production!C97,Construction!N97:'Construction'!AF97,Construction!BV97:CN97,Explore!S97:Z97,Military!AF97:AL97,Military!X97,Military!BE97:BL97,Rezone!L97:R97,Magic!G97:Q97)</f>
        <v>#VALUE!</v>
      </c>
      <c r="BW97" s="527">
        <f t="shared" si="72"/>
        <v>0</v>
      </c>
      <c r="BX97" s="527"/>
      <c r="BY97" s="557">
        <f t="shared" si="82"/>
        <v>43695.916666666439</v>
      </c>
      <c r="BZ97" s="565">
        <f t="shared" si="74"/>
        <v>43695.749999999774</v>
      </c>
      <c r="CA97" s="529"/>
      <c r="CB97" s="807"/>
      <c r="CC97" s="812"/>
      <c r="CD97" s="170"/>
    </row>
    <row r="98" spans="1:82" s="170" customFormat="1" ht="13.5" thickBot="1">
      <c r="A98" s="510">
        <f>Construction!E98</f>
        <v>1000</v>
      </c>
      <c r="C98" s="152">
        <f ca="1">Production!H98</f>
        <v>3959356</v>
      </c>
      <c r="D98" s="164">
        <f ca="1">Production!J98</f>
        <v>270165</v>
      </c>
      <c r="E98" s="164">
        <f ca="1">Production!L98</f>
        <v>231000</v>
      </c>
      <c r="F98" s="166">
        <f ca="1">Production!M98</f>
        <v>20000</v>
      </c>
      <c r="G98" s="164"/>
      <c r="H98" s="152">
        <f ca="1">Military!Z98</f>
        <v>3695</v>
      </c>
      <c r="I98" s="540">
        <f ca="1">Population!I98</f>
        <v>1</v>
      </c>
      <c r="J98" s="165">
        <f ca="1">Population!F98/Population!U98</f>
        <v>1</v>
      </c>
      <c r="K98" s="1005">
        <f>Rezone!J98</f>
        <v>96</v>
      </c>
      <c r="L98" s="584">
        <f t="shared" si="85"/>
        <v>43695.958333333103</v>
      </c>
      <c r="M98" s="649">
        <f t="shared" si="83"/>
        <v>0</v>
      </c>
      <c r="N98" s="531">
        <f t="shared" si="58"/>
        <v>1000</v>
      </c>
      <c r="O98" s="406" t="s">
        <v>4</v>
      </c>
      <c r="P98" s="370"/>
      <c r="Q98" s="408" t="s">
        <v>223</v>
      </c>
      <c r="R98" s="423" t="s">
        <v>7</v>
      </c>
      <c r="S98" s="370"/>
      <c r="T98" s="408" t="s">
        <v>223</v>
      </c>
      <c r="U98" s="406" t="s">
        <v>3</v>
      </c>
      <c r="V98" s="407"/>
      <c r="W98" s="409" t="s">
        <v>223</v>
      </c>
      <c r="Y98" s="503">
        <f ca="1">science_cap*(1-EXP(-AF98/(science_param*($A99-Explore!$S99*20)+15000)))*(1+(mason_bonus*Construction!BB98/Construction!BS98))+IF(Overview!$B$14="Beastfolk",Construction!DA98/Construction!E98,0)*(1 + Production!O98/100*prestige_pop_multiplier)</f>
        <v>0</v>
      </c>
      <c r="Z98" s="455">
        <f ca="1">keep_cap*(1-EXP(-AG98/(keep_param*($A99-Explore!$S99*20)+15000)))*(1+(mason_bonus*Construction!BB98/Construction!BS98))+IF(Overview!$B$14="Beastfolk",Construction!DF98/Construction!E98,0)*(1 + Production!O98/100*prestige_pop_multiplier)</f>
        <v>0</v>
      </c>
      <c r="AA98" s="455">
        <f ca="1">harbor_towers_cap*(1-EXP(-AH98/(harbor_towers_param*($A99-Explore!$S99*20)+15000)))*(1+(mason_bonus*Construction!BB98/Construction!BS98))+IF(Overview!$B$14="Beastfolk",2*Construction!DC98/Construction!E98,0)*(1 + Production!O98/100*prestige_pop_multiplier)</f>
        <v>0</v>
      </c>
      <c r="AB98" s="455">
        <f ca="1">walls_forges_cap*(1-EXP(-AI98/(walls_forges_param*($A99-Explore!$S99*20)+15000)))*(1+(mason_bonus*Construction!BB98/Construction!BS98))+IF(Overview!$B$14="Beastfolk",0.2*Construction!CY98/Construction!E98,0)</f>
        <v>0</v>
      </c>
      <c r="AC98" s="455">
        <f ca="1">walls_forges_cap*(1-EXP(-AJ98/(walls_forges_param*($A99-Explore!$S99*20)+15000)))*(1+(mason_bonus*Construction!BB98/Construction!BS98))+IF(Overview!$B$14="Beastfolk",5*Construction!DB98/Construction!E98,0)</f>
        <v>0</v>
      </c>
      <c r="AD98" s="171">
        <f ca="1">harbor_towers_cap*(1-EXP(-AK98/(harbor_towers_param*($A99-Explore!$S99*20)+15000)))*(1+(mason_bonus*Construction!BB98/Construction!BS98))+IF(Overview!$B$14="Beastfolk",Construction!DE98/Construction!E98)*(1 + Production!O98/100*prestige_pop_multiplier)</f>
        <v>0</v>
      </c>
      <c r="AF98" s="56">
        <f ca="1">(1+Overview!$O$28+IF(Magic!BA98&gt;0,0.1,0))*SUM(AR98:AU98)</f>
        <v>0</v>
      </c>
      <c r="AG98" s="26">
        <f ca="1">(1+Overview!$O$28+IF(Magic!BA98&gt;0,0.1,0))*SUM(AW98:AZ98)</f>
        <v>0</v>
      </c>
      <c r="AH98" s="164">
        <f ca="1">(1+Overview!$O$28+IF(Magic!BA98&gt;0,0.1,0))*SUM(BB98:BE98)</f>
        <v>0</v>
      </c>
      <c r="AI98" s="164">
        <f ca="1">(1+Overview!$O$28+IF(Magic!BA98&gt;0,0.1,0))*SUM(BG98:BJ98)</f>
        <v>0</v>
      </c>
      <c r="AJ98" s="164">
        <f ca="1">(1+Overview!$O$28+IF(Magic!BA98&gt;0,0.1,0))*SUM(BL98:BO98)</f>
        <v>0</v>
      </c>
      <c r="AK98" s="166">
        <f ca="1">(1+Overview!$O$28+IF(Magic!BA98&gt;0,0.1,0))*SUM(BQ98:BT98)</f>
        <v>0</v>
      </c>
      <c r="AM98" s="156">
        <f t="shared" si="87"/>
        <v>0</v>
      </c>
      <c r="AN98" s="170">
        <f t="shared" si="87"/>
        <v>0</v>
      </c>
      <c r="AO98" s="170">
        <f t="shared" si="87"/>
        <v>0</v>
      </c>
      <c r="AP98" s="157">
        <f t="shared" si="87"/>
        <v>0</v>
      </c>
      <c r="AR98" s="152">
        <f t="shared" si="59"/>
        <v>0</v>
      </c>
      <c r="AS98" s="164">
        <f t="shared" si="88"/>
        <v>0</v>
      </c>
      <c r="AT98" s="164">
        <f t="shared" si="88"/>
        <v>0</v>
      </c>
      <c r="AU98" s="166">
        <f t="shared" si="60"/>
        <v>0</v>
      </c>
      <c r="AW98" s="152">
        <f t="shared" si="61"/>
        <v>0</v>
      </c>
      <c r="AX98" s="164">
        <f t="shared" si="89"/>
        <v>0</v>
      </c>
      <c r="AY98" s="164">
        <f t="shared" si="89"/>
        <v>0</v>
      </c>
      <c r="AZ98" s="166">
        <f t="shared" si="62"/>
        <v>0</v>
      </c>
      <c r="BB98" s="152">
        <f t="shared" si="63"/>
        <v>0</v>
      </c>
      <c r="BC98" s="164">
        <f t="shared" si="64"/>
        <v>0</v>
      </c>
      <c r="BD98" s="164">
        <f t="shared" si="86"/>
        <v>0</v>
      </c>
      <c r="BE98" s="166">
        <f t="shared" si="65"/>
        <v>0</v>
      </c>
      <c r="BG98" s="152">
        <f t="shared" si="66"/>
        <v>0</v>
      </c>
      <c r="BH98" s="164">
        <f t="shared" si="90"/>
        <v>0</v>
      </c>
      <c r="BI98" s="164">
        <f t="shared" si="90"/>
        <v>0</v>
      </c>
      <c r="BJ98" s="166">
        <f t="shared" si="67"/>
        <v>0</v>
      </c>
      <c r="BL98" s="152">
        <f t="shared" si="68"/>
        <v>0</v>
      </c>
      <c r="BM98" s="164">
        <f t="shared" si="91"/>
        <v>0</v>
      </c>
      <c r="BN98" s="164">
        <f t="shared" si="91"/>
        <v>0</v>
      </c>
      <c r="BO98" s="166">
        <f t="shared" si="69"/>
        <v>0</v>
      </c>
      <c r="BQ98" s="152">
        <f t="shared" si="70"/>
        <v>0</v>
      </c>
      <c r="BR98" s="164">
        <f t="shared" si="92"/>
        <v>0</v>
      </c>
      <c r="BS98" s="164">
        <f t="shared" si="92"/>
        <v>0</v>
      </c>
      <c r="BT98" s="166">
        <f t="shared" si="71"/>
        <v>0</v>
      </c>
      <c r="BV98" s="156" t="e">
        <f>OR(Production!C98,Construction!N98:'Construction'!AF98,Construction!BV98:CN98,Explore!S98:Z98,Military!AF98:AL98,Military!X98,Military!BE98:BL98,Rezone!L98:R98,Magic!G98:Q98)</f>
        <v>#VALUE!</v>
      </c>
      <c r="BW98" s="548">
        <f t="shared" si="72"/>
        <v>0</v>
      </c>
      <c r="BX98" s="548"/>
      <c r="BY98" s="554">
        <f t="shared" si="82"/>
        <v>43695.958333333103</v>
      </c>
      <c r="BZ98" s="562">
        <f t="shared" si="74"/>
        <v>43695.791666666439</v>
      </c>
      <c r="CA98" s="629"/>
      <c r="CB98" s="807"/>
      <c r="CC98" s="774"/>
    </row>
    <row r="99" spans="1:82" s="173" customFormat="1" ht="13.5" thickBot="1">
      <c r="A99" s="512">
        <f>Construction!E99</f>
        <v>1000</v>
      </c>
      <c r="C99" s="175">
        <f ca="1">Production!H99</f>
        <v>3970007</v>
      </c>
      <c r="D99" s="174">
        <f ca="1">Production!J99</f>
        <v>269963</v>
      </c>
      <c r="E99" s="174">
        <f ca="1">Production!L99</f>
        <v>231000</v>
      </c>
      <c r="F99" s="179">
        <f ca="1">Production!M99</f>
        <v>20000</v>
      </c>
      <c r="G99" s="174"/>
      <c r="H99" s="175">
        <f ca="1">Military!Z99</f>
        <v>3695</v>
      </c>
      <c r="I99" s="541">
        <f ca="1">Population!I99</f>
        <v>1</v>
      </c>
      <c r="J99" s="176">
        <f ca="1">Population!F99/Population!U99</f>
        <v>1</v>
      </c>
      <c r="K99" s="1007">
        <f>Rezone!J99</f>
        <v>97</v>
      </c>
      <c r="L99" s="585">
        <f t="shared" si="85"/>
        <v>43695.999999999767</v>
      </c>
      <c r="M99" s="650">
        <f t="shared" si="83"/>
        <v>0</v>
      </c>
      <c r="N99" s="642">
        <f t="shared" si="58"/>
        <v>1000</v>
      </c>
      <c r="O99" s="416" t="s">
        <v>4</v>
      </c>
      <c r="P99" s="508"/>
      <c r="Q99" s="418" t="s">
        <v>223</v>
      </c>
      <c r="R99" s="817" t="s">
        <v>7</v>
      </c>
      <c r="S99" s="508"/>
      <c r="T99" s="418" t="s">
        <v>223</v>
      </c>
      <c r="U99" s="416" t="s">
        <v>3</v>
      </c>
      <c r="V99" s="417"/>
      <c r="W99" s="419" t="s">
        <v>223</v>
      </c>
      <c r="Y99" s="504">
        <f ca="1">science_cap*(1-EXP(-AF99/(science_param*($A100-Explore!$S100*20)+15000)))*(1+(mason_bonus*Construction!BB99/Construction!BS99))+IF(Overview!$B$14="Beastfolk",Construction!DA99/Construction!E99,0)*(1 + Production!O99/100*prestige_pop_multiplier)</f>
        <v>0</v>
      </c>
      <c r="Z99" s="456">
        <f ca="1">keep_cap*(1-EXP(-AG99/(keep_param*($A100-Explore!$S100*20)+15000)))*(1+(mason_bonus*Construction!BB99/Construction!BS99))+IF(Overview!$B$14="Beastfolk",Construction!DF99/Construction!E99,0)*(1 + Production!O99/100*prestige_pop_multiplier)</f>
        <v>0</v>
      </c>
      <c r="AA99" s="456">
        <f ca="1">harbor_towers_cap*(1-EXP(-AH99/(harbor_towers_param*($A100-Explore!$S100*20)+15000)))*(1+(mason_bonus*Construction!BB99/Construction!BS99))+IF(Overview!$B$14="Beastfolk",2*Construction!DC99/Construction!E99,0)*(1 + Production!O99/100*prestige_pop_multiplier)</f>
        <v>0</v>
      </c>
      <c r="AB99" s="456">
        <f ca="1">walls_forges_cap*(1-EXP(-AI99/(walls_forges_param*($A100-Explore!$S100*20)+15000)))*(1+(mason_bonus*Construction!BB99/Construction!BS99))+IF(Overview!$B$14="Beastfolk",0.2*Construction!CY99/Construction!E99,0)</f>
        <v>0</v>
      </c>
      <c r="AC99" s="456">
        <f ca="1">walls_forges_cap*(1-EXP(-AJ99/(walls_forges_param*($A100-Explore!$S100*20)+15000)))*(1+(mason_bonus*Construction!BB99/Construction!BS99))+IF(Overview!$B$14="Beastfolk",5*Construction!DB99/Construction!E99,0)</f>
        <v>0</v>
      </c>
      <c r="AD99" s="183">
        <f ca="1">harbor_towers_cap*(1-EXP(-AK99/(harbor_towers_param*($A100-Explore!$S100*20)+15000)))*(1+(mason_bonus*Construction!BB99/Construction!BS99))+IF(Overview!$B$14="Beastfolk",Construction!DE99/Construction!E99)*(1 + Production!O99/100*prestige_pop_multiplier)</f>
        <v>0</v>
      </c>
      <c r="AF99" s="1176">
        <f ca="1">(1+Overview!$O$28+IF(Magic!BA99&gt;0,0.1,0))*SUM(AR99:AU99)</f>
        <v>0</v>
      </c>
      <c r="AG99" s="279">
        <f ca="1">(1+Overview!$O$28+IF(Magic!BA99&gt;0,0.1,0))*SUM(AW99:AZ99)</f>
        <v>0</v>
      </c>
      <c r="AH99" s="174">
        <f ca="1">(1+Overview!$O$28+IF(Magic!BA99&gt;0,0.1,0))*SUM(BB99:BE99)</f>
        <v>0</v>
      </c>
      <c r="AI99" s="174">
        <f ca="1">(1+Overview!$O$28+IF(Magic!BA99&gt;0,0.1,0))*SUM(BG99:BJ99)</f>
        <v>0</v>
      </c>
      <c r="AJ99" s="174">
        <f ca="1">(1+Overview!$O$28+IF(Magic!BA99&gt;0,0.1,0))*SUM(BL99:BO99)</f>
        <v>0</v>
      </c>
      <c r="AK99" s="179">
        <f ca="1">(1+Overview!$O$28+IF(Magic!BA99&gt;0,0.1,0))*SUM(BQ99:BT99)</f>
        <v>0</v>
      </c>
      <c r="AM99" s="177">
        <f t="shared" si="87"/>
        <v>0</v>
      </c>
      <c r="AN99" s="173">
        <f t="shared" si="87"/>
        <v>0</v>
      </c>
      <c r="AO99" s="173">
        <f t="shared" si="87"/>
        <v>0</v>
      </c>
      <c r="AP99" s="178">
        <f t="shared" si="87"/>
        <v>0</v>
      </c>
      <c r="AR99" s="175">
        <f t="shared" si="59"/>
        <v>0</v>
      </c>
      <c r="AS99" s="174">
        <f t="shared" si="88"/>
        <v>0</v>
      </c>
      <c r="AT99" s="174">
        <f t="shared" si="88"/>
        <v>0</v>
      </c>
      <c r="AU99" s="179">
        <f t="shared" si="60"/>
        <v>0</v>
      </c>
      <c r="AW99" s="175">
        <f t="shared" si="61"/>
        <v>0</v>
      </c>
      <c r="AX99" s="174">
        <f t="shared" si="89"/>
        <v>0</v>
      </c>
      <c r="AY99" s="174">
        <f t="shared" si="89"/>
        <v>0</v>
      </c>
      <c r="AZ99" s="179">
        <f t="shared" si="62"/>
        <v>0</v>
      </c>
      <c r="BB99" s="175">
        <f t="shared" si="63"/>
        <v>0</v>
      </c>
      <c r="BC99" s="174">
        <f t="shared" si="64"/>
        <v>0</v>
      </c>
      <c r="BD99" s="174">
        <f t="shared" si="86"/>
        <v>0</v>
      </c>
      <c r="BE99" s="179">
        <f t="shared" si="65"/>
        <v>0</v>
      </c>
      <c r="BG99" s="175">
        <f t="shared" si="66"/>
        <v>0</v>
      </c>
      <c r="BH99" s="174">
        <f t="shared" si="90"/>
        <v>0</v>
      </c>
      <c r="BI99" s="174">
        <f t="shared" si="90"/>
        <v>0</v>
      </c>
      <c r="BJ99" s="179">
        <f t="shared" si="67"/>
        <v>0</v>
      </c>
      <c r="BL99" s="175">
        <f t="shared" si="68"/>
        <v>0</v>
      </c>
      <c r="BM99" s="174">
        <f t="shared" si="91"/>
        <v>0</v>
      </c>
      <c r="BN99" s="174">
        <f t="shared" si="91"/>
        <v>0</v>
      </c>
      <c r="BO99" s="179">
        <f t="shared" si="69"/>
        <v>0</v>
      </c>
      <c r="BQ99" s="175">
        <f t="shared" si="70"/>
        <v>0</v>
      </c>
      <c r="BR99" s="174">
        <f t="shared" si="92"/>
        <v>0</v>
      </c>
      <c r="BS99" s="174">
        <f t="shared" si="92"/>
        <v>0</v>
      </c>
      <c r="BT99" s="179">
        <f t="shared" si="71"/>
        <v>0</v>
      </c>
      <c r="BV99" s="177" t="e">
        <f>OR(Production!C99,Construction!N99:'Construction'!AF99,Construction!BV99:CN99,Explore!S99:Z99,Military!AF99:AL99,Military!X99,Military!BE99:BL99,Rezone!L99:R99,Magic!G99:Q99)</f>
        <v>#VALUE!</v>
      </c>
      <c r="BW99" s="550">
        <f t="shared" si="72"/>
        <v>0</v>
      </c>
      <c r="BX99" s="550"/>
      <c r="BY99" s="556">
        <f t="shared" si="82"/>
        <v>43695.999999999767</v>
      </c>
      <c r="BZ99" s="564">
        <f t="shared" si="74"/>
        <v>43695.833333333103</v>
      </c>
      <c r="CA99" s="630"/>
      <c r="CB99" s="810"/>
      <c r="CC99" s="775"/>
    </row>
    <row r="100" spans="1:82" s="170" customFormat="1">
      <c r="A100" s="510">
        <f>Construction!E100</f>
        <v>1000</v>
      </c>
      <c r="C100" s="152">
        <f ca="1">Production!H100</f>
        <v>3980658</v>
      </c>
      <c r="D100" s="164">
        <f ca="1">Production!J100</f>
        <v>269763</v>
      </c>
      <c r="E100" s="164">
        <f ca="1">Production!L100</f>
        <v>231000</v>
      </c>
      <c r="F100" s="166">
        <f ca="1">Production!M100</f>
        <v>20000</v>
      </c>
      <c r="G100" s="164"/>
      <c r="H100" s="152">
        <f ca="1">Military!Z100</f>
        <v>3695</v>
      </c>
      <c r="I100" s="540">
        <f ca="1">Population!I100</f>
        <v>1</v>
      </c>
      <c r="J100" s="165">
        <f ca="1">Population!F100/Population!U100</f>
        <v>1</v>
      </c>
      <c r="K100" s="1005">
        <f>Rezone!J100</f>
        <v>98</v>
      </c>
      <c r="L100" s="584">
        <f t="shared" si="85"/>
        <v>43696.041666666431</v>
      </c>
      <c r="M100" s="649">
        <f t="shared" si="83"/>
        <v>0</v>
      </c>
      <c r="N100" s="531">
        <f t="shared" si="58"/>
        <v>1000</v>
      </c>
      <c r="O100" s="406" t="s">
        <v>4</v>
      </c>
      <c r="P100" s="370"/>
      <c r="Q100" s="408" t="s">
        <v>223</v>
      </c>
      <c r="R100" s="423" t="s">
        <v>7</v>
      </c>
      <c r="S100" s="370"/>
      <c r="T100" s="408" t="s">
        <v>223</v>
      </c>
      <c r="U100" s="420" t="s">
        <v>3</v>
      </c>
      <c r="V100" s="421"/>
      <c r="W100" s="422" t="s">
        <v>223</v>
      </c>
      <c r="Y100" s="503">
        <f ca="1">science_cap*(1-EXP(-AF100/(science_param*($A101-Explore!$S101*20)+15000)))*(1+(mason_bonus*Construction!BB100/Construction!BS100))+IF(Overview!$B$14="Beastfolk",Construction!DA100/Construction!E100,0)*(1 + Production!O100/100*prestige_pop_multiplier)</f>
        <v>0</v>
      </c>
      <c r="Z100" s="455">
        <f ca="1">keep_cap*(1-EXP(-AG100/(keep_param*($A101-Explore!$S101*20)+15000)))*(1+(mason_bonus*Construction!BB100/Construction!BS100))+IF(Overview!$B$14="Beastfolk",Construction!DF100/Construction!E100,0)*(1 + Production!O100/100*prestige_pop_multiplier)</f>
        <v>0</v>
      </c>
      <c r="AA100" s="455">
        <f ca="1">harbor_towers_cap*(1-EXP(-AH100/(harbor_towers_param*($A101-Explore!$S101*20)+15000)))*(1+(mason_bonus*Construction!BB100/Construction!BS100))+IF(Overview!$B$14="Beastfolk",2*Construction!DC100/Construction!E100,0)*(1 + Production!O100/100*prestige_pop_multiplier)</f>
        <v>0</v>
      </c>
      <c r="AB100" s="455">
        <f ca="1">walls_forges_cap*(1-EXP(-AI100/(walls_forges_param*($A101-Explore!$S101*20)+15000)))*(1+(mason_bonus*Construction!BB100/Construction!BS100))+IF(Overview!$B$14="Beastfolk",0.2*Construction!CY100/Construction!E100,0)</f>
        <v>0</v>
      </c>
      <c r="AC100" s="455">
        <f ca="1">walls_forges_cap*(1-EXP(-AJ100/(walls_forges_param*($A101-Explore!$S101*20)+15000)))*(1+(mason_bonus*Construction!BB100/Construction!BS100))+IF(Overview!$B$14="Beastfolk",5*Construction!DB100/Construction!E100,0)</f>
        <v>0</v>
      </c>
      <c r="AD100" s="171">
        <f ca="1">harbor_towers_cap*(1-EXP(-AK100/(harbor_towers_param*($A101-Explore!$S101*20)+15000)))*(1+(mason_bonus*Construction!BB100/Construction!BS100))+IF(Overview!$B$14="Beastfolk",Construction!DE100/Construction!E100)*(1 + Production!O100/100*prestige_pop_multiplier)</f>
        <v>0</v>
      </c>
      <c r="AF100" s="56">
        <f ca="1">(1+Overview!$O$28+IF(Magic!BA100&gt;0,0.1,0))*SUM(AR100:AU100)</f>
        <v>0</v>
      </c>
      <c r="AG100" s="26">
        <f ca="1">(1+Overview!$O$28+IF(Magic!BA100&gt;0,0.1,0))*SUM(AW100:AZ100)</f>
        <v>0</v>
      </c>
      <c r="AH100" s="164">
        <f ca="1">(1+Overview!$O$28+IF(Magic!BA100&gt;0,0.1,0))*SUM(BB100:BE100)</f>
        <v>0</v>
      </c>
      <c r="AI100" s="164">
        <f ca="1">(1+Overview!$O$28+IF(Magic!BA100&gt;0,0.1,0))*SUM(BG100:BJ100)</f>
        <v>0</v>
      </c>
      <c r="AJ100" s="164">
        <f ca="1">(1+Overview!$O$28+IF(Magic!BA100&gt;0,0.1,0))*SUM(BL100:BO100)</f>
        <v>0</v>
      </c>
      <c r="AK100" s="166">
        <f ca="1">(1+Overview!$O$28+IF(Magic!BA100&gt;0,0.1,0))*SUM(BQ100:BT100)</f>
        <v>0</v>
      </c>
      <c r="AM100" s="156">
        <f t="shared" si="87"/>
        <v>0</v>
      </c>
      <c r="AN100" s="170">
        <f t="shared" si="87"/>
        <v>0</v>
      </c>
      <c r="AO100" s="170">
        <f t="shared" si="87"/>
        <v>0</v>
      </c>
      <c r="AP100" s="157">
        <f t="shared" si="87"/>
        <v>0</v>
      </c>
      <c r="AR100" s="152">
        <f t="shared" si="59"/>
        <v>0</v>
      </c>
      <c r="AS100" s="164">
        <f t="shared" si="88"/>
        <v>0</v>
      </c>
      <c r="AT100" s="164">
        <f t="shared" si="88"/>
        <v>0</v>
      </c>
      <c r="AU100" s="166">
        <f t="shared" si="60"/>
        <v>0</v>
      </c>
      <c r="AW100" s="152">
        <f t="shared" si="61"/>
        <v>0</v>
      </c>
      <c r="AX100" s="164">
        <f t="shared" si="89"/>
        <v>0</v>
      </c>
      <c r="AY100" s="164">
        <f t="shared" si="89"/>
        <v>0</v>
      </c>
      <c r="AZ100" s="166">
        <f t="shared" si="62"/>
        <v>0</v>
      </c>
      <c r="BB100" s="152">
        <f t="shared" si="63"/>
        <v>0</v>
      </c>
      <c r="BC100" s="164">
        <f t="shared" si="64"/>
        <v>0</v>
      </c>
      <c r="BD100" s="164">
        <f t="shared" si="86"/>
        <v>0</v>
      </c>
      <c r="BE100" s="166">
        <f t="shared" si="65"/>
        <v>0</v>
      </c>
      <c r="BG100" s="152">
        <f t="shared" si="66"/>
        <v>0</v>
      </c>
      <c r="BH100" s="164">
        <f t="shared" si="90"/>
        <v>0</v>
      </c>
      <c r="BI100" s="164">
        <f t="shared" si="90"/>
        <v>0</v>
      </c>
      <c r="BJ100" s="166">
        <f t="shared" si="67"/>
        <v>0</v>
      </c>
      <c r="BL100" s="152">
        <f t="shared" si="68"/>
        <v>0</v>
      </c>
      <c r="BM100" s="164">
        <f t="shared" si="91"/>
        <v>0</v>
      </c>
      <c r="BN100" s="164">
        <f t="shared" si="91"/>
        <v>0</v>
      </c>
      <c r="BO100" s="166">
        <f t="shared" si="69"/>
        <v>0</v>
      </c>
      <c r="BQ100" s="152">
        <f t="shared" si="70"/>
        <v>0</v>
      </c>
      <c r="BR100" s="164">
        <f t="shared" si="92"/>
        <v>0</v>
      </c>
      <c r="BS100" s="164">
        <f t="shared" si="92"/>
        <v>0</v>
      </c>
      <c r="BT100" s="166">
        <f t="shared" si="71"/>
        <v>0</v>
      </c>
      <c r="BV100" s="156" t="e">
        <f>OR(Production!C100,Construction!N100:'Construction'!AF100,Construction!BV100:CN100,Explore!S100:Z100,Military!AF100:AL100,Military!X100,Military!BE100:BL100,Rezone!L100:R100,Magic!G100:Q100)</f>
        <v>#VALUE!</v>
      </c>
      <c r="BW100" s="548">
        <f t="shared" si="72"/>
        <v>0</v>
      </c>
      <c r="BX100" s="548"/>
      <c r="BY100" s="554">
        <f t="shared" si="82"/>
        <v>43696.041666666431</v>
      </c>
      <c r="BZ100" s="562">
        <f t="shared" si="74"/>
        <v>43695.874999999767</v>
      </c>
      <c r="CA100" s="629"/>
      <c r="CB100" s="807"/>
      <c r="CC100" s="774"/>
    </row>
    <row r="101" spans="1:82" s="170" customFormat="1">
      <c r="A101" s="510">
        <f>Construction!E101</f>
        <v>1000</v>
      </c>
      <c r="C101" s="152">
        <f ca="1">Production!H101</f>
        <v>3991309</v>
      </c>
      <c r="D101" s="164">
        <f ca="1">Production!J101</f>
        <v>269565</v>
      </c>
      <c r="E101" s="164">
        <f ca="1">Production!L101</f>
        <v>231000</v>
      </c>
      <c r="F101" s="166">
        <f ca="1">Production!M101</f>
        <v>20000</v>
      </c>
      <c r="G101" s="164"/>
      <c r="H101" s="152">
        <f ca="1">Military!Z101</f>
        <v>3695</v>
      </c>
      <c r="I101" s="540">
        <f ca="1">Population!I101</f>
        <v>1</v>
      </c>
      <c r="J101" s="165">
        <f ca="1">Population!F101/Population!U101</f>
        <v>1</v>
      </c>
      <c r="K101" s="1005">
        <f>Rezone!J101</f>
        <v>99</v>
      </c>
      <c r="L101" s="584">
        <f t="shared" si="85"/>
        <v>43696.083333333096</v>
      </c>
      <c r="M101" s="649">
        <f t="shared" si="83"/>
        <v>0</v>
      </c>
      <c r="N101" s="531">
        <f t="shared" si="58"/>
        <v>1000</v>
      </c>
      <c r="O101" s="406" t="s">
        <v>4</v>
      </c>
      <c r="P101" s="370"/>
      <c r="Q101" s="408" t="s">
        <v>223</v>
      </c>
      <c r="R101" s="423" t="s">
        <v>7</v>
      </c>
      <c r="S101" s="370"/>
      <c r="T101" s="408" t="s">
        <v>223</v>
      </c>
      <c r="U101" s="406" t="s">
        <v>3</v>
      </c>
      <c r="V101" s="407"/>
      <c r="W101" s="409" t="s">
        <v>223</v>
      </c>
      <c r="Y101" s="503">
        <f ca="1">science_cap*(1-EXP(-AF101/(science_param*($A102-Explore!$S102*20)+15000)))*(1+(mason_bonus*Construction!BB101/Construction!BS101))+IF(Overview!$B$14="Beastfolk",Construction!DA101/Construction!E101,0)*(1 + Production!O101/100*prestige_pop_multiplier)</f>
        <v>0</v>
      </c>
      <c r="Z101" s="455">
        <f ca="1">keep_cap*(1-EXP(-AG101/(keep_param*($A102-Explore!$S102*20)+15000)))*(1+(mason_bonus*Construction!BB101/Construction!BS101))+IF(Overview!$B$14="Beastfolk",Construction!DF101/Construction!E101,0)*(1 + Production!O101/100*prestige_pop_multiplier)</f>
        <v>0</v>
      </c>
      <c r="AA101" s="455">
        <f ca="1">harbor_towers_cap*(1-EXP(-AH101/(harbor_towers_param*($A102-Explore!$S102*20)+15000)))*(1+(mason_bonus*Construction!BB101/Construction!BS101))+IF(Overview!$B$14="Beastfolk",2*Construction!DC101/Construction!E101,0)*(1 + Production!O101/100*prestige_pop_multiplier)</f>
        <v>0</v>
      </c>
      <c r="AB101" s="455">
        <f ca="1">walls_forges_cap*(1-EXP(-AI101/(walls_forges_param*($A102-Explore!$S102*20)+15000)))*(1+(mason_bonus*Construction!BB101/Construction!BS101))+IF(Overview!$B$14="Beastfolk",0.2*Construction!CY101/Construction!E101,0)</f>
        <v>0</v>
      </c>
      <c r="AC101" s="455">
        <f ca="1">walls_forges_cap*(1-EXP(-AJ101/(walls_forges_param*($A102-Explore!$S102*20)+15000)))*(1+(mason_bonus*Construction!BB101/Construction!BS101))+IF(Overview!$B$14="Beastfolk",5*Construction!DB101/Construction!E101,0)</f>
        <v>0</v>
      </c>
      <c r="AD101" s="171">
        <f ca="1">harbor_towers_cap*(1-EXP(-AK101/(harbor_towers_param*($A102-Explore!$S102*20)+15000)))*(1+(mason_bonus*Construction!BB101/Construction!BS101))+IF(Overview!$B$14="Beastfolk",Construction!DE101/Construction!E101)*(1 + Production!O101/100*prestige_pop_multiplier)</f>
        <v>0</v>
      </c>
      <c r="AF101" s="56">
        <f ca="1">(1+Overview!$O$28+IF(Magic!BA101&gt;0,0.1,0))*SUM(AR101:AU101)</f>
        <v>0</v>
      </c>
      <c r="AG101" s="26">
        <f ca="1">(1+Overview!$O$28+IF(Magic!BA101&gt;0,0.1,0))*SUM(AW101:AZ101)</f>
        <v>0</v>
      </c>
      <c r="AH101" s="164">
        <f ca="1">(1+Overview!$O$28+IF(Magic!BA101&gt;0,0.1,0))*SUM(BB101:BE101)</f>
        <v>0</v>
      </c>
      <c r="AI101" s="164">
        <f ca="1">(1+Overview!$O$28+IF(Magic!BA101&gt;0,0.1,0))*SUM(BG101:BJ101)</f>
        <v>0</v>
      </c>
      <c r="AJ101" s="164">
        <f ca="1">(1+Overview!$O$28+IF(Magic!BA101&gt;0,0.1,0))*SUM(BL101:BO101)</f>
        <v>0</v>
      </c>
      <c r="AK101" s="166">
        <f ca="1">(1+Overview!$O$28+IF(Magic!BA101&gt;0,0.1,0))*SUM(BQ101:BT101)</f>
        <v>0</v>
      </c>
      <c r="AM101" s="156">
        <f t="shared" si="87"/>
        <v>0</v>
      </c>
      <c r="AN101" s="170">
        <f t="shared" si="87"/>
        <v>0</v>
      </c>
      <c r="AO101" s="170">
        <f t="shared" si="87"/>
        <v>0</v>
      </c>
      <c r="AP101" s="157">
        <f t="shared" si="87"/>
        <v>0</v>
      </c>
      <c r="AR101" s="152">
        <f t="shared" si="59"/>
        <v>0</v>
      </c>
      <c r="AS101" s="164">
        <f t="shared" si="88"/>
        <v>0</v>
      </c>
      <c r="AT101" s="164">
        <f t="shared" si="88"/>
        <v>0</v>
      </c>
      <c r="AU101" s="166">
        <f t="shared" si="60"/>
        <v>0</v>
      </c>
      <c r="AW101" s="152">
        <f t="shared" si="61"/>
        <v>0</v>
      </c>
      <c r="AX101" s="164">
        <f t="shared" si="89"/>
        <v>0</v>
      </c>
      <c r="AY101" s="164">
        <f t="shared" si="89"/>
        <v>0</v>
      </c>
      <c r="AZ101" s="166">
        <f t="shared" si="62"/>
        <v>0</v>
      </c>
      <c r="BB101" s="152">
        <f t="shared" si="63"/>
        <v>0</v>
      </c>
      <c r="BC101" s="164">
        <f t="shared" si="64"/>
        <v>0</v>
      </c>
      <c r="BD101" s="164">
        <f t="shared" si="86"/>
        <v>0</v>
      </c>
      <c r="BE101" s="166">
        <f t="shared" si="65"/>
        <v>0</v>
      </c>
      <c r="BG101" s="152">
        <f t="shared" si="66"/>
        <v>0</v>
      </c>
      <c r="BH101" s="164">
        <f t="shared" si="90"/>
        <v>0</v>
      </c>
      <c r="BI101" s="164">
        <f t="shared" si="90"/>
        <v>0</v>
      </c>
      <c r="BJ101" s="166">
        <f t="shared" si="67"/>
        <v>0</v>
      </c>
      <c r="BL101" s="152">
        <f t="shared" si="68"/>
        <v>0</v>
      </c>
      <c r="BM101" s="164">
        <f t="shared" si="91"/>
        <v>0</v>
      </c>
      <c r="BN101" s="164">
        <f t="shared" si="91"/>
        <v>0</v>
      </c>
      <c r="BO101" s="166">
        <f t="shared" si="69"/>
        <v>0</v>
      </c>
      <c r="BQ101" s="152">
        <f t="shared" si="70"/>
        <v>0</v>
      </c>
      <c r="BR101" s="164">
        <f t="shared" si="92"/>
        <v>0</v>
      </c>
      <c r="BS101" s="164">
        <f t="shared" si="92"/>
        <v>0</v>
      </c>
      <c r="BT101" s="166">
        <f t="shared" si="71"/>
        <v>0</v>
      </c>
      <c r="BV101" s="156" t="e">
        <f>OR(Production!C101,Construction!N101:'Construction'!AF101,Construction!BV101:CN101,Explore!S101:Z101,Military!AF101:AL101,Military!X101,Military!BE101:BL101,Rezone!L101:R101,Magic!G101:Q101)</f>
        <v>#VALUE!</v>
      </c>
      <c r="BW101" s="548">
        <f t="shared" si="72"/>
        <v>0</v>
      </c>
      <c r="BX101" s="548"/>
      <c r="BY101" s="554">
        <f t="shared" si="82"/>
        <v>43696.083333333096</v>
      </c>
      <c r="BZ101" s="562">
        <f t="shared" si="74"/>
        <v>43695.916666666431</v>
      </c>
      <c r="CA101" s="629"/>
      <c r="CB101" s="807"/>
      <c r="CC101" s="774"/>
      <c r="CD101" s="449" t="s">
        <v>4</v>
      </c>
    </row>
    <row r="102" spans="1:82" s="16" customFormat="1">
      <c r="A102" s="513">
        <f>Construction!E102</f>
        <v>1000</v>
      </c>
      <c r="C102" s="56">
        <f ca="1">Production!H102</f>
        <v>4001960</v>
      </c>
      <c r="D102" s="26">
        <f ca="1">Production!J102</f>
        <v>269369</v>
      </c>
      <c r="E102" s="26">
        <f ca="1">Production!L102</f>
        <v>231000</v>
      </c>
      <c r="F102" s="57">
        <f ca="1">Production!M102</f>
        <v>20000</v>
      </c>
      <c r="G102" s="26"/>
      <c r="H102" s="56">
        <f ca="1">Military!Z102</f>
        <v>3695</v>
      </c>
      <c r="I102" s="540">
        <f ca="1">Population!I102</f>
        <v>1</v>
      </c>
      <c r="J102" s="165">
        <f ca="1">Population!F102/Population!U102</f>
        <v>1</v>
      </c>
      <c r="K102" s="1005">
        <f>Rezone!J102</f>
        <v>100</v>
      </c>
      <c r="L102" s="584">
        <f t="shared" si="85"/>
        <v>43696.12499999976</v>
      </c>
      <c r="M102" s="316">
        <f t="shared" si="83"/>
        <v>0</v>
      </c>
      <c r="N102" s="641">
        <f t="shared" si="58"/>
        <v>1000</v>
      </c>
      <c r="O102" s="423" t="s">
        <v>4</v>
      </c>
      <c r="P102" s="370"/>
      <c r="Q102" s="424" t="s">
        <v>223</v>
      </c>
      <c r="R102" s="423" t="s">
        <v>7</v>
      </c>
      <c r="S102" s="370"/>
      <c r="T102" s="424" t="s">
        <v>223</v>
      </c>
      <c r="U102" s="406" t="s">
        <v>3</v>
      </c>
      <c r="V102" s="407"/>
      <c r="W102" s="409" t="s">
        <v>223</v>
      </c>
      <c r="Y102" s="503">
        <f ca="1">science_cap*(1-EXP(-AF102/(science_param*($A103-Explore!$S103*20)+15000)))*(1+(mason_bonus*Construction!BB102/Construction!BS102))+IF(Overview!$B$14="Beastfolk",Construction!DA102/Construction!E102,0)*(1 + Production!O102/100*prestige_pop_multiplier)</f>
        <v>0</v>
      </c>
      <c r="Z102" s="455">
        <f ca="1">keep_cap*(1-EXP(-AG102/(keep_param*($A103-Explore!$S103*20)+15000)))*(1+(mason_bonus*Construction!BB102/Construction!BS102))+IF(Overview!$B$14="Beastfolk",Construction!DF102/Construction!E102,0)*(1 + Production!O102/100*prestige_pop_multiplier)</f>
        <v>0</v>
      </c>
      <c r="AA102" s="455">
        <f ca="1">harbor_towers_cap*(1-EXP(-AH102/(harbor_towers_param*($A103-Explore!$S103*20)+15000)))*(1+(mason_bonus*Construction!BB102/Construction!BS102))+IF(Overview!$B$14="Beastfolk",2*Construction!DC102/Construction!E102,0)*(1 + Production!O102/100*prestige_pop_multiplier)</f>
        <v>0</v>
      </c>
      <c r="AB102" s="455">
        <f ca="1">walls_forges_cap*(1-EXP(-AI102/(walls_forges_param*($A103-Explore!$S103*20)+15000)))*(1+(mason_bonus*Construction!BB102/Construction!BS102))+IF(Overview!$B$14="Beastfolk",0.2*Construction!CY102/Construction!E102,0)</f>
        <v>0</v>
      </c>
      <c r="AC102" s="455">
        <f ca="1">walls_forges_cap*(1-EXP(-AJ102/(walls_forges_param*($A103-Explore!$S103*20)+15000)))*(1+(mason_bonus*Construction!BB102/Construction!BS102))+IF(Overview!$B$14="Beastfolk",5*Construction!DB102/Construction!E102,0)</f>
        <v>0</v>
      </c>
      <c r="AD102" s="171">
        <f ca="1">harbor_towers_cap*(1-EXP(-AK102/(harbor_towers_param*($A103-Explore!$S103*20)+15000)))*(1+(mason_bonus*Construction!BB102/Construction!BS102))+IF(Overview!$B$14="Beastfolk",Construction!DE102/Construction!E102)*(1 + Production!O102/100*prestige_pop_multiplier)</f>
        <v>0</v>
      </c>
      <c r="AF102" s="56">
        <f ca="1">(1+Overview!$O$28+IF(Magic!BA102&gt;0,0.1,0))*SUM(AR102:AU102)</f>
        <v>0</v>
      </c>
      <c r="AG102" s="26">
        <f ca="1">(1+Overview!$O$28+IF(Magic!BA102&gt;0,0.1,0))*SUM(AW102:AZ102)</f>
        <v>0</v>
      </c>
      <c r="AH102" s="164">
        <f ca="1">(1+Overview!$O$28+IF(Magic!BA102&gt;0,0.1,0))*SUM(BB102:BE102)</f>
        <v>0</v>
      </c>
      <c r="AI102" s="164">
        <f ca="1">(1+Overview!$O$28+IF(Magic!BA102&gt;0,0.1,0))*SUM(BG102:BJ102)</f>
        <v>0</v>
      </c>
      <c r="AJ102" s="164">
        <f ca="1">(1+Overview!$O$28+IF(Magic!BA102&gt;0,0.1,0))*SUM(BL102:BO102)</f>
        <v>0</v>
      </c>
      <c r="AK102" s="166">
        <f ca="1">(1+Overview!$O$28+IF(Magic!BA102&gt;0,0.1,0))*SUM(BQ102:BT102)</f>
        <v>0</v>
      </c>
      <c r="AM102" s="52">
        <f t="shared" si="87"/>
        <v>0</v>
      </c>
      <c r="AN102" s="16">
        <f t="shared" si="87"/>
        <v>0</v>
      </c>
      <c r="AO102" s="16">
        <f t="shared" si="87"/>
        <v>0</v>
      </c>
      <c r="AP102" s="53">
        <f t="shared" si="87"/>
        <v>0</v>
      </c>
      <c r="AR102" s="56">
        <f t="shared" si="59"/>
        <v>0</v>
      </c>
      <c r="AS102" s="26">
        <f t="shared" si="88"/>
        <v>0</v>
      </c>
      <c r="AT102" s="26">
        <f t="shared" si="88"/>
        <v>0</v>
      </c>
      <c r="AU102" s="57">
        <f t="shared" si="60"/>
        <v>0</v>
      </c>
      <c r="AW102" s="56">
        <f t="shared" si="61"/>
        <v>0</v>
      </c>
      <c r="AX102" s="26">
        <f t="shared" si="89"/>
        <v>0</v>
      </c>
      <c r="AY102" s="26">
        <f t="shared" si="89"/>
        <v>0</v>
      </c>
      <c r="AZ102" s="57">
        <f t="shared" si="62"/>
        <v>0</v>
      </c>
      <c r="BB102" s="56">
        <f t="shared" si="63"/>
        <v>0</v>
      </c>
      <c r="BC102" s="26">
        <f t="shared" si="64"/>
        <v>0</v>
      </c>
      <c r="BD102" s="26">
        <f t="shared" si="86"/>
        <v>0</v>
      </c>
      <c r="BE102" s="57">
        <f t="shared" si="65"/>
        <v>0</v>
      </c>
      <c r="BG102" s="56">
        <f t="shared" si="66"/>
        <v>0</v>
      </c>
      <c r="BH102" s="26">
        <f t="shared" si="90"/>
        <v>0</v>
      </c>
      <c r="BI102" s="26">
        <f t="shared" si="90"/>
        <v>0</v>
      </c>
      <c r="BJ102" s="57">
        <f t="shared" si="67"/>
        <v>0</v>
      </c>
      <c r="BL102" s="56">
        <f t="shared" si="68"/>
        <v>0</v>
      </c>
      <c r="BM102" s="26">
        <f t="shared" si="91"/>
        <v>0</v>
      </c>
      <c r="BN102" s="26">
        <f t="shared" si="91"/>
        <v>0</v>
      </c>
      <c r="BO102" s="57">
        <f t="shared" si="69"/>
        <v>0</v>
      </c>
      <c r="BQ102" s="56">
        <f t="shared" si="70"/>
        <v>0</v>
      </c>
      <c r="BR102" s="26">
        <f t="shared" si="92"/>
        <v>0</v>
      </c>
      <c r="BS102" s="26">
        <f t="shared" si="92"/>
        <v>0</v>
      </c>
      <c r="BT102" s="57">
        <f t="shared" si="71"/>
        <v>0</v>
      </c>
      <c r="BV102" s="52" t="e">
        <f>OR(Production!C102,Construction!N102:'Construction'!AF102,Construction!BV102:CN102,Explore!S102:Z102,Military!AF102:AL102,Military!X102,Military!BE102:BL102,Rezone!L102:R102,Magic!G102:Q102)</f>
        <v>#VALUE!</v>
      </c>
      <c r="BW102" s="527">
        <f t="shared" si="72"/>
        <v>0</v>
      </c>
      <c r="BX102" s="527"/>
      <c r="BY102" s="557">
        <f t="shared" si="82"/>
        <v>43696.12499999976</v>
      </c>
      <c r="BZ102" s="565">
        <f t="shared" si="74"/>
        <v>43695.958333333096</v>
      </c>
      <c r="CA102" s="529"/>
      <c r="CB102" s="807"/>
      <c r="CC102" s="812"/>
      <c r="CD102" s="449" t="s">
        <v>7</v>
      </c>
    </row>
    <row r="103" spans="1:82" s="16" customFormat="1">
      <c r="A103" s="513">
        <f>Construction!E103</f>
        <v>1000</v>
      </c>
      <c r="C103" s="56">
        <f ca="1">Production!H103</f>
        <v>4012611</v>
      </c>
      <c r="D103" s="26">
        <f ca="1">Production!J103</f>
        <v>269175</v>
      </c>
      <c r="E103" s="26">
        <f ca="1">Production!L103</f>
        <v>231000</v>
      </c>
      <c r="F103" s="57">
        <f ca="1">Production!M103</f>
        <v>20000</v>
      </c>
      <c r="G103" s="26"/>
      <c r="H103" s="56">
        <f ca="1">Military!Z103</f>
        <v>3695</v>
      </c>
      <c r="I103" s="540">
        <f ca="1">Population!I103</f>
        <v>1</v>
      </c>
      <c r="J103" s="165">
        <f ca="1">Population!F103/Population!U103</f>
        <v>1</v>
      </c>
      <c r="K103" s="1005">
        <f>Rezone!J103</f>
        <v>101</v>
      </c>
      <c r="L103" s="584">
        <f t="shared" si="85"/>
        <v>43696.166666666424</v>
      </c>
      <c r="M103" s="316">
        <f t="shared" si="83"/>
        <v>0</v>
      </c>
      <c r="N103" s="641">
        <f t="shared" si="58"/>
        <v>1000</v>
      </c>
      <c r="O103" s="423" t="s">
        <v>4</v>
      </c>
      <c r="P103" s="370"/>
      <c r="Q103" s="424" t="s">
        <v>223</v>
      </c>
      <c r="R103" s="423" t="s">
        <v>7</v>
      </c>
      <c r="S103" s="370"/>
      <c r="T103" s="424" t="s">
        <v>223</v>
      </c>
      <c r="U103" s="406" t="s">
        <v>3</v>
      </c>
      <c r="V103" s="407"/>
      <c r="W103" s="409" t="s">
        <v>223</v>
      </c>
      <c r="Y103" s="503">
        <f ca="1">science_cap*(1-EXP(-AF103/(science_param*($A104-Explore!$S104*20)+15000)))*(1+(mason_bonus*Construction!BB103/Construction!BS103))+IF(Overview!$B$14="Beastfolk",Construction!DA103/Construction!E103,0)*(1 + Production!O103/100*prestige_pop_multiplier)</f>
        <v>0</v>
      </c>
      <c r="Z103" s="455">
        <f ca="1">keep_cap*(1-EXP(-AG103/(keep_param*($A104-Explore!$S104*20)+15000)))*(1+(mason_bonus*Construction!BB103/Construction!BS103))+IF(Overview!$B$14="Beastfolk",Construction!DF103/Construction!E103,0)*(1 + Production!O103/100*prestige_pop_multiplier)</f>
        <v>0</v>
      </c>
      <c r="AA103" s="455">
        <f ca="1">harbor_towers_cap*(1-EXP(-AH103/(harbor_towers_param*($A104-Explore!$S104*20)+15000)))*(1+(mason_bonus*Construction!BB103/Construction!BS103))+IF(Overview!$B$14="Beastfolk",2*Construction!DC103/Construction!E103,0)*(1 + Production!O103/100*prestige_pop_multiplier)</f>
        <v>0</v>
      </c>
      <c r="AB103" s="455">
        <f ca="1">walls_forges_cap*(1-EXP(-AI103/(walls_forges_param*($A104-Explore!$S104*20)+15000)))*(1+(mason_bonus*Construction!BB103/Construction!BS103))+IF(Overview!$B$14="Beastfolk",0.2*Construction!CY103/Construction!E103,0)</f>
        <v>0</v>
      </c>
      <c r="AC103" s="455">
        <f ca="1">walls_forges_cap*(1-EXP(-AJ103/(walls_forges_param*($A104-Explore!$S104*20)+15000)))*(1+(mason_bonus*Construction!BB103/Construction!BS103))+IF(Overview!$B$14="Beastfolk",5*Construction!DB103/Construction!E103,0)</f>
        <v>0</v>
      </c>
      <c r="AD103" s="171">
        <f ca="1">harbor_towers_cap*(1-EXP(-AK103/(harbor_towers_param*($A104-Explore!$S104*20)+15000)))*(1+(mason_bonus*Construction!BB103/Construction!BS103))+IF(Overview!$B$14="Beastfolk",Construction!DE103/Construction!E103)*(1 + Production!O103/100*prestige_pop_multiplier)</f>
        <v>0</v>
      </c>
      <c r="AF103" s="56">
        <f ca="1">(1+Overview!$O$28+IF(Magic!BA103&gt;0,0.1,0))*SUM(AR103:AU103)</f>
        <v>0</v>
      </c>
      <c r="AG103" s="26">
        <f ca="1">(1+Overview!$O$28+IF(Magic!BA103&gt;0,0.1,0))*SUM(AW103:AZ103)</f>
        <v>0</v>
      </c>
      <c r="AH103" s="164">
        <f ca="1">(1+Overview!$O$28+IF(Magic!BA103&gt;0,0.1,0))*SUM(BB103:BE103)</f>
        <v>0</v>
      </c>
      <c r="AI103" s="164">
        <f ca="1">(1+Overview!$O$28+IF(Magic!BA103&gt;0,0.1,0))*SUM(BG103:BJ103)</f>
        <v>0</v>
      </c>
      <c r="AJ103" s="164">
        <f ca="1">(1+Overview!$O$28+IF(Magic!BA103&gt;0,0.1,0))*SUM(BL103:BO103)</f>
        <v>0</v>
      </c>
      <c r="AK103" s="166">
        <f ca="1">(1+Overview!$O$28+IF(Magic!BA103&gt;0,0.1,0))*SUM(BQ103:BT103)</f>
        <v>0</v>
      </c>
      <c r="AM103" s="52">
        <f t="shared" si="87"/>
        <v>0</v>
      </c>
      <c r="AN103" s="16">
        <f t="shared" si="87"/>
        <v>0</v>
      </c>
      <c r="AO103" s="16">
        <f t="shared" si="87"/>
        <v>0</v>
      </c>
      <c r="AP103" s="53">
        <f t="shared" si="87"/>
        <v>0</v>
      </c>
      <c r="AR103" s="56">
        <f t="shared" si="59"/>
        <v>0</v>
      </c>
      <c r="AS103" s="26">
        <f t="shared" si="88"/>
        <v>0</v>
      </c>
      <c r="AT103" s="26">
        <f t="shared" si="88"/>
        <v>0</v>
      </c>
      <c r="AU103" s="57">
        <f t="shared" si="60"/>
        <v>0</v>
      </c>
      <c r="AW103" s="56">
        <f t="shared" si="61"/>
        <v>0</v>
      </c>
      <c r="AX103" s="26">
        <f t="shared" si="89"/>
        <v>0</v>
      </c>
      <c r="AY103" s="26">
        <f t="shared" si="89"/>
        <v>0</v>
      </c>
      <c r="AZ103" s="57">
        <f t="shared" si="62"/>
        <v>0</v>
      </c>
      <c r="BB103" s="56">
        <f t="shared" si="63"/>
        <v>0</v>
      </c>
      <c r="BC103" s="26">
        <f t="shared" si="64"/>
        <v>0</v>
      </c>
      <c r="BD103" s="26">
        <f t="shared" si="86"/>
        <v>0</v>
      </c>
      <c r="BE103" s="57">
        <f t="shared" si="65"/>
        <v>0</v>
      </c>
      <c r="BG103" s="56">
        <f t="shared" si="66"/>
        <v>0</v>
      </c>
      <c r="BH103" s="26">
        <f t="shared" si="90"/>
        <v>0</v>
      </c>
      <c r="BI103" s="26">
        <f t="shared" si="90"/>
        <v>0</v>
      </c>
      <c r="BJ103" s="57">
        <f t="shared" si="67"/>
        <v>0</v>
      </c>
      <c r="BL103" s="56">
        <f t="shared" si="68"/>
        <v>0</v>
      </c>
      <c r="BM103" s="26">
        <f t="shared" si="91"/>
        <v>0</v>
      </c>
      <c r="BN103" s="26">
        <f t="shared" si="91"/>
        <v>0</v>
      </c>
      <c r="BO103" s="57">
        <f t="shared" si="69"/>
        <v>0</v>
      </c>
      <c r="BQ103" s="56">
        <f t="shared" si="70"/>
        <v>0</v>
      </c>
      <c r="BR103" s="26">
        <f t="shared" si="92"/>
        <v>0</v>
      </c>
      <c r="BS103" s="26">
        <f t="shared" si="92"/>
        <v>0</v>
      </c>
      <c r="BT103" s="57">
        <f t="shared" si="71"/>
        <v>0</v>
      </c>
      <c r="BV103" s="52" t="e">
        <f>OR(Production!C103,Construction!N103:'Construction'!AF103,Construction!BV103:CN103,Explore!S103:Z103,Military!AF103:AL103,Military!X103,Military!BE103:BL103,Rezone!L103:R103,Magic!G103:Q103)</f>
        <v>#VALUE!</v>
      </c>
      <c r="BW103" s="527">
        <f t="shared" si="72"/>
        <v>0</v>
      </c>
      <c r="BX103" s="527"/>
      <c r="BY103" s="557">
        <f t="shared" si="82"/>
        <v>43696.166666666424</v>
      </c>
      <c r="BZ103" s="565">
        <f t="shared" si="74"/>
        <v>43695.99999999976</v>
      </c>
      <c r="CA103" s="529"/>
      <c r="CB103" s="807"/>
      <c r="CC103" s="812"/>
      <c r="CD103" s="449" t="s">
        <v>3</v>
      </c>
    </row>
    <row r="104" spans="1:82" s="16" customFormat="1">
      <c r="A104" s="513">
        <f>Construction!E104</f>
        <v>1000</v>
      </c>
      <c r="C104" s="56">
        <f ca="1">Production!H104</f>
        <v>4023262</v>
      </c>
      <c r="D104" s="26">
        <f ca="1">Production!J104</f>
        <v>268983</v>
      </c>
      <c r="E104" s="26">
        <f ca="1">Production!L104</f>
        <v>231000</v>
      </c>
      <c r="F104" s="57">
        <f ca="1">Production!M104</f>
        <v>20000</v>
      </c>
      <c r="G104" s="26"/>
      <c r="H104" s="56">
        <f ca="1">Military!Z104</f>
        <v>3695</v>
      </c>
      <c r="I104" s="540">
        <f ca="1">Population!I104</f>
        <v>1</v>
      </c>
      <c r="J104" s="165">
        <f ca="1">Population!F104/Population!U104</f>
        <v>1</v>
      </c>
      <c r="K104" s="1005">
        <f>Rezone!J104</f>
        <v>102</v>
      </c>
      <c r="L104" s="584">
        <f t="shared" si="85"/>
        <v>43696.208333333088</v>
      </c>
      <c r="M104" s="316">
        <f t="shared" si="83"/>
        <v>0</v>
      </c>
      <c r="N104" s="641">
        <f t="shared" si="58"/>
        <v>1000</v>
      </c>
      <c r="O104" s="423" t="s">
        <v>4</v>
      </c>
      <c r="P104" s="370"/>
      <c r="Q104" s="424" t="s">
        <v>223</v>
      </c>
      <c r="R104" s="423" t="s">
        <v>7</v>
      </c>
      <c r="S104" s="370"/>
      <c r="T104" s="424" t="s">
        <v>223</v>
      </c>
      <c r="U104" s="406" t="s">
        <v>3</v>
      </c>
      <c r="V104" s="407"/>
      <c r="W104" s="409" t="s">
        <v>223</v>
      </c>
      <c r="Y104" s="503">
        <f ca="1">science_cap*(1-EXP(-AF104/(science_param*($A105-Explore!$S105*20)+15000)))*(1+(mason_bonus*Construction!BB104/Construction!BS104))+IF(Overview!$B$14="Beastfolk",Construction!DA104/Construction!E104,0)*(1 + Production!O104/100*prestige_pop_multiplier)</f>
        <v>0</v>
      </c>
      <c r="Z104" s="455">
        <f ca="1">keep_cap*(1-EXP(-AG104/(keep_param*($A105-Explore!$S105*20)+15000)))*(1+(mason_bonus*Construction!BB104/Construction!BS104))+IF(Overview!$B$14="Beastfolk",Construction!DF104/Construction!E104,0)*(1 + Production!O104/100*prestige_pop_multiplier)</f>
        <v>0</v>
      </c>
      <c r="AA104" s="455">
        <f ca="1">harbor_towers_cap*(1-EXP(-AH104/(harbor_towers_param*($A105-Explore!$S105*20)+15000)))*(1+(mason_bonus*Construction!BB104/Construction!BS104))+IF(Overview!$B$14="Beastfolk",2*Construction!DC104/Construction!E104,0)*(1 + Production!O104/100*prestige_pop_multiplier)</f>
        <v>0</v>
      </c>
      <c r="AB104" s="455">
        <f ca="1">walls_forges_cap*(1-EXP(-AI104/(walls_forges_param*($A105-Explore!$S105*20)+15000)))*(1+(mason_bonus*Construction!BB104/Construction!BS104))+IF(Overview!$B$14="Beastfolk",0.2*Construction!CY104/Construction!E104,0)</f>
        <v>0</v>
      </c>
      <c r="AC104" s="455">
        <f ca="1">walls_forges_cap*(1-EXP(-AJ104/(walls_forges_param*($A105-Explore!$S105*20)+15000)))*(1+(mason_bonus*Construction!BB104/Construction!BS104))+IF(Overview!$B$14="Beastfolk",5*Construction!DB104/Construction!E104,0)</f>
        <v>0</v>
      </c>
      <c r="AD104" s="171">
        <f ca="1">harbor_towers_cap*(1-EXP(-AK104/(harbor_towers_param*($A105-Explore!$S105*20)+15000)))*(1+(mason_bonus*Construction!BB104/Construction!BS104))+IF(Overview!$B$14="Beastfolk",Construction!DE104/Construction!E104)*(1 + Production!O104/100*prestige_pop_multiplier)</f>
        <v>0</v>
      </c>
      <c r="AF104" s="56">
        <f ca="1">(1+Overview!$O$28+IF(Magic!BA104&gt;0,0.1,0))*SUM(AR104:AU104)</f>
        <v>0</v>
      </c>
      <c r="AG104" s="26">
        <f ca="1">(1+Overview!$O$28+IF(Magic!BA104&gt;0,0.1,0))*SUM(AW104:AZ104)</f>
        <v>0</v>
      </c>
      <c r="AH104" s="164">
        <f ca="1">(1+Overview!$O$28+IF(Magic!BA104&gt;0,0.1,0))*SUM(BB104:BE104)</f>
        <v>0</v>
      </c>
      <c r="AI104" s="164">
        <f ca="1">(1+Overview!$O$28+IF(Magic!BA104&gt;0,0.1,0))*SUM(BG104:BJ104)</f>
        <v>0</v>
      </c>
      <c r="AJ104" s="164">
        <f ca="1">(1+Overview!$O$28+IF(Magic!BA104&gt;0,0.1,0))*SUM(BL104:BO104)</f>
        <v>0</v>
      </c>
      <c r="AK104" s="166">
        <f ca="1">(1+Overview!$O$28+IF(Magic!BA104&gt;0,0.1,0))*SUM(BQ104:BT104)</f>
        <v>0</v>
      </c>
      <c r="AM104" s="52">
        <f t="shared" si="87"/>
        <v>0</v>
      </c>
      <c r="AN104" s="16">
        <f t="shared" si="87"/>
        <v>0</v>
      </c>
      <c r="AO104" s="16">
        <f t="shared" si="87"/>
        <v>0</v>
      </c>
      <c r="AP104" s="53">
        <f t="shared" si="87"/>
        <v>0</v>
      </c>
      <c r="AR104" s="56">
        <f t="shared" si="59"/>
        <v>0</v>
      </c>
      <c r="AS104" s="26">
        <f t="shared" si="88"/>
        <v>0</v>
      </c>
      <c r="AT104" s="26">
        <f t="shared" si="88"/>
        <v>0</v>
      </c>
      <c r="AU104" s="57">
        <f t="shared" si="60"/>
        <v>0</v>
      </c>
      <c r="AW104" s="56">
        <f t="shared" si="61"/>
        <v>0</v>
      </c>
      <c r="AX104" s="26">
        <f t="shared" si="89"/>
        <v>0</v>
      </c>
      <c r="AY104" s="26">
        <f t="shared" si="89"/>
        <v>0</v>
      </c>
      <c r="AZ104" s="57">
        <f t="shared" si="62"/>
        <v>0</v>
      </c>
      <c r="BB104" s="56">
        <f t="shared" si="63"/>
        <v>0</v>
      </c>
      <c r="BC104" s="26">
        <f t="shared" si="64"/>
        <v>0</v>
      </c>
      <c r="BD104" s="26">
        <f t="shared" si="86"/>
        <v>0</v>
      </c>
      <c r="BE104" s="57">
        <f t="shared" si="65"/>
        <v>0</v>
      </c>
      <c r="BG104" s="56">
        <f t="shared" si="66"/>
        <v>0</v>
      </c>
      <c r="BH104" s="26">
        <f t="shared" si="90"/>
        <v>0</v>
      </c>
      <c r="BI104" s="26">
        <f t="shared" si="90"/>
        <v>0</v>
      </c>
      <c r="BJ104" s="57">
        <f t="shared" si="67"/>
        <v>0</v>
      </c>
      <c r="BL104" s="56">
        <f t="shared" si="68"/>
        <v>0</v>
      </c>
      <c r="BM104" s="26">
        <f t="shared" si="91"/>
        <v>0</v>
      </c>
      <c r="BN104" s="26">
        <f t="shared" si="91"/>
        <v>0</v>
      </c>
      <c r="BO104" s="57">
        <f t="shared" si="69"/>
        <v>0</v>
      </c>
      <c r="BQ104" s="56">
        <f t="shared" si="70"/>
        <v>0</v>
      </c>
      <c r="BR104" s="26">
        <f t="shared" si="92"/>
        <v>0</v>
      </c>
      <c r="BS104" s="26">
        <f t="shared" si="92"/>
        <v>0</v>
      </c>
      <c r="BT104" s="57">
        <f t="shared" si="71"/>
        <v>0</v>
      </c>
      <c r="BV104" s="52" t="e">
        <f>OR(Production!C104,Construction!N104:'Construction'!AF104,Construction!BV104:CN104,Explore!S104:Z104,Military!AF104:AL104,Military!X104,Military!BE104:BL104,Rezone!L104:R104,Magic!G104:Q104)</f>
        <v>#VALUE!</v>
      </c>
      <c r="BW104" s="527">
        <f t="shared" si="72"/>
        <v>0</v>
      </c>
      <c r="BX104" s="527"/>
      <c r="BY104" s="557">
        <f t="shared" si="82"/>
        <v>43696.208333333088</v>
      </c>
      <c r="BZ104" s="565">
        <f t="shared" si="74"/>
        <v>43696.041666666424</v>
      </c>
      <c r="CA104" s="529"/>
      <c r="CB104" s="807"/>
      <c r="CC104" s="812"/>
      <c r="CD104" s="449" t="s">
        <v>2</v>
      </c>
    </row>
    <row r="105" spans="1:82" s="16" customFormat="1">
      <c r="A105" s="513">
        <f>Construction!E105</f>
        <v>1000</v>
      </c>
      <c r="C105" s="56">
        <f ca="1">Production!H105</f>
        <v>4033913</v>
      </c>
      <c r="D105" s="26">
        <f ca="1">Production!J105</f>
        <v>268793</v>
      </c>
      <c r="E105" s="26">
        <f ca="1">Production!L105</f>
        <v>231000</v>
      </c>
      <c r="F105" s="57">
        <f ca="1">Production!M105</f>
        <v>20000</v>
      </c>
      <c r="G105" s="26"/>
      <c r="H105" s="56">
        <f ca="1">Military!Z105</f>
        <v>3695</v>
      </c>
      <c r="I105" s="540">
        <f ca="1">Population!I105</f>
        <v>1</v>
      </c>
      <c r="J105" s="165">
        <f ca="1">Population!F105/Population!U105</f>
        <v>1</v>
      </c>
      <c r="K105" s="1005">
        <f>Rezone!J105</f>
        <v>103</v>
      </c>
      <c r="L105" s="584">
        <f t="shared" si="85"/>
        <v>43696.249999999753</v>
      </c>
      <c r="M105" s="316">
        <f t="shared" si="83"/>
        <v>0</v>
      </c>
      <c r="N105" s="641">
        <f t="shared" si="58"/>
        <v>1000</v>
      </c>
      <c r="O105" s="423" t="s">
        <v>4</v>
      </c>
      <c r="P105" s="370"/>
      <c r="Q105" s="424" t="s">
        <v>223</v>
      </c>
      <c r="R105" s="406" t="s">
        <v>7</v>
      </c>
      <c r="S105" s="370"/>
      <c r="T105" s="424" t="s">
        <v>223</v>
      </c>
      <c r="U105" s="406" t="s">
        <v>3</v>
      </c>
      <c r="V105" s="407"/>
      <c r="W105" s="409" t="s">
        <v>223</v>
      </c>
      <c r="Y105" s="503">
        <f ca="1">science_cap*(1-EXP(-AF105/(science_param*($A106-Explore!$S106*20)+15000)))*(1+(mason_bonus*Construction!BB105/Construction!BS105))+IF(Overview!$B$14="Beastfolk",Construction!DA105/Construction!E105,0)*(1 + Production!O105/100*prestige_pop_multiplier)</f>
        <v>0</v>
      </c>
      <c r="Z105" s="455">
        <f ca="1">keep_cap*(1-EXP(-AG105/(keep_param*($A106-Explore!$S106*20)+15000)))*(1+(mason_bonus*Construction!BB105/Construction!BS105))+IF(Overview!$B$14="Beastfolk",Construction!DF105/Construction!E105,0)*(1 + Production!O105/100*prestige_pop_multiplier)</f>
        <v>0</v>
      </c>
      <c r="AA105" s="455">
        <f ca="1">harbor_towers_cap*(1-EXP(-AH105/(harbor_towers_param*($A106-Explore!$S106*20)+15000)))*(1+(mason_bonus*Construction!BB105/Construction!BS105))+IF(Overview!$B$14="Beastfolk",2*Construction!DC105/Construction!E105,0)*(1 + Production!O105/100*prestige_pop_multiplier)</f>
        <v>0</v>
      </c>
      <c r="AB105" s="455">
        <f ca="1">walls_forges_cap*(1-EXP(-AI105/(walls_forges_param*($A106-Explore!$S106*20)+15000)))*(1+(mason_bonus*Construction!BB105/Construction!BS105))+IF(Overview!$B$14="Beastfolk",0.2*Construction!CY105/Construction!E105,0)</f>
        <v>0</v>
      </c>
      <c r="AC105" s="455">
        <f ca="1">walls_forges_cap*(1-EXP(-AJ105/(walls_forges_param*($A106-Explore!$S106*20)+15000)))*(1+(mason_bonus*Construction!BB105/Construction!BS105))+IF(Overview!$B$14="Beastfolk",5*Construction!DB105/Construction!E105,0)</f>
        <v>0</v>
      </c>
      <c r="AD105" s="171">
        <f ca="1">harbor_towers_cap*(1-EXP(-AK105/(harbor_towers_param*($A106-Explore!$S106*20)+15000)))*(1+(mason_bonus*Construction!BB105/Construction!BS105))+IF(Overview!$B$14="Beastfolk",Construction!DE105/Construction!E105)*(1 + Production!O105/100*prestige_pop_multiplier)</f>
        <v>0</v>
      </c>
      <c r="AF105" s="56">
        <f ca="1">(1+Overview!$O$28+IF(Magic!BA105&gt;0,0.1,0))*SUM(AR105:AU105)</f>
        <v>0</v>
      </c>
      <c r="AG105" s="26">
        <f ca="1">(1+Overview!$O$28+IF(Magic!BA105&gt;0,0.1,0))*SUM(AW105:AZ105)</f>
        <v>0</v>
      </c>
      <c r="AH105" s="164">
        <f ca="1">(1+Overview!$O$28+IF(Magic!BA105&gt;0,0.1,0))*SUM(BB105:BE105)</f>
        <v>0</v>
      </c>
      <c r="AI105" s="164">
        <f ca="1">(1+Overview!$O$28+IF(Magic!BA105&gt;0,0.1,0))*SUM(BG105:BJ105)</f>
        <v>0</v>
      </c>
      <c r="AJ105" s="164">
        <f ca="1">(1+Overview!$O$28+IF(Magic!BA105&gt;0,0.1,0))*SUM(BL105:BO105)</f>
        <v>0</v>
      </c>
      <c r="AK105" s="166">
        <f ca="1">(1+Overview!$O$28+IF(Magic!BA105&gt;0,0.1,0))*SUM(BQ105:BT105)</f>
        <v>0</v>
      </c>
      <c r="AM105" s="52">
        <f t="shared" si="87"/>
        <v>0</v>
      </c>
      <c r="AN105" s="16">
        <f t="shared" si="87"/>
        <v>0</v>
      </c>
      <c r="AO105" s="16">
        <f t="shared" si="87"/>
        <v>0</v>
      </c>
      <c r="AP105" s="53">
        <f t="shared" si="87"/>
        <v>0</v>
      </c>
      <c r="AR105" s="56">
        <f t="shared" si="59"/>
        <v>0</v>
      </c>
      <c r="AS105" s="26">
        <f t="shared" si="88"/>
        <v>0</v>
      </c>
      <c r="AT105" s="26">
        <f t="shared" si="88"/>
        <v>0</v>
      </c>
      <c r="AU105" s="57">
        <f t="shared" si="60"/>
        <v>0</v>
      </c>
      <c r="AW105" s="56">
        <f t="shared" si="61"/>
        <v>0</v>
      </c>
      <c r="AX105" s="26">
        <f t="shared" si="89"/>
        <v>0</v>
      </c>
      <c r="AY105" s="26">
        <f t="shared" si="89"/>
        <v>0</v>
      </c>
      <c r="AZ105" s="57">
        <f t="shared" si="62"/>
        <v>0</v>
      </c>
      <c r="BB105" s="56">
        <f t="shared" si="63"/>
        <v>0</v>
      </c>
      <c r="BC105" s="26">
        <f t="shared" si="64"/>
        <v>0</v>
      </c>
      <c r="BD105" s="26">
        <f t="shared" si="86"/>
        <v>0</v>
      </c>
      <c r="BE105" s="57">
        <f t="shared" si="65"/>
        <v>0</v>
      </c>
      <c r="BG105" s="56">
        <f t="shared" si="66"/>
        <v>0</v>
      </c>
      <c r="BH105" s="26">
        <f t="shared" si="90"/>
        <v>0</v>
      </c>
      <c r="BI105" s="26">
        <f t="shared" si="90"/>
        <v>0</v>
      </c>
      <c r="BJ105" s="57">
        <f t="shared" si="67"/>
        <v>0</v>
      </c>
      <c r="BL105" s="56">
        <f t="shared" si="68"/>
        <v>0</v>
      </c>
      <c r="BM105" s="26">
        <f t="shared" si="91"/>
        <v>0</v>
      </c>
      <c r="BN105" s="26">
        <f t="shared" si="91"/>
        <v>0</v>
      </c>
      <c r="BO105" s="57">
        <f t="shared" si="69"/>
        <v>0</v>
      </c>
      <c r="BQ105" s="56">
        <f t="shared" si="70"/>
        <v>0</v>
      </c>
      <c r="BR105" s="26">
        <f t="shared" si="92"/>
        <v>0</v>
      </c>
      <c r="BS105" s="26">
        <f t="shared" si="92"/>
        <v>0</v>
      </c>
      <c r="BT105" s="57">
        <f t="shared" si="71"/>
        <v>0</v>
      </c>
      <c r="BV105" s="52" t="e">
        <f>OR(Production!C105,Construction!N105:'Construction'!AF105,Construction!BV105:CN105,Explore!S105:Z105,Military!AF105:AL105,Military!X105,Military!BE105:BL105,Rezone!L105:R105,Magic!G105:Q105)</f>
        <v>#VALUE!</v>
      </c>
      <c r="BW105" s="527">
        <f t="shared" si="72"/>
        <v>0</v>
      </c>
      <c r="BX105" s="527"/>
      <c r="BY105" s="557">
        <f t="shared" si="82"/>
        <v>43696.249999999753</v>
      </c>
      <c r="BZ105" s="565">
        <f t="shared" si="74"/>
        <v>43696.083333333088</v>
      </c>
      <c r="CA105" s="529"/>
      <c r="CB105" s="807"/>
      <c r="CC105" s="812"/>
    </row>
    <row r="106" spans="1:82" s="16" customFormat="1">
      <c r="A106" s="513">
        <f>Construction!E106</f>
        <v>1000</v>
      </c>
      <c r="C106" s="56">
        <f ca="1">Production!H106</f>
        <v>4044564</v>
      </c>
      <c r="D106" s="26">
        <f ca="1">Production!J106</f>
        <v>268605</v>
      </c>
      <c r="E106" s="26">
        <f ca="1">Production!L106</f>
        <v>231000</v>
      </c>
      <c r="F106" s="57">
        <f ca="1">Production!M106</f>
        <v>20000</v>
      </c>
      <c r="G106" s="26"/>
      <c r="H106" s="56">
        <f ca="1">Military!Z106</f>
        <v>3695</v>
      </c>
      <c r="I106" s="540">
        <f ca="1">Population!I106</f>
        <v>1</v>
      </c>
      <c r="J106" s="165">
        <f ca="1">Population!F106/Population!U106</f>
        <v>1</v>
      </c>
      <c r="K106" s="1005">
        <f>Rezone!J106</f>
        <v>104</v>
      </c>
      <c r="L106" s="584">
        <f t="shared" si="85"/>
        <v>43696.291666666417</v>
      </c>
      <c r="M106" s="316">
        <f t="shared" si="83"/>
        <v>0</v>
      </c>
      <c r="N106" s="641">
        <f t="shared" si="58"/>
        <v>1000</v>
      </c>
      <c r="O106" s="423" t="s">
        <v>4</v>
      </c>
      <c r="P106" s="370"/>
      <c r="Q106" s="424" t="s">
        <v>223</v>
      </c>
      <c r="R106" s="406" t="s">
        <v>7</v>
      </c>
      <c r="S106" s="370"/>
      <c r="T106" s="424" t="s">
        <v>223</v>
      </c>
      <c r="U106" s="406" t="s">
        <v>3</v>
      </c>
      <c r="V106" s="407"/>
      <c r="W106" s="409" t="s">
        <v>223</v>
      </c>
      <c r="Y106" s="503">
        <f ca="1">science_cap*(1-EXP(-AF106/(science_param*($A107-Explore!$S107*20)+15000)))*(1+(mason_bonus*Construction!BB106/Construction!BS106))+IF(Overview!$B$14="Beastfolk",Construction!DA106/Construction!E106,0)*(1 + Production!O106/100*prestige_pop_multiplier)</f>
        <v>0</v>
      </c>
      <c r="Z106" s="455">
        <f ca="1">keep_cap*(1-EXP(-AG106/(keep_param*($A107-Explore!$S107*20)+15000)))*(1+(mason_bonus*Construction!BB106/Construction!BS106))+IF(Overview!$B$14="Beastfolk",Construction!DF106/Construction!E106,0)*(1 + Production!O106/100*prestige_pop_multiplier)</f>
        <v>0</v>
      </c>
      <c r="AA106" s="455">
        <f ca="1">harbor_towers_cap*(1-EXP(-AH106/(harbor_towers_param*($A107-Explore!$S107*20)+15000)))*(1+(mason_bonus*Construction!BB106/Construction!BS106))+IF(Overview!$B$14="Beastfolk",2*Construction!DC106/Construction!E106,0)*(1 + Production!O106/100*prestige_pop_multiplier)</f>
        <v>0</v>
      </c>
      <c r="AB106" s="455">
        <f ca="1">walls_forges_cap*(1-EXP(-AI106/(walls_forges_param*($A107-Explore!$S107*20)+15000)))*(1+(mason_bonus*Construction!BB106/Construction!BS106))+IF(Overview!$B$14="Beastfolk",0.2*Construction!CY106/Construction!E106,0)</f>
        <v>0</v>
      </c>
      <c r="AC106" s="455">
        <f ca="1">walls_forges_cap*(1-EXP(-AJ106/(walls_forges_param*($A107-Explore!$S107*20)+15000)))*(1+(mason_bonus*Construction!BB106/Construction!BS106))+IF(Overview!$B$14="Beastfolk",5*Construction!DB106/Construction!E106,0)</f>
        <v>0</v>
      </c>
      <c r="AD106" s="171">
        <f ca="1">harbor_towers_cap*(1-EXP(-AK106/(harbor_towers_param*($A107-Explore!$S107*20)+15000)))*(1+(mason_bonus*Construction!BB106/Construction!BS106))+IF(Overview!$B$14="Beastfolk",Construction!DE106/Construction!E106)*(1 + Production!O106/100*prestige_pop_multiplier)</f>
        <v>0</v>
      </c>
      <c r="AF106" s="56">
        <f ca="1">(1+Overview!$O$28+IF(Magic!BA106&gt;0,0.1,0))*SUM(AR106:AU106)</f>
        <v>0</v>
      </c>
      <c r="AG106" s="26">
        <f ca="1">(1+Overview!$O$28+IF(Magic!BA106&gt;0,0.1,0))*SUM(AW106:AZ106)</f>
        <v>0</v>
      </c>
      <c r="AH106" s="164">
        <f ca="1">(1+Overview!$O$28+IF(Magic!BA106&gt;0,0.1,0))*SUM(BB106:BE106)</f>
        <v>0</v>
      </c>
      <c r="AI106" s="164">
        <f ca="1">(1+Overview!$O$28+IF(Magic!BA106&gt;0,0.1,0))*SUM(BG106:BJ106)</f>
        <v>0</v>
      </c>
      <c r="AJ106" s="164">
        <f ca="1">(1+Overview!$O$28+IF(Magic!BA106&gt;0,0.1,0))*SUM(BL106:BO106)</f>
        <v>0</v>
      </c>
      <c r="AK106" s="166">
        <f ca="1">(1+Overview!$O$28+IF(Magic!BA106&gt;0,0.1,0))*SUM(BQ106:BT106)</f>
        <v>0</v>
      </c>
      <c r="AM106" s="52">
        <f t="shared" si="87"/>
        <v>0</v>
      </c>
      <c r="AN106" s="16">
        <f t="shared" si="87"/>
        <v>0</v>
      </c>
      <c r="AO106" s="16">
        <f t="shared" si="87"/>
        <v>0</v>
      </c>
      <c r="AP106" s="53">
        <f t="shared" si="87"/>
        <v>0</v>
      </c>
      <c r="AR106" s="56">
        <f t="shared" si="59"/>
        <v>0</v>
      </c>
      <c r="AS106" s="26">
        <f t="shared" si="88"/>
        <v>0</v>
      </c>
      <c r="AT106" s="26">
        <f t="shared" si="88"/>
        <v>0</v>
      </c>
      <c r="AU106" s="57">
        <f t="shared" si="60"/>
        <v>0</v>
      </c>
      <c r="AW106" s="56">
        <f t="shared" si="61"/>
        <v>0</v>
      </c>
      <c r="AX106" s="26">
        <f t="shared" si="89"/>
        <v>0</v>
      </c>
      <c r="AY106" s="26">
        <f t="shared" si="89"/>
        <v>0</v>
      </c>
      <c r="AZ106" s="57">
        <f t="shared" si="62"/>
        <v>0</v>
      </c>
      <c r="BB106" s="56">
        <f t="shared" si="63"/>
        <v>0</v>
      </c>
      <c r="BC106" s="26">
        <f t="shared" si="64"/>
        <v>0</v>
      </c>
      <c r="BD106" s="26">
        <f t="shared" si="86"/>
        <v>0</v>
      </c>
      <c r="BE106" s="57">
        <f t="shared" si="65"/>
        <v>0</v>
      </c>
      <c r="BG106" s="56">
        <f t="shared" si="66"/>
        <v>0</v>
      </c>
      <c r="BH106" s="26">
        <f t="shared" si="90"/>
        <v>0</v>
      </c>
      <c r="BI106" s="26">
        <f t="shared" si="90"/>
        <v>0</v>
      </c>
      <c r="BJ106" s="57">
        <f t="shared" si="67"/>
        <v>0</v>
      </c>
      <c r="BL106" s="56">
        <f t="shared" si="68"/>
        <v>0</v>
      </c>
      <c r="BM106" s="26">
        <f t="shared" si="91"/>
        <v>0</v>
      </c>
      <c r="BN106" s="26">
        <f t="shared" si="91"/>
        <v>0</v>
      </c>
      <c r="BO106" s="57">
        <f t="shared" si="69"/>
        <v>0</v>
      </c>
      <c r="BQ106" s="56">
        <f t="shared" si="70"/>
        <v>0</v>
      </c>
      <c r="BR106" s="26">
        <f t="shared" si="92"/>
        <v>0</v>
      </c>
      <c r="BS106" s="26">
        <f t="shared" si="92"/>
        <v>0</v>
      </c>
      <c r="BT106" s="57">
        <f t="shared" si="71"/>
        <v>0</v>
      </c>
      <c r="BV106" s="52" t="e">
        <f>OR(Production!C106,Construction!N106:'Construction'!AF106,Construction!BV106:CN106,Explore!S106:Z106,Military!AF106:AL106,Military!X106,Military!BE106:BL106,Rezone!L106:R106,Magic!G106:Q106)</f>
        <v>#VALUE!</v>
      </c>
      <c r="BW106" s="527">
        <f t="shared" si="72"/>
        <v>0</v>
      </c>
      <c r="BX106" s="527"/>
      <c r="BY106" s="557">
        <f t="shared" si="82"/>
        <v>43696.291666666417</v>
      </c>
      <c r="BZ106" s="565">
        <f t="shared" si="74"/>
        <v>43696.124999999753</v>
      </c>
      <c r="CA106" s="529"/>
      <c r="CB106" s="807"/>
      <c r="CC106" s="812"/>
      <c r="CD106" s="107" t="s">
        <v>221</v>
      </c>
    </row>
    <row r="107" spans="1:82" s="16" customFormat="1">
      <c r="A107" s="513">
        <f>Construction!E107</f>
        <v>1000</v>
      </c>
      <c r="C107" s="56">
        <f ca="1">Production!H107</f>
        <v>4055215</v>
      </c>
      <c r="D107" s="26">
        <f ca="1">Production!J107</f>
        <v>268419</v>
      </c>
      <c r="E107" s="26">
        <f ca="1">Production!L107</f>
        <v>231000</v>
      </c>
      <c r="F107" s="57">
        <f ca="1">Production!M107</f>
        <v>20000</v>
      </c>
      <c r="G107" s="26"/>
      <c r="H107" s="56">
        <f ca="1">Military!Z107</f>
        <v>3695</v>
      </c>
      <c r="I107" s="540">
        <f ca="1">Population!I107</f>
        <v>1</v>
      </c>
      <c r="J107" s="165">
        <f ca="1">Population!F107/Population!U107</f>
        <v>1</v>
      </c>
      <c r="K107" s="1005">
        <f>Rezone!J107</f>
        <v>105</v>
      </c>
      <c r="L107" s="584">
        <f t="shared" si="85"/>
        <v>43696.333333333081</v>
      </c>
      <c r="M107" s="316">
        <f t="shared" si="83"/>
        <v>0</v>
      </c>
      <c r="N107" s="641">
        <f t="shared" si="58"/>
        <v>1000</v>
      </c>
      <c r="O107" s="423" t="s">
        <v>4</v>
      </c>
      <c r="P107" s="370"/>
      <c r="Q107" s="424" t="s">
        <v>223</v>
      </c>
      <c r="R107" s="423" t="s">
        <v>7</v>
      </c>
      <c r="S107" s="370"/>
      <c r="T107" s="424" t="s">
        <v>223</v>
      </c>
      <c r="U107" s="406" t="s">
        <v>3</v>
      </c>
      <c r="V107" s="407"/>
      <c r="W107" s="409" t="s">
        <v>223</v>
      </c>
      <c r="Y107" s="503">
        <f ca="1">science_cap*(1-EXP(-AF107/(science_param*($A108-Explore!$S108*20)+15000)))*(1+(mason_bonus*Construction!BB107/Construction!BS107))+IF(Overview!$B$14="Beastfolk",Construction!DA107/Construction!E107,0)*(1 + Production!O107/100*prestige_pop_multiplier)</f>
        <v>0</v>
      </c>
      <c r="Z107" s="455">
        <f ca="1">keep_cap*(1-EXP(-AG107/(keep_param*($A108-Explore!$S108*20)+15000)))*(1+(mason_bonus*Construction!BB107/Construction!BS107))+IF(Overview!$B$14="Beastfolk",Construction!DF107/Construction!E107,0)*(1 + Production!O107/100*prestige_pop_multiplier)</f>
        <v>0</v>
      </c>
      <c r="AA107" s="455">
        <f ca="1">harbor_towers_cap*(1-EXP(-AH107/(harbor_towers_param*($A108-Explore!$S108*20)+15000)))*(1+(mason_bonus*Construction!BB107/Construction!BS107))+IF(Overview!$B$14="Beastfolk",2*Construction!DC107/Construction!E107,0)*(1 + Production!O107/100*prestige_pop_multiplier)</f>
        <v>0</v>
      </c>
      <c r="AB107" s="455">
        <f ca="1">walls_forges_cap*(1-EXP(-AI107/(walls_forges_param*($A108-Explore!$S108*20)+15000)))*(1+(mason_bonus*Construction!BB107/Construction!BS107))+IF(Overview!$B$14="Beastfolk",0.2*Construction!CY107/Construction!E107,0)</f>
        <v>0</v>
      </c>
      <c r="AC107" s="455">
        <f ca="1">walls_forges_cap*(1-EXP(-AJ107/(walls_forges_param*($A108-Explore!$S108*20)+15000)))*(1+(mason_bonus*Construction!BB107/Construction!BS107))+IF(Overview!$B$14="Beastfolk",5*Construction!DB107/Construction!E107,0)</f>
        <v>0</v>
      </c>
      <c r="AD107" s="171">
        <f ca="1">harbor_towers_cap*(1-EXP(-AK107/(harbor_towers_param*($A108-Explore!$S108*20)+15000)))*(1+(mason_bonus*Construction!BB107/Construction!BS107))+IF(Overview!$B$14="Beastfolk",Construction!DE107/Construction!E107)*(1 + Production!O107/100*prestige_pop_multiplier)</f>
        <v>0</v>
      </c>
      <c r="AF107" s="56">
        <f ca="1">(1+Overview!$O$28+IF(Magic!BA107&gt;0,0.1,0))*SUM(AR107:AU107)</f>
        <v>0</v>
      </c>
      <c r="AG107" s="26">
        <f ca="1">(1+Overview!$O$28+IF(Magic!BA107&gt;0,0.1,0))*SUM(AW107:AZ107)</f>
        <v>0</v>
      </c>
      <c r="AH107" s="164">
        <f ca="1">(1+Overview!$O$28+IF(Magic!BA107&gt;0,0.1,0))*SUM(BB107:BE107)</f>
        <v>0</v>
      </c>
      <c r="AI107" s="164">
        <f ca="1">(1+Overview!$O$28+IF(Magic!BA107&gt;0,0.1,0))*SUM(BG107:BJ107)</f>
        <v>0</v>
      </c>
      <c r="AJ107" s="164">
        <f ca="1">(1+Overview!$O$28+IF(Magic!BA107&gt;0,0.1,0))*SUM(BL107:BO107)</f>
        <v>0</v>
      </c>
      <c r="AK107" s="166">
        <f ca="1">(1+Overview!$O$28+IF(Magic!BA107&gt;0,0.1,0))*SUM(BQ107:BT107)</f>
        <v>0</v>
      </c>
      <c r="AM107" s="52">
        <f t="shared" si="87"/>
        <v>0</v>
      </c>
      <c r="AN107" s="16">
        <f t="shared" si="87"/>
        <v>0</v>
      </c>
      <c r="AO107" s="16">
        <f t="shared" si="87"/>
        <v>0</v>
      </c>
      <c r="AP107" s="53">
        <f t="shared" si="87"/>
        <v>0</v>
      </c>
      <c r="AR107" s="56">
        <f t="shared" si="59"/>
        <v>0</v>
      </c>
      <c r="AS107" s="26">
        <f t="shared" si="88"/>
        <v>0</v>
      </c>
      <c r="AT107" s="26">
        <f t="shared" si="88"/>
        <v>0</v>
      </c>
      <c r="AU107" s="57">
        <f t="shared" si="60"/>
        <v>0</v>
      </c>
      <c r="AW107" s="56">
        <f t="shared" si="61"/>
        <v>0</v>
      </c>
      <c r="AX107" s="26">
        <f t="shared" si="89"/>
        <v>0</v>
      </c>
      <c r="AY107" s="26">
        <f t="shared" si="89"/>
        <v>0</v>
      </c>
      <c r="AZ107" s="57">
        <f t="shared" si="62"/>
        <v>0</v>
      </c>
      <c r="BB107" s="56">
        <f t="shared" si="63"/>
        <v>0</v>
      </c>
      <c r="BC107" s="26">
        <f t="shared" si="64"/>
        <v>0</v>
      </c>
      <c r="BD107" s="26">
        <f t="shared" si="86"/>
        <v>0</v>
      </c>
      <c r="BE107" s="57">
        <f t="shared" si="65"/>
        <v>0</v>
      </c>
      <c r="BG107" s="56">
        <f t="shared" si="66"/>
        <v>0</v>
      </c>
      <c r="BH107" s="26">
        <f t="shared" si="90"/>
        <v>0</v>
      </c>
      <c r="BI107" s="26">
        <f t="shared" si="90"/>
        <v>0</v>
      </c>
      <c r="BJ107" s="57">
        <f t="shared" si="67"/>
        <v>0</v>
      </c>
      <c r="BL107" s="56">
        <f t="shared" si="68"/>
        <v>0</v>
      </c>
      <c r="BM107" s="26">
        <f t="shared" si="91"/>
        <v>0</v>
      </c>
      <c r="BN107" s="26">
        <f t="shared" si="91"/>
        <v>0</v>
      </c>
      <c r="BO107" s="57">
        <f t="shared" si="69"/>
        <v>0</v>
      </c>
      <c r="BQ107" s="56">
        <f t="shared" si="70"/>
        <v>0</v>
      </c>
      <c r="BR107" s="26">
        <f t="shared" si="92"/>
        <v>0</v>
      </c>
      <c r="BS107" s="26">
        <f t="shared" si="92"/>
        <v>0</v>
      </c>
      <c r="BT107" s="57">
        <f t="shared" si="71"/>
        <v>0</v>
      </c>
      <c r="BV107" s="52" t="e">
        <f>OR(Production!C107,Construction!N107:'Construction'!AF107,Construction!BV107:CN107,Explore!S107:Z107,Military!AF107:AL107,Military!X107,Military!BE107:BL107,Rezone!L107:R107,Magic!G107:Q107)</f>
        <v>#VALUE!</v>
      </c>
      <c r="BW107" s="527">
        <f t="shared" si="72"/>
        <v>0</v>
      </c>
      <c r="BX107" s="527"/>
      <c r="BY107" s="557">
        <f t="shared" si="82"/>
        <v>43696.333333333081</v>
      </c>
      <c r="BZ107" s="565">
        <f t="shared" si="74"/>
        <v>43696.166666666417</v>
      </c>
      <c r="CA107" s="529"/>
      <c r="CB107" s="807"/>
      <c r="CC107" s="812"/>
      <c r="CD107" s="107" t="s">
        <v>223</v>
      </c>
    </row>
    <row r="108" spans="1:82" s="16" customFormat="1">
      <c r="A108" s="513">
        <f>Construction!E108</f>
        <v>1000</v>
      </c>
      <c r="C108" s="56">
        <f ca="1">Production!H108</f>
        <v>4065866</v>
      </c>
      <c r="D108" s="26">
        <f ca="1">Production!J108</f>
        <v>268235</v>
      </c>
      <c r="E108" s="26">
        <f ca="1">Production!L108</f>
        <v>231000</v>
      </c>
      <c r="F108" s="57">
        <f ca="1">Production!M108</f>
        <v>20000</v>
      </c>
      <c r="G108" s="26"/>
      <c r="H108" s="56">
        <f ca="1">Military!Z108</f>
        <v>3695</v>
      </c>
      <c r="I108" s="540">
        <f ca="1">Population!I108</f>
        <v>1</v>
      </c>
      <c r="J108" s="165">
        <f ca="1">Population!F108/Population!U108</f>
        <v>1</v>
      </c>
      <c r="K108" s="1005">
        <f>Rezone!J108</f>
        <v>106</v>
      </c>
      <c r="L108" s="584">
        <f t="shared" si="85"/>
        <v>43696.374999999745</v>
      </c>
      <c r="M108" s="316">
        <f t="shared" si="83"/>
        <v>0</v>
      </c>
      <c r="N108" s="641">
        <f t="shared" si="58"/>
        <v>1000</v>
      </c>
      <c r="O108" s="423" t="s">
        <v>4</v>
      </c>
      <c r="P108" s="370"/>
      <c r="Q108" s="424" t="s">
        <v>223</v>
      </c>
      <c r="R108" s="423" t="s">
        <v>7</v>
      </c>
      <c r="S108" s="370"/>
      <c r="T108" s="425" t="s">
        <v>223</v>
      </c>
      <c r="U108" s="408" t="s">
        <v>3</v>
      </c>
      <c r="V108" s="407"/>
      <c r="W108" s="409" t="s">
        <v>223</v>
      </c>
      <c r="Y108" s="503">
        <f ca="1">science_cap*(1-EXP(-AF108/(science_param*($A109-Explore!$S109*20)+15000)))*(1+(mason_bonus*Construction!BB108/Construction!BS108))+IF(Overview!$B$14="Beastfolk",Construction!DA108/Construction!E108,0)*(1 + Production!O108/100*prestige_pop_multiplier)</f>
        <v>0</v>
      </c>
      <c r="Z108" s="455">
        <f ca="1">keep_cap*(1-EXP(-AG108/(keep_param*($A109-Explore!$S109*20)+15000)))*(1+(mason_bonus*Construction!BB108/Construction!BS108))+IF(Overview!$B$14="Beastfolk",Construction!DF108/Construction!E108,0)*(1 + Production!O108/100*prestige_pop_multiplier)</f>
        <v>0</v>
      </c>
      <c r="AA108" s="455">
        <f ca="1">harbor_towers_cap*(1-EXP(-AH108/(harbor_towers_param*($A109-Explore!$S109*20)+15000)))*(1+(mason_bonus*Construction!BB108/Construction!BS108))+IF(Overview!$B$14="Beastfolk",2*Construction!DC108/Construction!E108,0)*(1 + Production!O108/100*prestige_pop_multiplier)</f>
        <v>0</v>
      </c>
      <c r="AB108" s="455">
        <f ca="1">walls_forges_cap*(1-EXP(-AI108/(walls_forges_param*($A109-Explore!$S109*20)+15000)))*(1+(mason_bonus*Construction!BB108/Construction!BS108))+IF(Overview!$B$14="Beastfolk",0.2*Construction!CY108/Construction!E108,0)</f>
        <v>0</v>
      </c>
      <c r="AC108" s="455">
        <f ca="1">walls_forges_cap*(1-EXP(-AJ108/(walls_forges_param*($A109-Explore!$S109*20)+15000)))*(1+(mason_bonus*Construction!BB108/Construction!BS108))+IF(Overview!$B$14="Beastfolk",5*Construction!DB108/Construction!E108,0)</f>
        <v>0</v>
      </c>
      <c r="AD108" s="171">
        <f ca="1">harbor_towers_cap*(1-EXP(-AK108/(harbor_towers_param*($A109-Explore!$S109*20)+15000)))*(1+(mason_bonus*Construction!BB108/Construction!BS108))+IF(Overview!$B$14="Beastfolk",Construction!DE108/Construction!E108)*(1 + Production!O108/100*prestige_pop_multiplier)</f>
        <v>0</v>
      </c>
      <c r="AF108" s="56">
        <f ca="1">(1+Overview!$O$28+IF(Magic!BA108&gt;0,0.1,0))*SUM(AR108:AU108)</f>
        <v>0</v>
      </c>
      <c r="AG108" s="26">
        <f ca="1">(1+Overview!$O$28+IF(Magic!BA108&gt;0,0.1,0))*SUM(AW108:AZ108)</f>
        <v>0</v>
      </c>
      <c r="AH108" s="164">
        <f ca="1">(1+Overview!$O$28+IF(Magic!BA108&gt;0,0.1,0))*SUM(BB108:BE108)</f>
        <v>0</v>
      </c>
      <c r="AI108" s="164">
        <f ca="1">(1+Overview!$O$28+IF(Magic!BA108&gt;0,0.1,0))*SUM(BG108:BJ108)</f>
        <v>0</v>
      </c>
      <c r="AJ108" s="164">
        <f ca="1">(1+Overview!$O$28+IF(Magic!BA108&gt;0,0.1,0))*SUM(BL108:BO108)</f>
        <v>0</v>
      </c>
      <c r="AK108" s="166">
        <f ca="1">(1+Overview!$O$28+IF(Magic!BA108&gt;0,0.1,0))*SUM(BQ108:BT108)</f>
        <v>0</v>
      </c>
      <c r="AM108" s="52">
        <f t="shared" si="87"/>
        <v>0</v>
      </c>
      <c r="AN108" s="16">
        <f t="shared" si="87"/>
        <v>0</v>
      </c>
      <c r="AO108" s="16">
        <f t="shared" si="87"/>
        <v>0</v>
      </c>
      <c r="AP108" s="53">
        <f t="shared" si="87"/>
        <v>0</v>
      </c>
      <c r="AR108" s="56">
        <f t="shared" si="59"/>
        <v>0</v>
      </c>
      <c r="AS108" s="26">
        <f t="shared" si="88"/>
        <v>0</v>
      </c>
      <c r="AT108" s="26">
        <f t="shared" si="88"/>
        <v>0</v>
      </c>
      <c r="AU108" s="57">
        <f t="shared" si="60"/>
        <v>0</v>
      </c>
      <c r="AW108" s="56">
        <f t="shared" si="61"/>
        <v>0</v>
      </c>
      <c r="AX108" s="26">
        <f t="shared" si="89"/>
        <v>0</v>
      </c>
      <c r="AY108" s="26">
        <f t="shared" si="89"/>
        <v>0</v>
      </c>
      <c r="AZ108" s="57">
        <f t="shared" si="62"/>
        <v>0</v>
      </c>
      <c r="BB108" s="56">
        <f t="shared" si="63"/>
        <v>0</v>
      </c>
      <c r="BC108" s="26">
        <f t="shared" si="64"/>
        <v>0</v>
      </c>
      <c r="BD108" s="26">
        <f t="shared" si="86"/>
        <v>0</v>
      </c>
      <c r="BE108" s="57">
        <f t="shared" si="65"/>
        <v>0</v>
      </c>
      <c r="BG108" s="56">
        <f t="shared" si="66"/>
        <v>0</v>
      </c>
      <c r="BH108" s="26">
        <f t="shared" si="90"/>
        <v>0</v>
      </c>
      <c r="BI108" s="26">
        <f t="shared" si="90"/>
        <v>0</v>
      </c>
      <c r="BJ108" s="57">
        <f t="shared" si="67"/>
        <v>0</v>
      </c>
      <c r="BL108" s="56">
        <f t="shared" si="68"/>
        <v>0</v>
      </c>
      <c r="BM108" s="26">
        <f t="shared" si="91"/>
        <v>0</v>
      </c>
      <c r="BN108" s="26">
        <f t="shared" si="91"/>
        <v>0</v>
      </c>
      <c r="BO108" s="57">
        <f t="shared" si="69"/>
        <v>0</v>
      </c>
      <c r="BQ108" s="56">
        <f t="shared" si="70"/>
        <v>0</v>
      </c>
      <c r="BR108" s="26">
        <f t="shared" si="92"/>
        <v>0</v>
      </c>
      <c r="BS108" s="26">
        <f t="shared" si="92"/>
        <v>0</v>
      </c>
      <c r="BT108" s="57">
        <f t="shared" si="71"/>
        <v>0</v>
      </c>
      <c r="BV108" s="52" t="e">
        <f>OR(Production!C108,Construction!N108:'Construction'!AF108,Construction!BV108:CN108,Explore!S108:Z108,Military!AF108:AL108,Military!X108,Military!BE108:BL108,Rezone!L108:R108,Magic!G108:Q108)</f>
        <v>#VALUE!</v>
      </c>
      <c r="BW108" s="527">
        <f t="shared" si="72"/>
        <v>0</v>
      </c>
      <c r="BX108" s="527"/>
      <c r="BY108" s="557">
        <f t="shared" si="82"/>
        <v>43696.374999999745</v>
      </c>
      <c r="BZ108" s="565">
        <f t="shared" si="74"/>
        <v>43696.208333333081</v>
      </c>
      <c r="CA108" s="529"/>
      <c r="CB108" s="807"/>
      <c r="CC108" s="812"/>
      <c r="CD108" s="107" t="s">
        <v>224</v>
      </c>
    </row>
    <row r="109" spans="1:82" s="16" customFormat="1">
      <c r="A109" s="513">
        <f>Construction!E109</f>
        <v>1000</v>
      </c>
      <c r="C109" s="56">
        <f ca="1">Production!H109</f>
        <v>4076517</v>
      </c>
      <c r="D109" s="26">
        <f ca="1">Production!J109</f>
        <v>268053</v>
      </c>
      <c r="E109" s="26">
        <f ca="1">Production!L109</f>
        <v>231000</v>
      </c>
      <c r="F109" s="57">
        <f ca="1">Production!M109</f>
        <v>20000</v>
      </c>
      <c r="G109" s="26"/>
      <c r="H109" s="56">
        <f ca="1">Military!Z109</f>
        <v>3695</v>
      </c>
      <c r="I109" s="540">
        <f ca="1">Population!I109</f>
        <v>1</v>
      </c>
      <c r="J109" s="165">
        <f ca="1">Population!F109/Population!U109</f>
        <v>1</v>
      </c>
      <c r="K109" s="1005">
        <f>Rezone!J109</f>
        <v>107</v>
      </c>
      <c r="L109" s="584">
        <f t="shared" si="85"/>
        <v>43696.41666666641</v>
      </c>
      <c r="M109" s="316">
        <f t="shared" si="83"/>
        <v>0</v>
      </c>
      <c r="N109" s="641">
        <f t="shared" si="58"/>
        <v>1000</v>
      </c>
      <c r="O109" s="423" t="s">
        <v>4</v>
      </c>
      <c r="P109" s="370"/>
      <c r="Q109" s="424" t="s">
        <v>223</v>
      </c>
      <c r="R109" s="423" t="s">
        <v>7</v>
      </c>
      <c r="S109" s="370"/>
      <c r="T109" s="425" t="s">
        <v>223</v>
      </c>
      <c r="U109" s="408" t="s">
        <v>3</v>
      </c>
      <c r="V109" s="407"/>
      <c r="W109" s="409" t="s">
        <v>223</v>
      </c>
      <c r="Y109" s="503">
        <f ca="1">science_cap*(1-EXP(-AF109/(science_param*($A110-Explore!$S110*20)+15000)))*(1+(mason_bonus*Construction!BB109/Construction!BS109))+IF(Overview!$B$14="Beastfolk",Construction!DA109/Construction!E109,0)*(1 + Production!O109/100*prestige_pop_multiplier)</f>
        <v>0</v>
      </c>
      <c r="Z109" s="455">
        <f ca="1">keep_cap*(1-EXP(-AG109/(keep_param*($A110-Explore!$S110*20)+15000)))*(1+(mason_bonus*Construction!BB109/Construction!BS109))+IF(Overview!$B$14="Beastfolk",Construction!DF109/Construction!E109,0)*(1 + Production!O109/100*prestige_pop_multiplier)</f>
        <v>0</v>
      </c>
      <c r="AA109" s="455">
        <f ca="1">harbor_towers_cap*(1-EXP(-AH109/(harbor_towers_param*($A110-Explore!$S110*20)+15000)))*(1+(mason_bonus*Construction!BB109/Construction!BS109))+IF(Overview!$B$14="Beastfolk",2*Construction!DC109/Construction!E109,0)*(1 + Production!O109/100*prestige_pop_multiplier)</f>
        <v>0</v>
      </c>
      <c r="AB109" s="455">
        <f ca="1">walls_forges_cap*(1-EXP(-AI109/(walls_forges_param*($A110-Explore!$S110*20)+15000)))*(1+(mason_bonus*Construction!BB109/Construction!BS109))+IF(Overview!$B$14="Beastfolk",0.2*Construction!CY109/Construction!E109,0)</f>
        <v>0</v>
      </c>
      <c r="AC109" s="455">
        <f ca="1">walls_forges_cap*(1-EXP(-AJ109/(walls_forges_param*($A110-Explore!$S110*20)+15000)))*(1+(mason_bonus*Construction!BB109/Construction!BS109))+IF(Overview!$B$14="Beastfolk",5*Construction!DB109/Construction!E109,0)</f>
        <v>0</v>
      </c>
      <c r="AD109" s="171">
        <f ca="1">harbor_towers_cap*(1-EXP(-AK109/(harbor_towers_param*($A110-Explore!$S110*20)+15000)))*(1+(mason_bonus*Construction!BB109/Construction!BS109))+IF(Overview!$B$14="Beastfolk",Construction!DE109/Construction!E109)*(1 + Production!O109/100*prestige_pop_multiplier)</f>
        <v>0</v>
      </c>
      <c r="AF109" s="56">
        <f ca="1">(1+Overview!$O$28+IF(Magic!BA109&gt;0,0.1,0))*SUM(AR109:AU109)</f>
        <v>0</v>
      </c>
      <c r="AG109" s="26">
        <f ca="1">(1+Overview!$O$28+IF(Magic!BA109&gt;0,0.1,0))*SUM(AW109:AZ109)</f>
        <v>0</v>
      </c>
      <c r="AH109" s="164">
        <f ca="1">(1+Overview!$O$28+IF(Magic!BA109&gt;0,0.1,0))*SUM(BB109:BE109)</f>
        <v>0</v>
      </c>
      <c r="AI109" s="164">
        <f ca="1">(1+Overview!$O$28+IF(Magic!BA109&gt;0,0.1,0))*SUM(BG109:BJ109)</f>
        <v>0</v>
      </c>
      <c r="AJ109" s="164">
        <f ca="1">(1+Overview!$O$28+IF(Magic!BA109&gt;0,0.1,0))*SUM(BL109:BO109)</f>
        <v>0</v>
      </c>
      <c r="AK109" s="166">
        <f ca="1">(1+Overview!$O$28+IF(Magic!BA109&gt;0,0.1,0))*SUM(BQ109:BT109)</f>
        <v>0</v>
      </c>
      <c r="AM109" s="52">
        <f t="shared" si="87"/>
        <v>0</v>
      </c>
      <c r="AN109" s="16">
        <f t="shared" si="87"/>
        <v>0</v>
      </c>
      <c r="AO109" s="16">
        <f t="shared" si="87"/>
        <v>0</v>
      </c>
      <c r="AP109" s="53">
        <f t="shared" si="87"/>
        <v>0</v>
      </c>
      <c r="AR109" s="56">
        <f t="shared" si="59"/>
        <v>0</v>
      </c>
      <c r="AS109" s="26">
        <f t="shared" si="88"/>
        <v>0</v>
      </c>
      <c r="AT109" s="26">
        <f t="shared" si="88"/>
        <v>0</v>
      </c>
      <c r="AU109" s="57">
        <f t="shared" si="60"/>
        <v>0</v>
      </c>
      <c r="AW109" s="56">
        <f t="shared" si="61"/>
        <v>0</v>
      </c>
      <c r="AX109" s="26">
        <f t="shared" si="89"/>
        <v>0</v>
      </c>
      <c r="AY109" s="26">
        <f t="shared" si="89"/>
        <v>0</v>
      </c>
      <c r="AZ109" s="57">
        <f t="shared" si="62"/>
        <v>0</v>
      </c>
      <c r="BB109" s="56">
        <f t="shared" si="63"/>
        <v>0</v>
      </c>
      <c r="BC109" s="26">
        <f t="shared" si="64"/>
        <v>0</v>
      </c>
      <c r="BD109" s="26">
        <f t="shared" si="86"/>
        <v>0</v>
      </c>
      <c r="BE109" s="57">
        <f t="shared" si="65"/>
        <v>0</v>
      </c>
      <c r="BG109" s="56">
        <f t="shared" si="66"/>
        <v>0</v>
      </c>
      <c r="BH109" s="26">
        <f t="shared" si="90"/>
        <v>0</v>
      </c>
      <c r="BI109" s="26">
        <f t="shared" si="90"/>
        <v>0</v>
      </c>
      <c r="BJ109" s="57">
        <f t="shared" si="67"/>
        <v>0</v>
      </c>
      <c r="BL109" s="56">
        <f t="shared" si="68"/>
        <v>0</v>
      </c>
      <c r="BM109" s="26">
        <f t="shared" si="91"/>
        <v>0</v>
      </c>
      <c r="BN109" s="26">
        <f t="shared" si="91"/>
        <v>0</v>
      </c>
      <c r="BO109" s="57">
        <f t="shared" si="69"/>
        <v>0</v>
      </c>
      <c r="BQ109" s="56">
        <f t="shared" si="70"/>
        <v>0</v>
      </c>
      <c r="BR109" s="26">
        <f t="shared" si="92"/>
        <v>0</v>
      </c>
      <c r="BS109" s="26">
        <f t="shared" si="92"/>
        <v>0</v>
      </c>
      <c r="BT109" s="57">
        <f t="shared" si="71"/>
        <v>0</v>
      </c>
      <c r="BV109" s="52" t="e">
        <f>OR(Production!C109,Construction!N109:'Construction'!AF109,Construction!BV109:CN109,Explore!S109:Z109,Military!AF109:AL109,Military!X109,Military!BE109:BL109,Rezone!L109:R109,Magic!G109:Q109)</f>
        <v>#VALUE!</v>
      </c>
      <c r="BW109" s="527">
        <f t="shared" si="72"/>
        <v>0</v>
      </c>
      <c r="BX109" s="527"/>
      <c r="BY109" s="557">
        <f t="shared" si="82"/>
        <v>43696.41666666641</v>
      </c>
      <c r="BZ109" s="565">
        <f t="shared" si="74"/>
        <v>43696.249999999745</v>
      </c>
      <c r="CA109" s="529"/>
      <c r="CB109" s="807"/>
      <c r="CC109" s="812"/>
      <c r="CD109" s="107" t="s">
        <v>225</v>
      </c>
    </row>
    <row r="110" spans="1:82" s="16" customFormat="1">
      <c r="A110" s="513">
        <f>Construction!E110</f>
        <v>1000</v>
      </c>
      <c r="C110" s="56">
        <f ca="1">Production!H110</f>
        <v>4087168</v>
      </c>
      <c r="D110" s="26">
        <f ca="1">Production!J110</f>
        <v>267872</v>
      </c>
      <c r="E110" s="26">
        <f ca="1">Production!L110</f>
        <v>231000</v>
      </c>
      <c r="F110" s="57">
        <f ca="1">Production!M110</f>
        <v>20000</v>
      </c>
      <c r="G110" s="26"/>
      <c r="H110" s="56">
        <f ca="1">Military!Z110</f>
        <v>3695</v>
      </c>
      <c r="I110" s="540">
        <f ca="1">Population!I110</f>
        <v>1</v>
      </c>
      <c r="J110" s="165">
        <f ca="1">Population!F110/Population!U110</f>
        <v>1</v>
      </c>
      <c r="K110" s="1005">
        <f>Rezone!J110</f>
        <v>108</v>
      </c>
      <c r="L110" s="584">
        <f t="shared" si="85"/>
        <v>43696.458333333074</v>
      </c>
      <c r="M110" s="316">
        <f t="shared" si="83"/>
        <v>0</v>
      </c>
      <c r="N110" s="641">
        <f t="shared" si="58"/>
        <v>1000</v>
      </c>
      <c r="O110" s="423" t="s">
        <v>4</v>
      </c>
      <c r="P110" s="370"/>
      <c r="Q110" s="424" t="s">
        <v>223</v>
      </c>
      <c r="R110" s="423" t="s">
        <v>7</v>
      </c>
      <c r="S110" s="370"/>
      <c r="T110" s="425" t="s">
        <v>223</v>
      </c>
      <c r="U110" s="408" t="s">
        <v>3</v>
      </c>
      <c r="V110" s="407"/>
      <c r="W110" s="409" t="s">
        <v>223</v>
      </c>
      <c r="Y110" s="503">
        <f ca="1">science_cap*(1-EXP(-AF110/(science_param*($A111-Explore!$S111*20)+15000)))*(1+(mason_bonus*Construction!BB110/Construction!BS110))+IF(Overview!$B$14="Beastfolk",Construction!DA110/Construction!E110,0)*(1 + Production!O110/100*prestige_pop_multiplier)</f>
        <v>0</v>
      </c>
      <c r="Z110" s="455">
        <f ca="1">keep_cap*(1-EXP(-AG110/(keep_param*($A111-Explore!$S111*20)+15000)))*(1+(mason_bonus*Construction!BB110/Construction!BS110))+IF(Overview!$B$14="Beastfolk",Construction!DF110/Construction!E110,0)*(1 + Production!O110/100*prestige_pop_multiplier)</f>
        <v>0</v>
      </c>
      <c r="AA110" s="455">
        <f ca="1">harbor_towers_cap*(1-EXP(-AH110/(harbor_towers_param*($A111-Explore!$S111*20)+15000)))*(1+(mason_bonus*Construction!BB110/Construction!BS110))+IF(Overview!$B$14="Beastfolk",2*Construction!DC110/Construction!E110,0)*(1 + Production!O110/100*prestige_pop_multiplier)</f>
        <v>0</v>
      </c>
      <c r="AB110" s="455">
        <f ca="1">walls_forges_cap*(1-EXP(-AI110/(walls_forges_param*($A111-Explore!$S111*20)+15000)))*(1+(mason_bonus*Construction!BB110/Construction!BS110))+IF(Overview!$B$14="Beastfolk",0.2*Construction!CY110/Construction!E110,0)</f>
        <v>0</v>
      </c>
      <c r="AC110" s="455">
        <f ca="1">walls_forges_cap*(1-EXP(-AJ110/(walls_forges_param*($A111-Explore!$S111*20)+15000)))*(1+(mason_bonus*Construction!BB110/Construction!BS110))+IF(Overview!$B$14="Beastfolk",5*Construction!DB110/Construction!E110,0)</f>
        <v>0</v>
      </c>
      <c r="AD110" s="171">
        <f ca="1">harbor_towers_cap*(1-EXP(-AK110/(harbor_towers_param*($A111-Explore!$S111*20)+15000)))*(1+(mason_bonus*Construction!BB110/Construction!BS110))+IF(Overview!$B$14="Beastfolk",Construction!DE110/Construction!E110)*(1 + Production!O110/100*prestige_pop_multiplier)</f>
        <v>0</v>
      </c>
      <c r="AF110" s="56">
        <f ca="1">(1+Overview!$O$28+IF(Magic!BA110&gt;0,0.1,0))*SUM(AR110:AU110)</f>
        <v>0</v>
      </c>
      <c r="AG110" s="26">
        <f ca="1">(1+Overview!$O$28+IF(Magic!BA110&gt;0,0.1,0))*SUM(AW110:AZ110)</f>
        <v>0</v>
      </c>
      <c r="AH110" s="164">
        <f ca="1">(1+Overview!$O$28+IF(Magic!BA110&gt;0,0.1,0))*SUM(BB110:BE110)</f>
        <v>0</v>
      </c>
      <c r="AI110" s="164">
        <f ca="1">(1+Overview!$O$28+IF(Magic!BA110&gt;0,0.1,0))*SUM(BG110:BJ110)</f>
        <v>0</v>
      </c>
      <c r="AJ110" s="164">
        <f ca="1">(1+Overview!$O$28+IF(Magic!BA110&gt;0,0.1,0))*SUM(BL110:BO110)</f>
        <v>0</v>
      </c>
      <c r="AK110" s="166">
        <f ca="1">(1+Overview!$O$28+IF(Magic!BA110&gt;0,0.1,0))*SUM(BQ110:BT110)</f>
        <v>0</v>
      </c>
      <c r="AM110" s="52">
        <f t="shared" si="87"/>
        <v>0</v>
      </c>
      <c r="AN110" s="16">
        <f t="shared" si="87"/>
        <v>0</v>
      </c>
      <c r="AO110" s="16">
        <f t="shared" si="87"/>
        <v>0</v>
      </c>
      <c r="AP110" s="53">
        <f t="shared" si="87"/>
        <v>0</v>
      </c>
      <c r="AR110" s="56">
        <f t="shared" si="59"/>
        <v>0</v>
      </c>
      <c r="AS110" s="26">
        <f t="shared" si="88"/>
        <v>0</v>
      </c>
      <c r="AT110" s="26">
        <f t="shared" si="88"/>
        <v>0</v>
      </c>
      <c r="AU110" s="57">
        <f t="shared" si="60"/>
        <v>0</v>
      </c>
      <c r="AW110" s="56">
        <f t="shared" si="61"/>
        <v>0</v>
      </c>
      <c r="AX110" s="26">
        <f t="shared" si="89"/>
        <v>0</v>
      </c>
      <c r="AY110" s="26">
        <f t="shared" si="89"/>
        <v>0</v>
      </c>
      <c r="AZ110" s="57">
        <f t="shared" si="62"/>
        <v>0</v>
      </c>
      <c r="BB110" s="56">
        <f t="shared" si="63"/>
        <v>0</v>
      </c>
      <c r="BC110" s="26">
        <f t="shared" si="64"/>
        <v>0</v>
      </c>
      <c r="BD110" s="26">
        <f t="shared" si="86"/>
        <v>0</v>
      </c>
      <c r="BE110" s="57">
        <f t="shared" si="65"/>
        <v>0</v>
      </c>
      <c r="BG110" s="56">
        <f t="shared" si="66"/>
        <v>0</v>
      </c>
      <c r="BH110" s="26">
        <f t="shared" si="90"/>
        <v>0</v>
      </c>
      <c r="BI110" s="26">
        <f t="shared" si="90"/>
        <v>0</v>
      </c>
      <c r="BJ110" s="57">
        <f t="shared" si="67"/>
        <v>0</v>
      </c>
      <c r="BL110" s="56">
        <f t="shared" si="68"/>
        <v>0</v>
      </c>
      <c r="BM110" s="26">
        <f t="shared" si="91"/>
        <v>0</v>
      </c>
      <c r="BN110" s="26">
        <f t="shared" si="91"/>
        <v>0</v>
      </c>
      <c r="BO110" s="57">
        <f t="shared" si="69"/>
        <v>0</v>
      </c>
      <c r="BQ110" s="56">
        <f t="shared" si="70"/>
        <v>0</v>
      </c>
      <c r="BR110" s="26">
        <f t="shared" si="92"/>
        <v>0</v>
      </c>
      <c r="BS110" s="26">
        <f t="shared" si="92"/>
        <v>0</v>
      </c>
      <c r="BT110" s="57">
        <f t="shared" si="71"/>
        <v>0</v>
      </c>
      <c r="BV110" s="52" t="e">
        <f>OR(Production!C110,Construction!N110:'Construction'!AF110,Construction!BV110:CN110,Explore!S110:Z110,Military!AF110:AL110,Military!X110,Military!BE110:BL110,Rezone!L110:R110,Magic!G110:Q110)</f>
        <v>#VALUE!</v>
      </c>
      <c r="BW110" s="527">
        <f t="shared" si="72"/>
        <v>0</v>
      </c>
      <c r="BX110" s="527"/>
      <c r="BY110" s="557">
        <f t="shared" si="82"/>
        <v>43696.458333333074</v>
      </c>
      <c r="BZ110" s="565">
        <f t="shared" si="74"/>
        <v>43696.29166666641</v>
      </c>
      <c r="CA110" s="529"/>
      <c r="CB110" s="807"/>
      <c r="CC110" s="812"/>
      <c r="CD110" s="16" t="s">
        <v>226</v>
      </c>
    </row>
    <row r="111" spans="1:82" s="12" customFormat="1">
      <c r="A111" s="515">
        <f>Construction!E111</f>
        <v>1000</v>
      </c>
      <c r="C111" s="54">
        <f ca="1">Production!H111</f>
        <v>4097819</v>
      </c>
      <c r="D111" s="13">
        <f ca="1">Production!J111</f>
        <v>267693</v>
      </c>
      <c r="E111" s="13">
        <f ca="1">Production!L111</f>
        <v>231000</v>
      </c>
      <c r="F111" s="158">
        <f ca="1">Production!M111</f>
        <v>20000</v>
      </c>
      <c r="G111" s="153"/>
      <c r="H111" s="54">
        <f ca="1">Military!Z111</f>
        <v>3695</v>
      </c>
      <c r="I111" s="155">
        <f ca="1">Population!I111</f>
        <v>1</v>
      </c>
      <c r="J111" s="154">
        <f ca="1">Population!F111/Population!U111</f>
        <v>1</v>
      </c>
      <c r="K111" s="1006">
        <f>Rezone!J111</f>
        <v>109</v>
      </c>
      <c r="L111" s="583">
        <f t="shared" si="85"/>
        <v>43696.499999999738</v>
      </c>
      <c r="M111" s="651">
        <f t="shared" si="83"/>
        <v>0</v>
      </c>
      <c r="N111" s="644">
        <f t="shared" si="58"/>
        <v>1000</v>
      </c>
      <c r="O111" s="428" t="s">
        <v>4</v>
      </c>
      <c r="P111" s="429"/>
      <c r="Q111" s="430" t="s">
        <v>223</v>
      </c>
      <c r="R111" s="428" t="s">
        <v>7</v>
      </c>
      <c r="S111" s="429"/>
      <c r="T111" s="431" t="s">
        <v>223</v>
      </c>
      <c r="U111" s="411" t="s">
        <v>3</v>
      </c>
      <c r="V111" s="410"/>
      <c r="W111" s="412" t="s">
        <v>223</v>
      </c>
      <c r="Y111" s="525">
        <f ca="1">science_cap*(1-EXP(-AF111/(science_param*($A112-Explore!$S112*20)+15000)))*(1+(mason_bonus*Construction!BB111/Construction!BS111))+IF(Overview!$B$14="Beastfolk",Construction!DA111/Construction!E111,0)*(1 + Production!O111/100*prestige_pop_multiplier)</f>
        <v>0</v>
      </c>
      <c r="Z111" s="457">
        <f ca="1">keep_cap*(1-EXP(-AG111/(keep_param*($A112-Explore!$S112*20)+15000)))*(1+(mason_bonus*Construction!BB111/Construction!BS111))+IF(Overview!$B$14="Beastfolk",Construction!DF111/Construction!E111,0)*(1 + Production!O111/100*prestige_pop_multiplier)</f>
        <v>0</v>
      </c>
      <c r="AA111" s="457">
        <f ca="1">harbor_towers_cap*(1-EXP(-AH111/(harbor_towers_param*($A112-Explore!$S112*20)+15000)))*(1+(mason_bonus*Construction!BB111/Construction!BS111))+IF(Overview!$B$14="Beastfolk",2*Construction!DC111/Construction!E111,0)*(1 + Production!O111/100*prestige_pop_multiplier)</f>
        <v>0</v>
      </c>
      <c r="AB111" s="457">
        <f ca="1">walls_forges_cap*(1-EXP(-AI111/(walls_forges_param*($A112-Explore!$S112*20)+15000)))*(1+(mason_bonus*Construction!BB111/Construction!BS111))+IF(Overview!$B$14="Beastfolk",0.2*Construction!CY111/Construction!E111,0)</f>
        <v>0</v>
      </c>
      <c r="AC111" s="457">
        <f ca="1">walls_forges_cap*(1-EXP(-AJ111/(walls_forges_param*($A112-Explore!$S112*20)+15000)))*(1+(mason_bonus*Construction!BB111/Construction!BS111))+IF(Overview!$B$14="Beastfolk",5*Construction!DB111/Construction!E111,0)</f>
        <v>0</v>
      </c>
      <c r="AD111" s="96">
        <f ca="1">harbor_towers_cap*(1-EXP(-AK111/(harbor_towers_param*($A112-Explore!$S112*20)+15000)))*(1+(mason_bonus*Construction!BB111/Construction!BS111))+IF(Overview!$B$14="Beastfolk",Construction!DE111/Construction!E111)*(1 + Production!O111/100*prestige_pop_multiplier)</f>
        <v>0</v>
      </c>
      <c r="AF111" s="54">
        <f ca="1">(1+Overview!$O$28+IF(Magic!BA111&gt;0,0.1,0))*SUM(AR111:AU111)</f>
        <v>0</v>
      </c>
      <c r="AG111" s="13">
        <f ca="1">(1+Overview!$O$28+IF(Magic!BA111&gt;0,0.1,0))*SUM(AW111:AZ111)</f>
        <v>0</v>
      </c>
      <c r="AH111" s="153">
        <f ca="1">(1+Overview!$O$28+IF(Magic!BA111&gt;0,0.1,0))*SUM(BB111:BE111)</f>
        <v>0</v>
      </c>
      <c r="AI111" s="153">
        <f ca="1">(1+Overview!$O$28+IF(Magic!BA111&gt;0,0.1,0))*SUM(BG111:BJ111)</f>
        <v>0</v>
      </c>
      <c r="AJ111" s="153">
        <f ca="1">(1+Overview!$O$28+IF(Magic!BA111&gt;0,0.1,0))*SUM(BL111:BO111)</f>
        <v>0</v>
      </c>
      <c r="AK111" s="158">
        <f ca="1">(1+Overview!$O$28+IF(Magic!BA111&gt;0,0.1,0))*SUM(BQ111:BT111)</f>
        <v>0</v>
      </c>
      <c r="AM111" s="50">
        <f t="shared" si="87"/>
        <v>0</v>
      </c>
      <c r="AN111" s="12">
        <f t="shared" si="87"/>
        <v>0</v>
      </c>
      <c r="AO111" s="12">
        <f t="shared" si="87"/>
        <v>0</v>
      </c>
      <c r="AP111" s="51">
        <f t="shared" si="87"/>
        <v>0</v>
      </c>
      <c r="AR111" s="54">
        <f t="shared" si="59"/>
        <v>0</v>
      </c>
      <c r="AS111" s="13">
        <f t="shared" si="88"/>
        <v>0</v>
      </c>
      <c r="AT111" s="13">
        <f t="shared" si="88"/>
        <v>0</v>
      </c>
      <c r="AU111" s="55">
        <f t="shared" si="60"/>
        <v>0</v>
      </c>
      <c r="AW111" s="54">
        <f t="shared" si="61"/>
        <v>0</v>
      </c>
      <c r="AX111" s="13">
        <f t="shared" si="89"/>
        <v>0</v>
      </c>
      <c r="AY111" s="13">
        <f t="shared" si="89"/>
        <v>0</v>
      </c>
      <c r="AZ111" s="55">
        <f t="shared" si="62"/>
        <v>0</v>
      </c>
      <c r="BB111" s="54">
        <f t="shared" si="63"/>
        <v>0</v>
      </c>
      <c r="BC111" s="13">
        <f t="shared" si="64"/>
        <v>0</v>
      </c>
      <c r="BD111" s="13">
        <f t="shared" si="86"/>
        <v>0</v>
      </c>
      <c r="BE111" s="55">
        <f t="shared" si="65"/>
        <v>0</v>
      </c>
      <c r="BG111" s="54">
        <f t="shared" si="66"/>
        <v>0</v>
      </c>
      <c r="BH111" s="13">
        <f t="shared" si="90"/>
        <v>0</v>
      </c>
      <c r="BI111" s="13">
        <f t="shared" si="90"/>
        <v>0</v>
      </c>
      <c r="BJ111" s="55">
        <f t="shared" si="67"/>
        <v>0</v>
      </c>
      <c r="BL111" s="54">
        <f t="shared" si="68"/>
        <v>0</v>
      </c>
      <c r="BM111" s="13">
        <f t="shared" si="91"/>
        <v>0</v>
      </c>
      <c r="BN111" s="13">
        <f t="shared" si="91"/>
        <v>0</v>
      </c>
      <c r="BO111" s="55">
        <f t="shared" si="69"/>
        <v>0</v>
      </c>
      <c r="BQ111" s="54">
        <f t="shared" si="70"/>
        <v>0</v>
      </c>
      <c r="BR111" s="13">
        <f t="shared" si="92"/>
        <v>0</v>
      </c>
      <c r="BS111" s="13">
        <f t="shared" si="92"/>
        <v>0</v>
      </c>
      <c r="BT111" s="55">
        <f t="shared" si="71"/>
        <v>0</v>
      </c>
      <c r="BV111" s="50" t="e">
        <f>OR(Production!C111,Construction!N111:'Construction'!AF111,Construction!BV111:CN111,Explore!S111:Z111,Military!AF111:AL111,Military!X111,Military!BE111:BL111,Rezone!L111:R111,Magic!G111:Q111)</f>
        <v>#VALUE!</v>
      </c>
      <c r="BW111" s="551">
        <f t="shared" si="72"/>
        <v>0</v>
      </c>
      <c r="BX111" s="551"/>
      <c r="BY111" s="558">
        <f t="shared" si="82"/>
        <v>43696.499999999738</v>
      </c>
      <c r="BZ111" s="566">
        <f t="shared" si="74"/>
        <v>43696.333333333074</v>
      </c>
      <c r="CA111" s="631"/>
      <c r="CB111" s="808"/>
      <c r="CC111" s="813"/>
      <c r="CD111" s="12" t="s">
        <v>227</v>
      </c>
    </row>
    <row r="112" spans="1:82" s="15" customFormat="1">
      <c r="A112" s="516">
        <f>Construction!E112</f>
        <v>1000</v>
      </c>
      <c r="B112" s="16"/>
      <c r="C112" s="89">
        <f ca="1">Production!H112</f>
        <v>4108470</v>
      </c>
      <c r="D112" s="23">
        <f ca="1">Production!J112</f>
        <v>267516</v>
      </c>
      <c r="E112" s="23">
        <f ca="1">Production!L112</f>
        <v>231000</v>
      </c>
      <c r="F112" s="57">
        <f ca="1">Production!M112</f>
        <v>20000</v>
      </c>
      <c r="G112" s="26"/>
      <c r="H112" s="89">
        <f ca="1">Military!Z112</f>
        <v>3695</v>
      </c>
      <c r="I112" s="540">
        <f ca="1">Population!I112</f>
        <v>1</v>
      </c>
      <c r="J112" s="165">
        <f ca="1">Population!F112/Population!U112</f>
        <v>1</v>
      </c>
      <c r="K112" s="1005">
        <f>Rezone!J112</f>
        <v>110</v>
      </c>
      <c r="L112" s="584">
        <f t="shared" si="85"/>
        <v>43696.541666666402</v>
      </c>
      <c r="M112" s="639">
        <f t="shared" si="83"/>
        <v>0</v>
      </c>
      <c r="N112" s="645">
        <f t="shared" si="58"/>
        <v>1000</v>
      </c>
      <c r="O112" s="423" t="s">
        <v>4</v>
      </c>
      <c r="P112" s="370"/>
      <c r="Q112" s="424" t="s">
        <v>223</v>
      </c>
      <c r="R112" s="423" t="s">
        <v>7</v>
      </c>
      <c r="S112" s="370"/>
      <c r="T112" s="425" t="s">
        <v>223</v>
      </c>
      <c r="U112" s="424" t="s">
        <v>3</v>
      </c>
      <c r="V112" s="370"/>
      <c r="W112" s="425" t="s">
        <v>223</v>
      </c>
      <c r="X112" s="16"/>
      <c r="Y112" s="524">
        <f ca="1">science_cap*(1-EXP(-AF112/(science_param*($A113-Explore!$S113*20)+15000)))*(1+(mason_bonus*Construction!BB112/Construction!BS112))+IF(Overview!$B$14="Beastfolk",Construction!DA112/Construction!E112,0)*(1 + Production!O112/100*prestige_pop_multiplier)</f>
        <v>0</v>
      </c>
      <c r="Z112" s="284">
        <f ca="1">keep_cap*(1-EXP(-AG112/(keep_param*($A113-Explore!$S113*20)+15000)))*(1+(mason_bonus*Construction!BB112/Construction!BS112))+IF(Overview!$B$14="Beastfolk",Construction!DF112/Construction!E112,0)*(1 + Production!O112/100*prestige_pop_multiplier)</f>
        <v>0</v>
      </c>
      <c r="AA112" s="284">
        <f ca="1">harbor_towers_cap*(1-EXP(-AH112/(harbor_towers_param*($A113-Explore!$S113*20)+15000)))*(1+(mason_bonus*Construction!BB112/Construction!BS112))+IF(Overview!$B$14="Beastfolk",2*Construction!DC112/Construction!E112,0)*(1 + Production!O112/100*prestige_pop_multiplier)</f>
        <v>0</v>
      </c>
      <c r="AB112" s="284">
        <f ca="1">walls_forges_cap*(1-EXP(-AI112/(walls_forges_param*($A113-Explore!$S113*20)+15000)))*(1+(mason_bonus*Construction!BB112/Construction!BS112))+IF(Overview!$B$14="Beastfolk",0.2*Construction!CY112/Construction!E112,0)</f>
        <v>0</v>
      </c>
      <c r="AC112" s="284">
        <f ca="1">walls_forges_cap*(1-EXP(-AJ112/(walls_forges_param*($A113-Explore!$S113*20)+15000)))*(1+(mason_bonus*Construction!BB112/Construction!BS112))+IF(Overview!$B$14="Beastfolk",5*Construction!DB112/Construction!E112,0)</f>
        <v>0</v>
      </c>
      <c r="AD112" s="97">
        <f ca="1">harbor_towers_cap*(1-EXP(-AK112/(harbor_towers_param*($A113-Explore!$S113*20)+15000)))*(1+(mason_bonus*Construction!BB112/Construction!BS112))+IF(Overview!$B$14="Beastfolk",Construction!DE112/Construction!E112)*(1 + Production!O112/100*prestige_pop_multiplier)</f>
        <v>0</v>
      </c>
      <c r="AE112" s="16"/>
      <c r="AF112" s="56">
        <f ca="1">(1+Overview!$O$28+IF(Magic!BA112&gt;0,0.1,0))*SUM(AR112:AU112)</f>
        <v>0</v>
      </c>
      <c r="AG112" s="26">
        <f ca="1">(1+Overview!$O$28+IF(Magic!BA112&gt;0,0.1,0))*SUM(AW112:AZ112)</f>
        <v>0</v>
      </c>
      <c r="AH112" s="164">
        <f ca="1">(1+Overview!$O$28+IF(Magic!BA112&gt;0,0.1,0))*SUM(BB112:BE112)</f>
        <v>0</v>
      </c>
      <c r="AI112" s="164">
        <f ca="1">(1+Overview!$O$28+IF(Magic!BA112&gt;0,0.1,0))*SUM(BG112:BJ112)</f>
        <v>0</v>
      </c>
      <c r="AJ112" s="164">
        <f ca="1">(1+Overview!$O$28+IF(Magic!BA112&gt;0,0.1,0))*SUM(BL112:BO112)</f>
        <v>0</v>
      </c>
      <c r="AK112" s="166">
        <f ca="1">(1+Overview!$O$28+IF(Magic!BA112&gt;0,0.1,0))*SUM(BQ112:BT112)</f>
        <v>0</v>
      </c>
      <c r="AL112" s="16"/>
      <c r="AM112" s="70">
        <f t="shared" si="87"/>
        <v>0</v>
      </c>
      <c r="AN112" s="15">
        <f t="shared" si="87"/>
        <v>0</v>
      </c>
      <c r="AO112" s="15">
        <f t="shared" si="87"/>
        <v>0</v>
      </c>
      <c r="AP112" s="74">
        <f t="shared" si="87"/>
        <v>0</v>
      </c>
      <c r="AQ112" s="16"/>
      <c r="AR112" s="89">
        <f t="shared" si="59"/>
        <v>0</v>
      </c>
      <c r="AS112" s="23">
        <f t="shared" si="88"/>
        <v>0</v>
      </c>
      <c r="AT112" s="23">
        <f t="shared" si="88"/>
        <v>0</v>
      </c>
      <c r="AU112" s="71">
        <f t="shared" si="60"/>
        <v>0</v>
      </c>
      <c r="AV112" s="16"/>
      <c r="AW112" s="89">
        <f t="shared" si="61"/>
        <v>0</v>
      </c>
      <c r="AX112" s="23">
        <f t="shared" si="89"/>
        <v>0</v>
      </c>
      <c r="AY112" s="23">
        <f t="shared" si="89"/>
        <v>0</v>
      </c>
      <c r="AZ112" s="71">
        <f t="shared" si="62"/>
        <v>0</v>
      </c>
      <c r="BA112" s="16"/>
      <c r="BB112" s="89">
        <f t="shared" si="63"/>
        <v>0</v>
      </c>
      <c r="BC112" s="23">
        <f t="shared" si="64"/>
        <v>0</v>
      </c>
      <c r="BD112" s="23">
        <f t="shared" si="86"/>
        <v>0</v>
      </c>
      <c r="BE112" s="71">
        <f t="shared" si="65"/>
        <v>0</v>
      </c>
      <c r="BF112" s="16"/>
      <c r="BG112" s="89">
        <f t="shared" si="66"/>
        <v>0</v>
      </c>
      <c r="BH112" s="23">
        <f t="shared" si="90"/>
        <v>0</v>
      </c>
      <c r="BI112" s="23">
        <f t="shared" si="90"/>
        <v>0</v>
      </c>
      <c r="BJ112" s="71">
        <f t="shared" si="67"/>
        <v>0</v>
      </c>
      <c r="BK112" s="16"/>
      <c r="BL112" s="89">
        <f t="shared" si="68"/>
        <v>0</v>
      </c>
      <c r="BM112" s="23">
        <f t="shared" si="91"/>
        <v>0</v>
      </c>
      <c r="BN112" s="23">
        <f t="shared" si="91"/>
        <v>0</v>
      </c>
      <c r="BO112" s="71">
        <f t="shared" si="69"/>
        <v>0</v>
      </c>
      <c r="BP112" s="16"/>
      <c r="BQ112" s="89">
        <f t="shared" si="70"/>
        <v>0</v>
      </c>
      <c r="BR112" s="23">
        <f t="shared" si="92"/>
        <v>0</v>
      </c>
      <c r="BS112" s="23">
        <f t="shared" si="92"/>
        <v>0</v>
      </c>
      <c r="BT112" s="71">
        <f t="shared" si="71"/>
        <v>0</v>
      </c>
      <c r="BV112" s="70" t="e">
        <f>OR(Production!C112,Construction!N112:'Construction'!AF112,Construction!BV112:CN112,Explore!S112:Z112,Military!AF112:AL112,Military!X112,Military!BE112:BL112,Rezone!L112:R112,Magic!G112:Q112)</f>
        <v>#VALUE!</v>
      </c>
      <c r="BW112" s="528">
        <f t="shared" si="72"/>
        <v>0</v>
      </c>
      <c r="BX112" s="528"/>
      <c r="BY112" s="559">
        <f t="shared" si="82"/>
        <v>43696.541666666402</v>
      </c>
      <c r="BZ112" s="567">
        <f t="shared" si="74"/>
        <v>43696.374999999738</v>
      </c>
      <c r="CA112" s="629"/>
      <c r="CB112" s="809"/>
      <c r="CC112" s="814"/>
    </row>
    <row r="113" spans="1:81" s="16" customFormat="1">
      <c r="A113" s="513">
        <f>Construction!E113</f>
        <v>1000</v>
      </c>
      <c r="C113" s="56">
        <f ca="1">Production!H113</f>
        <v>4119121</v>
      </c>
      <c r="D113" s="26">
        <f ca="1">Production!J113</f>
        <v>267341</v>
      </c>
      <c r="E113" s="26">
        <f ca="1">Production!L113</f>
        <v>231000</v>
      </c>
      <c r="F113" s="57">
        <f ca="1">Production!M113</f>
        <v>20000</v>
      </c>
      <c r="G113" s="26"/>
      <c r="H113" s="56">
        <f ca="1">Military!Z113</f>
        <v>3695</v>
      </c>
      <c r="I113" s="540">
        <f ca="1">Population!I113</f>
        <v>1</v>
      </c>
      <c r="J113" s="165">
        <f ca="1">Population!F113/Population!U113</f>
        <v>1</v>
      </c>
      <c r="K113" s="1005">
        <f>Rezone!J113</f>
        <v>111</v>
      </c>
      <c r="L113" s="584">
        <f t="shared" si="85"/>
        <v>43696.583333333067</v>
      </c>
      <c r="M113" s="316">
        <f t="shared" si="83"/>
        <v>0</v>
      </c>
      <c r="N113" s="641">
        <f t="shared" si="58"/>
        <v>1000</v>
      </c>
      <c r="O113" s="423" t="s">
        <v>4</v>
      </c>
      <c r="P113" s="370"/>
      <c r="Q113" s="424" t="s">
        <v>223</v>
      </c>
      <c r="R113" s="423" t="s">
        <v>7</v>
      </c>
      <c r="S113" s="370"/>
      <c r="T113" s="425" t="s">
        <v>223</v>
      </c>
      <c r="U113" s="424" t="s">
        <v>3</v>
      </c>
      <c r="V113" s="370"/>
      <c r="W113" s="425" t="s">
        <v>223</v>
      </c>
      <c r="Y113" s="524">
        <f ca="1">science_cap*(1-EXP(-AF113/(science_param*($A114-Explore!$S114*20)+15000)))*(1+(mason_bonus*Construction!BB113/Construction!BS113))+IF(Overview!$B$14="Beastfolk",Construction!DA113/Construction!E113,0)*(1 + Production!O113/100*prestige_pop_multiplier)</f>
        <v>0</v>
      </c>
      <c r="Z113" s="284">
        <f ca="1">keep_cap*(1-EXP(-AG113/(keep_param*($A114-Explore!$S114*20)+15000)))*(1+(mason_bonus*Construction!BB113/Construction!BS113))+IF(Overview!$B$14="Beastfolk",Construction!DF113/Construction!E113,0)*(1 + Production!O113/100*prestige_pop_multiplier)</f>
        <v>0</v>
      </c>
      <c r="AA113" s="284">
        <f ca="1">harbor_towers_cap*(1-EXP(-AH113/(harbor_towers_param*($A114-Explore!$S114*20)+15000)))*(1+(mason_bonus*Construction!BB113/Construction!BS113))+IF(Overview!$B$14="Beastfolk",2*Construction!DC113/Construction!E113,0)*(1 + Production!O113/100*prestige_pop_multiplier)</f>
        <v>0</v>
      </c>
      <c r="AB113" s="284">
        <f ca="1">walls_forges_cap*(1-EXP(-AI113/(walls_forges_param*($A114-Explore!$S114*20)+15000)))*(1+(mason_bonus*Construction!BB113/Construction!BS113))+IF(Overview!$B$14="Beastfolk",0.2*Construction!CY113/Construction!E113,0)</f>
        <v>0</v>
      </c>
      <c r="AC113" s="284">
        <f ca="1">walls_forges_cap*(1-EXP(-AJ113/(walls_forges_param*($A114-Explore!$S114*20)+15000)))*(1+(mason_bonus*Construction!BB113/Construction!BS113))+IF(Overview!$B$14="Beastfolk",5*Construction!DB113/Construction!E113,0)</f>
        <v>0</v>
      </c>
      <c r="AD113" s="97">
        <f ca="1">harbor_towers_cap*(1-EXP(-AK113/(harbor_towers_param*($A114-Explore!$S114*20)+15000)))*(1+(mason_bonus*Construction!BB113/Construction!BS113))+IF(Overview!$B$14="Beastfolk",Construction!DE113/Construction!E113)*(1 + Production!O113/100*prestige_pop_multiplier)</f>
        <v>0</v>
      </c>
      <c r="AF113" s="56">
        <f ca="1">(1+Overview!$O$28+IF(Magic!BA113&gt;0,0.1,0))*SUM(AR113:AU113)</f>
        <v>0</v>
      </c>
      <c r="AG113" s="26">
        <f ca="1">(1+Overview!$O$28+IF(Magic!BA113&gt;0,0.1,0))*SUM(AW113:AZ113)</f>
        <v>0</v>
      </c>
      <c r="AH113" s="164">
        <f ca="1">(1+Overview!$O$28+IF(Magic!BA113&gt;0,0.1,0))*SUM(BB113:BE113)</f>
        <v>0</v>
      </c>
      <c r="AI113" s="164">
        <f ca="1">(1+Overview!$O$28+IF(Magic!BA113&gt;0,0.1,0))*SUM(BG113:BJ113)</f>
        <v>0</v>
      </c>
      <c r="AJ113" s="164">
        <f ca="1">(1+Overview!$O$28+IF(Magic!BA113&gt;0,0.1,0))*SUM(BL113:BO113)</f>
        <v>0</v>
      </c>
      <c r="AK113" s="166">
        <f ca="1">(1+Overview!$O$28+IF(Magic!BA113&gt;0,0.1,0))*SUM(BQ113:BT113)</f>
        <v>0</v>
      </c>
      <c r="AM113" s="52">
        <f t="shared" si="87"/>
        <v>0</v>
      </c>
      <c r="AN113" s="16">
        <f t="shared" si="87"/>
        <v>0</v>
      </c>
      <c r="AO113" s="16">
        <f t="shared" si="87"/>
        <v>0</v>
      </c>
      <c r="AP113" s="53">
        <f t="shared" si="87"/>
        <v>0</v>
      </c>
      <c r="AR113" s="56">
        <f t="shared" si="59"/>
        <v>0</v>
      </c>
      <c r="AS113" s="26">
        <f t="shared" si="88"/>
        <v>0</v>
      </c>
      <c r="AT113" s="26">
        <f t="shared" si="88"/>
        <v>0</v>
      </c>
      <c r="AU113" s="57">
        <f t="shared" si="60"/>
        <v>0</v>
      </c>
      <c r="AW113" s="56">
        <f t="shared" si="61"/>
        <v>0</v>
      </c>
      <c r="AX113" s="26">
        <f t="shared" si="89"/>
        <v>0</v>
      </c>
      <c r="AY113" s="26">
        <f t="shared" si="89"/>
        <v>0</v>
      </c>
      <c r="AZ113" s="57">
        <f t="shared" si="62"/>
        <v>0</v>
      </c>
      <c r="BB113" s="56">
        <f t="shared" si="63"/>
        <v>0</v>
      </c>
      <c r="BC113" s="26">
        <f t="shared" si="64"/>
        <v>0</v>
      </c>
      <c r="BD113" s="26">
        <f t="shared" si="86"/>
        <v>0</v>
      </c>
      <c r="BE113" s="57">
        <f t="shared" si="65"/>
        <v>0</v>
      </c>
      <c r="BG113" s="56">
        <f t="shared" si="66"/>
        <v>0</v>
      </c>
      <c r="BH113" s="26">
        <f t="shared" si="90"/>
        <v>0</v>
      </c>
      <c r="BI113" s="26">
        <f t="shared" si="90"/>
        <v>0</v>
      </c>
      <c r="BJ113" s="57">
        <f t="shared" si="67"/>
        <v>0</v>
      </c>
      <c r="BL113" s="56">
        <f t="shared" si="68"/>
        <v>0</v>
      </c>
      <c r="BM113" s="26">
        <f t="shared" si="91"/>
        <v>0</v>
      </c>
      <c r="BN113" s="26">
        <f t="shared" si="91"/>
        <v>0</v>
      </c>
      <c r="BO113" s="57">
        <f t="shared" si="69"/>
        <v>0</v>
      </c>
      <c r="BQ113" s="56">
        <f t="shared" si="70"/>
        <v>0</v>
      </c>
      <c r="BR113" s="26">
        <f t="shared" si="92"/>
        <v>0</v>
      </c>
      <c r="BS113" s="26">
        <f t="shared" si="92"/>
        <v>0</v>
      </c>
      <c r="BT113" s="57">
        <f t="shared" si="71"/>
        <v>0</v>
      </c>
      <c r="BV113" s="52" t="e">
        <f>OR(Production!C113,Construction!N113:'Construction'!AF113,Construction!BV113:CN113,Explore!S113:Z113,Military!AF113:AL113,Military!X113,Military!BE113:BL113,Rezone!L113:R113,Magic!G113:Q113)</f>
        <v>#VALUE!</v>
      </c>
      <c r="BW113" s="527">
        <f t="shared" si="72"/>
        <v>0</v>
      </c>
      <c r="BX113" s="527"/>
      <c r="BY113" s="557">
        <f t="shared" si="82"/>
        <v>43696.583333333067</v>
      </c>
      <c r="BZ113" s="565">
        <f t="shared" si="74"/>
        <v>43696.416666666402</v>
      </c>
      <c r="CA113" s="806"/>
      <c r="CB113" s="807"/>
      <c r="CC113" s="812"/>
    </row>
    <row r="114" spans="1:81" s="16" customFormat="1">
      <c r="A114" s="513">
        <f>Construction!E114</f>
        <v>1000</v>
      </c>
      <c r="C114" s="56">
        <f ca="1">Production!H114</f>
        <v>4129772</v>
      </c>
      <c r="D114" s="26">
        <f ca="1">Production!J114</f>
        <v>267168</v>
      </c>
      <c r="E114" s="26">
        <f ca="1">Production!L114</f>
        <v>231000</v>
      </c>
      <c r="F114" s="57">
        <f ca="1">Production!M114</f>
        <v>20000</v>
      </c>
      <c r="G114" s="26"/>
      <c r="H114" s="56">
        <f ca="1">Military!Z114</f>
        <v>3695</v>
      </c>
      <c r="I114" s="540">
        <f ca="1">Population!I114</f>
        <v>1</v>
      </c>
      <c r="J114" s="165">
        <f ca="1">Population!F114/Population!U114</f>
        <v>1</v>
      </c>
      <c r="K114" s="1005">
        <f>Rezone!J114</f>
        <v>112</v>
      </c>
      <c r="L114" s="584">
        <f t="shared" si="85"/>
        <v>43696.624999999731</v>
      </c>
      <c r="M114" s="316">
        <f t="shared" si="83"/>
        <v>0</v>
      </c>
      <c r="N114" s="641">
        <f t="shared" si="58"/>
        <v>1000</v>
      </c>
      <c r="O114" s="423" t="s">
        <v>4</v>
      </c>
      <c r="P114" s="370"/>
      <c r="Q114" s="424" t="s">
        <v>223</v>
      </c>
      <c r="R114" s="423" t="s">
        <v>7</v>
      </c>
      <c r="S114" s="370"/>
      <c r="T114" s="425" t="s">
        <v>223</v>
      </c>
      <c r="U114" s="424" t="s">
        <v>3</v>
      </c>
      <c r="V114" s="370"/>
      <c r="W114" s="425" t="s">
        <v>223</v>
      </c>
      <c r="Y114" s="524">
        <f ca="1">science_cap*(1-EXP(-AF114/(science_param*($A115-Explore!$S115*20)+15000)))*(1+(mason_bonus*Construction!BB114/Construction!BS114))+IF(Overview!$B$14="Beastfolk",Construction!DA114/Construction!E114,0)*(1 + Production!O114/100*prestige_pop_multiplier)</f>
        <v>0</v>
      </c>
      <c r="Z114" s="284">
        <f ca="1">keep_cap*(1-EXP(-AG114/(keep_param*($A115-Explore!$S115*20)+15000)))*(1+(mason_bonus*Construction!BB114/Construction!BS114))+IF(Overview!$B$14="Beastfolk",Construction!DF114/Construction!E114,0)*(1 + Production!O114/100*prestige_pop_multiplier)</f>
        <v>0</v>
      </c>
      <c r="AA114" s="284">
        <f ca="1">harbor_towers_cap*(1-EXP(-AH114/(harbor_towers_param*($A115-Explore!$S115*20)+15000)))*(1+(mason_bonus*Construction!BB114/Construction!BS114))+IF(Overview!$B$14="Beastfolk",2*Construction!DC114/Construction!E114,0)*(1 + Production!O114/100*prestige_pop_multiplier)</f>
        <v>0</v>
      </c>
      <c r="AB114" s="284">
        <f ca="1">walls_forges_cap*(1-EXP(-AI114/(walls_forges_param*($A115-Explore!$S115*20)+15000)))*(1+(mason_bonus*Construction!BB114/Construction!BS114))+IF(Overview!$B$14="Beastfolk",0.2*Construction!CY114/Construction!E114,0)</f>
        <v>0</v>
      </c>
      <c r="AC114" s="284">
        <f ca="1">walls_forges_cap*(1-EXP(-AJ114/(walls_forges_param*($A115-Explore!$S115*20)+15000)))*(1+(mason_bonus*Construction!BB114/Construction!BS114))+IF(Overview!$B$14="Beastfolk",5*Construction!DB114/Construction!E114,0)</f>
        <v>0</v>
      </c>
      <c r="AD114" s="97">
        <f ca="1">harbor_towers_cap*(1-EXP(-AK114/(harbor_towers_param*($A115-Explore!$S115*20)+15000)))*(1+(mason_bonus*Construction!BB114/Construction!BS114))+IF(Overview!$B$14="Beastfolk",Construction!DE114/Construction!E114)*(1 + Production!O114/100*prestige_pop_multiplier)</f>
        <v>0</v>
      </c>
      <c r="AF114" s="56">
        <f ca="1">(1+Overview!$O$28+IF(Magic!BA114&gt;0,0.1,0))*SUM(AR114:AU114)</f>
        <v>0</v>
      </c>
      <c r="AG114" s="26">
        <f ca="1">(1+Overview!$O$28+IF(Magic!BA114&gt;0,0.1,0))*SUM(AW114:AZ114)</f>
        <v>0</v>
      </c>
      <c r="AH114" s="164">
        <f ca="1">(1+Overview!$O$28+IF(Magic!BA114&gt;0,0.1,0))*SUM(BB114:BE114)</f>
        <v>0</v>
      </c>
      <c r="AI114" s="164">
        <f ca="1">(1+Overview!$O$28+IF(Magic!BA114&gt;0,0.1,0))*SUM(BG114:BJ114)</f>
        <v>0</v>
      </c>
      <c r="AJ114" s="164">
        <f ca="1">(1+Overview!$O$28+IF(Magic!BA114&gt;0,0.1,0))*SUM(BL114:BO114)</f>
        <v>0</v>
      </c>
      <c r="AK114" s="166">
        <f ca="1">(1+Overview!$O$28+IF(Magic!BA114&gt;0,0.1,0))*SUM(BQ114:BT114)</f>
        <v>0</v>
      </c>
      <c r="AM114" s="52">
        <f t="shared" si="87"/>
        <v>0</v>
      </c>
      <c r="AN114" s="16">
        <f t="shared" si="87"/>
        <v>0</v>
      </c>
      <c r="AO114" s="16">
        <f t="shared" si="87"/>
        <v>0</v>
      </c>
      <c r="AP114" s="53">
        <f t="shared" si="87"/>
        <v>0</v>
      </c>
      <c r="AR114" s="56">
        <f t="shared" si="59"/>
        <v>0</v>
      </c>
      <c r="AS114" s="26">
        <f t="shared" si="88"/>
        <v>0</v>
      </c>
      <c r="AT114" s="26">
        <f t="shared" si="88"/>
        <v>0</v>
      </c>
      <c r="AU114" s="57">
        <f t="shared" si="60"/>
        <v>0</v>
      </c>
      <c r="AW114" s="56">
        <f t="shared" si="61"/>
        <v>0</v>
      </c>
      <c r="AX114" s="26">
        <f t="shared" si="89"/>
        <v>0</v>
      </c>
      <c r="AY114" s="26">
        <f t="shared" si="89"/>
        <v>0</v>
      </c>
      <c r="AZ114" s="57">
        <f t="shared" si="62"/>
        <v>0</v>
      </c>
      <c r="BB114" s="56">
        <f t="shared" si="63"/>
        <v>0</v>
      </c>
      <c r="BC114" s="26">
        <f t="shared" si="64"/>
        <v>0</v>
      </c>
      <c r="BD114" s="26">
        <f t="shared" si="86"/>
        <v>0</v>
      </c>
      <c r="BE114" s="57">
        <f t="shared" si="65"/>
        <v>0</v>
      </c>
      <c r="BG114" s="56">
        <f t="shared" si="66"/>
        <v>0</v>
      </c>
      <c r="BH114" s="26">
        <f t="shared" si="90"/>
        <v>0</v>
      </c>
      <c r="BI114" s="26">
        <f t="shared" si="90"/>
        <v>0</v>
      </c>
      <c r="BJ114" s="57">
        <f t="shared" si="67"/>
        <v>0</v>
      </c>
      <c r="BL114" s="56">
        <f t="shared" si="68"/>
        <v>0</v>
      </c>
      <c r="BM114" s="26">
        <f t="shared" si="91"/>
        <v>0</v>
      </c>
      <c r="BN114" s="26">
        <f t="shared" si="91"/>
        <v>0</v>
      </c>
      <c r="BO114" s="57">
        <f t="shared" si="69"/>
        <v>0</v>
      </c>
      <c r="BQ114" s="56">
        <f t="shared" si="70"/>
        <v>0</v>
      </c>
      <c r="BR114" s="26">
        <f t="shared" si="92"/>
        <v>0</v>
      </c>
      <c r="BS114" s="26">
        <f t="shared" si="92"/>
        <v>0</v>
      </c>
      <c r="BT114" s="57">
        <f t="shared" si="71"/>
        <v>0</v>
      </c>
      <c r="BV114" s="52" t="e">
        <f>OR(Production!C114,Construction!N114:'Construction'!AF114,Construction!BV114:CN114,Explore!S114:Z114,Military!AF114:AL114,Military!X114,Military!BE114:BL114,Rezone!L114:R114,Magic!G114:Q114)</f>
        <v>#VALUE!</v>
      </c>
      <c r="BW114" s="527">
        <f t="shared" si="72"/>
        <v>0</v>
      </c>
      <c r="BX114" s="527"/>
      <c r="BY114" s="557">
        <f t="shared" si="82"/>
        <v>43696.624999999731</v>
      </c>
      <c r="BZ114" s="565">
        <f t="shared" si="74"/>
        <v>43696.458333333067</v>
      </c>
      <c r="CA114" s="529"/>
      <c r="CB114" s="807"/>
      <c r="CC114" s="812"/>
    </row>
    <row r="115" spans="1:81" s="16" customFormat="1">
      <c r="A115" s="513">
        <f>Construction!E115</f>
        <v>1000</v>
      </c>
      <c r="C115" s="56">
        <f ca="1">Production!H115</f>
        <v>4140423</v>
      </c>
      <c r="D115" s="26">
        <f ca="1">Production!J115</f>
        <v>266996</v>
      </c>
      <c r="E115" s="26">
        <f ca="1">Production!L115</f>
        <v>231000</v>
      </c>
      <c r="F115" s="57">
        <f ca="1">Production!M115</f>
        <v>20000</v>
      </c>
      <c r="G115" s="26"/>
      <c r="H115" s="56">
        <f ca="1">Military!Z115</f>
        <v>3695</v>
      </c>
      <c r="I115" s="540">
        <f ca="1">Population!I115</f>
        <v>1</v>
      </c>
      <c r="J115" s="165">
        <f ca="1">Population!F115/Population!U115</f>
        <v>1</v>
      </c>
      <c r="K115" s="1005">
        <f>Rezone!J115</f>
        <v>113</v>
      </c>
      <c r="L115" s="584">
        <f t="shared" si="85"/>
        <v>43696.666666666395</v>
      </c>
      <c r="M115" s="316">
        <f t="shared" si="83"/>
        <v>0</v>
      </c>
      <c r="N115" s="641">
        <f t="shared" si="58"/>
        <v>1000</v>
      </c>
      <c r="O115" s="423" t="s">
        <v>4</v>
      </c>
      <c r="P115" s="370"/>
      <c r="Q115" s="424" t="s">
        <v>223</v>
      </c>
      <c r="R115" s="423" t="s">
        <v>7</v>
      </c>
      <c r="S115" s="370"/>
      <c r="T115" s="425" t="s">
        <v>223</v>
      </c>
      <c r="U115" s="424" t="s">
        <v>3</v>
      </c>
      <c r="V115" s="370"/>
      <c r="W115" s="425" t="s">
        <v>223</v>
      </c>
      <c r="Y115" s="524">
        <f ca="1">science_cap*(1-EXP(-AF115/(science_param*($A116-Explore!$S116*20)+15000)))*(1+(mason_bonus*Construction!BB115/Construction!BS115))+IF(Overview!$B$14="Beastfolk",Construction!DA115/Construction!E115,0)*(1 + Production!O115/100*prestige_pop_multiplier)</f>
        <v>0</v>
      </c>
      <c r="Z115" s="284">
        <f ca="1">keep_cap*(1-EXP(-AG115/(keep_param*($A116-Explore!$S116*20)+15000)))*(1+(mason_bonus*Construction!BB115/Construction!BS115))+IF(Overview!$B$14="Beastfolk",Construction!DF115/Construction!E115,0)*(1 + Production!O115/100*prestige_pop_multiplier)</f>
        <v>0</v>
      </c>
      <c r="AA115" s="284">
        <f ca="1">harbor_towers_cap*(1-EXP(-AH115/(harbor_towers_param*($A116-Explore!$S116*20)+15000)))*(1+(mason_bonus*Construction!BB115/Construction!BS115))+IF(Overview!$B$14="Beastfolk",2*Construction!DC115/Construction!E115,0)*(1 + Production!O115/100*prestige_pop_multiplier)</f>
        <v>0</v>
      </c>
      <c r="AB115" s="284">
        <f ca="1">walls_forges_cap*(1-EXP(-AI115/(walls_forges_param*($A116-Explore!$S116*20)+15000)))*(1+(mason_bonus*Construction!BB115/Construction!BS115))+IF(Overview!$B$14="Beastfolk",0.2*Construction!CY115/Construction!E115,0)</f>
        <v>0</v>
      </c>
      <c r="AC115" s="284">
        <f ca="1">walls_forges_cap*(1-EXP(-AJ115/(walls_forges_param*($A116-Explore!$S116*20)+15000)))*(1+(mason_bonus*Construction!BB115/Construction!BS115))+IF(Overview!$B$14="Beastfolk",5*Construction!DB115/Construction!E115,0)</f>
        <v>0</v>
      </c>
      <c r="AD115" s="97">
        <f ca="1">harbor_towers_cap*(1-EXP(-AK115/(harbor_towers_param*($A116-Explore!$S116*20)+15000)))*(1+(mason_bonus*Construction!BB115/Construction!BS115))+IF(Overview!$B$14="Beastfolk",Construction!DE115/Construction!E115)*(1 + Production!O115/100*prestige_pop_multiplier)</f>
        <v>0</v>
      </c>
      <c r="AF115" s="56">
        <f ca="1">(1+Overview!$O$28+IF(Magic!BA115&gt;0,0.1,0))*SUM(AR115:AU115)</f>
        <v>0</v>
      </c>
      <c r="AG115" s="26">
        <f ca="1">(1+Overview!$O$28+IF(Magic!BA115&gt;0,0.1,0))*SUM(AW115:AZ115)</f>
        <v>0</v>
      </c>
      <c r="AH115" s="164">
        <f ca="1">(1+Overview!$O$28+IF(Magic!BA115&gt;0,0.1,0))*SUM(BB115:BE115)</f>
        <v>0</v>
      </c>
      <c r="AI115" s="164">
        <f ca="1">(1+Overview!$O$28+IF(Magic!BA115&gt;0,0.1,0))*SUM(BG115:BJ115)</f>
        <v>0</v>
      </c>
      <c r="AJ115" s="164">
        <f ca="1">(1+Overview!$O$28+IF(Magic!BA115&gt;0,0.1,0))*SUM(BL115:BO115)</f>
        <v>0</v>
      </c>
      <c r="AK115" s="166">
        <f ca="1">(1+Overview!$O$28+IF(Magic!BA115&gt;0,0.1,0))*SUM(BQ115:BT115)</f>
        <v>0</v>
      </c>
      <c r="AM115" s="52">
        <f t="shared" si="87"/>
        <v>0</v>
      </c>
      <c r="AN115" s="16">
        <f t="shared" si="87"/>
        <v>0</v>
      </c>
      <c r="AO115" s="16">
        <f t="shared" si="87"/>
        <v>0</v>
      </c>
      <c r="AP115" s="53">
        <f t="shared" si="87"/>
        <v>0</v>
      </c>
      <c r="AR115" s="56">
        <f t="shared" si="59"/>
        <v>0</v>
      </c>
      <c r="AS115" s="26">
        <f t="shared" si="88"/>
        <v>0</v>
      </c>
      <c r="AT115" s="26">
        <f t="shared" si="88"/>
        <v>0</v>
      </c>
      <c r="AU115" s="57">
        <f t="shared" si="60"/>
        <v>0</v>
      </c>
      <c r="AW115" s="56">
        <f t="shared" si="61"/>
        <v>0</v>
      </c>
      <c r="AX115" s="26">
        <f t="shared" si="89"/>
        <v>0</v>
      </c>
      <c r="AY115" s="26">
        <f t="shared" si="89"/>
        <v>0</v>
      </c>
      <c r="AZ115" s="57">
        <f t="shared" si="62"/>
        <v>0</v>
      </c>
      <c r="BB115" s="56">
        <f t="shared" si="63"/>
        <v>0</v>
      </c>
      <c r="BC115" s="26">
        <f t="shared" si="64"/>
        <v>0</v>
      </c>
      <c r="BD115" s="26">
        <f t="shared" si="86"/>
        <v>0</v>
      </c>
      <c r="BE115" s="57">
        <f t="shared" si="65"/>
        <v>0</v>
      </c>
      <c r="BG115" s="56">
        <f t="shared" si="66"/>
        <v>0</v>
      </c>
      <c r="BH115" s="26">
        <f t="shared" si="90"/>
        <v>0</v>
      </c>
      <c r="BI115" s="26">
        <f t="shared" si="90"/>
        <v>0</v>
      </c>
      <c r="BJ115" s="57">
        <f t="shared" si="67"/>
        <v>0</v>
      </c>
      <c r="BL115" s="56">
        <f t="shared" si="68"/>
        <v>0</v>
      </c>
      <c r="BM115" s="26">
        <f t="shared" si="91"/>
        <v>0</v>
      </c>
      <c r="BN115" s="26">
        <f t="shared" si="91"/>
        <v>0</v>
      </c>
      <c r="BO115" s="57">
        <f t="shared" si="69"/>
        <v>0</v>
      </c>
      <c r="BQ115" s="56">
        <f t="shared" si="70"/>
        <v>0</v>
      </c>
      <c r="BR115" s="26">
        <f t="shared" si="92"/>
        <v>0</v>
      </c>
      <c r="BS115" s="26">
        <f t="shared" si="92"/>
        <v>0</v>
      </c>
      <c r="BT115" s="57">
        <f t="shared" si="71"/>
        <v>0</v>
      </c>
      <c r="BV115" s="52" t="e">
        <f>OR(Production!C115,Construction!N115:'Construction'!AF115,Construction!BV115:CN115,Explore!S115:Z115,Military!AF115:AL115,Military!X115,Military!BE115:BL115,Rezone!L115:R115,Magic!G115:Q115)</f>
        <v>#VALUE!</v>
      </c>
      <c r="BW115" s="527">
        <f t="shared" si="72"/>
        <v>0</v>
      </c>
      <c r="BX115" s="527"/>
      <c r="BY115" s="557">
        <f t="shared" si="82"/>
        <v>43696.666666666395</v>
      </c>
      <c r="BZ115" s="565">
        <f t="shared" si="74"/>
        <v>43696.499999999731</v>
      </c>
      <c r="CA115" s="529"/>
      <c r="CB115" s="807"/>
      <c r="CC115" s="812"/>
    </row>
    <row r="116" spans="1:81" s="16" customFormat="1">
      <c r="A116" s="513">
        <f>Construction!E116</f>
        <v>1000</v>
      </c>
      <c r="C116" s="56">
        <f ca="1">Production!H116</f>
        <v>4151074</v>
      </c>
      <c r="D116" s="26">
        <f ca="1">Production!J116</f>
        <v>266826</v>
      </c>
      <c r="E116" s="26">
        <f ca="1">Production!L116</f>
        <v>231000</v>
      </c>
      <c r="F116" s="57">
        <f ca="1">Production!M116</f>
        <v>20000</v>
      </c>
      <c r="G116" s="26"/>
      <c r="H116" s="56">
        <f ca="1">Military!Z116</f>
        <v>3695</v>
      </c>
      <c r="I116" s="540">
        <f ca="1">Population!I116</f>
        <v>1</v>
      </c>
      <c r="J116" s="165">
        <f ca="1">Population!F116/Population!U116</f>
        <v>1</v>
      </c>
      <c r="K116" s="1005">
        <f>Rezone!J116</f>
        <v>114</v>
      </c>
      <c r="L116" s="584">
        <f t="shared" si="85"/>
        <v>43696.708333333059</v>
      </c>
      <c r="M116" s="316">
        <f t="shared" si="83"/>
        <v>0</v>
      </c>
      <c r="N116" s="641">
        <f t="shared" si="58"/>
        <v>1000</v>
      </c>
      <c r="O116" s="423" t="s">
        <v>4</v>
      </c>
      <c r="P116" s="370"/>
      <c r="Q116" s="424" t="s">
        <v>223</v>
      </c>
      <c r="R116" s="423" t="s">
        <v>7</v>
      </c>
      <c r="S116" s="370"/>
      <c r="T116" s="425" t="s">
        <v>223</v>
      </c>
      <c r="U116" s="424" t="s">
        <v>3</v>
      </c>
      <c r="V116" s="370"/>
      <c r="W116" s="425" t="s">
        <v>223</v>
      </c>
      <c r="Y116" s="524">
        <f ca="1">science_cap*(1-EXP(-AF116/(science_param*($A117-Explore!$S117*20)+15000)))*(1+(mason_bonus*Construction!BB116/Construction!BS116))+IF(Overview!$B$14="Beastfolk",Construction!DA116/Construction!E116,0)*(1 + Production!O116/100*prestige_pop_multiplier)</f>
        <v>0</v>
      </c>
      <c r="Z116" s="284">
        <f ca="1">keep_cap*(1-EXP(-AG116/(keep_param*($A117-Explore!$S117*20)+15000)))*(1+(mason_bonus*Construction!BB116/Construction!BS116))+IF(Overview!$B$14="Beastfolk",Construction!DF116/Construction!E116,0)*(1 + Production!O116/100*prestige_pop_multiplier)</f>
        <v>0</v>
      </c>
      <c r="AA116" s="284">
        <f ca="1">harbor_towers_cap*(1-EXP(-AH116/(harbor_towers_param*($A117-Explore!$S117*20)+15000)))*(1+(mason_bonus*Construction!BB116/Construction!BS116))+IF(Overview!$B$14="Beastfolk",2*Construction!DC116/Construction!E116,0)*(1 + Production!O116/100*prestige_pop_multiplier)</f>
        <v>0</v>
      </c>
      <c r="AB116" s="284">
        <f ca="1">walls_forges_cap*(1-EXP(-AI116/(walls_forges_param*($A117-Explore!$S117*20)+15000)))*(1+(mason_bonus*Construction!BB116/Construction!BS116))+IF(Overview!$B$14="Beastfolk",0.2*Construction!CY116/Construction!E116,0)</f>
        <v>0</v>
      </c>
      <c r="AC116" s="284">
        <f ca="1">walls_forges_cap*(1-EXP(-AJ116/(walls_forges_param*($A117-Explore!$S117*20)+15000)))*(1+(mason_bonus*Construction!BB116/Construction!BS116))+IF(Overview!$B$14="Beastfolk",5*Construction!DB116/Construction!E116,0)</f>
        <v>0</v>
      </c>
      <c r="AD116" s="97">
        <f ca="1">harbor_towers_cap*(1-EXP(-AK116/(harbor_towers_param*($A117-Explore!$S117*20)+15000)))*(1+(mason_bonus*Construction!BB116/Construction!BS116))+IF(Overview!$B$14="Beastfolk",Construction!DE116/Construction!E116)*(1 + Production!O116/100*prestige_pop_multiplier)</f>
        <v>0</v>
      </c>
      <c r="AF116" s="56">
        <f ca="1">(1+Overview!$O$28+IF(Magic!BA116&gt;0,0.1,0))*SUM(AR116:AU116)</f>
        <v>0</v>
      </c>
      <c r="AG116" s="26">
        <f ca="1">(1+Overview!$O$28+IF(Magic!BA116&gt;0,0.1,0))*SUM(AW116:AZ116)</f>
        <v>0</v>
      </c>
      <c r="AH116" s="164">
        <f ca="1">(1+Overview!$O$28+IF(Magic!BA116&gt;0,0.1,0))*SUM(BB116:BE116)</f>
        <v>0</v>
      </c>
      <c r="AI116" s="164">
        <f ca="1">(1+Overview!$O$28+IF(Magic!BA116&gt;0,0.1,0))*SUM(BG116:BJ116)</f>
        <v>0</v>
      </c>
      <c r="AJ116" s="164">
        <f ca="1">(1+Overview!$O$28+IF(Magic!BA116&gt;0,0.1,0))*SUM(BL116:BO116)</f>
        <v>0</v>
      </c>
      <c r="AK116" s="166">
        <f ca="1">(1+Overview!$O$28+IF(Magic!BA116&gt;0,0.1,0))*SUM(BQ116:BT116)</f>
        <v>0</v>
      </c>
      <c r="AM116" s="52">
        <f t="shared" si="87"/>
        <v>0</v>
      </c>
      <c r="AN116" s="16">
        <f t="shared" si="87"/>
        <v>0</v>
      </c>
      <c r="AO116" s="16">
        <f t="shared" si="87"/>
        <v>0</v>
      </c>
      <c r="AP116" s="53">
        <f t="shared" si="87"/>
        <v>0</v>
      </c>
      <c r="AR116" s="56">
        <f t="shared" si="59"/>
        <v>0</v>
      </c>
      <c r="AS116" s="26">
        <f t="shared" si="88"/>
        <v>0</v>
      </c>
      <c r="AT116" s="26">
        <f t="shared" si="88"/>
        <v>0</v>
      </c>
      <c r="AU116" s="57">
        <f t="shared" si="60"/>
        <v>0</v>
      </c>
      <c r="AW116" s="56">
        <f t="shared" si="61"/>
        <v>0</v>
      </c>
      <c r="AX116" s="26">
        <f t="shared" si="89"/>
        <v>0</v>
      </c>
      <c r="AY116" s="26">
        <f t="shared" si="89"/>
        <v>0</v>
      </c>
      <c r="AZ116" s="57">
        <f t="shared" si="62"/>
        <v>0</v>
      </c>
      <c r="BB116" s="56">
        <f t="shared" si="63"/>
        <v>0</v>
      </c>
      <c r="BC116" s="26">
        <f t="shared" si="64"/>
        <v>0</v>
      </c>
      <c r="BD116" s="26">
        <f t="shared" si="86"/>
        <v>0</v>
      </c>
      <c r="BE116" s="57">
        <f t="shared" si="65"/>
        <v>0</v>
      </c>
      <c r="BG116" s="56">
        <f t="shared" si="66"/>
        <v>0</v>
      </c>
      <c r="BH116" s="26">
        <f t="shared" si="90"/>
        <v>0</v>
      </c>
      <c r="BI116" s="26">
        <f t="shared" si="90"/>
        <v>0</v>
      </c>
      <c r="BJ116" s="57">
        <f t="shared" si="67"/>
        <v>0</v>
      </c>
      <c r="BL116" s="56">
        <f t="shared" si="68"/>
        <v>0</v>
      </c>
      <c r="BM116" s="26">
        <f t="shared" si="91"/>
        <v>0</v>
      </c>
      <c r="BN116" s="26">
        <f t="shared" si="91"/>
        <v>0</v>
      </c>
      <c r="BO116" s="57">
        <f t="shared" si="69"/>
        <v>0</v>
      </c>
      <c r="BQ116" s="56">
        <f t="shared" si="70"/>
        <v>0</v>
      </c>
      <c r="BR116" s="26">
        <f t="shared" si="92"/>
        <v>0</v>
      </c>
      <c r="BS116" s="26">
        <f t="shared" si="92"/>
        <v>0</v>
      </c>
      <c r="BT116" s="57">
        <f t="shared" si="71"/>
        <v>0</v>
      </c>
      <c r="BV116" s="52" t="e">
        <f>OR(Production!C116,Construction!N116:'Construction'!AF116,Construction!BV116:CN116,Explore!S116:Z116,Military!AF116:AL116,Military!X116,Military!BE116:BL116,Rezone!L116:R116,Magic!G116:Q116)</f>
        <v>#VALUE!</v>
      </c>
      <c r="BW116" s="527">
        <f t="shared" si="72"/>
        <v>0</v>
      </c>
      <c r="BX116" s="527"/>
      <c r="BY116" s="557">
        <f t="shared" si="82"/>
        <v>43696.708333333059</v>
      </c>
      <c r="BZ116" s="565">
        <f t="shared" si="74"/>
        <v>43696.541666666395</v>
      </c>
      <c r="CA116" s="529"/>
      <c r="CB116" s="807"/>
      <c r="CC116" s="812"/>
    </row>
    <row r="117" spans="1:81" s="16" customFormat="1">
      <c r="A117" s="513">
        <f>Construction!E117</f>
        <v>1000</v>
      </c>
      <c r="C117" s="56">
        <f ca="1">Production!H117</f>
        <v>4161725</v>
      </c>
      <c r="D117" s="26">
        <f ca="1">Production!J117</f>
        <v>266658</v>
      </c>
      <c r="E117" s="26">
        <f ca="1">Production!L117</f>
        <v>231000</v>
      </c>
      <c r="F117" s="57">
        <f ca="1">Production!M117</f>
        <v>20000</v>
      </c>
      <c r="G117" s="26"/>
      <c r="H117" s="56">
        <f ca="1">Military!Z117</f>
        <v>3695</v>
      </c>
      <c r="I117" s="540">
        <f ca="1">Population!I117</f>
        <v>1</v>
      </c>
      <c r="J117" s="165">
        <f ca="1">Population!F117/Population!U117</f>
        <v>1</v>
      </c>
      <c r="K117" s="1005">
        <f>Rezone!J117</f>
        <v>115</v>
      </c>
      <c r="L117" s="584">
        <f t="shared" si="85"/>
        <v>43696.749999999724</v>
      </c>
      <c r="M117" s="316">
        <f t="shared" si="83"/>
        <v>0</v>
      </c>
      <c r="N117" s="641">
        <f t="shared" si="58"/>
        <v>1000</v>
      </c>
      <c r="O117" s="423" t="s">
        <v>4</v>
      </c>
      <c r="P117" s="370"/>
      <c r="Q117" s="424" t="s">
        <v>223</v>
      </c>
      <c r="R117" s="423" t="s">
        <v>7</v>
      </c>
      <c r="S117" s="370"/>
      <c r="T117" s="425" t="s">
        <v>223</v>
      </c>
      <c r="U117" s="424" t="s">
        <v>3</v>
      </c>
      <c r="V117" s="370"/>
      <c r="W117" s="425" t="s">
        <v>223</v>
      </c>
      <c r="Y117" s="524">
        <f ca="1">science_cap*(1-EXP(-AF117/(science_param*($A118-Explore!$S118*20)+15000)))*(1+(mason_bonus*Construction!BB117/Construction!BS117))+IF(Overview!$B$14="Beastfolk",Construction!DA117/Construction!E117,0)*(1 + Production!O117/100*prestige_pop_multiplier)</f>
        <v>0</v>
      </c>
      <c r="Z117" s="284">
        <f ca="1">keep_cap*(1-EXP(-AG117/(keep_param*($A118-Explore!$S118*20)+15000)))*(1+(mason_bonus*Construction!BB117/Construction!BS117))+IF(Overview!$B$14="Beastfolk",Construction!DF117/Construction!E117,0)*(1 + Production!O117/100*prestige_pop_multiplier)</f>
        <v>0</v>
      </c>
      <c r="AA117" s="284">
        <f ca="1">harbor_towers_cap*(1-EXP(-AH117/(harbor_towers_param*($A118-Explore!$S118*20)+15000)))*(1+(mason_bonus*Construction!BB117/Construction!BS117))+IF(Overview!$B$14="Beastfolk",2*Construction!DC117/Construction!E117,0)*(1 + Production!O117/100*prestige_pop_multiplier)</f>
        <v>0</v>
      </c>
      <c r="AB117" s="284">
        <f ca="1">walls_forges_cap*(1-EXP(-AI117/(walls_forges_param*($A118-Explore!$S118*20)+15000)))*(1+(mason_bonus*Construction!BB117/Construction!BS117))+IF(Overview!$B$14="Beastfolk",0.2*Construction!CY117/Construction!E117,0)</f>
        <v>0</v>
      </c>
      <c r="AC117" s="284">
        <f ca="1">walls_forges_cap*(1-EXP(-AJ117/(walls_forges_param*($A118-Explore!$S118*20)+15000)))*(1+(mason_bonus*Construction!BB117/Construction!BS117))+IF(Overview!$B$14="Beastfolk",5*Construction!DB117/Construction!E117,0)</f>
        <v>0</v>
      </c>
      <c r="AD117" s="97">
        <f ca="1">harbor_towers_cap*(1-EXP(-AK117/(harbor_towers_param*($A118-Explore!$S118*20)+15000)))*(1+(mason_bonus*Construction!BB117/Construction!BS117))+IF(Overview!$B$14="Beastfolk",Construction!DE117/Construction!E117)*(1 + Production!O117/100*prestige_pop_multiplier)</f>
        <v>0</v>
      </c>
      <c r="AF117" s="56">
        <f ca="1">(1+Overview!$O$28+IF(Magic!BA117&gt;0,0.1,0))*SUM(AR117:AU117)</f>
        <v>0</v>
      </c>
      <c r="AG117" s="26">
        <f ca="1">(1+Overview!$O$28+IF(Magic!BA117&gt;0,0.1,0))*SUM(AW117:AZ117)</f>
        <v>0</v>
      </c>
      <c r="AH117" s="164">
        <f ca="1">(1+Overview!$O$28+IF(Magic!BA117&gt;0,0.1,0))*SUM(BB117:BE117)</f>
        <v>0</v>
      </c>
      <c r="AI117" s="164">
        <f ca="1">(1+Overview!$O$28+IF(Magic!BA117&gt;0,0.1,0))*SUM(BG117:BJ117)</f>
        <v>0</v>
      </c>
      <c r="AJ117" s="164">
        <f ca="1">(1+Overview!$O$28+IF(Magic!BA117&gt;0,0.1,0))*SUM(BL117:BO117)</f>
        <v>0</v>
      </c>
      <c r="AK117" s="166">
        <f ca="1">(1+Overview!$O$28+IF(Magic!BA117&gt;0,0.1,0))*SUM(BQ117:BT117)</f>
        <v>0</v>
      </c>
      <c r="AM117" s="52">
        <f t="shared" si="87"/>
        <v>0</v>
      </c>
      <c r="AN117" s="16">
        <f t="shared" si="87"/>
        <v>0</v>
      </c>
      <c r="AO117" s="16">
        <f t="shared" si="87"/>
        <v>0</v>
      </c>
      <c r="AP117" s="53">
        <f t="shared" si="87"/>
        <v>0</v>
      </c>
      <c r="AR117" s="56">
        <f t="shared" si="59"/>
        <v>0</v>
      </c>
      <c r="AS117" s="26">
        <f t="shared" si="88"/>
        <v>0</v>
      </c>
      <c r="AT117" s="26">
        <f t="shared" si="88"/>
        <v>0</v>
      </c>
      <c r="AU117" s="57">
        <f t="shared" si="60"/>
        <v>0</v>
      </c>
      <c r="AW117" s="56">
        <f t="shared" si="61"/>
        <v>0</v>
      </c>
      <c r="AX117" s="26">
        <f t="shared" si="89"/>
        <v>0</v>
      </c>
      <c r="AY117" s="26">
        <f t="shared" si="89"/>
        <v>0</v>
      </c>
      <c r="AZ117" s="57">
        <f t="shared" si="62"/>
        <v>0</v>
      </c>
      <c r="BB117" s="56">
        <f t="shared" si="63"/>
        <v>0</v>
      </c>
      <c r="BC117" s="26">
        <f t="shared" si="64"/>
        <v>0</v>
      </c>
      <c r="BD117" s="26">
        <f t="shared" si="86"/>
        <v>0</v>
      </c>
      <c r="BE117" s="57">
        <f t="shared" si="65"/>
        <v>0</v>
      </c>
      <c r="BG117" s="56">
        <f t="shared" si="66"/>
        <v>0</v>
      </c>
      <c r="BH117" s="26">
        <f t="shared" si="90"/>
        <v>0</v>
      </c>
      <c r="BI117" s="26">
        <f t="shared" si="90"/>
        <v>0</v>
      </c>
      <c r="BJ117" s="57">
        <f t="shared" si="67"/>
        <v>0</v>
      </c>
      <c r="BL117" s="56">
        <f t="shared" si="68"/>
        <v>0</v>
      </c>
      <c r="BM117" s="26">
        <f t="shared" si="91"/>
        <v>0</v>
      </c>
      <c r="BN117" s="26">
        <f t="shared" si="91"/>
        <v>0</v>
      </c>
      <c r="BO117" s="57">
        <f t="shared" si="69"/>
        <v>0</v>
      </c>
      <c r="BQ117" s="56">
        <f t="shared" si="70"/>
        <v>0</v>
      </c>
      <c r="BR117" s="26">
        <f t="shared" si="92"/>
        <v>0</v>
      </c>
      <c r="BS117" s="26">
        <f t="shared" si="92"/>
        <v>0</v>
      </c>
      <c r="BT117" s="57">
        <f t="shared" si="71"/>
        <v>0</v>
      </c>
      <c r="BV117" s="52" t="e">
        <f>OR(Production!C117,Construction!N117:'Construction'!AF117,Construction!BV117:CN117,Explore!S117:Z117,Military!AF117:AL117,Military!X117,Military!BE117:BL117,Rezone!L117:R117,Magic!G117:Q117)</f>
        <v>#VALUE!</v>
      </c>
      <c r="BW117" s="527">
        <f t="shared" si="72"/>
        <v>0</v>
      </c>
      <c r="BX117" s="527"/>
      <c r="BY117" s="557">
        <f t="shared" si="82"/>
        <v>43696.749999999724</v>
      </c>
      <c r="BZ117" s="565">
        <f t="shared" si="74"/>
        <v>43696.583333333059</v>
      </c>
      <c r="CA117" s="529"/>
      <c r="CB117" s="807"/>
      <c r="CC117" s="812"/>
    </row>
    <row r="118" spans="1:81" s="16" customFormat="1">
      <c r="A118" s="513">
        <f>Construction!E118</f>
        <v>1000</v>
      </c>
      <c r="C118" s="56">
        <f ca="1">Production!H118</f>
        <v>4172376</v>
      </c>
      <c r="D118" s="26">
        <f ca="1">Production!J118</f>
        <v>266491</v>
      </c>
      <c r="E118" s="26">
        <f ca="1">Production!L118</f>
        <v>231000</v>
      </c>
      <c r="F118" s="57">
        <f ca="1">Production!M118</f>
        <v>20000</v>
      </c>
      <c r="G118" s="26"/>
      <c r="H118" s="56">
        <f ca="1">Military!Z118</f>
        <v>3695</v>
      </c>
      <c r="I118" s="540">
        <f ca="1">Population!I118</f>
        <v>1</v>
      </c>
      <c r="J118" s="165">
        <f ca="1">Population!F118/Population!U118</f>
        <v>1</v>
      </c>
      <c r="K118" s="1005">
        <f>Rezone!J118</f>
        <v>116</v>
      </c>
      <c r="L118" s="584">
        <f t="shared" si="85"/>
        <v>43696.791666666388</v>
      </c>
      <c r="M118" s="316">
        <f t="shared" si="83"/>
        <v>0</v>
      </c>
      <c r="N118" s="641">
        <f t="shared" si="58"/>
        <v>1000</v>
      </c>
      <c r="O118" s="423" t="s">
        <v>4</v>
      </c>
      <c r="P118" s="370"/>
      <c r="Q118" s="424" t="s">
        <v>223</v>
      </c>
      <c r="R118" s="423" t="s">
        <v>7</v>
      </c>
      <c r="S118" s="370"/>
      <c r="T118" s="425" t="s">
        <v>223</v>
      </c>
      <c r="U118" s="424" t="s">
        <v>3</v>
      </c>
      <c r="V118" s="370"/>
      <c r="W118" s="425" t="s">
        <v>223</v>
      </c>
      <c r="Y118" s="524">
        <f ca="1">science_cap*(1-EXP(-AF118/(science_param*($A119-Explore!$S119*20)+15000)))*(1+(mason_bonus*Construction!BB118/Construction!BS118))+IF(Overview!$B$14="Beastfolk",Construction!DA118/Construction!E118,0)*(1 + Production!O118/100*prestige_pop_multiplier)</f>
        <v>0</v>
      </c>
      <c r="Z118" s="284">
        <f ca="1">keep_cap*(1-EXP(-AG118/(keep_param*($A119-Explore!$S119*20)+15000)))*(1+(mason_bonus*Construction!BB118/Construction!BS118))+IF(Overview!$B$14="Beastfolk",Construction!DF118/Construction!E118,0)*(1 + Production!O118/100*prestige_pop_multiplier)</f>
        <v>0</v>
      </c>
      <c r="AA118" s="284">
        <f ca="1">harbor_towers_cap*(1-EXP(-AH118/(harbor_towers_param*($A119-Explore!$S119*20)+15000)))*(1+(mason_bonus*Construction!BB118/Construction!BS118))+IF(Overview!$B$14="Beastfolk",2*Construction!DC118/Construction!E118,0)*(1 + Production!O118/100*prestige_pop_multiplier)</f>
        <v>0</v>
      </c>
      <c r="AB118" s="284">
        <f ca="1">walls_forges_cap*(1-EXP(-AI118/(walls_forges_param*($A119-Explore!$S119*20)+15000)))*(1+(mason_bonus*Construction!BB118/Construction!BS118))+IF(Overview!$B$14="Beastfolk",0.2*Construction!CY118/Construction!E118,0)</f>
        <v>0</v>
      </c>
      <c r="AC118" s="284">
        <f ca="1">walls_forges_cap*(1-EXP(-AJ118/(walls_forges_param*($A119-Explore!$S119*20)+15000)))*(1+(mason_bonus*Construction!BB118/Construction!BS118))+IF(Overview!$B$14="Beastfolk",5*Construction!DB118/Construction!E118,0)</f>
        <v>0</v>
      </c>
      <c r="AD118" s="97">
        <f ca="1">harbor_towers_cap*(1-EXP(-AK118/(harbor_towers_param*($A119-Explore!$S119*20)+15000)))*(1+(mason_bonus*Construction!BB118/Construction!BS118))+IF(Overview!$B$14="Beastfolk",Construction!DE118/Construction!E118)*(1 + Production!O118/100*prestige_pop_multiplier)</f>
        <v>0</v>
      </c>
      <c r="AF118" s="56">
        <f ca="1">(1+Overview!$O$28+IF(Magic!BA118&gt;0,0.1,0))*SUM(AR118:AU118)</f>
        <v>0</v>
      </c>
      <c r="AG118" s="26">
        <f ca="1">(1+Overview!$O$28+IF(Magic!BA118&gt;0,0.1,0))*SUM(AW118:AZ118)</f>
        <v>0</v>
      </c>
      <c r="AH118" s="164">
        <f ca="1">(1+Overview!$O$28+IF(Magic!BA118&gt;0,0.1,0))*SUM(BB118:BE118)</f>
        <v>0</v>
      </c>
      <c r="AI118" s="164">
        <f ca="1">(1+Overview!$O$28+IF(Magic!BA118&gt;0,0.1,0))*SUM(BG118:BJ118)</f>
        <v>0</v>
      </c>
      <c r="AJ118" s="164">
        <f ca="1">(1+Overview!$O$28+IF(Magic!BA118&gt;0,0.1,0))*SUM(BL118:BO118)</f>
        <v>0</v>
      </c>
      <c r="AK118" s="166">
        <f ca="1">(1+Overview!$O$28+IF(Magic!BA118&gt;0,0.1,0))*SUM(BQ118:BT118)</f>
        <v>0</v>
      </c>
      <c r="AM118" s="52">
        <f t="shared" si="87"/>
        <v>0</v>
      </c>
      <c r="AN118" s="16">
        <f t="shared" si="87"/>
        <v>0</v>
      </c>
      <c r="AO118" s="16">
        <f t="shared" si="87"/>
        <v>0</v>
      </c>
      <c r="AP118" s="53">
        <f t="shared" si="87"/>
        <v>0</v>
      </c>
      <c r="AR118" s="56">
        <f t="shared" si="59"/>
        <v>0</v>
      </c>
      <c r="AS118" s="26">
        <f t="shared" si="88"/>
        <v>0</v>
      </c>
      <c r="AT118" s="26">
        <f t="shared" si="88"/>
        <v>0</v>
      </c>
      <c r="AU118" s="57">
        <f t="shared" si="60"/>
        <v>0</v>
      </c>
      <c r="AW118" s="56">
        <f t="shared" si="61"/>
        <v>0</v>
      </c>
      <c r="AX118" s="26">
        <f t="shared" si="89"/>
        <v>0</v>
      </c>
      <c r="AY118" s="26">
        <f t="shared" si="89"/>
        <v>0</v>
      </c>
      <c r="AZ118" s="57">
        <f t="shared" si="62"/>
        <v>0</v>
      </c>
      <c r="BB118" s="56">
        <f t="shared" si="63"/>
        <v>0</v>
      </c>
      <c r="BC118" s="26">
        <f t="shared" si="64"/>
        <v>0</v>
      </c>
      <c r="BD118" s="26">
        <f t="shared" si="86"/>
        <v>0</v>
      </c>
      <c r="BE118" s="57">
        <f t="shared" si="65"/>
        <v>0</v>
      </c>
      <c r="BG118" s="56">
        <f t="shared" si="66"/>
        <v>0</v>
      </c>
      <c r="BH118" s="26">
        <f t="shared" si="90"/>
        <v>0</v>
      </c>
      <c r="BI118" s="26">
        <f t="shared" si="90"/>
        <v>0</v>
      </c>
      <c r="BJ118" s="57">
        <f t="shared" si="67"/>
        <v>0</v>
      </c>
      <c r="BL118" s="56">
        <f t="shared" si="68"/>
        <v>0</v>
      </c>
      <c r="BM118" s="26">
        <f t="shared" si="91"/>
        <v>0</v>
      </c>
      <c r="BN118" s="26">
        <f t="shared" si="91"/>
        <v>0</v>
      </c>
      <c r="BO118" s="57">
        <f t="shared" si="69"/>
        <v>0</v>
      </c>
      <c r="BQ118" s="56">
        <f t="shared" si="70"/>
        <v>0</v>
      </c>
      <c r="BR118" s="26">
        <f t="shared" si="92"/>
        <v>0</v>
      </c>
      <c r="BS118" s="26">
        <f t="shared" si="92"/>
        <v>0</v>
      </c>
      <c r="BT118" s="57">
        <f t="shared" si="71"/>
        <v>0</v>
      </c>
      <c r="BV118" s="52" t="e">
        <f>OR(Production!C118,Construction!N118:'Construction'!AF118,Construction!BV118:CN118,Explore!S118:Z118,Military!AF118:AL118,Military!X118,Military!BE118:BL118,Rezone!L118:R118,Magic!G118:Q118)</f>
        <v>#VALUE!</v>
      </c>
      <c r="BW118" s="527">
        <f t="shared" si="72"/>
        <v>0</v>
      </c>
      <c r="BX118" s="527"/>
      <c r="BY118" s="557">
        <f t="shared" si="82"/>
        <v>43696.791666666388</v>
      </c>
      <c r="BZ118" s="565">
        <f t="shared" si="74"/>
        <v>43696.624999999724</v>
      </c>
      <c r="CA118" s="529"/>
      <c r="CB118" s="807"/>
      <c r="CC118" s="812"/>
    </row>
    <row r="119" spans="1:81" s="16" customFormat="1">
      <c r="A119" s="513">
        <f>Construction!E119</f>
        <v>1000</v>
      </c>
      <c r="C119" s="56">
        <f ca="1">Production!H119</f>
        <v>4183027</v>
      </c>
      <c r="D119" s="26">
        <f ca="1">Production!J119</f>
        <v>266326</v>
      </c>
      <c r="E119" s="26">
        <f ca="1">Production!L119</f>
        <v>231000</v>
      </c>
      <c r="F119" s="57">
        <f ca="1">Production!M119</f>
        <v>20000</v>
      </c>
      <c r="G119" s="26"/>
      <c r="H119" s="56">
        <f ca="1">Military!Z119</f>
        <v>3695</v>
      </c>
      <c r="I119" s="540">
        <f ca="1">Population!I119</f>
        <v>1</v>
      </c>
      <c r="J119" s="165">
        <f ca="1">Population!F119/Population!U119</f>
        <v>1</v>
      </c>
      <c r="K119" s="1005">
        <f>Rezone!J119</f>
        <v>117</v>
      </c>
      <c r="L119" s="584">
        <f t="shared" si="85"/>
        <v>43696.833333333052</v>
      </c>
      <c r="M119" s="316">
        <f t="shared" si="83"/>
        <v>0</v>
      </c>
      <c r="N119" s="641">
        <f t="shared" si="58"/>
        <v>1000</v>
      </c>
      <c r="O119" s="423" t="s">
        <v>4</v>
      </c>
      <c r="P119" s="370"/>
      <c r="Q119" s="424" t="s">
        <v>223</v>
      </c>
      <c r="R119" s="423" t="s">
        <v>7</v>
      </c>
      <c r="S119" s="370"/>
      <c r="T119" s="425" t="s">
        <v>223</v>
      </c>
      <c r="U119" s="424" t="s">
        <v>3</v>
      </c>
      <c r="V119" s="370"/>
      <c r="W119" s="425" t="s">
        <v>223</v>
      </c>
      <c r="Y119" s="524">
        <f ca="1">science_cap*(1-EXP(-AF119/(science_param*($A120-Explore!$S120*20)+15000)))*(1+(mason_bonus*Construction!BB119/Construction!BS119))+IF(Overview!$B$14="Beastfolk",Construction!DA119/Construction!E119,0)*(1 + Production!O119/100*prestige_pop_multiplier)</f>
        <v>0</v>
      </c>
      <c r="Z119" s="284">
        <f ca="1">keep_cap*(1-EXP(-AG119/(keep_param*($A120-Explore!$S120*20)+15000)))*(1+(mason_bonus*Construction!BB119/Construction!BS119))+IF(Overview!$B$14="Beastfolk",Construction!DF119/Construction!E119,0)*(1 + Production!O119/100*prestige_pop_multiplier)</f>
        <v>0</v>
      </c>
      <c r="AA119" s="284">
        <f ca="1">harbor_towers_cap*(1-EXP(-AH119/(harbor_towers_param*($A120-Explore!$S120*20)+15000)))*(1+(mason_bonus*Construction!BB119/Construction!BS119))+IF(Overview!$B$14="Beastfolk",2*Construction!DC119/Construction!E119,0)*(1 + Production!O119/100*prestige_pop_multiplier)</f>
        <v>0</v>
      </c>
      <c r="AB119" s="284">
        <f ca="1">walls_forges_cap*(1-EXP(-AI119/(walls_forges_param*($A120-Explore!$S120*20)+15000)))*(1+(mason_bonus*Construction!BB119/Construction!BS119))+IF(Overview!$B$14="Beastfolk",0.2*Construction!CY119/Construction!E119,0)</f>
        <v>0</v>
      </c>
      <c r="AC119" s="284">
        <f ca="1">walls_forges_cap*(1-EXP(-AJ119/(walls_forges_param*($A120-Explore!$S120*20)+15000)))*(1+(mason_bonus*Construction!BB119/Construction!BS119))+IF(Overview!$B$14="Beastfolk",5*Construction!DB119/Construction!E119,0)</f>
        <v>0</v>
      </c>
      <c r="AD119" s="97">
        <f ca="1">harbor_towers_cap*(1-EXP(-AK119/(harbor_towers_param*($A120-Explore!$S120*20)+15000)))*(1+(mason_bonus*Construction!BB119/Construction!BS119))+IF(Overview!$B$14="Beastfolk",Construction!DE119/Construction!E119)*(1 + Production!O119/100*prestige_pop_multiplier)</f>
        <v>0</v>
      </c>
      <c r="AF119" s="56">
        <f ca="1">(1+Overview!$O$28+IF(Magic!BA119&gt;0,0.1,0))*SUM(AR119:AU119)</f>
        <v>0</v>
      </c>
      <c r="AG119" s="26">
        <f ca="1">(1+Overview!$O$28+IF(Magic!BA119&gt;0,0.1,0))*SUM(AW119:AZ119)</f>
        <v>0</v>
      </c>
      <c r="AH119" s="164">
        <f ca="1">(1+Overview!$O$28+IF(Magic!BA119&gt;0,0.1,0))*SUM(BB119:BE119)</f>
        <v>0</v>
      </c>
      <c r="AI119" s="164">
        <f ca="1">(1+Overview!$O$28+IF(Magic!BA119&gt;0,0.1,0))*SUM(BG119:BJ119)</f>
        <v>0</v>
      </c>
      <c r="AJ119" s="164">
        <f ca="1">(1+Overview!$O$28+IF(Magic!BA119&gt;0,0.1,0))*SUM(BL119:BO119)</f>
        <v>0</v>
      </c>
      <c r="AK119" s="166">
        <f ca="1">(1+Overview!$O$28+IF(Magic!BA119&gt;0,0.1,0))*SUM(BQ119:BT119)</f>
        <v>0</v>
      </c>
      <c r="AM119" s="52">
        <f t="shared" si="87"/>
        <v>0</v>
      </c>
      <c r="AN119" s="16">
        <f t="shared" si="87"/>
        <v>0</v>
      </c>
      <c r="AO119" s="16">
        <f t="shared" si="87"/>
        <v>0</v>
      </c>
      <c r="AP119" s="53">
        <f t="shared" si="87"/>
        <v>0</v>
      </c>
      <c r="AR119" s="56">
        <f t="shared" si="59"/>
        <v>0</v>
      </c>
      <c r="AS119" s="26">
        <f t="shared" si="88"/>
        <v>0</v>
      </c>
      <c r="AT119" s="26">
        <f t="shared" si="88"/>
        <v>0</v>
      </c>
      <c r="AU119" s="57">
        <f t="shared" si="60"/>
        <v>0</v>
      </c>
      <c r="AW119" s="56">
        <f t="shared" si="61"/>
        <v>0</v>
      </c>
      <c r="AX119" s="26">
        <f t="shared" si="89"/>
        <v>0</v>
      </c>
      <c r="AY119" s="26">
        <f t="shared" si="89"/>
        <v>0</v>
      </c>
      <c r="AZ119" s="57">
        <f t="shared" si="62"/>
        <v>0</v>
      </c>
      <c r="BB119" s="56">
        <f t="shared" si="63"/>
        <v>0</v>
      </c>
      <c r="BC119" s="26">
        <f t="shared" si="64"/>
        <v>0</v>
      </c>
      <c r="BD119" s="26">
        <f t="shared" si="86"/>
        <v>0</v>
      </c>
      <c r="BE119" s="57">
        <f t="shared" si="65"/>
        <v>0</v>
      </c>
      <c r="BG119" s="56">
        <f t="shared" si="66"/>
        <v>0</v>
      </c>
      <c r="BH119" s="26">
        <f t="shared" si="90"/>
        <v>0</v>
      </c>
      <c r="BI119" s="26">
        <f t="shared" si="90"/>
        <v>0</v>
      </c>
      <c r="BJ119" s="57">
        <f t="shared" si="67"/>
        <v>0</v>
      </c>
      <c r="BL119" s="56">
        <f t="shared" si="68"/>
        <v>0</v>
      </c>
      <c r="BM119" s="26">
        <f t="shared" si="91"/>
        <v>0</v>
      </c>
      <c r="BN119" s="26">
        <f t="shared" si="91"/>
        <v>0</v>
      </c>
      <c r="BO119" s="57">
        <f t="shared" si="69"/>
        <v>0</v>
      </c>
      <c r="BQ119" s="56">
        <f t="shared" si="70"/>
        <v>0</v>
      </c>
      <c r="BR119" s="26">
        <f t="shared" si="92"/>
        <v>0</v>
      </c>
      <c r="BS119" s="26">
        <f t="shared" si="92"/>
        <v>0</v>
      </c>
      <c r="BT119" s="57">
        <f t="shared" si="71"/>
        <v>0</v>
      </c>
      <c r="BV119" s="52" t="e">
        <f>OR(Production!C119,Construction!N119:'Construction'!AF119,Construction!BV119:CN119,Explore!S119:Z119,Military!AF119:AL119,Military!X119,Military!BE119:BL119,Rezone!L119:R119,Magic!G119:Q119)</f>
        <v>#VALUE!</v>
      </c>
      <c r="BW119" s="527">
        <f t="shared" si="72"/>
        <v>0</v>
      </c>
      <c r="BX119" s="527"/>
      <c r="BY119" s="557">
        <f t="shared" si="82"/>
        <v>43696.833333333052</v>
      </c>
      <c r="BZ119" s="565">
        <f t="shared" si="74"/>
        <v>43696.666666666388</v>
      </c>
      <c r="CA119" s="529"/>
      <c r="CB119" s="807"/>
      <c r="CC119" s="812"/>
    </row>
    <row r="120" spans="1:81" s="16" customFormat="1">
      <c r="A120" s="513">
        <f>Construction!E120</f>
        <v>1000</v>
      </c>
      <c r="C120" s="56">
        <f ca="1">Production!H120</f>
        <v>4193678</v>
      </c>
      <c r="D120" s="26">
        <f ca="1">Production!J120</f>
        <v>266163</v>
      </c>
      <c r="E120" s="26">
        <f ca="1">Production!L120</f>
        <v>231000</v>
      </c>
      <c r="F120" s="57">
        <f ca="1">Production!M120</f>
        <v>20000</v>
      </c>
      <c r="G120" s="26"/>
      <c r="H120" s="56">
        <f ca="1">Military!Z120</f>
        <v>3695</v>
      </c>
      <c r="I120" s="540">
        <f ca="1">Population!I120</f>
        <v>1</v>
      </c>
      <c r="J120" s="165">
        <f ca="1">Population!F120/Population!U120</f>
        <v>1</v>
      </c>
      <c r="K120" s="1005">
        <f>Rezone!J120</f>
        <v>118</v>
      </c>
      <c r="L120" s="584">
        <f t="shared" si="85"/>
        <v>43696.874999999716</v>
      </c>
      <c r="M120" s="316">
        <f t="shared" si="83"/>
        <v>0</v>
      </c>
      <c r="N120" s="641">
        <f t="shared" si="58"/>
        <v>1000</v>
      </c>
      <c r="O120" s="423" t="s">
        <v>4</v>
      </c>
      <c r="P120" s="370"/>
      <c r="Q120" s="424" t="s">
        <v>223</v>
      </c>
      <c r="R120" s="406" t="s">
        <v>7</v>
      </c>
      <c r="S120" s="370"/>
      <c r="T120" s="425" t="s">
        <v>223</v>
      </c>
      <c r="U120" s="424" t="s">
        <v>3</v>
      </c>
      <c r="V120" s="370"/>
      <c r="W120" s="425" t="s">
        <v>223</v>
      </c>
      <c r="Y120" s="524">
        <f ca="1">science_cap*(1-EXP(-AF120/(science_param*($A121-Explore!$S121*20)+15000)))*(1+(mason_bonus*Construction!BB120/Construction!BS120))+IF(Overview!$B$14="Beastfolk",Construction!DA120/Construction!E120,0)*(1 + Production!O120/100*prestige_pop_multiplier)</f>
        <v>0</v>
      </c>
      <c r="Z120" s="284">
        <f ca="1">keep_cap*(1-EXP(-AG120/(keep_param*($A121-Explore!$S121*20)+15000)))*(1+(mason_bonus*Construction!BB120/Construction!BS120))+IF(Overview!$B$14="Beastfolk",Construction!DF120/Construction!E120,0)*(1 + Production!O120/100*prestige_pop_multiplier)</f>
        <v>0</v>
      </c>
      <c r="AA120" s="284">
        <f ca="1">harbor_towers_cap*(1-EXP(-AH120/(harbor_towers_param*($A121-Explore!$S121*20)+15000)))*(1+(mason_bonus*Construction!BB120/Construction!BS120))+IF(Overview!$B$14="Beastfolk",2*Construction!DC120/Construction!E120,0)*(1 + Production!O120/100*prestige_pop_multiplier)</f>
        <v>0</v>
      </c>
      <c r="AB120" s="284">
        <f ca="1">walls_forges_cap*(1-EXP(-AI120/(walls_forges_param*($A121-Explore!$S121*20)+15000)))*(1+(mason_bonus*Construction!BB120/Construction!BS120))+IF(Overview!$B$14="Beastfolk",0.2*Construction!CY120/Construction!E120,0)</f>
        <v>0</v>
      </c>
      <c r="AC120" s="284">
        <f ca="1">walls_forges_cap*(1-EXP(-AJ120/(walls_forges_param*($A121-Explore!$S121*20)+15000)))*(1+(mason_bonus*Construction!BB120/Construction!BS120))+IF(Overview!$B$14="Beastfolk",5*Construction!DB120/Construction!E120,0)</f>
        <v>0</v>
      </c>
      <c r="AD120" s="97">
        <f ca="1">harbor_towers_cap*(1-EXP(-AK120/(harbor_towers_param*($A121-Explore!$S121*20)+15000)))*(1+(mason_bonus*Construction!BB120/Construction!BS120))+IF(Overview!$B$14="Beastfolk",Construction!DE120/Construction!E120)*(1 + Production!O120/100*prestige_pop_multiplier)</f>
        <v>0</v>
      </c>
      <c r="AF120" s="56">
        <f ca="1">(1+Overview!$O$28+IF(Magic!BA120&gt;0,0.1,0))*SUM(AR120:AU120)</f>
        <v>0</v>
      </c>
      <c r="AG120" s="26">
        <f ca="1">(1+Overview!$O$28+IF(Magic!BA120&gt;0,0.1,0))*SUM(AW120:AZ120)</f>
        <v>0</v>
      </c>
      <c r="AH120" s="164">
        <f ca="1">(1+Overview!$O$28+IF(Magic!BA120&gt;0,0.1,0))*SUM(BB120:BE120)</f>
        <v>0</v>
      </c>
      <c r="AI120" s="164">
        <f ca="1">(1+Overview!$O$28+IF(Magic!BA120&gt;0,0.1,0))*SUM(BG120:BJ120)</f>
        <v>0</v>
      </c>
      <c r="AJ120" s="164">
        <f ca="1">(1+Overview!$O$28+IF(Magic!BA120&gt;0,0.1,0))*SUM(BL120:BO120)</f>
        <v>0</v>
      </c>
      <c r="AK120" s="166">
        <f ca="1">(1+Overview!$O$28+IF(Magic!BA120&gt;0,0.1,0))*SUM(BQ120:BT120)</f>
        <v>0</v>
      </c>
      <c r="AM120" s="52">
        <f t="shared" si="87"/>
        <v>0</v>
      </c>
      <c r="AN120" s="16">
        <f t="shared" si="87"/>
        <v>0</v>
      </c>
      <c r="AO120" s="16">
        <f t="shared" si="87"/>
        <v>0</v>
      </c>
      <c r="AP120" s="53">
        <f t="shared" si="87"/>
        <v>0</v>
      </c>
      <c r="AR120" s="56">
        <f t="shared" si="59"/>
        <v>0</v>
      </c>
      <c r="AS120" s="26">
        <f t="shared" si="88"/>
        <v>0</v>
      </c>
      <c r="AT120" s="26">
        <f t="shared" si="88"/>
        <v>0</v>
      </c>
      <c r="AU120" s="57">
        <f t="shared" si="60"/>
        <v>0</v>
      </c>
      <c r="AW120" s="56">
        <f t="shared" si="61"/>
        <v>0</v>
      </c>
      <c r="AX120" s="26">
        <f t="shared" si="89"/>
        <v>0</v>
      </c>
      <c r="AY120" s="26">
        <f t="shared" si="89"/>
        <v>0</v>
      </c>
      <c r="AZ120" s="57">
        <f t="shared" si="62"/>
        <v>0</v>
      </c>
      <c r="BB120" s="56">
        <f t="shared" si="63"/>
        <v>0</v>
      </c>
      <c r="BC120" s="26">
        <f t="shared" si="64"/>
        <v>0</v>
      </c>
      <c r="BD120" s="26">
        <f t="shared" si="86"/>
        <v>0</v>
      </c>
      <c r="BE120" s="57">
        <f t="shared" si="65"/>
        <v>0</v>
      </c>
      <c r="BG120" s="56">
        <f t="shared" si="66"/>
        <v>0</v>
      </c>
      <c r="BH120" s="26">
        <f t="shared" si="90"/>
        <v>0</v>
      </c>
      <c r="BI120" s="26">
        <f t="shared" si="90"/>
        <v>0</v>
      </c>
      <c r="BJ120" s="57">
        <f t="shared" si="67"/>
        <v>0</v>
      </c>
      <c r="BL120" s="56">
        <f t="shared" si="68"/>
        <v>0</v>
      </c>
      <c r="BM120" s="26">
        <f t="shared" si="91"/>
        <v>0</v>
      </c>
      <c r="BN120" s="26">
        <f t="shared" si="91"/>
        <v>0</v>
      </c>
      <c r="BO120" s="57">
        <f t="shared" si="69"/>
        <v>0</v>
      </c>
      <c r="BQ120" s="56">
        <f t="shared" si="70"/>
        <v>0</v>
      </c>
      <c r="BR120" s="26">
        <f t="shared" si="92"/>
        <v>0</v>
      </c>
      <c r="BS120" s="26">
        <f t="shared" si="92"/>
        <v>0</v>
      </c>
      <c r="BT120" s="57">
        <f t="shared" si="71"/>
        <v>0</v>
      </c>
      <c r="BV120" s="52" t="e">
        <f>OR(Production!C120,Construction!N120:'Construction'!AF120,Construction!BV120:CN120,Explore!S120:Z120,Military!AF120:AL120,Military!X120,Military!BE120:BL120,Rezone!L120:R120,Magic!G120:Q120)</f>
        <v>#VALUE!</v>
      </c>
      <c r="BW120" s="527">
        <f t="shared" si="72"/>
        <v>0</v>
      </c>
      <c r="BX120" s="527"/>
      <c r="BY120" s="557">
        <f t="shared" si="82"/>
        <v>43696.874999999716</v>
      </c>
      <c r="BZ120" s="565">
        <f t="shared" si="74"/>
        <v>43696.708333333052</v>
      </c>
      <c r="CA120" s="529"/>
      <c r="CB120" s="807"/>
      <c r="CC120" s="812"/>
    </row>
    <row r="121" spans="1:81" s="16" customFormat="1">
      <c r="A121" s="513">
        <f>Construction!E121</f>
        <v>1000</v>
      </c>
      <c r="C121" s="56">
        <f ca="1">Production!H121</f>
        <v>4204329</v>
      </c>
      <c r="D121" s="26">
        <f ca="1">Production!J121</f>
        <v>266001</v>
      </c>
      <c r="E121" s="26">
        <f ca="1">Production!L121</f>
        <v>231000</v>
      </c>
      <c r="F121" s="57">
        <f ca="1">Production!M121</f>
        <v>20000</v>
      </c>
      <c r="G121" s="26"/>
      <c r="H121" s="56">
        <f ca="1">Military!Z121</f>
        <v>3695</v>
      </c>
      <c r="I121" s="540">
        <f ca="1">Population!I121</f>
        <v>1</v>
      </c>
      <c r="J121" s="165">
        <f ca="1">Population!F121/Population!U121</f>
        <v>1</v>
      </c>
      <c r="K121" s="1005">
        <f>Rezone!J121</f>
        <v>119</v>
      </c>
      <c r="L121" s="584">
        <f t="shared" si="85"/>
        <v>43696.91666666638</v>
      </c>
      <c r="M121" s="316">
        <f t="shared" si="83"/>
        <v>0</v>
      </c>
      <c r="N121" s="641">
        <f t="shared" si="58"/>
        <v>1000</v>
      </c>
      <c r="O121" s="423" t="s">
        <v>4</v>
      </c>
      <c r="P121" s="370"/>
      <c r="Q121" s="424" t="s">
        <v>223</v>
      </c>
      <c r="R121" s="423" t="s">
        <v>7</v>
      </c>
      <c r="S121" s="370"/>
      <c r="T121" s="425" t="s">
        <v>223</v>
      </c>
      <c r="U121" s="424" t="s">
        <v>3</v>
      </c>
      <c r="V121" s="370"/>
      <c r="W121" s="425" t="s">
        <v>223</v>
      </c>
      <c r="Y121" s="524">
        <f ca="1">science_cap*(1-EXP(-AF121/(science_param*($A122-Explore!$S122*20)+15000)))*(1+(mason_bonus*Construction!BB121/Construction!BS121))+IF(Overview!$B$14="Beastfolk",Construction!DA121/Construction!E121,0)*(1 + Production!O121/100*prestige_pop_multiplier)</f>
        <v>0</v>
      </c>
      <c r="Z121" s="284">
        <f ca="1">keep_cap*(1-EXP(-AG121/(keep_param*($A122-Explore!$S122*20)+15000)))*(1+(mason_bonus*Construction!BB121/Construction!BS121))+IF(Overview!$B$14="Beastfolk",Construction!DF121/Construction!E121,0)*(1 + Production!O121/100*prestige_pop_multiplier)</f>
        <v>0</v>
      </c>
      <c r="AA121" s="284">
        <f ca="1">harbor_towers_cap*(1-EXP(-AH121/(harbor_towers_param*($A122-Explore!$S122*20)+15000)))*(1+(mason_bonus*Construction!BB121/Construction!BS121))+IF(Overview!$B$14="Beastfolk",2*Construction!DC121/Construction!E121,0)*(1 + Production!O121/100*prestige_pop_multiplier)</f>
        <v>0</v>
      </c>
      <c r="AB121" s="284">
        <f ca="1">walls_forges_cap*(1-EXP(-AI121/(walls_forges_param*($A122-Explore!$S122*20)+15000)))*(1+(mason_bonus*Construction!BB121/Construction!BS121))+IF(Overview!$B$14="Beastfolk",0.2*Construction!CY121/Construction!E121,0)</f>
        <v>0</v>
      </c>
      <c r="AC121" s="284">
        <f ca="1">walls_forges_cap*(1-EXP(-AJ121/(walls_forges_param*($A122-Explore!$S122*20)+15000)))*(1+(mason_bonus*Construction!BB121/Construction!BS121))+IF(Overview!$B$14="Beastfolk",5*Construction!DB121/Construction!E121,0)</f>
        <v>0</v>
      </c>
      <c r="AD121" s="97">
        <f ca="1">harbor_towers_cap*(1-EXP(-AK121/(harbor_towers_param*($A122-Explore!$S122*20)+15000)))*(1+(mason_bonus*Construction!BB121/Construction!BS121))+IF(Overview!$B$14="Beastfolk",Construction!DE121/Construction!E121)*(1 + Production!O121/100*prestige_pop_multiplier)</f>
        <v>0</v>
      </c>
      <c r="AF121" s="56">
        <f ca="1">(1+Overview!$O$28+IF(Magic!BA121&gt;0,0.1,0))*SUM(AR121:AU121)</f>
        <v>0</v>
      </c>
      <c r="AG121" s="26">
        <f ca="1">(1+Overview!$O$28+IF(Magic!BA121&gt;0,0.1,0))*SUM(AW121:AZ121)</f>
        <v>0</v>
      </c>
      <c r="AH121" s="164">
        <f ca="1">(1+Overview!$O$28+IF(Magic!BA121&gt;0,0.1,0))*SUM(BB121:BE121)</f>
        <v>0</v>
      </c>
      <c r="AI121" s="164">
        <f ca="1">(1+Overview!$O$28+IF(Magic!BA121&gt;0,0.1,0))*SUM(BG121:BJ121)</f>
        <v>0</v>
      </c>
      <c r="AJ121" s="164">
        <f ca="1">(1+Overview!$O$28+IF(Magic!BA121&gt;0,0.1,0))*SUM(BL121:BO121)</f>
        <v>0</v>
      </c>
      <c r="AK121" s="166">
        <f ca="1">(1+Overview!$O$28+IF(Magic!BA121&gt;0,0.1,0))*SUM(BQ121:BT121)</f>
        <v>0</v>
      </c>
      <c r="AM121" s="52">
        <f t="shared" si="87"/>
        <v>0</v>
      </c>
      <c r="AN121" s="16">
        <f t="shared" si="87"/>
        <v>0</v>
      </c>
      <c r="AO121" s="16">
        <f t="shared" si="87"/>
        <v>0</v>
      </c>
      <c r="AP121" s="53">
        <f t="shared" si="87"/>
        <v>0</v>
      </c>
      <c r="AR121" s="56">
        <f t="shared" si="59"/>
        <v>0</v>
      </c>
      <c r="AS121" s="26">
        <f t="shared" si="88"/>
        <v>0</v>
      </c>
      <c r="AT121" s="26">
        <f t="shared" si="88"/>
        <v>0</v>
      </c>
      <c r="AU121" s="57">
        <f t="shared" si="60"/>
        <v>0</v>
      </c>
      <c r="AW121" s="56">
        <f t="shared" si="61"/>
        <v>0</v>
      </c>
      <c r="AX121" s="26">
        <f t="shared" si="89"/>
        <v>0</v>
      </c>
      <c r="AY121" s="26">
        <f t="shared" si="89"/>
        <v>0</v>
      </c>
      <c r="AZ121" s="57">
        <f t="shared" si="62"/>
        <v>0</v>
      </c>
      <c r="BB121" s="56">
        <f t="shared" si="63"/>
        <v>0</v>
      </c>
      <c r="BC121" s="26">
        <f t="shared" si="64"/>
        <v>0</v>
      </c>
      <c r="BD121" s="26">
        <f t="shared" si="86"/>
        <v>0</v>
      </c>
      <c r="BE121" s="57">
        <f t="shared" si="65"/>
        <v>0</v>
      </c>
      <c r="BG121" s="56">
        <f t="shared" si="66"/>
        <v>0</v>
      </c>
      <c r="BH121" s="26">
        <f t="shared" si="90"/>
        <v>0</v>
      </c>
      <c r="BI121" s="26">
        <f t="shared" si="90"/>
        <v>0</v>
      </c>
      <c r="BJ121" s="57">
        <f t="shared" si="67"/>
        <v>0</v>
      </c>
      <c r="BL121" s="56">
        <f t="shared" si="68"/>
        <v>0</v>
      </c>
      <c r="BM121" s="26">
        <f t="shared" si="91"/>
        <v>0</v>
      </c>
      <c r="BN121" s="26">
        <f t="shared" si="91"/>
        <v>0</v>
      </c>
      <c r="BO121" s="57">
        <f t="shared" si="69"/>
        <v>0</v>
      </c>
      <c r="BQ121" s="56">
        <f t="shared" si="70"/>
        <v>0</v>
      </c>
      <c r="BR121" s="26">
        <f t="shared" si="92"/>
        <v>0</v>
      </c>
      <c r="BS121" s="26">
        <f t="shared" si="92"/>
        <v>0</v>
      </c>
      <c r="BT121" s="57">
        <f t="shared" si="71"/>
        <v>0</v>
      </c>
      <c r="BV121" s="52" t="e">
        <f>OR(Production!C121,Construction!N121:'Construction'!AF121,Construction!BV121:CN121,Explore!S121:Z121,Military!AF121:AL121,Military!X121,Military!BE121:BL121,Rezone!L121:R121,Magic!G121:Q121)</f>
        <v>#VALUE!</v>
      </c>
      <c r="BW121" s="527">
        <f t="shared" si="72"/>
        <v>0</v>
      </c>
      <c r="BX121" s="527"/>
      <c r="BY121" s="557">
        <f t="shared" si="82"/>
        <v>43696.91666666638</v>
      </c>
      <c r="BZ121" s="565">
        <f t="shared" si="74"/>
        <v>43696.749999999716</v>
      </c>
      <c r="CA121" s="529"/>
      <c r="CB121" s="807"/>
      <c r="CC121" s="812"/>
    </row>
    <row r="122" spans="1:81" s="16" customFormat="1" ht="13.5" thickBot="1">
      <c r="A122" s="513">
        <f>Construction!E122</f>
        <v>1000</v>
      </c>
      <c r="C122" s="56">
        <f ca="1">Production!H122</f>
        <v>4214980</v>
      </c>
      <c r="D122" s="26">
        <f ca="1">Production!J122</f>
        <v>265841</v>
      </c>
      <c r="E122" s="26">
        <f ca="1">Production!L122</f>
        <v>231000</v>
      </c>
      <c r="F122" s="57">
        <f ca="1">Production!M122</f>
        <v>20000</v>
      </c>
      <c r="G122" s="26"/>
      <c r="H122" s="56">
        <f ca="1">Military!Z122</f>
        <v>3695</v>
      </c>
      <c r="I122" s="540">
        <f ca="1">Population!I122</f>
        <v>1</v>
      </c>
      <c r="J122" s="165">
        <f ca="1">Population!F122/Population!U122</f>
        <v>1</v>
      </c>
      <c r="K122" s="1005">
        <f>Rezone!J122</f>
        <v>120</v>
      </c>
      <c r="L122" s="584">
        <f t="shared" si="85"/>
        <v>43696.958333333045</v>
      </c>
      <c r="M122" s="316">
        <f t="shared" si="83"/>
        <v>0</v>
      </c>
      <c r="N122" s="641">
        <f t="shared" si="58"/>
        <v>1000</v>
      </c>
      <c r="O122" s="423" t="s">
        <v>4</v>
      </c>
      <c r="P122" s="370"/>
      <c r="Q122" s="424" t="s">
        <v>223</v>
      </c>
      <c r="R122" s="423" t="s">
        <v>7</v>
      </c>
      <c r="S122" s="370"/>
      <c r="T122" s="425" t="s">
        <v>223</v>
      </c>
      <c r="U122" s="424" t="s">
        <v>3</v>
      </c>
      <c r="V122" s="370"/>
      <c r="W122" s="425" t="s">
        <v>223</v>
      </c>
      <c r="Y122" s="524">
        <f ca="1">science_cap*(1-EXP(-AF122/(science_param*($A123-Explore!$S123*20)+15000)))*(1+(mason_bonus*Construction!BB122/Construction!BS122))+IF(Overview!$B$14="Beastfolk",Construction!DA122/Construction!E122,0)*(1 + Production!O122/100*prestige_pop_multiplier)</f>
        <v>0</v>
      </c>
      <c r="Z122" s="284">
        <f ca="1">keep_cap*(1-EXP(-AG122/(keep_param*($A123-Explore!$S123*20)+15000)))*(1+(mason_bonus*Construction!BB122/Construction!BS122))+IF(Overview!$B$14="Beastfolk",Construction!DF122/Construction!E122,0)*(1 + Production!O122/100*prestige_pop_multiplier)</f>
        <v>0</v>
      </c>
      <c r="AA122" s="284">
        <f ca="1">harbor_towers_cap*(1-EXP(-AH122/(harbor_towers_param*($A123-Explore!$S123*20)+15000)))*(1+(mason_bonus*Construction!BB122/Construction!BS122))+IF(Overview!$B$14="Beastfolk",2*Construction!DC122/Construction!E122,0)*(1 + Production!O122/100*prestige_pop_multiplier)</f>
        <v>0</v>
      </c>
      <c r="AB122" s="284">
        <f ca="1">walls_forges_cap*(1-EXP(-AI122/(walls_forges_param*($A123-Explore!$S123*20)+15000)))*(1+(mason_bonus*Construction!BB122/Construction!BS122))+IF(Overview!$B$14="Beastfolk",0.2*Construction!CY122/Construction!E122,0)</f>
        <v>0</v>
      </c>
      <c r="AC122" s="284">
        <f ca="1">walls_forges_cap*(1-EXP(-AJ122/(walls_forges_param*($A123-Explore!$S123*20)+15000)))*(1+(mason_bonus*Construction!BB122/Construction!BS122))+IF(Overview!$B$14="Beastfolk",5*Construction!DB122/Construction!E122,0)</f>
        <v>0</v>
      </c>
      <c r="AD122" s="97">
        <f ca="1">harbor_towers_cap*(1-EXP(-AK122/(harbor_towers_param*($A123-Explore!$S123*20)+15000)))*(1+(mason_bonus*Construction!BB122/Construction!BS122))+IF(Overview!$B$14="Beastfolk",Construction!DE122/Construction!E122)*(1 + Production!O122/100*prestige_pop_multiplier)</f>
        <v>0</v>
      </c>
      <c r="AF122" s="56">
        <f ca="1">(1+Overview!$O$28+IF(Magic!BA122&gt;0,0.1,0))*SUM(AR122:AU122)</f>
        <v>0</v>
      </c>
      <c r="AG122" s="26">
        <f ca="1">(1+Overview!$O$28+IF(Magic!BA122&gt;0,0.1,0))*SUM(AW122:AZ122)</f>
        <v>0</v>
      </c>
      <c r="AH122" s="164">
        <f ca="1">(1+Overview!$O$28+IF(Magic!BA122&gt;0,0.1,0))*SUM(BB122:BE122)</f>
        <v>0</v>
      </c>
      <c r="AI122" s="164">
        <f ca="1">(1+Overview!$O$28+IF(Magic!BA122&gt;0,0.1,0))*SUM(BG122:BJ122)</f>
        <v>0</v>
      </c>
      <c r="AJ122" s="164">
        <f ca="1">(1+Overview!$O$28+IF(Magic!BA122&gt;0,0.1,0))*SUM(BL122:BO122)</f>
        <v>0</v>
      </c>
      <c r="AK122" s="166">
        <f ca="1">(1+Overview!$O$28+IF(Magic!BA122&gt;0,0.1,0))*SUM(BQ122:BT122)</f>
        <v>0</v>
      </c>
      <c r="AM122" s="52">
        <f t="shared" si="87"/>
        <v>0</v>
      </c>
      <c r="AN122" s="16">
        <f t="shared" si="87"/>
        <v>0</v>
      </c>
      <c r="AO122" s="16">
        <f t="shared" si="87"/>
        <v>0</v>
      </c>
      <c r="AP122" s="53">
        <f t="shared" si="87"/>
        <v>0</v>
      </c>
      <c r="AR122" s="56">
        <f t="shared" si="59"/>
        <v>0</v>
      </c>
      <c r="AS122" s="26">
        <f t="shared" si="88"/>
        <v>0</v>
      </c>
      <c r="AT122" s="26">
        <f t="shared" si="88"/>
        <v>0</v>
      </c>
      <c r="AU122" s="57">
        <f t="shared" si="60"/>
        <v>0</v>
      </c>
      <c r="AW122" s="56">
        <f t="shared" si="61"/>
        <v>0</v>
      </c>
      <c r="AX122" s="26">
        <f t="shared" si="89"/>
        <v>0</v>
      </c>
      <c r="AY122" s="26">
        <f t="shared" si="89"/>
        <v>0</v>
      </c>
      <c r="AZ122" s="57">
        <f t="shared" si="62"/>
        <v>0</v>
      </c>
      <c r="BB122" s="56">
        <f t="shared" si="63"/>
        <v>0</v>
      </c>
      <c r="BC122" s="26">
        <f t="shared" si="64"/>
        <v>0</v>
      </c>
      <c r="BD122" s="26">
        <f t="shared" si="86"/>
        <v>0</v>
      </c>
      <c r="BE122" s="57">
        <f t="shared" si="65"/>
        <v>0</v>
      </c>
      <c r="BG122" s="56">
        <f t="shared" si="66"/>
        <v>0</v>
      </c>
      <c r="BH122" s="26">
        <f t="shared" si="90"/>
        <v>0</v>
      </c>
      <c r="BI122" s="26">
        <f t="shared" si="90"/>
        <v>0</v>
      </c>
      <c r="BJ122" s="57">
        <f t="shared" si="67"/>
        <v>0</v>
      </c>
      <c r="BL122" s="56">
        <f t="shared" si="68"/>
        <v>0</v>
      </c>
      <c r="BM122" s="26">
        <f t="shared" si="91"/>
        <v>0</v>
      </c>
      <c r="BN122" s="26">
        <f t="shared" si="91"/>
        <v>0</v>
      </c>
      <c r="BO122" s="57">
        <f t="shared" si="69"/>
        <v>0</v>
      </c>
      <c r="BQ122" s="56">
        <f t="shared" si="70"/>
        <v>0</v>
      </c>
      <c r="BR122" s="26">
        <f t="shared" si="92"/>
        <v>0</v>
      </c>
      <c r="BS122" s="26">
        <f t="shared" si="92"/>
        <v>0</v>
      </c>
      <c r="BT122" s="57">
        <f t="shared" si="71"/>
        <v>0</v>
      </c>
      <c r="BV122" s="52" t="e">
        <f>OR(Production!C122,Construction!N122:'Construction'!AF122,Construction!BV122:CN122,Explore!S122:Z122,Military!AF122:AL122,Military!X122,Military!BE122:BL122,Rezone!L122:R122,Magic!G122:Q122)</f>
        <v>#VALUE!</v>
      </c>
      <c r="BW122" s="527">
        <f t="shared" si="72"/>
        <v>0</v>
      </c>
      <c r="BX122" s="527"/>
      <c r="BY122" s="557">
        <f t="shared" si="82"/>
        <v>43696.958333333045</v>
      </c>
      <c r="BZ122" s="565">
        <f t="shared" si="74"/>
        <v>43696.79166666638</v>
      </c>
      <c r="CA122" s="529"/>
      <c r="CB122" s="807"/>
      <c r="CC122" s="812"/>
    </row>
    <row r="123" spans="1:81" s="111" customFormat="1" ht="14.25" thickTop="1" thickBot="1">
      <c r="A123" s="517">
        <f>Construction!E123</f>
        <v>1000</v>
      </c>
      <c r="C123" s="110">
        <f ca="1">Production!H123</f>
        <v>4225631</v>
      </c>
      <c r="D123" s="108">
        <f ca="1">Production!J123</f>
        <v>265683</v>
      </c>
      <c r="E123" s="108">
        <f ca="1">Production!L123</f>
        <v>231000</v>
      </c>
      <c r="F123" s="109">
        <f ca="1">Production!M123</f>
        <v>20000</v>
      </c>
      <c r="G123" s="108"/>
      <c r="H123" s="110">
        <f ca="1">Military!Z123</f>
        <v>3695</v>
      </c>
      <c r="I123" s="543">
        <f ca="1">Population!I123</f>
        <v>1</v>
      </c>
      <c r="J123" s="542">
        <f ca="1">Population!F123/Population!U123</f>
        <v>1</v>
      </c>
      <c r="K123" s="1008">
        <f>Rezone!J123</f>
        <v>121</v>
      </c>
      <c r="L123" s="586">
        <f t="shared" si="85"/>
        <v>43696.999999999709</v>
      </c>
      <c r="M123" s="652">
        <f t="shared" si="83"/>
        <v>0</v>
      </c>
      <c r="N123" s="646">
        <f t="shared" si="58"/>
        <v>1000</v>
      </c>
      <c r="O123" s="432" t="s">
        <v>4</v>
      </c>
      <c r="P123" s="433"/>
      <c r="Q123" s="434" t="s">
        <v>223</v>
      </c>
      <c r="R123" s="432" t="s">
        <v>7</v>
      </c>
      <c r="S123" s="433"/>
      <c r="T123" s="435" t="s">
        <v>223</v>
      </c>
      <c r="U123" s="434" t="s">
        <v>3</v>
      </c>
      <c r="V123" s="433"/>
      <c r="W123" s="435" t="s">
        <v>223</v>
      </c>
      <c r="Y123" s="526">
        <f ca="1">science_cap*(1-EXP(-AF123/(science_param*($A124-Explore!$S124*20)+15000)))*(1+(mason_bonus*Construction!BB123/Construction!BS123))+IF(Overview!$B$14="Beastfolk",Construction!DA123/Construction!E123,0)*(1 + Production!O123/100*prestige_pop_multiplier)</f>
        <v>0</v>
      </c>
      <c r="Z123" s="458">
        <f ca="1">keep_cap*(1-EXP(-AG123/(keep_param*($A124-Explore!$S124*20)+15000)))*(1+(mason_bonus*Construction!BB123/Construction!BS123))+IF(Overview!$B$14="Beastfolk",Construction!DF123/Construction!E123,0)*(1 + Production!O123/100*prestige_pop_multiplier)</f>
        <v>0</v>
      </c>
      <c r="AA123" s="458">
        <f ca="1">harbor_towers_cap*(1-EXP(-AH123/(harbor_towers_param*($A124-Explore!$S124*20)+15000)))*(1+(mason_bonus*Construction!BB123/Construction!BS123))+IF(Overview!$B$14="Beastfolk",2*Construction!DC123/Construction!E123,0)*(1 + Production!O123/100*prestige_pop_multiplier)</f>
        <v>0</v>
      </c>
      <c r="AB123" s="458">
        <f ca="1">walls_forges_cap*(1-EXP(-AI123/(walls_forges_param*($A124-Explore!$S124*20)+15000)))*(1+(mason_bonus*Construction!BB123/Construction!BS123))+IF(Overview!$B$14="Beastfolk",0.2*Construction!CY123/Construction!E123,0)</f>
        <v>0</v>
      </c>
      <c r="AC123" s="458">
        <f ca="1">walls_forges_cap*(1-EXP(-AJ123/(walls_forges_param*($A124-Explore!$S124*20)+15000)))*(1+(mason_bonus*Construction!BB123/Construction!BS123))+IF(Overview!$B$14="Beastfolk",5*Construction!DB123/Construction!E123,0)</f>
        <v>0</v>
      </c>
      <c r="AD123" s="135">
        <f ca="1">harbor_towers_cap*(1-EXP(-AK123/(harbor_towers_param*($A124-Explore!$S124*20)+15000)))*(1+(mason_bonus*Construction!BB123/Construction!BS123))+IF(Overview!$B$14="Beastfolk",Construction!DE123/Construction!E123)*(1 + Production!O123/100*prestige_pop_multiplier)</f>
        <v>0</v>
      </c>
      <c r="AF123" s="110">
        <f ca="1">(1+Overview!$O$28+IF(Magic!BA123&gt;0,0.1,0))*SUM(AR123:AU123)</f>
        <v>0</v>
      </c>
      <c r="AG123" s="108">
        <f ca="1">(1+Overview!$O$28+IF(Magic!BA123&gt;0,0.1,0))*SUM(AW123:AZ123)</f>
        <v>0</v>
      </c>
      <c r="AH123" s="277">
        <f ca="1">(1+Overview!$O$28+IF(Magic!BA123&gt;0,0.1,0))*SUM(BB123:BE123)</f>
        <v>0</v>
      </c>
      <c r="AI123" s="277">
        <f ca="1">(1+Overview!$O$28+IF(Magic!BA123&gt;0,0.1,0))*SUM(BG123:BJ123)</f>
        <v>0</v>
      </c>
      <c r="AJ123" s="277">
        <f ca="1">(1+Overview!$O$28+IF(Magic!BA123&gt;0,0.1,0))*SUM(BL123:BO123)</f>
        <v>0</v>
      </c>
      <c r="AK123" s="274">
        <f ca="1">(1+Overview!$O$28+IF(Magic!BA123&gt;0,0.1,0))*SUM(BQ123:BT123)</f>
        <v>0</v>
      </c>
      <c r="AM123" s="113">
        <f t="shared" si="87"/>
        <v>0</v>
      </c>
      <c r="AN123" s="111">
        <f t="shared" si="87"/>
        <v>0</v>
      </c>
      <c r="AO123" s="111">
        <f t="shared" si="87"/>
        <v>0</v>
      </c>
      <c r="AP123" s="115">
        <f t="shared" si="87"/>
        <v>0</v>
      </c>
      <c r="AR123" s="110">
        <f t="shared" si="59"/>
        <v>0</v>
      </c>
      <c r="AS123" s="108">
        <f t="shared" si="88"/>
        <v>0</v>
      </c>
      <c r="AT123" s="108">
        <f t="shared" si="88"/>
        <v>0</v>
      </c>
      <c r="AU123" s="109">
        <f t="shared" si="60"/>
        <v>0</v>
      </c>
      <c r="AW123" s="110">
        <f t="shared" si="61"/>
        <v>0</v>
      </c>
      <c r="AX123" s="108">
        <f t="shared" si="89"/>
        <v>0</v>
      </c>
      <c r="AY123" s="108">
        <f t="shared" si="89"/>
        <v>0</v>
      </c>
      <c r="AZ123" s="109">
        <f t="shared" si="62"/>
        <v>0</v>
      </c>
      <c r="BB123" s="110">
        <f t="shared" si="63"/>
        <v>0</v>
      </c>
      <c r="BC123" s="108">
        <f t="shared" si="64"/>
        <v>0</v>
      </c>
      <c r="BD123" s="108">
        <f t="shared" si="86"/>
        <v>0</v>
      </c>
      <c r="BE123" s="109">
        <f t="shared" si="65"/>
        <v>0</v>
      </c>
      <c r="BG123" s="110">
        <f t="shared" si="66"/>
        <v>0</v>
      </c>
      <c r="BH123" s="108">
        <f t="shared" si="90"/>
        <v>0</v>
      </c>
      <c r="BI123" s="108">
        <f t="shared" si="90"/>
        <v>0</v>
      </c>
      <c r="BJ123" s="109">
        <f t="shared" si="67"/>
        <v>0</v>
      </c>
      <c r="BL123" s="110">
        <f t="shared" si="68"/>
        <v>0</v>
      </c>
      <c r="BM123" s="108">
        <f t="shared" si="91"/>
        <v>0</v>
      </c>
      <c r="BN123" s="108">
        <f t="shared" si="91"/>
        <v>0</v>
      </c>
      <c r="BO123" s="109">
        <f t="shared" si="69"/>
        <v>0</v>
      </c>
      <c r="BQ123" s="110">
        <f t="shared" si="70"/>
        <v>0</v>
      </c>
      <c r="BR123" s="108">
        <f t="shared" si="92"/>
        <v>0</v>
      </c>
      <c r="BS123" s="108">
        <f t="shared" si="92"/>
        <v>0</v>
      </c>
      <c r="BT123" s="109">
        <f t="shared" si="71"/>
        <v>0</v>
      </c>
      <c r="BV123" s="113" t="e">
        <f>OR(Production!C123,Construction!N123:'Construction'!AF123,Construction!BV123:CN123,Explore!S123:Z123,Military!AF123:AL123,Military!X123,Military!BE123:BL123,Rezone!L123:R123,Magic!G123:Q123)</f>
        <v>#VALUE!</v>
      </c>
      <c r="BW123" s="552">
        <f t="shared" si="72"/>
        <v>0</v>
      </c>
      <c r="BX123" s="552"/>
      <c r="BY123" s="560">
        <f t="shared" si="82"/>
        <v>43696.999999999709</v>
      </c>
      <c r="BZ123" s="568">
        <f t="shared" si="74"/>
        <v>43696.833333333045</v>
      </c>
      <c r="CA123" s="633"/>
      <c r="CB123" s="811"/>
      <c r="CC123" s="815"/>
    </row>
    <row r="124" spans="1:81" s="16" customFormat="1" ht="13.5" thickTop="1">
      <c r="A124" s="513">
        <f>Construction!E124</f>
        <v>1000</v>
      </c>
      <c r="C124" s="56">
        <f ca="1">Production!H124</f>
        <v>4236282</v>
      </c>
      <c r="D124" s="26">
        <f ca="1">Production!J124</f>
        <v>265526</v>
      </c>
      <c r="E124" s="26">
        <f ca="1">Production!L124</f>
        <v>231000</v>
      </c>
      <c r="F124" s="57">
        <f ca="1">Production!M124</f>
        <v>20000</v>
      </c>
      <c r="G124" s="26"/>
      <c r="H124" s="56">
        <f ca="1">Military!Z124</f>
        <v>3695</v>
      </c>
      <c r="I124" s="540">
        <f ca="1">Population!I124</f>
        <v>1</v>
      </c>
      <c r="J124" s="165">
        <f ca="1">Population!F124/Population!U124</f>
        <v>1</v>
      </c>
      <c r="K124" s="1005">
        <f>Rezone!J124</f>
        <v>122</v>
      </c>
      <c r="L124" s="584">
        <f t="shared" si="85"/>
        <v>43697.041666666373</v>
      </c>
      <c r="M124" s="316">
        <f t="shared" si="83"/>
        <v>0</v>
      </c>
      <c r="N124" s="641">
        <f t="shared" si="58"/>
        <v>1000</v>
      </c>
      <c r="O124" s="423" t="s">
        <v>4</v>
      </c>
      <c r="P124" s="370"/>
      <c r="Q124" s="424" t="s">
        <v>223</v>
      </c>
      <c r="R124" s="423" t="s">
        <v>7</v>
      </c>
      <c r="S124" s="370"/>
      <c r="T124" s="425" t="s">
        <v>223</v>
      </c>
      <c r="U124" s="424" t="s">
        <v>3</v>
      </c>
      <c r="V124" s="370"/>
      <c r="W124" s="425" t="s">
        <v>223</v>
      </c>
      <c r="Y124" s="524">
        <f ca="1">science_cap*(1-EXP(-AF124/(science_param*($A125-Explore!$S125*20)+15000)))*(1+(mason_bonus*Construction!BB124/Construction!BS124))+IF(Overview!$B$14="Beastfolk",Construction!DA124/Construction!E124,0)*(1 + Production!O124/100*prestige_pop_multiplier)</f>
        <v>0</v>
      </c>
      <c r="Z124" s="284">
        <f ca="1">keep_cap*(1-EXP(-AG124/(keep_param*($A125-Explore!$S125*20)+15000)))*(1+(mason_bonus*Construction!BB124/Construction!BS124))+IF(Overview!$B$14="Beastfolk",Construction!DF124/Construction!E124,0)*(1 + Production!O124/100*prestige_pop_multiplier)</f>
        <v>0</v>
      </c>
      <c r="AA124" s="284">
        <f ca="1">harbor_towers_cap*(1-EXP(-AH124/(harbor_towers_param*($A125-Explore!$S125*20)+15000)))*(1+(mason_bonus*Construction!BB124/Construction!BS124))+IF(Overview!$B$14="Beastfolk",2*Construction!DC124/Construction!E124,0)*(1 + Production!O124/100*prestige_pop_multiplier)</f>
        <v>0</v>
      </c>
      <c r="AB124" s="284">
        <f ca="1">walls_forges_cap*(1-EXP(-AI124/(walls_forges_param*($A125-Explore!$S125*20)+15000)))*(1+(mason_bonus*Construction!BB124/Construction!BS124))+IF(Overview!$B$14="Beastfolk",0.2*Construction!CY124/Construction!E124,0)</f>
        <v>0</v>
      </c>
      <c r="AC124" s="284">
        <f ca="1">walls_forges_cap*(1-EXP(-AJ124/(walls_forges_param*($A125-Explore!$S125*20)+15000)))*(1+(mason_bonus*Construction!BB124/Construction!BS124))+IF(Overview!$B$14="Beastfolk",5*Construction!DB124/Construction!E124,0)</f>
        <v>0</v>
      </c>
      <c r="AD124" s="97">
        <f ca="1">harbor_towers_cap*(1-EXP(-AK124/(harbor_towers_param*($A125-Explore!$S125*20)+15000)))*(1+(mason_bonus*Construction!BB124/Construction!BS124))+IF(Overview!$B$14="Beastfolk",Construction!DE124/Construction!E124)*(1 + Production!O124/100*prestige_pop_multiplier)</f>
        <v>0</v>
      </c>
      <c r="AF124" s="56">
        <f ca="1">(1+Overview!$O$28+IF(Magic!BA124&gt;0,0.1,0))*SUM(AR124:AU124)</f>
        <v>0</v>
      </c>
      <c r="AG124" s="26">
        <f ca="1">(1+Overview!$O$28+IF(Magic!BA124&gt;0,0.1,0))*SUM(AW124:AZ124)</f>
        <v>0</v>
      </c>
      <c r="AH124" s="164">
        <f ca="1">(1+Overview!$O$28+IF(Magic!BA124&gt;0,0.1,0))*SUM(BB124:BE124)</f>
        <v>0</v>
      </c>
      <c r="AI124" s="164">
        <f ca="1">(1+Overview!$O$28+IF(Magic!BA124&gt;0,0.1,0))*SUM(BG124:BJ124)</f>
        <v>0</v>
      </c>
      <c r="AJ124" s="164">
        <f ca="1">(1+Overview!$O$28+IF(Magic!BA124&gt;0,0.1,0))*SUM(BL124:BO124)</f>
        <v>0</v>
      </c>
      <c r="AK124" s="166">
        <f ca="1">(1+Overview!$O$28+IF(Magic!BA124&gt;0,0.1,0))*SUM(BQ124:BT124)</f>
        <v>0</v>
      </c>
      <c r="AM124" s="52">
        <f t="shared" si="87"/>
        <v>0</v>
      </c>
      <c r="AN124" s="16">
        <f t="shared" si="87"/>
        <v>0</v>
      </c>
      <c r="AO124" s="16">
        <f t="shared" si="87"/>
        <v>0</v>
      </c>
      <c r="AP124" s="53">
        <f t="shared" si="87"/>
        <v>0</v>
      </c>
      <c r="AR124" s="56">
        <f t="shared" si="59"/>
        <v>0</v>
      </c>
      <c r="AS124" s="26">
        <f t="shared" si="88"/>
        <v>0</v>
      </c>
      <c r="AT124" s="26">
        <f t="shared" si="88"/>
        <v>0</v>
      </c>
      <c r="AU124" s="57">
        <f t="shared" si="60"/>
        <v>0</v>
      </c>
      <c r="AW124" s="56">
        <f t="shared" si="61"/>
        <v>0</v>
      </c>
      <c r="AX124" s="26">
        <f t="shared" si="89"/>
        <v>0</v>
      </c>
      <c r="AY124" s="26">
        <f t="shared" si="89"/>
        <v>0</v>
      </c>
      <c r="AZ124" s="57">
        <f t="shared" si="62"/>
        <v>0</v>
      </c>
      <c r="BB124" s="56">
        <f t="shared" si="63"/>
        <v>0</v>
      </c>
      <c r="BC124" s="26">
        <f t="shared" si="64"/>
        <v>0</v>
      </c>
      <c r="BD124" s="26">
        <f t="shared" si="86"/>
        <v>0</v>
      </c>
      <c r="BE124" s="57">
        <f t="shared" si="65"/>
        <v>0</v>
      </c>
      <c r="BG124" s="56">
        <f t="shared" si="66"/>
        <v>0</v>
      </c>
      <c r="BH124" s="26">
        <f t="shared" si="90"/>
        <v>0</v>
      </c>
      <c r="BI124" s="26">
        <f t="shared" si="90"/>
        <v>0</v>
      </c>
      <c r="BJ124" s="57">
        <f t="shared" si="67"/>
        <v>0</v>
      </c>
      <c r="BL124" s="56">
        <f t="shared" si="68"/>
        <v>0</v>
      </c>
      <c r="BM124" s="26">
        <f t="shared" si="91"/>
        <v>0</v>
      </c>
      <c r="BN124" s="26">
        <f t="shared" si="91"/>
        <v>0</v>
      </c>
      <c r="BO124" s="57">
        <f t="shared" si="69"/>
        <v>0</v>
      </c>
      <c r="BQ124" s="56">
        <f t="shared" si="70"/>
        <v>0</v>
      </c>
      <c r="BR124" s="26">
        <f t="shared" si="92"/>
        <v>0</v>
      </c>
      <c r="BS124" s="26">
        <f t="shared" si="92"/>
        <v>0</v>
      </c>
      <c r="BT124" s="57">
        <f t="shared" si="71"/>
        <v>0</v>
      </c>
      <c r="BV124" s="52" t="e">
        <f>OR(Production!C124,Construction!N124:'Construction'!AF124,Construction!BV124:CN124,Explore!S124:Z124,Military!AF124:AL124,Military!X124,Military!BE124:BL124,Rezone!L124:R124,Magic!G124:Q124)</f>
        <v>#VALUE!</v>
      </c>
      <c r="BW124" s="527">
        <f t="shared" si="72"/>
        <v>0</v>
      </c>
      <c r="BX124" s="527"/>
      <c r="BY124" s="557">
        <f t="shared" si="82"/>
        <v>43697.041666666373</v>
      </c>
      <c r="BZ124" s="565">
        <f t="shared" si="74"/>
        <v>43696.874999999709</v>
      </c>
      <c r="CA124" s="529"/>
      <c r="CB124" s="807"/>
      <c r="CC124" s="812"/>
    </row>
    <row r="125" spans="1:81" s="16" customFormat="1">
      <c r="A125" s="513">
        <f>Construction!E125</f>
        <v>1000</v>
      </c>
      <c r="C125" s="56">
        <f ca="1">Production!H125</f>
        <v>4246933</v>
      </c>
      <c r="D125" s="26">
        <f ca="1">Production!J125</f>
        <v>265371</v>
      </c>
      <c r="E125" s="26">
        <f ca="1">Production!L125</f>
        <v>231000</v>
      </c>
      <c r="F125" s="57">
        <f ca="1">Production!M125</f>
        <v>20000</v>
      </c>
      <c r="G125" s="26"/>
      <c r="H125" s="56">
        <f ca="1">Military!Z125</f>
        <v>3695</v>
      </c>
      <c r="I125" s="540">
        <f ca="1">Population!I125</f>
        <v>1</v>
      </c>
      <c r="J125" s="165">
        <f ca="1">Population!F125/Population!U125</f>
        <v>1</v>
      </c>
      <c r="K125" s="1005">
        <f>Rezone!J125</f>
        <v>123</v>
      </c>
      <c r="L125" s="584">
        <f t="shared" si="85"/>
        <v>43697.083333333037</v>
      </c>
      <c r="M125" s="316">
        <f t="shared" si="83"/>
        <v>0</v>
      </c>
      <c r="N125" s="641">
        <f t="shared" si="58"/>
        <v>1000</v>
      </c>
      <c r="O125" s="423" t="s">
        <v>4</v>
      </c>
      <c r="P125" s="370"/>
      <c r="Q125" s="424" t="s">
        <v>223</v>
      </c>
      <c r="R125" s="423" t="s">
        <v>7</v>
      </c>
      <c r="S125" s="370"/>
      <c r="T125" s="425" t="s">
        <v>223</v>
      </c>
      <c r="U125" s="424" t="s">
        <v>3</v>
      </c>
      <c r="V125" s="370"/>
      <c r="W125" s="425" t="s">
        <v>223</v>
      </c>
      <c r="Y125" s="524">
        <f ca="1">science_cap*(1-EXP(-AF125/(science_param*($A126-Explore!$S126*20)+15000)))*(1+(mason_bonus*Construction!BB125/Construction!BS125))+IF(Overview!$B$14="Beastfolk",Construction!DA125/Construction!E125,0)*(1 + Production!O125/100*prestige_pop_multiplier)</f>
        <v>0</v>
      </c>
      <c r="Z125" s="284">
        <f ca="1">keep_cap*(1-EXP(-AG125/(keep_param*($A126-Explore!$S126*20)+15000)))*(1+(mason_bonus*Construction!BB125/Construction!BS125))+IF(Overview!$B$14="Beastfolk",Construction!DF125/Construction!E125,0)*(1 + Production!O125/100*prestige_pop_multiplier)</f>
        <v>0</v>
      </c>
      <c r="AA125" s="284">
        <f ca="1">harbor_towers_cap*(1-EXP(-AH125/(harbor_towers_param*($A126-Explore!$S126*20)+15000)))*(1+(mason_bonus*Construction!BB125/Construction!BS125))+IF(Overview!$B$14="Beastfolk",2*Construction!DC125/Construction!E125,0)*(1 + Production!O125/100*prestige_pop_multiplier)</f>
        <v>0</v>
      </c>
      <c r="AB125" s="284">
        <f ca="1">walls_forges_cap*(1-EXP(-AI125/(walls_forges_param*($A126-Explore!$S126*20)+15000)))*(1+(mason_bonus*Construction!BB125/Construction!BS125))+IF(Overview!$B$14="Beastfolk",0.2*Construction!CY125/Construction!E125,0)</f>
        <v>0</v>
      </c>
      <c r="AC125" s="284">
        <f ca="1">walls_forges_cap*(1-EXP(-AJ125/(walls_forges_param*($A126-Explore!$S126*20)+15000)))*(1+(mason_bonus*Construction!BB125/Construction!BS125))+IF(Overview!$B$14="Beastfolk",5*Construction!DB125/Construction!E125,0)</f>
        <v>0</v>
      </c>
      <c r="AD125" s="97">
        <f ca="1">harbor_towers_cap*(1-EXP(-AK125/(harbor_towers_param*($A126-Explore!$S126*20)+15000)))*(1+(mason_bonus*Construction!BB125/Construction!BS125))+IF(Overview!$B$14="Beastfolk",Construction!DE125/Construction!E125)*(1 + Production!O125/100*prestige_pop_multiplier)</f>
        <v>0</v>
      </c>
      <c r="AF125" s="56">
        <f ca="1">(1+Overview!$O$28+IF(Magic!BA125&gt;0,0.1,0))*SUM(AR125:AU125)</f>
        <v>0</v>
      </c>
      <c r="AG125" s="26">
        <f ca="1">(1+Overview!$O$28+IF(Magic!BA125&gt;0,0.1,0))*SUM(AW125:AZ125)</f>
        <v>0</v>
      </c>
      <c r="AH125" s="164">
        <f ca="1">(1+Overview!$O$28+IF(Magic!BA125&gt;0,0.1,0))*SUM(BB125:BE125)</f>
        <v>0</v>
      </c>
      <c r="AI125" s="164">
        <f ca="1">(1+Overview!$O$28+IF(Magic!BA125&gt;0,0.1,0))*SUM(BG125:BJ125)</f>
        <v>0</v>
      </c>
      <c r="AJ125" s="164">
        <f ca="1">(1+Overview!$O$28+IF(Magic!BA125&gt;0,0.1,0))*SUM(BL125:BO125)</f>
        <v>0</v>
      </c>
      <c r="AK125" s="166">
        <f ca="1">(1+Overview!$O$28+IF(Magic!BA125&gt;0,0.1,0))*SUM(BQ125:BT125)</f>
        <v>0</v>
      </c>
      <c r="AM125" s="52">
        <f t="shared" si="87"/>
        <v>0</v>
      </c>
      <c r="AN125" s="16">
        <f t="shared" si="87"/>
        <v>0</v>
      </c>
      <c r="AO125" s="16">
        <f t="shared" si="87"/>
        <v>0</v>
      </c>
      <c r="AP125" s="53">
        <f t="shared" si="87"/>
        <v>0</v>
      </c>
      <c r="AR125" s="56">
        <f t="shared" si="59"/>
        <v>0</v>
      </c>
      <c r="AS125" s="26">
        <f t="shared" si="88"/>
        <v>0</v>
      </c>
      <c r="AT125" s="26">
        <f t="shared" si="88"/>
        <v>0</v>
      </c>
      <c r="AU125" s="57">
        <f t="shared" si="60"/>
        <v>0</v>
      </c>
      <c r="AW125" s="56">
        <f t="shared" si="61"/>
        <v>0</v>
      </c>
      <c r="AX125" s="26">
        <f t="shared" si="89"/>
        <v>0</v>
      </c>
      <c r="AY125" s="26">
        <f t="shared" si="89"/>
        <v>0</v>
      </c>
      <c r="AZ125" s="57">
        <f t="shared" si="62"/>
        <v>0</v>
      </c>
      <c r="BB125" s="56">
        <f t="shared" si="63"/>
        <v>0</v>
      </c>
      <c r="BC125" s="26">
        <f t="shared" si="64"/>
        <v>0</v>
      </c>
      <c r="BD125" s="26">
        <f t="shared" si="86"/>
        <v>0</v>
      </c>
      <c r="BE125" s="57">
        <f t="shared" si="65"/>
        <v>0</v>
      </c>
      <c r="BG125" s="56">
        <f t="shared" si="66"/>
        <v>0</v>
      </c>
      <c r="BH125" s="26">
        <f t="shared" si="90"/>
        <v>0</v>
      </c>
      <c r="BI125" s="26">
        <f t="shared" si="90"/>
        <v>0</v>
      </c>
      <c r="BJ125" s="57">
        <f t="shared" si="67"/>
        <v>0</v>
      </c>
      <c r="BL125" s="56">
        <f t="shared" si="68"/>
        <v>0</v>
      </c>
      <c r="BM125" s="26">
        <f t="shared" si="91"/>
        <v>0</v>
      </c>
      <c r="BN125" s="26">
        <f t="shared" si="91"/>
        <v>0</v>
      </c>
      <c r="BO125" s="57">
        <f t="shared" si="69"/>
        <v>0</v>
      </c>
      <c r="BQ125" s="56">
        <f t="shared" si="70"/>
        <v>0</v>
      </c>
      <c r="BR125" s="26">
        <f t="shared" si="92"/>
        <v>0</v>
      </c>
      <c r="BS125" s="26">
        <f t="shared" si="92"/>
        <v>0</v>
      </c>
      <c r="BT125" s="57">
        <f t="shared" si="71"/>
        <v>0</v>
      </c>
      <c r="BV125" s="52" t="e">
        <f>OR(Production!C125,Construction!N125:'Construction'!AF125,Construction!BV125:CN125,Explore!S125:Z125,Military!AF125:AL125,Military!X125,Military!BE125:BL125,Rezone!L125:R125,Magic!G125:Q125)</f>
        <v>#VALUE!</v>
      </c>
      <c r="BW125" s="527">
        <f t="shared" si="72"/>
        <v>0</v>
      </c>
      <c r="BX125" s="527"/>
      <c r="BY125" s="557">
        <f t="shared" si="82"/>
        <v>43697.083333333037</v>
      </c>
      <c r="BZ125" s="565">
        <f t="shared" si="74"/>
        <v>43696.916666666373</v>
      </c>
      <c r="CA125" s="529"/>
      <c r="CB125" s="807"/>
      <c r="CC125" s="812"/>
    </row>
    <row r="126" spans="1:81" s="16" customFormat="1">
      <c r="A126" s="513">
        <f>Construction!E126</f>
        <v>1000</v>
      </c>
      <c r="C126" s="56">
        <f ca="1">Production!H126</f>
        <v>4257584</v>
      </c>
      <c r="D126" s="26">
        <f ca="1">Production!J126</f>
        <v>265217</v>
      </c>
      <c r="E126" s="26">
        <f ca="1">Production!L126</f>
        <v>231000</v>
      </c>
      <c r="F126" s="57">
        <f ca="1">Production!M126</f>
        <v>20000</v>
      </c>
      <c r="G126" s="26"/>
      <c r="H126" s="56">
        <f ca="1">Military!Z126</f>
        <v>3695</v>
      </c>
      <c r="I126" s="540">
        <f ca="1">Population!I126</f>
        <v>1</v>
      </c>
      <c r="J126" s="165">
        <f ca="1">Population!F126/Population!U126</f>
        <v>1</v>
      </c>
      <c r="K126" s="1005">
        <f>Rezone!J126</f>
        <v>124</v>
      </c>
      <c r="L126" s="584">
        <f t="shared" si="85"/>
        <v>43697.124999999702</v>
      </c>
      <c r="M126" s="316">
        <f t="shared" si="83"/>
        <v>0</v>
      </c>
      <c r="N126" s="641">
        <f t="shared" si="58"/>
        <v>1000</v>
      </c>
      <c r="O126" s="423" t="s">
        <v>4</v>
      </c>
      <c r="P126" s="370"/>
      <c r="Q126" s="424" t="s">
        <v>223</v>
      </c>
      <c r="R126" s="423" t="s">
        <v>7</v>
      </c>
      <c r="S126" s="370"/>
      <c r="T126" s="425" t="s">
        <v>223</v>
      </c>
      <c r="U126" s="424" t="s">
        <v>3</v>
      </c>
      <c r="V126" s="370"/>
      <c r="W126" s="425" t="s">
        <v>223</v>
      </c>
      <c r="Y126" s="524">
        <f ca="1">science_cap*(1-EXP(-AF126/(science_param*($A127-Explore!$S127*20)+15000)))*(1+(mason_bonus*Construction!BB126/Construction!BS126))+IF(Overview!$B$14="Beastfolk",Construction!DA126/Construction!E126,0)*(1 + Production!O126/100*prestige_pop_multiplier)</f>
        <v>0</v>
      </c>
      <c r="Z126" s="284">
        <f ca="1">keep_cap*(1-EXP(-AG126/(keep_param*($A127-Explore!$S127*20)+15000)))*(1+(mason_bonus*Construction!BB126/Construction!BS126))+IF(Overview!$B$14="Beastfolk",Construction!DF126/Construction!E126,0)*(1 + Production!O126/100*prestige_pop_multiplier)</f>
        <v>0</v>
      </c>
      <c r="AA126" s="284">
        <f ca="1">harbor_towers_cap*(1-EXP(-AH126/(harbor_towers_param*($A127-Explore!$S127*20)+15000)))*(1+(mason_bonus*Construction!BB126/Construction!BS126))+IF(Overview!$B$14="Beastfolk",2*Construction!DC126/Construction!E126,0)*(1 + Production!O126/100*prestige_pop_multiplier)</f>
        <v>0</v>
      </c>
      <c r="AB126" s="284">
        <f ca="1">walls_forges_cap*(1-EXP(-AI126/(walls_forges_param*($A127-Explore!$S127*20)+15000)))*(1+(mason_bonus*Construction!BB126/Construction!BS126))+IF(Overview!$B$14="Beastfolk",0.2*Construction!CY126/Construction!E126,0)</f>
        <v>0</v>
      </c>
      <c r="AC126" s="284">
        <f ca="1">walls_forges_cap*(1-EXP(-AJ126/(walls_forges_param*($A127-Explore!$S127*20)+15000)))*(1+(mason_bonus*Construction!BB126/Construction!BS126))+IF(Overview!$B$14="Beastfolk",5*Construction!DB126/Construction!E126,0)</f>
        <v>0</v>
      </c>
      <c r="AD126" s="97">
        <f ca="1">harbor_towers_cap*(1-EXP(-AK126/(harbor_towers_param*($A127-Explore!$S127*20)+15000)))*(1+(mason_bonus*Construction!BB126/Construction!BS126))+IF(Overview!$B$14="Beastfolk",Construction!DE126/Construction!E126)*(1 + Production!O126/100*prestige_pop_multiplier)</f>
        <v>0</v>
      </c>
      <c r="AF126" s="56">
        <f ca="1">(1+Overview!$O$28+IF(Magic!BA126&gt;0,0.1,0))*SUM(AR126:AU126)</f>
        <v>0</v>
      </c>
      <c r="AG126" s="26">
        <f ca="1">(1+Overview!$O$28+IF(Magic!BA126&gt;0,0.1,0))*SUM(AW126:AZ126)</f>
        <v>0</v>
      </c>
      <c r="AH126" s="164">
        <f ca="1">(1+Overview!$O$28+IF(Magic!BA126&gt;0,0.1,0))*SUM(BB126:BE126)</f>
        <v>0</v>
      </c>
      <c r="AI126" s="164">
        <f ca="1">(1+Overview!$O$28+IF(Magic!BA126&gt;0,0.1,0))*SUM(BG126:BJ126)</f>
        <v>0</v>
      </c>
      <c r="AJ126" s="164">
        <f ca="1">(1+Overview!$O$28+IF(Magic!BA126&gt;0,0.1,0))*SUM(BL126:BO126)</f>
        <v>0</v>
      </c>
      <c r="AK126" s="166">
        <f ca="1">(1+Overview!$O$28+IF(Magic!BA126&gt;0,0.1,0))*SUM(BQ126:BT126)</f>
        <v>0</v>
      </c>
      <c r="AM126" s="52">
        <f t="shared" si="87"/>
        <v>0</v>
      </c>
      <c r="AN126" s="16">
        <f t="shared" si="87"/>
        <v>0</v>
      </c>
      <c r="AO126" s="16">
        <f t="shared" si="87"/>
        <v>0</v>
      </c>
      <c r="AP126" s="53">
        <f t="shared" si="87"/>
        <v>0</v>
      </c>
      <c r="AR126" s="56">
        <f t="shared" si="59"/>
        <v>0</v>
      </c>
      <c r="AS126" s="26">
        <f t="shared" si="88"/>
        <v>0</v>
      </c>
      <c r="AT126" s="26">
        <f t="shared" si="88"/>
        <v>0</v>
      </c>
      <c r="AU126" s="57">
        <f t="shared" si="60"/>
        <v>0</v>
      </c>
      <c r="AW126" s="56">
        <f t="shared" si="61"/>
        <v>0</v>
      </c>
      <c r="AX126" s="26">
        <f t="shared" si="89"/>
        <v>0</v>
      </c>
      <c r="AY126" s="26">
        <f t="shared" si="89"/>
        <v>0</v>
      </c>
      <c r="AZ126" s="57">
        <f t="shared" si="62"/>
        <v>0</v>
      </c>
      <c r="BB126" s="56">
        <f t="shared" si="63"/>
        <v>0</v>
      </c>
      <c r="BC126" s="26">
        <f t="shared" si="64"/>
        <v>0</v>
      </c>
      <c r="BD126" s="26">
        <f t="shared" si="86"/>
        <v>0</v>
      </c>
      <c r="BE126" s="57">
        <f t="shared" si="65"/>
        <v>0</v>
      </c>
      <c r="BG126" s="56">
        <f t="shared" si="66"/>
        <v>0</v>
      </c>
      <c r="BH126" s="26">
        <f t="shared" si="90"/>
        <v>0</v>
      </c>
      <c r="BI126" s="26">
        <f t="shared" si="90"/>
        <v>0</v>
      </c>
      <c r="BJ126" s="57">
        <f t="shared" si="67"/>
        <v>0</v>
      </c>
      <c r="BL126" s="56">
        <f t="shared" si="68"/>
        <v>0</v>
      </c>
      <c r="BM126" s="26">
        <f t="shared" si="91"/>
        <v>0</v>
      </c>
      <c r="BN126" s="26">
        <f t="shared" si="91"/>
        <v>0</v>
      </c>
      <c r="BO126" s="57">
        <f t="shared" si="69"/>
        <v>0</v>
      </c>
      <c r="BQ126" s="56">
        <f t="shared" si="70"/>
        <v>0</v>
      </c>
      <c r="BR126" s="26">
        <f t="shared" si="92"/>
        <v>0</v>
      </c>
      <c r="BS126" s="26">
        <f t="shared" si="92"/>
        <v>0</v>
      </c>
      <c r="BT126" s="57">
        <f t="shared" si="71"/>
        <v>0</v>
      </c>
      <c r="BV126" s="52" t="e">
        <f>OR(Production!C126,Construction!N126:'Construction'!AF126,Construction!BV126:CN126,Explore!S126:Z126,Military!AF126:AL126,Military!X126,Military!BE126:BL126,Rezone!L126:R126,Magic!G126:Q126)</f>
        <v>#VALUE!</v>
      </c>
      <c r="BW126" s="527">
        <f t="shared" si="72"/>
        <v>0</v>
      </c>
      <c r="BX126" s="527"/>
      <c r="BY126" s="557">
        <f t="shared" si="82"/>
        <v>43697.124999999702</v>
      </c>
      <c r="BZ126" s="565">
        <f t="shared" si="74"/>
        <v>43696.958333333037</v>
      </c>
      <c r="CA126" s="529"/>
      <c r="CB126" s="807"/>
      <c r="CC126" s="812"/>
    </row>
    <row r="127" spans="1:81" s="16" customFormat="1">
      <c r="A127" s="513">
        <f>Construction!E127</f>
        <v>1000</v>
      </c>
      <c r="C127" s="56">
        <f ca="1">Production!H127</f>
        <v>4268235</v>
      </c>
      <c r="D127" s="26">
        <f ca="1">Production!J127</f>
        <v>265065</v>
      </c>
      <c r="E127" s="26">
        <f ca="1">Production!L127</f>
        <v>231000</v>
      </c>
      <c r="F127" s="57">
        <f ca="1">Production!M127</f>
        <v>20000</v>
      </c>
      <c r="G127" s="26"/>
      <c r="H127" s="56">
        <f ca="1">Military!Z127</f>
        <v>3695</v>
      </c>
      <c r="I127" s="540">
        <f ca="1">Population!I127</f>
        <v>1</v>
      </c>
      <c r="J127" s="165">
        <f ca="1">Population!F127/Population!U127</f>
        <v>1</v>
      </c>
      <c r="K127" s="1005">
        <f>Rezone!J127</f>
        <v>125</v>
      </c>
      <c r="L127" s="584">
        <f t="shared" si="85"/>
        <v>43697.166666666366</v>
      </c>
      <c r="M127" s="316">
        <f t="shared" si="83"/>
        <v>0</v>
      </c>
      <c r="N127" s="641">
        <f t="shared" si="58"/>
        <v>1000</v>
      </c>
      <c r="O127" s="423" t="s">
        <v>4</v>
      </c>
      <c r="P127" s="370"/>
      <c r="Q127" s="424" t="s">
        <v>223</v>
      </c>
      <c r="R127" s="423" t="s">
        <v>7</v>
      </c>
      <c r="S127" s="370"/>
      <c r="T127" s="425" t="s">
        <v>223</v>
      </c>
      <c r="U127" s="424" t="s">
        <v>3</v>
      </c>
      <c r="V127" s="370"/>
      <c r="W127" s="425" t="s">
        <v>223</v>
      </c>
      <c r="Y127" s="524">
        <f ca="1">science_cap*(1-EXP(-AF127/(science_param*($A128-Explore!$S128*20)+15000)))*(1+(mason_bonus*Construction!BB127/Construction!BS127))+IF(Overview!$B$14="Beastfolk",Construction!DA127/Construction!E127,0)*(1 + Production!O127/100*prestige_pop_multiplier)</f>
        <v>0</v>
      </c>
      <c r="Z127" s="284">
        <f ca="1">keep_cap*(1-EXP(-AG127/(keep_param*($A128-Explore!$S128*20)+15000)))*(1+(mason_bonus*Construction!BB127/Construction!BS127))+IF(Overview!$B$14="Beastfolk",Construction!DF127/Construction!E127,0)*(1 + Production!O127/100*prestige_pop_multiplier)</f>
        <v>0</v>
      </c>
      <c r="AA127" s="284">
        <f ca="1">harbor_towers_cap*(1-EXP(-AH127/(harbor_towers_param*($A128-Explore!$S128*20)+15000)))*(1+(mason_bonus*Construction!BB127/Construction!BS127))+IF(Overview!$B$14="Beastfolk",2*Construction!DC127/Construction!E127,0)*(1 + Production!O127/100*prestige_pop_multiplier)</f>
        <v>0</v>
      </c>
      <c r="AB127" s="284">
        <f ca="1">walls_forges_cap*(1-EXP(-AI127/(walls_forges_param*($A128-Explore!$S128*20)+15000)))*(1+(mason_bonus*Construction!BB127/Construction!BS127))+IF(Overview!$B$14="Beastfolk",0.2*Construction!CY127/Construction!E127,0)</f>
        <v>0</v>
      </c>
      <c r="AC127" s="284">
        <f ca="1">walls_forges_cap*(1-EXP(-AJ127/(walls_forges_param*($A128-Explore!$S128*20)+15000)))*(1+(mason_bonus*Construction!BB127/Construction!BS127))+IF(Overview!$B$14="Beastfolk",5*Construction!DB127/Construction!E127,0)</f>
        <v>0</v>
      </c>
      <c r="AD127" s="97">
        <f ca="1">harbor_towers_cap*(1-EXP(-AK127/(harbor_towers_param*($A128-Explore!$S128*20)+15000)))*(1+(mason_bonus*Construction!BB127/Construction!BS127))+IF(Overview!$B$14="Beastfolk",Construction!DE127/Construction!E127)*(1 + Production!O127/100*prestige_pop_multiplier)</f>
        <v>0</v>
      </c>
      <c r="AF127" s="56">
        <f ca="1">(1+Overview!$O$28+IF(Magic!BA127&gt;0,0.1,0))*SUM(AR127:AU127)</f>
        <v>0</v>
      </c>
      <c r="AG127" s="26">
        <f ca="1">(1+Overview!$O$28+IF(Magic!BA127&gt;0,0.1,0))*SUM(AW127:AZ127)</f>
        <v>0</v>
      </c>
      <c r="AH127" s="164">
        <f ca="1">(1+Overview!$O$28+IF(Magic!BA127&gt;0,0.1,0))*SUM(BB127:BE127)</f>
        <v>0</v>
      </c>
      <c r="AI127" s="164">
        <f ca="1">(1+Overview!$O$28+IF(Magic!BA127&gt;0,0.1,0))*SUM(BG127:BJ127)</f>
        <v>0</v>
      </c>
      <c r="AJ127" s="164">
        <f ca="1">(1+Overview!$O$28+IF(Magic!BA127&gt;0,0.1,0))*SUM(BL127:BO127)</f>
        <v>0</v>
      </c>
      <c r="AK127" s="166">
        <f ca="1">(1+Overview!$O$28+IF(Magic!BA127&gt;0,0.1,0))*SUM(BQ127:BT127)</f>
        <v>0</v>
      </c>
      <c r="AM127" s="52">
        <f t="shared" si="87"/>
        <v>0</v>
      </c>
      <c r="AN127" s="16">
        <f t="shared" si="87"/>
        <v>0</v>
      </c>
      <c r="AO127" s="16">
        <f t="shared" si="87"/>
        <v>0</v>
      </c>
      <c r="AP127" s="53">
        <f t="shared" si="87"/>
        <v>0</v>
      </c>
      <c r="AR127" s="56">
        <f t="shared" si="59"/>
        <v>0</v>
      </c>
      <c r="AS127" s="26">
        <f t="shared" si="88"/>
        <v>0</v>
      </c>
      <c r="AT127" s="26">
        <f t="shared" si="88"/>
        <v>0</v>
      </c>
      <c r="AU127" s="57">
        <f t="shared" si="60"/>
        <v>0</v>
      </c>
      <c r="AW127" s="56">
        <f t="shared" si="61"/>
        <v>0</v>
      </c>
      <c r="AX127" s="26">
        <f t="shared" si="89"/>
        <v>0</v>
      </c>
      <c r="AY127" s="26">
        <f t="shared" si="89"/>
        <v>0</v>
      </c>
      <c r="AZ127" s="57">
        <f t="shared" si="62"/>
        <v>0</v>
      </c>
      <c r="BB127" s="56">
        <f t="shared" si="63"/>
        <v>0</v>
      </c>
      <c r="BC127" s="26">
        <f t="shared" si="64"/>
        <v>0</v>
      </c>
      <c r="BD127" s="26">
        <f t="shared" si="86"/>
        <v>0</v>
      </c>
      <c r="BE127" s="57">
        <f t="shared" si="65"/>
        <v>0</v>
      </c>
      <c r="BG127" s="56">
        <f t="shared" si="66"/>
        <v>0</v>
      </c>
      <c r="BH127" s="26">
        <f t="shared" si="90"/>
        <v>0</v>
      </c>
      <c r="BI127" s="26">
        <f t="shared" si="90"/>
        <v>0</v>
      </c>
      <c r="BJ127" s="57">
        <f t="shared" si="67"/>
        <v>0</v>
      </c>
      <c r="BL127" s="56">
        <f t="shared" si="68"/>
        <v>0</v>
      </c>
      <c r="BM127" s="26">
        <f t="shared" si="91"/>
        <v>0</v>
      </c>
      <c r="BN127" s="26">
        <f t="shared" si="91"/>
        <v>0</v>
      </c>
      <c r="BO127" s="57">
        <f t="shared" si="69"/>
        <v>0</v>
      </c>
      <c r="BQ127" s="56">
        <f t="shared" si="70"/>
        <v>0</v>
      </c>
      <c r="BR127" s="26">
        <f t="shared" si="92"/>
        <v>0</v>
      </c>
      <c r="BS127" s="26">
        <f t="shared" si="92"/>
        <v>0</v>
      </c>
      <c r="BT127" s="57">
        <f t="shared" si="71"/>
        <v>0</v>
      </c>
      <c r="BV127" s="52" t="e">
        <f>OR(Production!C127,Construction!N127:'Construction'!AF127,Construction!BV127:CN127,Explore!S127:Z127,Military!AF127:AL127,Military!X127,Military!BE127:BL127,Rezone!L127:R127,Magic!G127:Q127)</f>
        <v>#VALUE!</v>
      </c>
      <c r="BW127" s="527">
        <f t="shared" si="72"/>
        <v>0</v>
      </c>
      <c r="BX127" s="527"/>
      <c r="BY127" s="557">
        <f t="shared" si="82"/>
        <v>43697.166666666366</v>
      </c>
      <c r="BZ127" s="565">
        <f t="shared" si="74"/>
        <v>43696.999999999702</v>
      </c>
      <c r="CA127" s="529"/>
      <c r="CB127" s="807"/>
      <c r="CC127" s="812"/>
    </row>
    <row r="128" spans="1:81" s="16" customFormat="1">
      <c r="A128" s="513">
        <f>Construction!E128</f>
        <v>1000</v>
      </c>
      <c r="C128" s="56">
        <f ca="1">Production!H128</f>
        <v>4278886</v>
      </c>
      <c r="D128" s="26">
        <f ca="1">Production!J128</f>
        <v>264914</v>
      </c>
      <c r="E128" s="26">
        <f ca="1">Production!L128</f>
        <v>231000</v>
      </c>
      <c r="F128" s="57">
        <f ca="1">Production!M128</f>
        <v>20000</v>
      </c>
      <c r="G128" s="26"/>
      <c r="H128" s="56">
        <f ca="1">Military!Z128</f>
        <v>3695</v>
      </c>
      <c r="I128" s="540">
        <f ca="1">Population!I128</f>
        <v>1</v>
      </c>
      <c r="J128" s="165">
        <f ca="1">Population!F128/Population!U128</f>
        <v>1</v>
      </c>
      <c r="K128" s="1005">
        <f>Rezone!J128</f>
        <v>126</v>
      </c>
      <c r="L128" s="584">
        <f t="shared" si="85"/>
        <v>43697.20833333303</v>
      </c>
      <c r="M128" s="316">
        <f t="shared" si="83"/>
        <v>0</v>
      </c>
      <c r="N128" s="641">
        <f t="shared" si="58"/>
        <v>1000</v>
      </c>
      <c r="O128" s="423" t="s">
        <v>4</v>
      </c>
      <c r="P128" s="370"/>
      <c r="Q128" s="424" t="s">
        <v>223</v>
      </c>
      <c r="R128" s="423" t="s">
        <v>7</v>
      </c>
      <c r="S128" s="370"/>
      <c r="T128" s="425" t="s">
        <v>223</v>
      </c>
      <c r="U128" s="424" t="s">
        <v>3</v>
      </c>
      <c r="V128" s="370"/>
      <c r="W128" s="425" t="s">
        <v>223</v>
      </c>
      <c r="Y128" s="524">
        <f ca="1">science_cap*(1-EXP(-AF128/(science_param*($A129-Explore!$S129*20)+15000)))*(1+(mason_bonus*Construction!BB128/Construction!BS128))+IF(Overview!$B$14="Beastfolk",Construction!DA128/Construction!E128,0)*(1 + Production!O128/100*prestige_pop_multiplier)</f>
        <v>0</v>
      </c>
      <c r="Z128" s="284">
        <f ca="1">keep_cap*(1-EXP(-AG128/(keep_param*($A129-Explore!$S129*20)+15000)))*(1+(mason_bonus*Construction!BB128/Construction!BS128))+IF(Overview!$B$14="Beastfolk",Construction!DF128/Construction!E128,0)*(1 + Production!O128/100*prestige_pop_multiplier)</f>
        <v>0</v>
      </c>
      <c r="AA128" s="284">
        <f ca="1">harbor_towers_cap*(1-EXP(-AH128/(harbor_towers_param*($A129-Explore!$S129*20)+15000)))*(1+(mason_bonus*Construction!BB128/Construction!BS128))+IF(Overview!$B$14="Beastfolk",2*Construction!DC128/Construction!E128,0)*(1 + Production!O128/100*prestige_pop_multiplier)</f>
        <v>0</v>
      </c>
      <c r="AB128" s="284">
        <f ca="1">walls_forges_cap*(1-EXP(-AI128/(walls_forges_param*($A129-Explore!$S129*20)+15000)))*(1+(mason_bonus*Construction!BB128/Construction!BS128))+IF(Overview!$B$14="Beastfolk",0.2*Construction!CY128/Construction!E128,0)</f>
        <v>0</v>
      </c>
      <c r="AC128" s="284">
        <f ca="1">walls_forges_cap*(1-EXP(-AJ128/(walls_forges_param*($A129-Explore!$S129*20)+15000)))*(1+(mason_bonus*Construction!BB128/Construction!BS128))+IF(Overview!$B$14="Beastfolk",5*Construction!DB128/Construction!E128,0)</f>
        <v>0</v>
      </c>
      <c r="AD128" s="97">
        <f ca="1">harbor_towers_cap*(1-EXP(-AK128/(harbor_towers_param*($A129-Explore!$S129*20)+15000)))*(1+(mason_bonus*Construction!BB128/Construction!BS128))+IF(Overview!$B$14="Beastfolk",Construction!DE128/Construction!E128)*(1 + Production!O128/100*prestige_pop_multiplier)</f>
        <v>0</v>
      </c>
      <c r="AF128" s="56">
        <f ca="1">(1+Overview!$O$28+IF(Magic!BA128&gt;0,0.1,0))*SUM(AR128:AU128)</f>
        <v>0</v>
      </c>
      <c r="AG128" s="26">
        <f ca="1">(1+Overview!$O$28+IF(Magic!BA128&gt;0,0.1,0))*SUM(AW128:AZ128)</f>
        <v>0</v>
      </c>
      <c r="AH128" s="164">
        <f ca="1">(1+Overview!$O$28+IF(Magic!BA128&gt;0,0.1,0))*SUM(BB128:BE128)</f>
        <v>0</v>
      </c>
      <c r="AI128" s="164">
        <f ca="1">(1+Overview!$O$28+IF(Magic!BA128&gt;0,0.1,0))*SUM(BG128:BJ128)</f>
        <v>0</v>
      </c>
      <c r="AJ128" s="164">
        <f ca="1">(1+Overview!$O$28+IF(Magic!BA128&gt;0,0.1,0))*SUM(BL128:BO128)</f>
        <v>0</v>
      </c>
      <c r="AK128" s="166">
        <f ca="1">(1+Overview!$O$28+IF(Magic!BA128&gt;0,0.1,0))*SUM(BQ128:BT128)</f>
        <v>0</v>
      </c>
      <c r="AM128" s="52">
        <f t="shared" si="87"/>
        <v>0</v>
      </c>
      <c r="AN128" s="16">
        <f t="shared" si="87"/>
        <v>0</v>
      </c>
      <c r="AO128" s="16">
        <f t="shared" si="87"/>
        <v>0</v>
      </c>
      <c r="AP128" s="53">
        <f t="shared" si="87"/>
        <v>0</v>
      </c>
      <c r="AR128" s="56">
        <f t="shared" si="59"/>
        <v>0</v>
      </c>
      <c r="AS128" s="26">
        <f t="shared" si="88"/>
        <v>0</v>
      </c>
      <c r="AT128" s="26">
        <f t="shared" si="88"/>
        <v>0</v>
      </c>
      <c r="AU128" s="57">
        <f t="shared" si="60"/>
        <v>0</v>
      </c>
      <c r="AW128" s="56">
        <f t="shared" si="61"/>
        <v>0</v>
      </c>
      <c r="AX128" s="26">
        <f t="shared" si="89"/>
        <v>0</v>
      </c>
      <c r="AY128" s="26">
        <f t="shared" si="89"/>
        <v>0</v>
      </c>
      <c r="AZ128" s="57">
        <f t="shared" si="62"/>
        <v>0</v>
      </c>
      <c r="BB128" s="56">
        <f t="shared" si="63"/>
        <v>0</v>
      </c>
      <c r="BC128" s="26">
        <f t="shared" si="64"/>
        <v>0</v>
      </c>
      <c r="BD128" s="26">
        <f t="shared" si="86"/>
        <v>0</v>
      </c>
      <c r="BE128" s="57">
        <f t="shared" si="65"/>
        <v>0</v>
      </c>
      <c r="BG128" s="56">
        <f t="shared" si="66"/>
        <v>0</v>
      </c>
      <c r="BH128" s="26">
        <f t="shared" si="90"/>
        <v>0</v>
      </c>
      <c r="BI128" s="26">
        <f t="shared" si="90"/>
        <v>0</v>
      </c>
      <c r="BJ128" s="57">
        <f t="shared" si="67"/>
        <v>0</v>
      </c>
      <c r="BL128" s="56">
        <f t="shared" si="68"/>
        <v>0</v>
      </c>
      <c r="BM128" s="26">
        <f t="shared" si="91"/>
        <v>0</v>
      </c>
      <c r="BN128" s="26">
        <f t="shared" si="91"/>
        <v>0</v>
      </c>
      <c r="BO128" s="57">
        <f t="shared" si="69"/>
        <v>0</v>
      </c>
      <c r="BQ128" s="56">
        <f t="shared" si="70"/>
        <v>0</v>
      </c>
      <c r="BR128" s="26">
        <f t="shared" si="92"/>
        <v>0</v>
      </c>
      <c r="BS128" s="26">
        <f t="shared" si="92"/>
        <v>0</v>
      </c>
      <c r="BT128" s="57">
        <f t="shared" si="71"/>
        <v>0</v>
      </c>
      <c r="BV128" s="52" t="e">
        <f>OR(Production!C128,Construction!N128:'Construction'!AF128,Construction!BV128:CN128,Explore!S128:Z128,Military!AF128:AL128,Military!X128,Military!BE128:BL128,Rezone!L128:R128,Magic!G128:Q128)</f>
        <v>#VALUE!</v>
      </c>
      <c r="BW128" s="527">
        <f t="shared" si="72"/>
        <v>0</v>
      </c>
      <c r="BX128" s="527"/>
      <c r="BY128" s="557">
        <f t="shared" si="82"/>
        <v>43697.20833333303</v>
      </c>
      <c r="BZ128" s="565">
        <f t="shared" si="74"/>
        <v>43697.041666666366</v>
      </c>
      <c r="CA128" s="529"/>
      <c r="CB128" s="807"/>
      <c r="CC128" s="812"/>
    </row>
    <row r="129" spans="1:81" s="16" customFormat="1">
      <c r="A129" s="513">
        <f>Construction!E129</f>
        <v>1000</v>
      </c>
      <c r="C129" s="56">
        <f ca="1">Production!H129</f>
        <v>4289537</v>
      </c>
      <c r="D129" s="26">
        <f ca="1">Production!J129</f>
        <v>264765</v>
      </c>
      <c r="E129" s="26">
        <f ca="1">Production!L129</f>
        <v>231000</v>
      </c>
      <c r="F129" s="57">
        <f ca="1">Production!M129</f>
        <v>20000</v>
      </c>
      <c r="G129" s="26"/>
      <c r="H129" s="56">
        <f ca="1">Military!Z129</f>
        <v>3695</v>
      </c>
      <c r="I129" s="540">
        <f ca="1">Population!I129</f>
        <v>1</v>
      </c>
      <c r="J129" s="165">
        <f ca="1">Population!F129/Population!U129</f>
        <v>1</v>
      </c>
      <c r="K129" s="1005">
        <f>Rezone!J129</f>
        <v>127</v>
      </c>
      <c r="L129" s="584">
        <f t="shared" si="85"/>
        <v>43697.249999999694</v>
      </c>
      <c r="M129" s="316">
        <f t="shared" si="83"/>
        <v>0</v>
      </c>
      <c r="N129" s="641">
        <f t="shared" si="58"/>
        <v>1000</v>
      </c>
      <c r="O129" s="423" t="s">
        <v>4</v>
      </c>
      <c r="P129" s="370"/>
      <c r="Q129" s="424" t="s">
        <v>223</v>
      </c>
      <c r="R129" s="423" t="s">
        <v>7</v>
      </c>
      <c r="S129" s="370"/>
      <c r="T129" s="425" t="s">
        <v>223</v>
      </c>
      <c r="U129" s="424" t="s">
        <v>3</v>
      </c>
      <c r="V129" s="370"/>
      <c r="W129" s="425" t="s">
        <v>223</v>
      </c>
      <c r="Y129" s="524">
        <f ca="1">science_cap*(1-EXP(-AF129/(science_param*($A130-Explore!$S130*20)+15000)))*(1+(mason_bonus*Construction!BB129/Construction!BS129))+IF(Overview!$B$14="Beastfolk",Construction!DA129/Construction!E129,0)*(1 + Production!O129/100*prestige_pop_multiplier)</f>
        <v>0</v>
      </c>
      <c r="Z129" s="284">
        <f ca="1">keep_cap*(1-EXP(-AG129/(keep_param*($A130-Explore!$S130*20)+15000)))*(1+(mason_bonus*Construction!BB129/Construction!BS129))+IF(Overview!$B$14="Beastfolk",Construction!DF129/Construction!E129,0)*(1 + Production!O129/100*prestige_pop_multiplier)</f>
        <v>0</v>
      </c>
      <c r="AA129" s="284">
        <f ca="1">harbor_towers_cap*(1-EXP(-AH129/(harbor_towers_param*($A130-Explore!$S130*20)+15000)))*(1+(mason_bonus*Construction!BB129/Construction!BS129))+IF(Overview!$B$14="Beastfolk",2*Construction!DC129/Construction!E129,0)*(1 + Production!O129/100*prestige_pop_multiplier)</f>
        <v>0</v>
      </c>
      <c r="AB129" s="284">
        <f ca="1">walls_forges_cap*(1-EXP(-AI129/(walls_forges_param*($A130-Explore!$S130*20)+15000)))*(1+(mason_bonus*Construction!BB129/Construction!BS129))+IF(Overview!$B$14="Beastfolk",0.2*Construction!CY129/Construction!E129,0)</f>
        <v>0</v>
      </c>
      <c r="AC129" s="284">
        <f ca="1">walls_forges_cap*(1-EXP(-AJ129/(walls_forges_param*($A130-Explore!$S130*20)+15000)))*(1+(mason_bonus*Construction!BB129/Construction!BS129))+IF(Overview!$B$14="Beastfolk",5*Construction!DB129/Construction!E129,0)</f>
        <v>0</v>
      </c>
      <c r="AD129" s="97">
        <f ca="1">harbor_towers_cap*(1-EXP(-AK129/(harbor_towers_param*($A130-Explore!$S130*20)+15000)))*(1+(mason_bonus*Construction!BB129/Construction!BS129))+IF(Overview!$B$14="Beastfolk",Construction!DE129/Construction!E129)*(1 + Production!O129/100*prestige_pop_multiplier)</f>
        <v>0</v>
      </c>
      <c r="AF129" s="56">
        <f ca="1">(1+Overview!$O$28+IF(Magic!BA129&gt;0,0.1,0))*SUM(AR129:AU129)</f>
        <v>0</v>
      </c>
      <c r="AG129" s="26">
        <f ca="1">(1+Overview!$O$28+IF(Magic!BA129&gt;0,0.1,0))*SUM(AW129:AZ129)</f>
        <v>0</v>
      </c>
      <c r="AH129" s="164">
        <f ca="1">(1+Overview!$O$28+IF(Magic!BA129&gt;0,0.1,0))*SUM(BB129:BE129)</f>
        <v>0</v>
      </c>
      <c r="AI129" s="164">
        <f ca="1">(1+Overview!$O$28+IF(Magic!BA129&gt;0,0.1,0))*SUM(BG129:BJ129)</f>
        <v>0</v>
      </c>
      <c r="AJ129" s="164">
        <f ca="1">(1+Overview!$O$28+IF(Magic!BA129&gt;0,0.1,0))*SUM(BL129:BO129)</f>
        <v>0</v>
      </c>
      <c r="AK129" s="166">
        <f ca="1">(1+Overview!$O$28+IF(Magic!BA129&gt;0,0.1,0))*SUM(BQ129:BT129)</f>
        <v>0</v>
      </c>
      <c r="AM129" s="52">
        <f t="shared" si="87"/>
        <v>0</v>
      </c>
      <c r="AN129" s="16">
        <f t="shared" si="87"/>
        <v>0</v>
      </c>
      <c r="AO129" s="16">
        <f t="shared" si="87"/>
        <v>0</v>
      </c>
      <c r="AP129" s="53">
        <f t="shared" si="87"/>
        <v>0</v>
      </c>
      <c r="AR129" s="56">
        <f t="shared" si="59"/>
        <v>0</v>
      </c>
      <c r="AS129" s="26">
        <f t="shared" si="88"/>
        <v>0</v>
      </c>
      <c r="AT129" s="26">
        <f t="shared" si="88"/>
        <v>0</v>
      </c>
      <c r="AU129" s="57">
        <f t="shared" si="60"/>
        <v>0</v>
      </c>
      <c r="AW129" s="56">
        <f t="shared" si="61"/>
        <v>0</v>
      </c>
      <c r="AX129" s="26">
        <f t="shared" si="89"/>
        <v>0</v>
      </c>
      <c r="AY129" s="26">
        <f t="shared" si="89"/>
        <v>0</v>
      </c>
      <c r="AZ129" s="57">
        <f t="shared" si="62"/>
        <v>0</v>
      </c>
      <c r="BB129" s="56">
        <f t="shared" si="63"/>
        <v>0</v>
      </c>
      <c r="BC129" s="26">
        <f t="shared" si="64"/>
        <v>0</v>
      </c>
      <c r="BD129" s="26">
        <f t="shared" si="86"/>
        <v>0</v>
      </c>
      <c r="BE129" s="57">
        <f t="shared" si="65"/>
        <v>0</v>
      </c>
      <c r="BG129" s="56">
        <f t="shared" si="66"/>
        <v>0</v>
      </c>
      <c r="BH129" s="26">
        <f t="shared" si="90"/>
        <v>0</v>
      </c>
      <c r="BI129" s="26">
        <f t="shared" si="90"/>
        <v>0</v>
      </c>
      <c r="BJ129" s="57">
        <f t="shared" si="67"/>
        <v>0</v>
      </c>
      <c r="BL129" s="56">
        <f t="shared" si="68"/>
        <v>0</v>
      </c>
      <c r="BM129" s="26">
        <f t="shared" si="91"/>
        <v>0</v>
      </c>
      <c r="BN129" s="26">
        <f t="shared" si="91"/>
        <v>0</v>
      </c>
      <c r="BO129" s="57">
        <f t="shared" si="69"/>
        <v>0</v>
      </c>
      <c r="BQ129" s="56">
        <f t="shared" si="70"/>
        <v>0</v>
      </c>
      <c r="BR129" s="26">
        <f t="shared" si="92"/>
        <v>0</v>
      </c>
      <c r="BS129" s="26">
        <f t="shared" si="92"/>
        <v>0</v>
      </c>
      <c r="BT129" s="57">
        <f t="shared" si="71"/>
        <v>0</v>
      </c>
      <c r="BV129" s="52" t="e">
        <f>OR(Production!C129,Construction!N129:'Construction'!AF129,Construction!BV129:CN129,Explore!S129:Z129,Military!AF129:AL129,Military!X129,Military!BE129:BL129,Rezone!L129:R129,Magic!G129:Q129)</f>
        <v>#VALUE!</v>
      </c>
      <c r="BW129" s="527">
        <f t="shared" si="72"/>
        <v>0</v>
      </c>
      <c r="BX129" s="527"/>
      <c r="BY129" s="557">
        <f t="shared" si="82"/>
        <v>43697.249999999694</v>
      </c>
      <c r="BZ129" s="565">
        <f t="shared" si="74"/>
        <v>43697.08333333303</v>
      </c>
      <c r="CA129" s="529"/>
      <c r="CB129" s="807"/>
      <c r="CC129" s="812"/>
    </row>
    <row r="130" spans="1:81" s="16" customFormat="1">
      <c r="A130" s="513">
        <f>Construction!E130</f>
        <v>1000</v>
      </c>
      <c r="C130" s="56">
        <f ca="1">Production!H130</f>
        <v>4300188</v>
      </c>
      <c r="D130" s="26">
        <f ca="1">Production!J130</f>
        <v>264617</v>
      </c>
      <c r="E130" s="26">
        <f ca="1">Production!L130</f>
        <v>231000</v>
      </c>
      <c r="F130" s="57">
        <f ca="1">Production!M130</f>
        <v>20000</v>
      </c>
      <c r="G130" s="26"/>
      <c r="H130" s="56">
        <f ca="1">Military!Z130</f>
        <v>3695</v>
      </c>
      <c r="I130" s="540">
        <f ca="1">Population!I130</f>
        <v>1</v>
      </c>
      <c r="J130" s="165">
        <f ca="1">Population!F130/Population!U130</f>
        <v>1</v>
      </c>
      <c r="K130" s="1005">
        <f>Rezone!J130</f>
        <v>128</v>
      </c>
      <c r="L130" s="584">
        <f t="shared" si="85"/>
        <v>43697.291666666359</v>
      </c>
      <c r="M130" s="316">
        <f t="shared" si="83"/>
        <v>0</v>
      </c>
      <c r="N130" s="641">
        <f t="shared" si="58"/>
        <v>1000</v>
      </c>
      <c r="O130" s="423" t="s">
        <v>4</v>
      </c>
      <c r="P130" s="370"/>
      <c r="Q130" s="424" t="s">
        <v>223</v>
      </c>
      <c r="R130" s="423" t="s">
        <v>7</v>
      </c>
      <c r="S130" s="370"/>
      <c r="T130" s="425" t="s">
        <v>223</v>
      </c>
      <c r="U130" s="424" t="s">
        <v>3</v>
      </c>
      <c r="V130" s="370"/>
      <c r="W130" s="425" t="s">
        <v>223</v>
      </c>
      <c r="Y130" s="524">
        <f ca="1">science_cap*(1-EXP(-AF130/(science_param*($A131-Explore!$S131*20)+15000)))*(1+(mason_bonus*Construction!BB130/Construction!BS130))+IF(Overview!$B$14="Beastfolk",Construction!DA130/Construction!E130,0)*(1 + Production!O130/100*prestige_pop_multiplier)</f>
        <v>0</v>
      </c>
      <c r="Z130" s="284">
        <f ca="1">keep_cap*(1-EXP(-AG130/(keep_param*($A131-Explore!$S131*20)+15000)))*(1+(mason_bonus*Construction!BB130/Construction!BS130))+IF(Overview!$B$14="Beastfolk",Construction!DF130/Construction!E130,0)*(1 + Production!O130/100*prestige_pop_multiplier)</f>
        <v>0</v>
      </c>
      <c r="AA130" s="284">
        <f ca="1">harbor_towers_cap*(1-EXP(-AH130/(harbor_towers_param*($A131-Explore!$S131*20)+15000)))*(1+(mason_bonus*Construction!BB130/Construction!BS130))+IF(Overview!$B$14="Beastfolk",2*Construction!DC130/Construction!E130,0)*(1 + Production!O130/100*prestige_pop_multiplier)</f>
        <v>0</v>
      </c>
      <c r="AB130" s="284">
        <f ca="1">walls_forges_cap*(1-EXP(-AI130/(walls_forges_param*($A131-Explore!$S131*20)+15000)))*(1+(mason_bonus*Construction!BB130/Construction!BS130))+IF(Overview!$B$14="Beastfolk",0.2*Construction!CY130/Construction!E130,0)</f>
        <v>0</v>
      </c>
      <c r="AC130" s="284">
        <f ca="1">walls_forges_cap*(1-EXP(-AJ130/(walls_forges_param*($A131-Explore!$S131*20)+15000)))*(1+(mason_bonus*Construction!BB130/Construction!BS130))+IF(Overview!$B$14="Beastfolk",5*Construction!DB130/Construction!E130,0)</f>
        <v>0</v>
      </c>
      <c r="AD130" s="97">
        <f ca="1">harbor_towers_cap*(1-EXP(-AK130/(harbor_towers_param*($A131-Explore!$S131*20)+15000)))*(1+(mason_bonus*Construction!BB130/Construction!BS130))+IF(Overview!$B$14="Beastfolk",Construction!DE130/Construction!E130)*(1 + Production!O130/100*prestige_pop_multiplier)</f>
        <v>0</v>
      </c>
      <c r="AF130" s="56">
        <f ca="1">(1+Overview!$O$28+IF(Magic!BA130&gt;0,0.1,0))*SUM(AR130:AU130)</f>
        <v>0</v>
      </c>
      <c r="AG130" s="26">
        <f ca="1">(1+Overview!$O$28+IF(Magic!BA130&gt;0,0.1,0))*SUM(AW130:AZ130)</f>
        <v>0</v>
      </c>
      <c r="AH130" s="164">
        <f ca="1">(1+Overview!$O$28+IF(Magic!BA130&gt;0,0.1,0))*SUM(BB130:BE130)</f>
        <v>0</v>
      </c>
      <c r="AI130" s="164">
        <f ca="1">(1+Overview!$O$28+IF(Magic!BA130&gt;0,0.1,0))*SUM(BG130:BJ130)</f>
        <v>0</v>
      </c>
      <c r="AJ130" s="164">
        <f ca="1">(1+Overview!$O$28+IF(Magic!BA130&gt;0,0.1,0))*SUM(BL130:BO130)</f>
        <v>0</v>
      </c>
      <c r="AK130" s="166">
        <f ca="1">(1+Overview!$O$28+IF(Magic!BA130&gt;0,0.1,0))*SUM(BQ130:BT130)</f>
        <v>0</v>
      </c>
      <c r="AM130" s="52">
        <f t="shared" si="87"/>
        <v>0</v>
      </c>
      <c r="AN130" s="16">
        <f t="shared" si="87"/>
        <v>0</v>
      </c>
      <c r="AO130" s="16">
        <f t="shared" si="87"/>
        <v>0</v>
      </c>
      <c r="AP130" s="53">
        <f t="shared" si="87"/>
        <v>0</v>
      </c>
      <c r="AR130" s="56">
        <f t="shared" si="59"/>
        <v>0</v>
      </c>
      <c r="AS130" s="26">
        <f t="shared" si="88"/>
        <v>0</v>
      </c>
      <c r="AT130" s="26">
        <f t="shared" si="88"/>
        <v>0</v>
      </c>
      <c r="AU130" s="57">
        <f t="shared" si="60"/>
        <v>0</v>
      </c>
      <c r="AW130" s="56">
        <f t="shared" si="61"/>
        <v>0</v>
      </c>
      <c r="AX130" s="26">
        <f t="shared" si="89"/>
        <v>0</v>
      </c>
      <c r="AY130" s="26">
        <f t="shared" si="89"/>
        <v>0</v>
      </c>
      <c r="AZ130" s="57">
        <f t="shared" si="62"/>
        <v>0</v>
      </c>
      <c r="BB130" s="56">
        <f t="shared" si="63"/>
        <v>0</v>
      </c>
      <c r="BC130" s="26">
        <f t="shared" si="64"/>
        <v>0</v>
      </c>
      <c r="BD130" s="26">
        <f t="shared" si="86"/>
        <v>0</v>
      </c>
      <c r="BE130" s="57">
        <f t="shared" si="65"/>
        <v>0</v>
      </c>
      <c r="BG130" s="56">
        <f t="shared" si="66"/>
        <v>0</v>
      </c>
      <c r="BH130" s="26">
        <f t="shared" si="90"/>
        <v>0</v>
      </c>
      <c r="BI130" s="26">
        <f t="shared" si="90"/>
        <v>0</v>
      </c>
      <c r="BJ130" s="57">
        <f t="shared" si="67"/>
        <v>0</v>
      </c>
      <c r="BL130" s="56">
        <f t="shared" si="68"/>
        <v>0</v>
      </c>
      <c r="BM130" s="26">
        <f t="shared" si="91"/>
        <v>0</v>
      </c>
      <c r="BN130" s="26">
        <f t="shared" si="91"/>
        <v>0</v>
      </c>
      <c r="BO130" s="57">
        <f t="shared" si="69"/>
        <v>0</v>
      </c>
      <c r="BQ130" s="56">
        <f t="shared" si="70"/>
        <v>0</v>
      </c>
      <c r="BR130" s="26">
        <f t="shared" si="92"/>
        <v>0</v>
      </c>
      <c r="BS130" s="26">
        <f t="shared" si="92"/>
        <v>0</v>
      </c>
      <c r="BT130" s="57">
        <f t="shared" si="71"/>
        <v>0</v>
      </c>
      <c r="BV130" s="52" t="e">
        <f>OR(Production!C130,Construction!N130:'Construction'!AF130,Construction!BV130:CN130,Explore!S130:Z130,Military!AF130:AL130,Military!X130,Military!BE130:BL130,Rezone!L130:R130,Magic!G130:Q130)</f>
        <v>#VALUE!</v>
      </c>
      <c r="BW130" s="527">
        <f t="shared" si="72"/>
        <v>0</v>
      </c>
      <c r="BX130" s="527"/>
      <c r="BY130" s="557">
        <f t="shared" si="82"/>
        <v>43697.291666666359</v>
      </c>
      <c r="BZ130" s="565">
        <f t="shared" si="74"/>
        <v>43697.124999999694</v>
      </c>
      <c r="CA130" s="529"/>
      <c r="CB130" s="807"/>
      <c r="CC130" s="812"/>
    </row>
    <row r="131" spans="1:81" s="16" customFormat="1">
      <c r="A131" s="513">
        <f>Construction!E131</f>
        <v>1000</v>
      </c>
      <c r="C131" s="56">
        <f ca="1">Production!H131</f>
        <v>4310839</v>
      </c>
      <c r="D131" s="26">
        <f ca="1">Production!J131</f>
        <v>264471</v>
      </c>
      <c r="E131" s="26">
        <f ca="1">Production!L131</f>
        <v>231000</v>
      </c>
      <c r="F131" s="57">
        <f ca="1">Production!M131</f>
        <v>20000</v>
      </c>
      <c r="G131" s="26"/>
      <c r="H131" s="56">
        <f ca="1">Military!Z131</f>
        <v>3695</v>
      </c>
      <c r="I131" s="540">
        <f ca="1">Population!I131</f>
        <v>1</v>
      </c>
      <c r="J131" s="165">
        <f ca="1">Population!F131/Population!U131</f>
        <v>1</v>
      </c>
      <c r="K131" s="1005">
        <f>Rezone!J131</f>
        <v>129</v>
      </c>
      <c r="L131" s="584">
        <f t="shared" si="85"/>
        <v>43697.333333333023</v>
      </c>
      <c r="M131" s="316">
        <f t="shared" si="83"/>
        <v>0</v>
      </c>
      <c r="N131" s="641">
        <f t="shared" si="58"/>
        <v>1000</v>
      </c>
      <c r="O131" s="423" t="s">
        <v>4</v>
      </c>
      <c r="P131" s="370"/>
      <c r="Q131" s="424" t="s">
        <v>223</v>
      </c>
      <c r="R131" s="423" t="s">
        <v>7</v>
      </c>
      <c r="S131" s="370"/>
      <c r="T131" s="425" t="s">
        <v>223</v>
      </c>
      <c r="U131" s="424" t="s">
        <v>3</v>
      </c>
      <c r="V131" s="370"/>
      <c r="W131" s="425" t="s">
        <v>223</v>
      </c>
      <c r="Y131" s="524">
        <f ca="1">science_cap*(1-EXP(-AF131/(science_param*($A132-Explore!$S132*20)+15000)))*(1+(mason_bonus*Construction!BB131/Construction!BS131))+IF(Overview!$B$14="Beastfolk",Construction!DA131/Construction!E131,0)*(1 + Production!O131/100*prestige_pop_multiplier)</f>
        <v>0</v>
      </c>
      <c r="Z131" s="284">
        <f ca="1">keep_cap*(1-EXP(-AG131/(keep_param*($A132-Explore!$S132*20)+15000)))*(1+(mason_bonus*Construction!BB131/Construction!BS131))+IF(Overview!$B$14="Beastfolk",Construction!DF131/Construction!E131,0)*(1 + Production!O131/100*prestige_pop_multiplier)</f>
        <v>0</v>
      </c>
      <c r="AA131" s="284">
        <f ca="1">harbor_towers_cap*(1-EXP(-AH131/(harbor_towers_param*($A132-Explore!$S132*20)+15000)))*(1+(mason_bonus*Construction!BB131/Construction!BS131))+IF(Overview!$B$14="Beastfolk",2*Construction!DC131/Construction!E131,0)*(1 + Production!O131/100*prestige_pop_multiplier)</f>
        <v>0</v>
      </c>
      <c r="AB131" s="284">
        <f ca="1">walls_forges_cap*(1-EXP(-AI131/(walls_forges_param*($A132-Explore!$S132*20)+15000)))*(1+(mason_bonus*Construction!BB131/Construction!BS131))+IF(Overview!$B$14="Beastfolk",0.2*Construction!CY131/Construction!E131,0)</f>
        <v>0</v>
      </c>
      <c r="AC131" s="284">
        <f ca="1">walls_forges_cap*(1-EXP(-AJ131/(walls_forges_param*($A132-Explore!$S132*20)+15000)))*(1+(mason_bonus*Construction!BB131/Construction!BS131))+IF(Overview!$B$14="Beastfolk",5*Construction!DB131/Construction!E131,0)</f>
        <v>0</v>
      </c>
      <c r="AD131" s="97">
        <f ca="1">harbor_towers_cap*(1-EXP(-AK131/(harbor_towers_param*($A132-Explore!$S132*20)+15000)))*(1+(mason_bonus*Construction!BB131/Construction!BS131))+IF(Overview!$B$14="Beastfolk",Construction!DE131/Construction!E131)*(1 + Production!O131/100*prestige_pop_multiplier)</f>
        <v>0</v>
      </c>
      <c r="AF131" s="56">
        <f ca="1">(1+Overview!$O$28+IF(Magic!BA131&gt;0,0.1,0))*SUM(AR131:AU131)</f>
        <v>0</v>
      </c>
      <c r="AG131" s="26">
        <f ca="1">(1+Overview!$O$28+IF(Magic!BA131&gt;0,0.1,0))*SUM(AW131:AZ131)</f>
        <v>0</v>
      </c>
      <c r="AH131" s="164">
        <f ca="1">(1+Overview!$O$28+IF(Magic!BA131&gt;0,0.1,0))*SUM(BB131:BE131)</f>
        <v>0</v>
      </c>
      <c r="AI131" s="164">
        <f ca="1">(1+Overview!$O$28+IF(Magic!BA131&gt;0,0.1,0))*SUM(BG131:BJ131)</f>
        <v>0</v>
      </c>
      <c r="AJ131" s="164">
        <f ca="1">(1+Overview!$O$28+IF(Magic!BA131&gt;0,0.1,0))*SUM(BL131:BO131)</f>
        <v>0</v>
      </c>
      <c r="AK131" s="166">
        <f ca="1">(1+Overview!$O$28+IF(Magic!BA131&gt;0,0.1,0))*SUM(BQ131:BT131)</f>
        <v>0</v>
      </c>
      <c r="AM131" s="52">
        <f t="shared" si="87"/>
        <v>0</v>
      </c>
      <c r="AN131" s="16">
        <f t="shared" si="87"/>
        <v>0</v>
      </c>
      <c r="AO131" s="16">
        <f t="shared" si="87"/>
        <v>0</v>
      </c>
      <c r="AP131" s="53">
        <f t="shared" si="87"/>
        <v>0</v>
      </c>
      <c r="AR131" s="56">
        <f t="shared" si="59"/>
        <v>0</v>
      </c>
      <c r="AS131" s="26">
        <f t="shared" si="88"/>
        <v>0</v>
      </c>
      <c r="AT131" s="26">
        <f t="shared" si="88"/>
        <v>0</v>
      </c>
      <c r="AU131" s="57">
        <f t="shared" si="60"/>
        <v>0</v>
      </c>
      <c r="AW131" s="56">
        <f t="shared" si="61"/>
        <v>0</v>
      </c>
      <c r="AX131" s="26">
        <f t="shared" si="89"/>
        <v>0</v>
      </c>
      <c r="AY131" s="26">
        <f t="shared" si="89"/>
        <v>0</v>
      </c>
      <c r="AZ131" s="57">
        <f t="shared" si="62"/>
        <v>0</v>
      </c>
      <c r="BB131" s="56">
        <f t="shared" si="63"/>
        <v>0</v>
      </c>
      <c r="BC131" s="26">
        <f t="shared" si="64"/>
        <v>0</v>
      </c>
      <c r="BD131" s="26">
        <f t="shared" si="86"/>
        <v>0</v>
      </c>
      <c r="BE131" s="57">
        <f t="shared" si="65"/>
        <v>0</v>
      </c>
      <c r="BG131" s="56">
        <f t="shared" si="66"/>
        <v>0</v>
      </c>
      <c r="BH131" s="26">
        <f t="shared" si="90"/>
        <v>0</v>
      </c>
      <c r="BI131" s="26">
        <f t="shared" si="90"/>
        <v>0</v>
      </c>
      <c r="BJ131" s="57">
        <f t="shared" si="67"/>
        <v>0</v>
      </c>
      <c r="BL131" s="56">
        <f t="shared" si="68"/>
        <v>0</v>
      </c>
      <c r="BM131" s="26">
        <f t="shared" si="91"/>
        <v>0</v>
      </c>
      <c r="BN131" s="26">
        <f t="shared" si="91"/>
        <v>0</v>
      </c>
      <c r="BO131" s="57">
        <f t="shared" si="69"/>
        <v>0</v>
      </c>
      <c r="BQ131" s="56">
        <f t="shared" si="70"/>
        <v>0</v>
      </c>
      <c r="BR131" s="26">
        <f t="shared" si="92"/>
        <v>0</v>
      </c>
      <c r="BS131" s="26">
        <f t="shared" si="92"/>
        <v>0</v>
      </c>
      <c r="BT131" s="57">
        <f t="shared" si="71"/>
        <v>0</v>
      </c>
      <c r="BV131" s="52" t="e">
        <f>OR(Production!C131,Construction!N131:'Construction'!AF131,Construction!BV131:CN131,Explore!S131:Z131,Military!AF131:AL131,Military!X131,Military!BE131:BL131,Rezone!L131:R131,Magic!G131:Q131)</f>
        <v>#VALUE!</v>
      </c>
      <c r="BW131" s="527">
        <f t="shared" si="72"/>
        <v>0</v>
      </c>
      <c r="BX131" s="527"/>
      <c r="BY131" s="557">
        <f t="shared" si="82"/>
        <v>43697.333333333023</v>
      </c>
      <c r="BZ131" s="565">
        <f t="shared" si="74"/>
        <v>43697.166666666359</v>
      </c>
      <c r="CA131" s="529"/>
      <c r="CB131" s="807"/>
      <c r="CC131" s="812"/>
    </row>
    <row r="132" spans="1:81" s="16" customFormat="1">
      <c r="A132" s="513">
        <f>Construction!E132</f>
        <v>1000</v>
      </c>
      <c r="C132" s="56">
        <f ca="1">Production!H132</f>
        <v>4321490</v>
      </c>
      <c r="D132" s="26">
        <f ca="1">Production!J132</f>
        <v>264326</v>
      </c>
      <c r="E132" s="26">
        <f ca="1">Production!L132</f>
        <v>231000</v>
      </c>
      <c r="F132" s="57">
        <f ca="1">Production!M132</f>
        <v>20000</v>
      </c>
      <c r="G132" s="26"/>
      <c r="H132" s="56">
        <f ca="1">Military!Z132</f>
        <v>3695</v>
      </c>
      <c r="I132" s="540">
        <f ca="1">Population!I132</f>
        <v>1</v>
      </c>
      <c r="J132" s="165">
        <f ca="1">Population!F132/Population!U132</f>
        <v>1</v>
      </c>
      <c r="K132" s="1005">
        <f>Rezone!J132</f>
        <v>130</v>
      </c>
      <c r="L132" s="584">
        <f t="shared" si="85"/>
        <v>43697.374999999687</v>
      </c>
      <c r="M132" s="316">
        <f t="shared" si="83"/>
        <v>0</v>
      </c>
      <c r="N132" s="641">
        <f>A132</f>
        <v>1000</v>
      </c>
      <c r="O132" s="423" t="s">
        <v>4</v>
      </c>
      <c r="P132" s="370"/>
      <c r="Q132" s="424" t="s">
        <v>223</v>
      </c>
      <c r="R132" s="423" t="s">
        <v>7</v>
      </c>
      <c r="S132" s="370"/>
      <c r="T132" s="425" t="s">
        <v>223</v>
      </c>
      <c r="U132" s="424" t="s">
        <v>3</v>
      </c>
      <c r="V132" s="370"/>
      <c r="W132" s="425" t="s">
        <v>223</v>
      </c>
      <c r="Y132" s="524">
        <f ca="1">science_cap*(1-EXP(-AF132/(science_param*($A133-Explore!$S133*20)+15000)))*(1+(mason_bonus*Construction!BB132/Construction!BS132))+IF(Overview!$B$14="Beastfolk",Construction!DA132/Construction!E132,0)*(1 + Production!O132/100*prestige_pop_multiplier)</f>
        <v>0</v>
      </c>
      <c r="Z132" s="284">
        <f ca="1">keep_cap*(1-EXP(-AG132/(keep_param*($A133-Explore!$S133*20)+15000)))*(1+(mason_bonus*Construction!BB132/Construction!BS132))+IF(Overview!$B$14="Beastfolk",Construction!DF132/Construction!E132,0)*(1 + Production!O132/100*prestige_pop_multiplier)</f>
        <v>0</v>
      </c>
      <c r="AA132" s="284">
        <f ca="1">harbor_towers_cap*(1-EXP(-AH132/(harbor_towers_param*($A133-Explore!$S133*20)+15000)))*(1+(mason_bonus*Construction!BB132/Construction!BS132))+IF(Overview!$B$14="Beastfolk",2*Construction!DC132/Construction!E132,0)*(1 + Production!O132/100*prestige_pop_multiplier)</f>
        <v>0</v>
      </c>
      <c r="AB132" s="284">
        <f ca="1">walls_forges_cap*(1-EXP(-AI132/(walls_forges_param*($A133-Explore!$S133*20)+15000)))*(1+(mason_bonus*Construction!BB132/Construction!BS132))+IF(Overview!$B$14="Beastfolk",0.2*Construction!CY132/Construction!E132,0)</f>
        <v>0</v>
      </c>
      <c r="AC132" s="284">
        <f ca="1">walls_forges_cap*(1-EXP(-AJ132/(walls_forges_param*($A133-Explore!$S133*20)+15000)))*(1+(mason_bonus*Construction!BB132/Construction!BS132))+IF(Overview!$B$14="Beastfolk",5*Construction!DB132/Construction!E132,0)</f>
        <v>0</v>
      </c>
      <c r="AD132" s="97">
        <f ca="1">harbor_towers_cap*(1-EXP(-AK132/(harbor_towers_param*($A133-Explore!$S133*20)+15000)))*(1+(mason_bonus*Construction!BB132/Construction!BS132))+IF(Overview!$B$14="Beastfolk",Construction!DE132/Construction!E132)*(1 + Production!O132/100*prestige_pop_multiplier)</f>
        <v>0</v>
      </c>
      <c r="AF132" s="56">
        <f ca="1">(1+Overview!$O$28+IF(Magic!BA132&gt;0,0.1,0))*SUM(AR132:AU132)</f>
        <v>0</v>
      </c>
      <c r="AG132" s="26">
        <f ca="1">(1+Overview!$O$28+IF(Magic!BA132&gt;0,0.1,0))*SUM(AW132:AZ132)</f>
        <v>0</v>
      </c>
      <c r="AH132" s="164">
        <f ca="1">(1+Overview!$O$28+IF(Magic!BA132&gt;0,0.1,0))*SUM(BB132:BE132)</f>
        <v>0</v>
      </c>
      <c r="AI132" s="164">
        <f ca="1">(1+Overview!$O$28+IF(Magic!BA132&gt;0,0.1,0))*SUM(BG132:BJ132)</f>
        <v>0</v>
      </c>
      <c r="AJ132" s="164">
        <f ca="1">(1+Overview!$O$28+IF(Magic!BA132&gt;0,0.1,0))*SUM(BL132:BO132)</f>
        <v>0</v>
      </c>
      <c r="AK132" s="166">
        <f ca="1">(1+Overview!$O$28+IF(Magic!BA132&gt;0,0.1,0))*SUM(BQ132:BT132)</f>
        <v>0</v>
      </c>
      <c r="AM132" s="52">
        <f t="shared" si="87"/>
        <v>0</v>
      </c>
      <c r="AN132" s="16">
        <f t="shared" si="87"/>
        <v>0</v>
      </c>
      <c r="AO132" s="16">
        <f t="shared" si="87"/>
        <v>0</v>
      </c>
      <c r="AP132" s="53">
        <f t="shared" si="87"/>
        <v>0</v>
      </c>
      <c r="AR132" s="56">
        <f>IF($O132=AR$2,IF($Q132=$Y$2,$P132)) + IF($R132=AR$2,IF($T132=$Y$2,$S132)) + IF($U132=AR$2,IF($W132=$Y$2,$V132))</f>
        <v>0</v>
      </c>
      <c r="AS132" s="26">
        <f t="shared" si="88"/>
        <v>0</v>
      </c>
      <c r="AT132" s="26">
        <f t="shared" si="88"/>
        <v>0</v>
      </c>
      <c r="AU132" s="57">
        <f>IF($O132=AU$2,IF($Q132=$Y$2,12*$P132)) + IF($R132=AU$2,IF($T132=$Y$2,12*$S132)) + IF($U132=AU$2,IF($W132=$Y$2,12*$V132))</f>
        <v>0</v>
      </c>
      <c r="AW132" s="56">
        <f>IF($O132=AW$2,IF($Q132=$Z$2,$P132)) + IF($R132=AW$2,IF($T132=$Z$2,$S132)) + IF($U132=AW$2,IF($W132=$Z$2,$V132))</f>
        <v>0</v>
      </c>
      <c r="AX132" s="26">
        <f t="shared" si="89"/>
        <v>0</v>
      </c>
      <c r="AY132" s="26">
        <f t="shared" si="89"/>
        <v>0</v>
      </c>
      <c r="AZ132" s="57">
        <f>IF($O132=AZ$2,IF($Q132=$Z$2,12*$P132)) + IF($R132=AZ$2,IF($T132=$Z$2,12*$S132)) + IF($U132=AZ$2,IF($W132=$Z$2,12*$V132))</f>
        <v>0</v>
      </c>
      <c r="BB132" s="56">
        <f>IF($O132=BB$2,IF($Q132=$AA$2,$P132)) + IF($R132=BB$2,IF($T132=$AA$2,$S132)) + IF($U132=BB$2,IF($W132=$AA$2,$V132))</f>
        <v>0</v>
      </c>
      <c r="BC132" s="26">
        <f>IF($O132=BC$2,IF($Q132=$AA$2,2*$P132)) + IF($R132=BC$2,IF($T132=$AA$2,2*$S132)) + IF($U132=BC$2,IF($W132=$AA$2,2*$V132))</f>
        <v>0</v>
      </c>
      <c r="BD132" s="26">
        <f t="shared" si="86"/>
        <v>0</v>
      </c>
      <c r="BE132" s="57">
        <f>IF($O132=BE$2,IF($Q132=$AA$2,12*$P132)) + IF($R132=BE$2,IF($T132=$AA$2,12*$S132)) + IF($U132=BE$2,IF($W132=$AA$2,12*$V132))</f>
        <v>0</v>
      </c>
      <c r="BG132" s="56">
        <f>IF($O132=BG$2,IF($Q132=$AB$2,$P132)) + IF($R132=BG$2,IF($T132=$AB$2,$S132)) + IF($U132=BG$2,IF($W132=$AB$2,$V132))</f>
        <v>0</v>
      </c>
      <c r="BH132" s="26">
        <f t="shared" si="90"/>
        <v>0</v>
      </c>
      <c r="BI132" s="26">
        <f t="shared" si="90"/>
        <v>0</v>
      </c>
      <c r="BJ132" s="57">
        <f>IF($O132=BJ$2,IF($Q132=$AB$2,12*$P132)) + IF($R132=BJ$2,IF($T132=$AB$2,12*$S132)) + IF($U132=BJ$2,IF($W132=$AB$2,12*$V132))</f>
        <v>0</v>
      </c>
      <c r="BL132" s="56">
        <f>IF($O132=BL$2,IF($Q132=$AC$2,$P132)) + IF($R132=BL$2,IF($T132=$AC$2,$S132)) + IF($U132=BL$2,IF($W132=$AC$2,$V132))</f>
        <v>0</v>
      </c>
      <c r="BM132" s="26">
        <f t="shared" si="91"/>
        <v>0</v>
      </c>
      <c r="BN132" s="26">
        <f t="shared" si="91"/>
        <v>0</v>
      </c>
      <c r="BO132" s="57">
        <f>IF($O132=BO$2,IF($Q132=$AC$2,12*$P132)) + IF($R132=BO$2,IF($T132=$AC$2,12*$S132)) + IF($U132=BO$2,IF($W132=$AC$2,12*$V132))</f>
        <v>0</v>
      </c>
      <c r="BQ132" s="56">
        <f>IF($O132=BQ$2,IF($Q132=$AD$2,$P132)) + IF($R132=BQ$2,IF($T132=$AD$2,$S132)) + IF($U132=BQ$2,IF($W132=$AD$2,$V132))</f>
        <v>0</v>
      </c>
      <c r="BR132" s="26">
        <f t="shared" si="92"/>
        <v>0</v>
      </c>
      <c r="BS132" s="26">
        <f t="shared" si="92"/>
        <v>0</v>
      </c>
      <c r="BT132" s="57">
        <f>IF($O132=BT$2,IF($Q132=$AD$2,12*$P132)) + IF($R132=BT$2,IF($T132=$AD$2,12*$S132)) + IF($U132=BT$2,IF($W132=$AD$2,12*$V132))</f>
        <v>0</v>
      </c>
      <c r="BV132" s="52" t="e">
        <f>OR(Production!C132,Construction!N132:'Construction'!AF132,Construction!BV132:CN132,Explore!S132:Z132,Military!AF132:AL132,Military!X132,Military!BE132:BL132,Rezone!L132:R132,Magic!G132:Q132)</f>
        <v>#VALUE!</v>
      </c>
      <c r="BW132" s="527">
        <f>M132</f>
        <v>0</v>
      </c>
      <c r="BX132" s="527"/>
      <c r="BY132" s="557">
        <f t="shared" si="82"/>
        <v>43697.374999999687</v>
      </c>
      <c r="BZ132" s="565">
        <f t="shared" si="74"/>
        <v>43697.208333333023</v>
      </c>
      <c r="CA132" s="529"/>
      <c r="CB132" s="807"/>
      <c r="CC132" s="812"/>
    </row>
    <row r="133" spans="1:81" s="16" customFormat="1">
      <c r="A133" s="513">
        <f>Construction!E133</f>
        <v>1000</v>
      </c>
      <c r="C133" s="56">
        <f ca="1">Production!H133</f>
        <v>4332141</v>
      </c>
      <c r="D133" s="26">
        <f ca="1">Production!J133</f>
        <v>264183</v>
      </c>
      <c r="E133" s="26">
        <f ca="1">Production!L133</f>
        <v>231000</v>
      </c>
      <c r="F133" s="57">
        <f ca="1">Production!M133</f>
        <v>20000</v>
      </c>
      <c r="G133" s="26"/>
      <c r="H133" s="56">
        <f ca="1">Military!Z133</f>
        <v>3695</v>
      </c>
      <c r="I133" s="540">
        <f ca="1">Population!I133</f>
        <v>1</v>
      </c>
      <c r="J133" s="165">
        <f ca="1">Population!F133/Population!U133</f>
        <v>1</v>
      </c>
      <c r="K133" s="1005">
        <f>Rezone!J133</f>
        <v>131</v>
      </c>
      <c r="L133" s="584">
        <f t="shared" si="85"/>
        <v>43697.416666666351</v>
      </c>
      <c r="M133" s="316">
        <f t="shared" si="83"/>
        <v>0</v>
      </c>
      <c r="N133" s="641">
        <f>A133</f>
        <v>1000</v>
      </c>
      <c r="O133" s="423" t="s">
        <v>4</v>
      </c>
      <c r="P133" s="370"/>
      <c r="Q133" s="424" t="s">
        <v>223</v>
      </c>
      <c r="R133" s="423" t="s">
        <v>7</v>
      </c>
      <c r="S133" s="370"/>
      <c r="T133" s="425" t="s">
        <v>223</v>
      </c>
      <c r="U133" s="424" t="s">
        <v>3</v>
      </c>
      <c r="V133" s="370"/>
      <c r="W133" s="425" t="s">
        <v>223</v>
      </c>
      <c r="Y133" s="524">
        <f ca="1">science_cap*(1-EXP(-AF133/(science_param*($A134-Explore!$S134*20)+15000)))*(1+(mason_bonus*Construction!BB133/Construction!BS133))+IF(Overview!$B$14="Beastfolk",Construction!DA133/Construction!E133,0)*(1 + Production!O133/100*prestige_pop_multiplier)</f>
        <v>0</v>
      </c>
      <c r="Z133" s="284">
        <f ca="1">keep_cap*(1-EXP(-AG133/(keep_param*($A134-Explore!$S134*20)+15000)))*(1+(mason_bonus*Construction!BB133/Construction!BS133))+IF(Overview!$B$14="Beastfolk",Construction!DF133/Construction!E133,0)*(1 + Production!O133/100*prestige_pop_multiplier)</f>
        <v>0</v>
      </c>
      <c r="AA133" s="284">
        <f ca="1">harbor_towers_cap*(1-EXP(-AH133/(harbor_towers_param*($A134-Explore!$S134*20)+15000)))*(1+(mason_bonus*Construction!BB133/Construction!BS133))+IF(Overview!$B$14="Beastfolk",2*Construction!DC133/Construction!E133,0)*(1 + Production!O133/100*prestige_pop_multiplier)</f>
        <v>0</v>
      </c>
      <c r="AB133" s="284">
        <f ca="1">walls_forges_cap*(1-EXP(-AI133/(walls_forges_param*($A134-Explore!$S134*20)+15000)))*(1+(mason_bonus*Construction!BB133/Construction!BS133))+IF(Overview!$B$14="Beastfolk",0.2*Construction!CY133/Construction!E133,0)</f>
        <v>0</v>
      </c>
      <c r="AC133" s="284">
        <f ca="1">walls_forges_cap*(1-EXP(-AJ133/(walls_forges_param*($A134-Explore!$S134*20)+15000)))*(1+(mason_bonus*Construction!BB133/Construction!BS133))+IF(Overview!$B$14="Beastfolk",5*Construction!DB133/Construction!E133,0)</f>
        <v>0</v>
      </c>
      <c r="AD133" s="97">
        <f ca="1">harbor_towers_cap*(1-EXP(-AK133/(harbor_towers_param*($A134-Explore!$S134*20)+15000)))*(1+(mason_bonus*Construction!BB133/Construction!BS133))+IF(Overview!$B$14="Beastfolk",Construction!DE133/Construction!E133)*(1 + Production!O133/100*prestige_pop_multiplier)</f>
        <v>0</v>
      </c>
      <c r="AF133" s="56">
        <f ca="1">(1+Overview!$O$28+IF(Magic!BA133&gt;0,0.1,0))*SUM(AR133:AU133)</f>
        <v>0</v>
      </c>
      <c r="AG133" s="26">
        <f ca="1">(1+Overview!$O$28+IF(Magic!BA133&gt;0,0.1,0))*SUM(AW133:AZ133)</f>
        <v>0</v>
      </c>
      <c r="AH133" s="164">
        <f ca="1">(1+Overview!$O$28+IF(Magic!BA133&gt;0,0.1,0))*SUM(BB133:BE133)</f>
        <v>0</v>
      </c>
      <c r="AI133" s="164">
        <f ca="1">(1+Overview!$O$28+IF(Magic!BA133&gt;0,0.1,0))*SUM(BG133:BJ133)</f>
        <v>0</v>
      </c>
      <c r="AJ133" s="164">
        <f ca="1">(1+Overview!$O$28+IF(Magic!BA133&gt;0,0.1,0))*SUM(BL133:BO133)</f>
        <v>0</v>
      </c>
      <c r="AK133" s="166">
        <f ca="1">(1+Overview!$O$28+IF(Magic!BA133&gt;0,0.1,0))*SUM(BQ133:BT133)</f>
        <v>0</v>
      </c>
      <c r="AM133" s="52">
        <f t="shared" si="87"/>
        <v>0</v>
      </c>
      <c r="AN133" s="16">
        <f t="shared" si="87"/>
        <v>0</v>
      </c>
      <c r="AO133" s="16">
        <f t="shared" si="87"/>
        <v>0</v>
      </c>
      <c r="AP133" s="53">
        <f t="shared" si="87"/>
        <v>0</v>
      </c>
      <c r="AR133" s="56">
        <f>IF($O133=AR$2,IF($Q133=$Y$2,$P133)) + IF($R133=AR$2,IF($T133=$Y$2,$S133)) + IF($U133=AR$2,IF($W133=$Y$2,$V133))</f>
        <v>0</v>
      </c>
      <c r="AS133" s="26">
        <f t="shared" si="88"/>
        <v>0</v>
      </c>
      <c r="AT133" s="26">
        <f t="shared" si="88"/>
        <v>0</v>
      </c>
      <c r="AU133" s="57">
        <f>IF($O133=AU$2,IF($Q133=$Y$2,12*$P133)) + IF($R133=AU$2,IF($T133=$Y$2,12*$S133)) + IF($U133=AU$2,IF($W133=$Y$2,12*$V133))</f>
        <v>0</v>
      </c>
      <c r="AW133" s="56">
        <f>IF($O133=AW$2,IF($Q133=$Z$2,$P133)) + IF($R133=AW$2,IF($T133=$Z$2,$S133)) + IF($U133=AW$2,IF($W133=$Z$2,$V133))</f>
        <v>0</v>
      </c>
      <c r="AX133" s="26">
        <f t="shared" si="89"/>
        <v>0</v>
      </c>
      <c r="AY133" s="26">
        <f t="shared" si="89"/>
        <v>0</v>
      </c>
      <c r="AZ133" s="57">
        <f>IF($O133=AZ$2,IF($Q133=$Z$2,12*$P133)) + IF($R133=AZ$2,IF($T133=$Z$2,12*$S133)) + IF($U133=AZ$2,IF($W133=$Z$2,12*$V133))</f>
        <v>0</v>
      </c>
      <c r="BB133" s="56">
        <f>IF($O133=BB$2,IF($Q133=$AA$2,$P133)) + IF($R133=BB$2,IF($T133=$AA$2,$S133)) + IF($U133=BB$2,IF($W133=$AA$2,$V133))</f>
        <v>0</v>
      </c>
      <c r="BC133" s="26">
        <f>IF($O133=BC$2,IF($Q133=$AA$2,2*$P133)) + IF($R133=BC$2,IF($T133=$AA$2,2*$S133)) + IF($U133=BC$2,IF($W133=$AA$2,2*$V133))</f>
        <v>0</v>
      </c>
      <c r="BD133" s="26">
        <f t="shared" si="86"/>
        <v>0</v>
      </c>
      <c r="BE133" s="57">
        <f>IF($O133=BE$2,IF($Q133=$AA$2,12*$P133)) + IF($R133=BE$2,IF($T133=$AA$2,12*$S133)) + IF($U133=BE$2,IF($W133=$AA$2,12*$V133))</f>
        <v>0</v>
      </c>
      <c r="BG133" s="56">
        <f>IF($O133=BG$2,IF($Q133=$AB$2,$P133)) + IF($R133=BG$2,IF($T133=$AB$2,$S133)) + IF($U133=BG$2,IF($W133=$AB$2,$V133))</f>
        <v>0</v>
      </c>
      <c r="BH133" s="26">
        <f t="shared" si="90"/>
        <v>0</v>
      </c>
      <c r="BI133" s="26">
        <f t="shared" si="90"/>
        <v>0</v>
      </c>
      <c r="BJ133" s="57">
        <f>IF($O133=BJ$2,IF($Q133=$AB$2,12*$P133)) + IF($R133=BJ$2,IF($T133=$AB$2,12*$S133)) + IF($U133=BJ$2,IF($W133=$AB$2,12*$V133))</f>
        <v>0</v>
      </c>
      <c r="BL133" s="56">
        <f>IF($O133=BL$2,IF($Q133=$AC$2,$P133)) + IF($R133=BL$2,IF($T133=$AC$2,$S133)) + IF($U133=BL$2,IF($W133=$AC$2,$V133))</f>
        <v>0</v>
      </c>
      <c r="BM133" s="26">
        <f t="shared" si="91"/>
        <v>0</v>
      </c>
      <c r="BN133" s="26">
        <f t="shared" si="91"/>
        <v>0</v>
      </c>
      <c r="BO133" s="57">
        <f>IF($O133=BO$2,IF($Q133=$AC$2,12*$P133)) + IF($R133=BO$2,IF($T133=$AC$2,12*$S133)) + IF($U133=BO$2,IF($W133=$AC$2,12*$V133))</f>
        <v>0</v>
      </c>
      <c r="BQ133" s="56">
        <f>IF($O133=BQ$2,IF($Q133=$AD$2,$P133)) + IF($R133=BQ$2,IF($T133=$AD$2,$S133)) + IF($U133=BQ$2,IF($W133=$AD$2,$V133))</f>
        <v>0</v>
      </c>
      <c r="BR133" s="26">
        <f t="shared" si="92"/>
        <v>0</v>
      </c>
      <c r="BS133" s="26">
        <f t="shared" si="92"/>
        <v>0</v>
      </c>
      <c r="BT133" s="57">
        <f>IF($O133=BT$2,IF($Q133=$AD$2,12*$P133)) + IF($R133=BT$2,IF($T133=$AD$2,12*$S133)) + IF($U133=BT$2,IF($W133=$AD$2,12*$V133))</f>
        <v>0</v>
      </c>
      <c r="BV133" s="52" t="e">
        <f>OR(Production!C133,Construction!N133:'Construction'!AF133,Construction!BV133:CN133,Explore!S133:Z133,Military!AF133:AL133,Military!X133,Military!BE133:BL133,Rezone!L133:R133,Magic!G133:Q133)</f>
        <v>#VALUE!</v>
      </c>
      <c r="BW133" s="527">
        <f>M133</f>
        <v>0</v>
      </c>
      <c r="BX133" s="527"/>
      <c r="BY133" s="557">
        <f t="shared" si="82"/>
        <v>43697.416666666351</v>
      </c>
      <c r="BZ133" s="565">
        <f>BZ132+1/24</f>
        <v>43697.249999999687</v>
      </c>
      <c r="CA133" s="529"/>
      <c r="CB133" s="807"/>
      <c r="CC133" s="812"/>
    </row>
    <row r="134" spans="1:81" s="16" customFormat="1">
      <c r="A134" s="513">
        <f>Construction!E134</f>
        <v>1000</v>
      </c>
      <c r="C134" s="56">
        <f ca="1">Production!H134</f>
        <v>4342792</v>
      </c>
      <c r="D134" s="26">
        <f ca="1">Production!J134</f>
        <v>264041</v>
      </c>
      <c r="E134" s="26">
        <f ca="1">Production!L134</f>
        <v>231000</v>
      </c>
      <c r="F134" s="57">
        <f ca="1">Production!M134</f>
        <v>20000</v>
      </c>
      <c r="G134" s="26"/>
      <c r="H134" s="56">
        <f ca="1">Military!Z134</f>
        <v>3695</v>
      </c>
      <c r="I134" s="540">
        <f ca="1">Population!I134</f>
        <v>1</v>
      </c>
      <c r="J134" s="165">
        <f ca="1">Population!F134/Population!U134</f>
        <v>1</v>
      </c>
      <c r="K134" s="1005">
        <f>Rezone!J134</f>
        <v>132</v>
      </c>
      <c r="L134" s="584">
        <f t="shared" si="85"/>
        <v>43697.458333333016</v>
      </c>
      <c r="M134" s="316">
        <f t="shared" si="83"/>
        <v>0</v>
      </c>
      <c r="N134" s="641">
        <f>A134</f>
        <v>1000</v>
      </c>
      <c r="O134" s="423" t="s">
        <v>4</v>
      </c>
      <c r="P134" s="370"/>
      <c r="Q134" s="424" t="s">
        <v>223</v>
      </c>
      <c r="R134" s="423" t="s">
        <v>7</v>
      </c>
      <c r="S134" s="370"/>
      <c r="T134" s="425" t="s">
        <v>223</v>
      </c>
      <c r="U134" s="424" t="s">
        <v>3</v>
      </c>
      <c r="V134" s="370"/>
      <c r="W134" s="425" t="s">
        <v>223</v>
      </c>
      <c r="Y134" s="524">
        <f ca="1">science_cap*(1-EXP(-AF134/(science_param*($A135-Explore!$S135*20)+15000)))*(1+(mason_bonus*Construction!BB134/Construction!BS134))+IF(Overview!$B$14="Beastfolk",Construction!DA134/Construction!E134,0)*(1 + Production!O134/100*prestige_pop_multiplier)</f>
        <v>0</v>
      </c>
      <c r="Z134" s="284">
        <f ca="1">keep_cap*(1-EXP(-AG134/(keep_param*($A135-Explore!$S135*20)+15000)))*(1+(mason_bonus*Construction!BB134/Construction!BS134))+IF(Overview!$B$14="Beastfolk",Construction!DF134/Construction!E134,0)*(1 + Production!O134/100*prestige_pop_multiplier)</f>
        <v>0</v>
      </c>
      <c r="AA134" s="284">
        <f ca="1">harbor_towers_cap*(1-EXP(-AH134/(harbor_towers_param*($A135-Explore!$S135*20)+15000)))*(1+(mason_bonus*Construction!BB134/Construction!BS134))+IF(Overview!$B$14="Beastfolk",2*Construction!DC134/Construction!E134,0)*(1 + Production!O134/100*prestige_pop_multiplier)</f>
        <v>0</v>
      </c>
      <c r="AB134" s="284">
        <f ca="1">walls_forges_cap*(1-EXP(-AI134/(walls_forges_param*($A135-Explore!$S135*20)+15000)))*(1+(mason_bonus*Construction!BB134/Construction!BS134))+IF(Overview!$B$14="Beastfolk",0.2*Construction!CY134/Construction!E134,0)</f>
        <v>0</v>
      </c>
      <c r="AC134" s="284">
        <f ca="1">walls_forges_cap*(1-EXP(-AJ134/(walls_forges_param*($A135-Explore!$S135*20)+15000)))*(1+(mason_bonus*Construction!BB134/Construction!BS134))+IF(Overview!$B$14="Beastfolk",5*Construction!DB134/Construction!E134,0)</f>
        <v>0</v>
      </c>
      <c r="AD134" s="97">
        <f ca="1">harbor_towers_cap*(1-EXP(-AK134/(harbor_towers_param*($A135-Explore!$S135*20)+15000)))*(1+(mason_bonus*Construction!BB134/Construction!BS134))+IF(Overview!$B$14="Beastfolk",Construction!DE134/Construction!E134)*(1 + Production!O134/100*prestige_pop_multiplier)</f>
        <v>0</v>
      </c>
      <c r="AF134" s="56">
        <f ca="1">(1+Overview!$O$28+IF(Magic!BA134&gt;0,0.1,0))*SUM(AR134:AU134)</f>
        <v>0</v>
      </c>
      <c r="AG134" s="26">
        <f ca="1">(1+Overview!$O$28+IF(Magic!BA134&gt;0,0.1,0))*SUM(AW134:AZ134)</f>
        <v>0</v>
      </c>
      <c r="AH134" s="164">
        <f ca="1">(1+Overview!$O$28+IF(Magic!BA134&gt;0,0.1,0))*SUM(BB134:BE134)</f>
        <v>0</v>
      </c>
      <c r="AI134" s="164">
        <f ca="1">(1+Overview!$O$28+IF(Magic!BA134&gt;0,0.1,0))*SUM(BG134:BJ134)</f>
        <v>0</v>
      </c>
      <c r="AJ134" s="164">
        <f ca="1">(1+Overview!$O$28+IF(Magic!BA134&gt;0,0.1,0))*SUM(BL134:BO134)</f>
        <v>0</v>
      </c>
      <c r="AK134" s="166">
        <f ca="1">(1+Overview!$O$28+IF(Magic!BA134&gt;0,0.1,0))*SUM(BQ134:BT134)</f>
        <v>0</v>
      </c>
      <c r="AM134" s="52">
        <f t="shared" si="87"/>
        <v>0</v>
      </c>
      <c r="AN134" s="16">
        <f t="shared" si="87"/>
        <v>0</v>
      </c>
      <c r="AO134" s="16">
        <f t="shared" si="87"/>
        <v>0</v>
      </c>
      <c r="AP134" s="53">
        <f t="shared" si="87"/>
        <v>0</v>
      </c>
      <c r="AR134" s="56">
        <f>IF($O134=AR$2,IF($Q134=$Y$2,$P134)) + IF($R134=AR$2,IF($T134=$Y$2,$S134)) + IF($U134=AR$2,IF($W134=$Y$2,$V134))</f>
        <v>0</v>
      </c>
      <c r="AS134" s="26">
        <f t="shared" si="88"/>
        <v>0</v>
      </c>
      <c r="AT134" s="26">
        <f t="shared" si="88"/>
        <v>0</v>
      </c>
      <c r="AU134" s="57">
        <f>IF($O134=AU$2,IF($Q134=$Y$2,12*$P134)) + IF($R134=AU$2,IF($T134=$Y$2,12*$S134)) + IF($U134=AU$2,IF($W134=$Y$2,12*$V134))</f>
        <v>0</v>
      </c>
      <c r="AW134" s="56">
        <f>IF($O134=AW$2,IF($Q134=$Z$2,$P134)) + IF($R134=AW$2,IF($T134=$Z$2,$S134)) + IF($U134=AW$2,IF($W134=$Z$2,$V134))</f>
        <v>0</v>
      </c>
      <c r="AX134" s="26">
        <f t="shared" si="89"/>
        <v>0</v>
      </c>
      <c r="AY134" s="26">
        <f t="shared" si="89"/>
        <v>0</v>
      </c>
      <c r="AZ134" s="57">
        <f>IF($O134=AZ$2,IF($Q134=$Z$2,12*$P134)) + IF($R134=AZ$2,IF($T134=$Z$2,12*$S134)) + IF($U134=AZ$2,IF($W134=$Z$2,12*$V134))</f>
        <v>0</v>
      </c>
      <c r="BB134" s="56">
        <f>IF($O134=BB$2,IF($Q134=$AA$2,$P134)) + IF($R134=BB$2,IF($T134=$AA$2,$S134)) + IF($U134=BB$2,IF($W134=$AA$2,$V134))</f>
        <v>0</v>
      </c>
      <c r="BC134" s="26">
        <f>IF($O134=BC$2,IF($Q134=$AA$2,2*$P134)) + IF($R134=BC$2,IF($T134=$AA$2,2*$S134)) + IF($U134=BC$2,IF($W134=$AA$2,2*$V134))</f>
        <v>0</v>
      </c>
      <c r="BD134" s="26">
        <f t="shared" si="86"/>
        <v>0</v>
      </c>
      <c r="BE134" s="57">
        <f>IF($O134=BE$2,IF($Q134=$AA$2,12*$P134)) + IF($R134=BE$2,IF($T134=$AA$2,12*$S134)) + IF($U134=BE$2,IF($W134=$AA$2,12*$V134))</f>
        <v>0</v>
      </c>
      <c r="BG134" s="56">
        <f>IF($O134=BG$2,IF($Q134=$AB$2,$P134)) + IF($R134=BG$2,IF($T134=$AB$2,$S134)) + IF($U134=BG$2,IF($W134=$AB$2,$V134))</f>
        <v>0</v>
      </c>
      <c r="BH134" s="26">
        <f t="shared" si="90"/>
        <v>0</v>
      </c>
      <c r="BI134" s="26">
        <f t="shared" si="90"/>
        <v>0</v>
      </c>
      <c r="BJ134" s="57">
        <f>IF($O134=BJ$2,IF($Q134=$AB$2,12*$P134)) + IF($R134=BJ$2,IF($T134=$AB$2,12*$S134)) + IF($U134=BJ$2,IF($W134=$AB$2,12*$V134))</f>
        <v>0</v>
      </c>
      <c r="BL134" s="56">
        <f>IF($O134=BL$2,IF($Q134=$AC$2,$P134)) + IF($R134=BL$2,IF($T134=$AC$2,$S134)) + IF($U134=BL$2,IF($W134=$AC$2,$V134))</f>
        <v>0</v>
      </c>
      <c r="BM134" s="26">
        <f t="shared" si="91"/>
        <v>0</v>
      </c>
      <c r="BN134" s="26">
        <f t="shared" si="91"/>
        <v>0</v>
      </c>
      <c r="BO134" s="57">
        <f>IF($O134=BO$2,IF($Q134=$AC$2,12*$P134)) + IF($R134=BO$2,IF($T134=$AC$2,12*$S134)) + IF($U134=BO$2,IF($W134=$AC$2,12*$V134))</f>
        <v>0</v>
      </c>
      <c r="BQ134" s="56">
        <f>IF($O134=BQ$2,IF($Q134=$AD$2,$P134)) + IF($R134=BQ$2,IF($T134=$AD$2,$S134)) + IF($U134=BQ$2,IF($W134=$AD$2,$V134))</f>
        <v>0</v>
      </c>
      <c r="BR134" s="26">
        <f t="shared" si="92"/>
        <v>0</v>
      </c>
      <c r="BS134" s="26">
        <f t="shared" si="92"/>
        <v>0</v>
      </c>
      <c r="BT134" s="57">
        <f>IF($O134=BT$2,IF($Q134=$AD$2,12*$P134)) + IF($R134=BT$2,IF($T134=$AD$2,12*$S134)) + IF($U134=BT$2,IF($W134=$AD$2,12*$V134))</f>
        <v>0</v>
      </c>
      <c r="BV134" s="52" t="e">
        <f>OR(Production!C134,Construction!N134:'Construction'!AF134,Construction!BV134:CN134,Explore!S134:Z134,Military!AF134:AL134,Military!X134,Military!BE134:BL134,Rezone!L134:R134,Magic!G134:Q134)</f>
        <v>#VALUE!</v>
      </c>
      <c r="BW134" s="527">
        <f>M134</f>
        <v>0</v>
      </c>
      <c r="BX134" s="527"/>
      <c r="BY134" s="557">
        <f t="shared" si="82"/>
        <v>43697.458333333016</v>
      </c>
      <c r="BZ134" s="565">
        <f>BZ133+1/24</f>
        <v>43697.291666666351</v>
      </c>
      <c r="CA134" s="529"/>
      <c r="CB134" s="807"/>
      <c r="CC134" s="812"/>
    </row>
    <row r="135" spans="1:81" s="12" customFormat="1">
      <c r="A135" s="515">
        <f>Construction!E135</f>
        <v>1000</v>
      </c>
      <c r="C135" s="54">
        <f ca="1">Production!H135</f>
        <v>4353443</v>
      </c>
      <c r="D135" s="13">
        <f ca="1">Production!J135</f>
        <v>263901</v>
      </c>
      <c r="E135" s="13">
        <f ca="1">Production!L135</f>
        <v>231000</v>
      </c>
      <c r="F135" s="158">
        <f ca="1">Production!M135</f>
        <v>20000</v>
      </c>
      <c r="G135" s="153"/>
      <c r="H135" s="54">
        <f ca="1">Military!Z135</f>
        <v>3695</v>
      </c>
      <c r="I135" s="155">
        <f ca="1">Population!I135</f>
        <v>0</v>
      </c>
      <c r="J135" s="154">
        <f ca="1">Population!F135/Population!U135</f>
        <v>1</v>
      </c>
      <c r="K135" s="1006">
        <f>Rezone!J135</f>
        <v>133</v>
      </c>
      <c r="L135" s="583">
        <f t="shared" si="85"/>
        <v>43697.49999999968</v>
      </c>
      <c r="M135" s="651">
        <f t="shared" si="83"/>
        <v>0</v>
      </c>
      <c r="N135" s="644">
        <f>A135</f>
        <v>1000</v>
      </c>
      <c r="O135" s="428" t="s">
        <v>4</v>
      </c>
      <c r="P135" s="429"/>
      <c r="Q135" s="430" t="s">
        <v>223</v>
      </c>
      <c r="R135" s="428" t="s">
        <v>7</v>
      </c>
      <c r="S135" s="429"/>
      <c r="T135" s="431" t="s">
        <v>223</v>
      </c>
      <c r="U135" s="430" t="s">
        <v>3</v>
      </c>
      <c r="V135" s="429"/>
      <c r="W135" s="431" t="s">
        <v>223</v>
      </c>
      <c r="Y135" s="525">
        <f ca="1">science_cap*(1-EXP(-AF135/(science_param*($A136-Explore!$S136*20)+15000)))*(1+(mason_bonus*Construction!BB135/Construction!BS135))+IF(Overview!$B$14="Beastfolk",Construction!DA135/Construction!E135,0)*(1 + Production!O135/100*prestige_pop_multiplier)</f>
        <v>0</v>
      </c>
      <c r="Z135" s="457">
        <f ca="1">keep_cap*(1-EXP(-AG135/(keep_param*($A136-Explore!$S136*20)+15000)))*(1+(mason_bonus*Construction!BB135/Construction!BS135))+IF(Overview!$B$14="Beastfolk",Construction!DF135/Construction!E135,0)*(1 + Production!O135/100*prestige_pop_multiplier)</f>
        <v>0</v>
      </c>
      <c r="AA135" s="457">
        <f ca="1">harbor_towers_cap*(1-EXP(-AH135/(harbor_towers_param*($A136-Explore!$S136*20)+15000)))*(1+(mason_bonus*Construction!BB135/Construction!BS135))+IF(Overview!$B$14="Beastfolk",2*Construction!DC135/Construction!E135,0)*(1 + Production!O135/100*prestige_pop_multiplier)</f>
        <v>0</v>
      </c>
      <c r="AB135" s="457">
        <f ca="1">walls_forges_cap*(1-EXP(-AI135/(walls_forges_param*($A136-Explore!$S136*20)+15000)))*(1+(mason_bonus*Construction!BB135/Construction!BS135))+IF(Overview!$B$14="Beastfolk",0.2*Construction!CY135/Construction!E135,0)</f>
        <v>0</v>
      </c>
      <c r="AC135" s="457">
        <f ca="1">walls_forges_cap*(1-EXP(-AJ135/(walls_forges_param*($A136-Explore!$S136*20)+15000)))*(1+(mason_bonus*Construction!BB135/Construction!BS135))+IF(Overview!$B$14="Beastfolk",5*Construction!DB135/Construction!E135,0)</f>
        <v>0</v>
      </c>
      <c r="AD135" s="96">
        <f ca="1">harbor_towers_cap*(1-EXP(-AK135/(harbor_towers_param*($A136-Explore!$S136*20)+15000)))*(1+(mason_bonus*Construction!BB135/Construction!BS135))+IF(Overview!$B$14="Beastfolk",Construction!DE135/Construction!E135)*(1 + Production!O135/100*prestige_pop_multiplier)</f>
        <v>0</v>
      </c>
      <c r="AE135" s="50"/>
      <c r="AF135" s="54">
        <f ca="1">(1+Overview!$O$28+IF(Magic!BA135&gt;0,0.1,0))*SUM(AR135:AU135)</f>
        <v>0</v>
      </c>
      <c r="AG135" s="13">
        <f ca="1">(1+Overview!$O$28+IF(Magic!BA135&gt;0,0.1,0))*SUM(AW135:AZ135)</f>
        <v>0</v>
      </c>
      <c r="AH135" s="153">
        <f ca="1">(1+Overview!$O$28+IF(Magic!BA135&gt;0,0.1,0))*SUM(BB135:BE135)</f>
        <v>0</v>
      </c>
      <c r="AI135" s="153">
        <f ca="1">(1+Overview!$O$28+IF(Magic!BA135&gt;0,0.1,0))*SUM(BG135:BJ135)</f>
        <v>0</v>
      </c>
      <c r="AJ135" s="153">
        <f ca="1">(1+Overview!$O$28+IF(Magic!BA135&gt;0,0.1,0))*SUM(BL135:BO135)</f>
        <v>0</v>
      </c>
      <c r="AK135" s="158">
        <f ca="1">(1+Overview!$O$28+IF(Magic!BA135&gt;0,0.1,0))*SUM(BQ135:BT135)</f>
        <v>0</v>
      </c>
      <c r="AL135" s="51"/>
      <c r="AM135" s="50">
        <f t="shared" si="87"/>
        <v>0</v>
      </c>
      <c r="AN135" s="12">
        <f t="shared" si="87"/>
        <v>0</v>
      </c>
      <c r="AO135" s="12">
        <f t="shared" si="87"/>
        <v>0</v>
      </c>
      <c r="AP135" s="51">
        <f t="shared" si="87"/>
        <v>0</v>
      </c>
      <c r="AR135" s="54">
        <f>IF($O135=AR$2,IF($Q135=$Y$2,$P135)) + IF($R135=AR$2,IF($T135=$Y$2,$S135)) + IF($U135=AR$2,IF($W135=$Y$2,$V135))</f>
        <v>0</v>
      </c>
      <c r="AS135" s="13">
        <f t="shared" si="88"/>
        <v>0</v>
      </c>
      <c r="AT135" s="13">
        <f t="shared" si="88"/>
        <v>0</v>
      </c>
      <c r="AU135" s="55">
        <f>IF($O135=AU$2,IF($Q135=$Y$2,12*$P135)) + IF($R135=AU$2,IF($T135=$Y$2,12*$S135)) + IF($U135=AU$2,IF($W135=$Y$2,12*$V135))</f>
        <v>0</v>
      </c>
      <c r="AW135" s="54">
        <f>IF($O135=AW$2,IF($Q135=$Z$2,$P135)) + IF($R135=AW$2,IF($T135=$Z$2,$S135)) + IF($U135=AW$2,IF($W135=$Z$2,$V135))</f>
        <v>0</v>
      </c>
      <c r="AX135" s="13">
        <f t="shared" si="89"/>
        <v>0</v>
      </c>
      <c r="AY135" s="13">
        <f t="shared" si="89"/>
        <v>0</v>
      </c>
      <c r="AZ135" s="55">
        <f>IF($O135=AZ$2,IF($Q135=$Z$2,12*$P135)) + IF($R135=AZ$2,IF($T135=$Z$2,12*$S135)) + IF($U135=AZ$2,IF($W135=$Z$2,12*$V135))</f>
        <v>0</v>
      </c>
      <c r="BB135" s="54">
        <f>IF($O135=BB$2,IF($Q135=$AA$2,$P135)) + IF($R135=BB$2,IF($T135=$AA$2,$S135)) + IF($U135=BB$2,IF($W135=$AA$2,$V135))</f>
        <v>0</v>
      </c>
      <c r="BC135" s="13">
        <f>IF($O135=BC$2,IF($Q135=$AA$2,2*$P135)) + IF($R135=BC$2,IF($T135=$AA$2,2*$S135)) + IF($U135=BC$2,IF($W135=$AA$2,2*$V135))</f>
        <v>0</v>
      </c>
      <c r="BD135" s="13">
        <f t="shared" si="86"/>
        <v>0</v>
      </c>
      <c r="BE135" s="55">
        <f>IF($O135=BE$2,IF($Q135=$AA$2,12*$P135)) + IF($R135=BE$2,IF($T135=$AA$2,12*$S135)) + IF($U135=BE$2,IF($W135=$AA$2,12*$V135))</f>
        <v>0</v>
      </c>
      <c r="BG135" s="54">
        <f>IF($O135=BG$2,IF($Q135=$AB$2,$P135)) + IF($R135=BG$2,IF($T135=$AB$2,$S135)) + IF($U135=BG$2,IF($W135=$AB$2,$V135))</f>
        <v>0</v>
      </c>
      <c r="BH135" s="13">
        <f t="shared" si="90"/>
        <v>0</v>
      </c>
      <c r="BI135" s="13">
        <f t="shared" si="90"/>
        <v>0</v>
      </c>
      <c r="BJ135" s="55">
        <f>IF($O135=BJ$2,IF($Q135=$AB$2,12*$P135)) + IF($R135=BJ$2,IF($T135=$AB$2,12*$S135)) + IF($U135=BJ$2,IF($W135=$AB$2,12*$V135))</f>
        <v>0</v>
      </c>
      <c r="BL135" s="54">
        <f>IF($O135=BL$2,IF($Q135=$AC$2,$P135)) + IF($R135=BL$2,IF($T135=$AC$2,$S135)) + IF($U135=BL$2,IF($W135=$AC$2,$V135))</f>
        <v>0</v>
      </c>
      <c r="BM135" s="13">
        <f t="shared" si="91"/>
        <v>0</v>
      </c>
      <c r="BN135" s="13">
        <f t="shared" si="91"/>
        <v>0</v>
      </c>
      <c r="BO135" s="55">
        <f>IF($O135=BO$2,IF($Q135=$AC$2,12*$P135)) + IF($R135=BO$2,IF($T135=$AC$2,12*$S135)) + IF($U135=BO$2,IF($W135=$AC$2,12*$V135))</f>
        <v>0</v>
      </c>
      <c r="BQ135" s="54">
        <f>IF($O135=BQ$2,IF($Q135=$AD$2,$P135)) + IF($R135=BQ$2,IF($T135=$AD$2,$S135)) + IF($U135=BQ$2,IF($W135=$AD$2,$V135))</f>
        <v>0</v>
      </c>
      <c r="BR135" s="13">
        <f t="shared" si="92"/>
        <v>0</v>
      </c>
      <c r="BS135" s="13">
        <f t="shared" si="92"/>
        <v>0</v>
      </c>
      <c r="BT135" s="55">
        <f>IF($O135=BT$2,IF($Q135=$AD$2,12*$P135)) + IF($R135=BT$2,IF($T135=$AD$2,12*$S135)) + IF($U135=BT$2,IF($W135=$AD$2,12*$V135))</f>
        <v>0</v>
      </c>
      <c r="BV135" s="50" t="e">
        <f>OR(Production!C135,Construction!N135:'Construction'!AF135,Construction!BV135:CN135,Explore!S135:Z135,Military!AF135:AL135,Military!X135,Military!BE135:BL135,Rezone!L135:R135,Magic!G135:Q135)</f>
        <v>#VALUE!</v>
      </c>
      <c r="BW135" s="551">
        <f>M135</f>
        <v>0</v>
      </c>
      <c r="BX135" s="551"/>
      <c r="BY135" s="558">
        <f t="shared" si="82"/>
        <v>43697.49999999968</v>
      </c>
      <c r="BZ135" s="566">
        <f>BZ134+1/24</f>
        <v>43697.333333333016</v>
      </c>
      <c r="CA135" s="631"/>
      <c r="CB135" s="808"/>
      <c r="CC135" s="813"/>
    </row>
    <row r="1268" spans="2:23">
      <c r="B1268" s="1463" t="s">
        <v>332</v>
      </c>
      <c r="C1268" s="1406"/>
      <c r="O1268" s="16"/>
      <c r="P1268" s="16"/>
      <c r="Q1268" s="16"/>
      <c r="R1268" s="16"/>
      <c r="S1268" s="16"/>
      <c r="T1268" s="16"/>
      <c r="U1268" s="16"/>
      <c r="V1268" s="16"/>
      <c r="W1268" s="313"/>
    </row>
    <row r="1269" spans="2:23">
      <c r="B1269" s="672">
        <f ca="1">Overview!E17</f>
        <v>1185</v>
      </c>
      <c r="C1269" s="672"/>
      <c r="O1269" s="16"/>
      <c r="P1269" s="16"/>
      <c r="Q1269" s="16"/>
      <c r="R1269" s="16"/>
      <c r="S1269" s="16"/>
      <c r="T1269" s="16"/>
      <c r="U1269" s="16"/>
      <c r="V1269" s="16"/>
      <c r="W1269" s="313"/>
    </row>
  </sheetData>
  <mergeCells count="10">
    <mergeCell ref="BB1:BE1"/>
    <mergeCell ref="BG1:BI1"/>
    <mergeCell ref="BL1:BN1"/>
    <mergeCell ref="BQ1:BS1"/>
    <mergeCell ref="B1268:C1268"/>
    <mergeCell ref="AR1:AT1"/>
    <mergeCell ref="AW1:AY1"/>
    <mergeCell ref="AM1:AN1"/>
    <mergeCell ref="AF1:AG1"/>
    <mergeCell ref="C1:F1"/>
  </mergeCells>
  <phoneticPr fontId="0" type="noConversion"/>
  <conditionalFormatting sqref="IV29206:IV65009 CD1270:IV60114 A1270:CC60157 A136:XFD1267">
    <cfRule type="expression" dxfId="18" priority="4" stopIfTrue="1">
      <formula>ROW()-2=#REF!</formula>
    </cfRule>
  </conditionalFormatting>
  <conditionalFormatting sqref="A1268:CC1268">
    <cfRule type="expression" dxfId="17" priority="5" stopIfTrue="1">
      <formula>$B$1269&gt;84</formula>
    </cfRule>
  </conditionalFormatting>
  <conditionalFormatting sqref="A1268:XFD1269">
    <cfRule type="expression" dxfId="16" priority="6" stopIfTrue="1">
      <formula>$B$1269&gt;144</formula>
    </cfRule>
  </conditionalFormatting>
  <conditionalFormatting sqref="K3:N135 Q3:Q135 T3:T135 BU3:BU135 BW3:IV135 W3:AE135">
    <cfRule type="expression" dxfId="15" priority="7" stopIfTrue="1">
      <formula>ROW()-3=$B$1269</formula>
    </cfRule>
  </conditionalFormatting>
  <conditionalFormatting sqref="P3:P135 S3:S135 V3:V135 A3:J135 AF3:BT135">
    <cfRule type="expression" dxfId="14" priority="8" stopIfTrue="1">
      <formula>OR(ROW()-3=$B$1269,A3&lt;0)</formula>
    </cfRule>
  </conditionalFormatting>
  <conditionalFormatting sqref="R3:R135 U3:U135">
    <cfRule type="expression" dxfId="13" priority="9" stopIfTrue="1">
      <formula>OR(ROW()-3=$B$1269,AND(R3&lt;&gt;"Platinum",R3&lt;&gt;"Lumber",R3&lt;&gt;"Ore",R3&lt;&gt;"Gems",R3&lt;&gt;""))</formula>
    </cfRule>
  </conditionalFormatting>
  <conditionalFormatting sqref="O3:O135">
    <cfRule type="expression" dxfId="12" priority="10" stopIfTrue="1">
      <formula>OR(ROW()-3=$B$1269,AND(O3&lt;&gt;"Platinum",O3&lt;&gt;"Gems",O3&lt;&gt;"Ore",O3&lt;&gt;"Lumber",O3&lt;&gt;""))</formula>
    </cfRule>
  </conditionalFormatting>
  <conditionalFormatting sqref="BV3:BV74 BV76:BV135">
    <cfRule type="expression" dxfId="11" priority="11" stopIfTrue="1">
      <formula>AND(ROW()-3=$B$1269,ISERROR(BV3))</formula>
    </cfRule>
    <cfRule type="expression" dxfId="10" priority="12" stopIfTrue="1">
      <formula>ROW()-3=$B$1269</formula>
    </cfRule>
    <cfRule type="expression" dxfId="9" priority="13" stopIfTrue="1">
      <formula>ISERROR(BV3)</formula>
    </cfRule>
  </conditionalFormatting>
  <conditionalFormatting sqref="BV75">
    <cfRule type="expression" dxfId="8" priority="14" stopIfTrue="1">
      <formula>AND(ROW()-3=$B$1269,ISERROR(BV75))</formula>
    </cfRule>
    <cfRule type="expression" dxfId="7" priority="15" stopIfTrue="1">
      <formula>ROW()-3=$B$1269</formula>
    </cfRule>
    <cfRule type="expression" dxfId="6" priority="16" stopIfTrue="1">
      <formula>ISERROR(BV75)</formula>
    </cfRule>
  </conditionalFormatting>
  <conditionalFormatting sqref="A1:XFD2">
    <cfRule type="expression" dxfId="5" priority="17" stopIfTrue="1">
      <formula>$B$1269&lt;0</formula>
    </cfRule>
  </conditionalFormatting>
  <conditionalFormatting sqref="BV75">
    <cfRule type="expression" dxfId="4" priority="1" stopIfTrue="1">
      <formula>AND(ROW()-3=$B$1269,ISERROR(BV75))</formula>
    </cfRule>
    <cfRule type="expression" dxfId="3" priority="2" stopIfTrue="1">
      <formula>ROW()-3=$B$1269</formula>
    </cfRule>
    <cfRule type="expression" dxfId="2" priority="3" stopIfTrue="1">
      <formula>ISERROR(BV75)</formula>
    </cfRule>
  </conditionalFormatting>
  <dataValidations count="2">
    <dataValidation type="list" allowBlank="1" showInputMessage="1" showErrorMessage="1" sqref="R3:R135 U3:U135 O3:O135">
      <formula1>resources</formula1>
    </dataValidation>
    <dataValidation type="list" allowBlank="1" showInputMessage="1" showErrorMessage="1" sqref="W3:W135 T3:T135 Q3:Q135">
      <formula1>Imps</formula1>
    </dataValidation>
  </dataValidations>
  <pageMargins left="0.75" right="0.75" top="1" bottom="1" header="0.5" footer="0.5"/>
  <pageSetup paperSize="9" orientation="portrait" horizontalDpi="300" verticalDpi="300" copies="0" r:id="rId1"/>
  <headerFooter alignWithMargins="0"/>
  <legacyDrawing r:id="rId2"/>
</worksheet>
</file>

<file path=xl/worksheets/sheet11.xml><?xml version="1.0" encoding="utf-8"?>
<worksheet xmlns="http://schemas.openxmlformats.org/spreadsheetml/2006/main" xmlns:r="http://schemas.openxmlformats.org/officeDocument/2006/relationships">
  <sheetPr codeName="Sheet13"/>
  <dimension ref="H27:J28"/>
  <sheetViews>
    <sheetView zoomScale="85" workbookViewId="0">
      <selection activeCell="M59" sqref="M59"/>
    </sheetView>
  </sheetViews>
  <sheetFormatPr defaultRowHeight="12.75"/>
  <cols>
    <col min="1" max="17" width="10.85546875" customWidth="1"/>
    <col min="18" max="18" width="10.140625" customWidth="1"/>
  </cols>
  <sheetData>
    <row r="27" spans="8:10" ht="12.75" customHeight="1">
      <c r="J27" s="107"/>
    </row>
    <row r="28" spans="8:10">
      <c r="H28" s="446" t="s">
        <v>552</v>
      </c>
      <c r="I28" s="1044"/>
    </row>
  </sheetData>
  <phoneticPr fontId="0" type="noConversion"/>
  <dataValidations count="1">
    <dataValidation type="whole" allowBlank="1" showInputMessage="1" showErrorMessage="1" sqref="I28">
      <formula1>0</formula1>
      <formula2>132</formula2>
    </dataValidation>
  </dataValidations>
  <pageMargins left="0.75" right="0.75" top="1" bottom="1" header="0.5" footer="0.5"/>
  <pageSetup orientation="portrait" verticalDpi="300" r:id="rId1"/>
  <headerFooter alignWithMargins="0"/>
  <legacyDrawing r:id="rId2"/>
  <controls>
    <control shapeId="7169" r:id="rId3" name="Log"/>
    <control shapeId="7174" r:id="rId4" name="stat"/>
  </controls>
</worksheet>
</file>

<file path=xl/worksheets/sheet12.xml><?xml version="1.0" encoding="utf-8"?>
<worksheet xmlns="http://schemas.openxmlformats.org/spreadsheetml/2006/main" xmlns:r="http://schemas.openxmlformats.org/officeDocument/2006/relationships">
  <sheetPr codeName="Sheet10"/>
  <dimension ref="A2:S157"/>
  <sheetViews>
    <sheetView zoomScale="70" workbookViewId="0">
      <selection activeCell="D17" sqref="D17"/>
    </sheetView>
  </sheetViews>
  <sheetFormatPr defaultRowHeight="12.75"/>
  <cols>
    <col min="1" max="1" width="26.42578125" style="323" customWidth="1"/>
    <col min="2" max="2" width="9.28515625" customWidth="1"/>
    <col min="3" max="3" width="13.7109375" customWidth="1"/>
    <col min="4" max="4" width="10.140625" customWidth="1"/>
    <col min="5" max="5" width="8.28515625" bestFit="1" customWidth="1"/>
    <col min="6" max="6" width="8.5703125" bestFit="1" customWidth="1"/>
    <col min="7" max="7" width="9.28515625" customWidth="1"/>
    <col min="8" max="8" width="8.5703125" customWidth="1"/>
    <col min="9" max="9" width="9.5703125" customWidth="1"/>
    <col min="10" max="10" width="8.28515625" bestFit="1" customWidth="1"/>
    <col min="11" max="11" width="4.5703125" bestFit="1" customWidth="1"/>
    <col min="12" max="12" width="18.140625" bestFit="1" customWidth="1"/>
    <col min="13" max="13" width="21.140625" bestFit="1" customWidth="1"/>
    <col min="14" max="14" width="16.7109375" bestFit="1" customWidth="1"/>
    <col min="15" max="15" width="5.28515625" bestFit="1" customWidth="1"/>
    <col min="16" max="16" width="11.140625" bestFit="1" customWidth="1"/>
    <col min="17" max="17" width="4.5703125" bestFit="1" customWidth="1"/>
    <col min="18" max="18" width="5" bestFit="1" customWidth="1"/>
  </cols>
  <sheetData>
    <row r="2" spans="1:6">
      <c r="A2" s="321" t="s">
        <v>44</v>
      </c>
    </row>
    <row r="3" spans="1:6">
      <c r="A3" s="323" t="s">
        <v>50</v>
      </c>
    </row>
    <row r="4" spans="1:6">
      <c r="A4" s="323" t="s">
        <v>45</v>
      </c>
      <c r="B4">
        <v>45</v>
      </c>
      <c r="C4" t="s">
        <v>6</v>
      </c>
    </row>
    <row r="5" spans="1:6">
      <c r="A5" s="323" t="s">
        <v>52</v>
      </c>
      <c r="B5">
        <v>80</v>
      </c>
      <c r="C5" t="s">
        <v>9</v>
      </c>
    </row>
    <row r="6" spans="1:6">
      <c r="A6" s="323" t="s">
        <v>46</v>
      </c>
      <c r="B6">
        <v>50</v>
      </c>
      <c r="C6" t="s">
        <v>8</v>
      </c>
    </row>
    <row r="7" spans="1:6">
      <c r="A7" s="323" t="s">
        <v>48</v>
      </c>
      <c r="B7">
        <v>60</v>
      </c>
      <c r="C7" t="s">
        <v>10</v>
      </c>
    </row>
    <row r="8" spans="1:6">
      <c r="A8" s="323" t="s">
        <v>49</v>
      </c>
      <c r="B8">
        <v>15</v>
      </c>
      <c r="C8" t="s">
        <v>11</v>
      </c>
    </row>
    <row r="9" spans="1:6">
      <c r="A9" s="323" t="s">
        <v>53</v>
      </c>
      <c r="B9">
        <v>25</v>
      </c>
      <c r="C9" t="s">
        <v>13</v>
      </c>
    </row>
    <row r="10" spans="1:6">
      <c r="A10" s="323" t="s">
        <v>47</v>
      </c>
      <c r="B10">
        <v>0.05</v>
      </c>
      <c r="C10" t="s">
        <v>51</v>
      </c>
      <c r="D10">
        <v>35</v>
      </c>
      <c r="E10" t="s">
        <v>9</v>
      </c>
    </row>
    <row r="11" spans="1:6">
      <c r="A11" s="323" t="s">
        <v>70</v>
      </c>
      <c r="B11" s="1189">
        <v>1.75</v>
      </c>
      <c r="C11" s="98" t="s">
        <v>590</v>
      </c>
      <c r="D11" s="11">
        <v>0.35</v>
      </c>
      <c r="E11" t="s">
        <v>505</v>
      </c>
    </row>
    <row r="12" spans="1:6">
      <c r="A12" s="323" t="s">
        <v>68</v>
      </c>
      <c r="B12" s="1189">
        <v>1.75</v>
      </c>
      <c r="C12" s="98" t="s">
        <v>591</v>
      </c>
      <c r="D12" s="11">
        <v>0.35</v>
      </c>
      <c r="E12" t="s">
        <v>505</v>
      </c>
    </row>
    <row r="13" spans="1:6">
      <c r="A13" s="323" t="s">
        <v>561</v>
      </c>
      <c r="B13" s="970">
        <v>0.75</v>
      </c>
      <c r="C13" t="s">
        <v>562</v>
      </c>
      <c r="D13" s="1062"/>
      <c r="F13" s="11"/>
    </row>
    <row r="14" spans="1:6">
      <c r="B14" s="970">
        <v>0</v>
      </c>
      <c r="C14" t="s">
        <v>563</v>
      </c>
      <c r="D14" s="1061">
        <v>0</v>
      </c>
      <c r="E14" t="s">
        <v>505</v>
      </c>
      <c r="F14" s="11"/>
    </row>
    <row r="15" spans="1:6">
      <c r="A15" s="323" t="s">
        <v>558</v>
      </c>
      <c r="B15" s="970">
        <v>2</v>
      </c>
      <c r="C15" t="s">
        <v>565</v>
      </c>
      <c r="D15" s="1061">
        <v>0.4</v>
      </c>
      <c r="E15" t="s">
        <v>505</v>
      </c>
      <c r="F15" s="11"/>
    </row>
    <row r="16" spans="1:6">
      <c r="B16" s="970">
        <v>2</v>
      </c>
      <c r="C16" t="s">
        <v>564</v>
      </c>
      <c r="D16" s="1061">
        <v>0.4</v>
      </c>
      <c r="E16" t="s">
        <v>505</v>
      </c>
      <c r="F16" s="11"/>
    </row>
    <row r="17" spans="1:19">
      <c r="A17" s="323" t="s">
        <v>196</v>
      </c>
      <c r="B17" s="970">
        <f>IF(race="Beastfolk",2.5,2)</f>
        <v>2</v>
      </c>
      <c r="C17" t="s">
        <v>506</v>
      </c>
      <c r="D17" s="11">
        <f>IF(race="Beastfolk",50%,40%)</f>
        <v>0.4</v>
      </c>
      <c r="E17" t="s">
        <v>505</v>
      </c>
    </row>
    <row r="18" spans="1:19">
      <c r="A18" s="323" t="s">
        <v>531</v>
      </c>
      <c r="B18" s="970">
        <v>2.75</v>
      </c>
      <c r="C18" t="s">
        <v>566</v>
      </c>
    </row>
    <row r="19" spans="1:19">
      <c r="A19" s="323" t="s">
        <v>532</v>
      </c>
      <c r="B19" s="1030">
        <v>4</v>
      </c>
      <c r="C19" t="s">
        <v>533</v>
      </c>
      <c r="D19" s="11">
        <v>0.75</v>
      </c>
      <c r="E19" t="s">
        <v>505</v>
      </c>
    </row>
    <row r="20" spans="1:19">
      <c r="B20" s="1030">
        <v>3</v>
      </c>
      <c r="C20" t="s">
        <v>534</v>
      </c>
      <c r="D20" s="11">
        <v>0.75</v>
      </c>
      <c r="E20" t="s">
        <v>505</v>
      </c>
    </row>
    <row r="21" spans="1:19">
      <c r="A21" s="321" t="s">
        <v>83</v>
      </c>
    </row>
    <row r="22" spans="1:19" ht="13.5" thickBot="1">
      <c r="A22" s="326" t="s">
        <v>75</v>
      </c>
      <c r="B22" s="2" t="s">
        <v>74</v>
      </c>
      <c r="C22" s="2" t="s">
        <v>73</v>
      </c>
      <c r="D22" s="2" t="s">
        <v>72</v>
      </c>
      <c r="E22" s="2" t="s">
        <v>71</v>
      </c>
      <c r="F22" s="3" t="s">
        <v>66</v>
      </c>
      <c r="G22" s="1184" t="s">
        <v>365</v>
      </c>
      <c r="H22" s="4" t="s">
        <v>67</v>
      </c>
      <c r="I22" s="4" t="s">
        <v>68</v>
      </c>
      <c r="J22" s="1140" t="s">
        <v>69</v>
      </c>
      <c r="K22" s="1140" t="s">
        <v>70</v>
      </c>
      <c r="L22" s="1140" t="s">
        <v>367</v>
      </c>
      <c r="M22" s="1185" t="s">
        <v>370</v>
      </c>
      <c r="N22" s="6" t="s">
        <v>77</v>
      </c>
      <c r="O22" s="6" t="s">
        <v>368</v>
      </c>
      <c r="P22" s="1186" t="s">
        <v>588</v>
      </c>
      <c r="Q22" s="7" t="s">
        <v>78</v>
      </c>
      <c r="R22" s="7" t="s">
        <v>387</v>
      </c>
      <c r="S22" s="8" t="s">
        <v>79</v>
      </c>
    </row>
    <row r="23" spans="1:19">
      <c r="A23" s="323">
        <v>0</v>
      </c>
      <c r="B23">
        <v>0</v>
      </c>
      <c r="C23">
        <v>80</v>
      </c>
      <c r="D23">
        <v>0</v>
      </c>
      <c r="E23">
        <v>0</v>
      </c>
      <c r="F23">
        <v>50</v>
      </c>
      <c r="G23">
        <v>0</v>
      </c>
      <c r="H23">
        <v>0</v>
      </c>
      <c r="I23">
        <v>0</v>
      </c>
      <c r="J23">
        <v>0</v>
      </c>
      <c r="K23">
        <v>0</v>
      </c>
      <c r="L23">
        <v>0</v>
      </c>
      <c r="M23">
        <v>0</v>
      </c>
      <c r="N23">
        <v>50</v>
      </c>
      <c r="O23">
        <v>0</v>
      </c>
      <c r="P23">
        <v>0</v>
      </c>
      <c r="Q23">
        <v>0</v>
      </c>
      <c r="R23">
        <v>0</v>
      </c>
      <c r="S23">
        <v>0</v>
      </c>
    </row>
    <row r="25" spans="1:19">
      <c r="A25" s="321" t="s">
        <v>82</v>
      </c>
    </row>
    <row r="26" spans="1:19">
      <c r="A26" s="326" t="s">
        <v>57</v>
      </c>
      <c r="B26" s="3" t="s">
        <v>60</v>
      </c>
      <c r="C26" s="4" t="s">
        <v>61</v>
      </c>
      <c r="D26" s="5" t="s">
        <v>62</v>
      </c>
      <c r="E26" s="6" t="s">
        <v>63</v>
      </c>
      <c r="F26" s="7" t="s">
        <v>64</v>
      </c>
      <c r="G26" s="8" t="s">
        <v>65</v>
      </c>
    </row>
    <row r="27" spans="1:19" s="34" customFormat="1">
      <c r="A27" s="323">
        <f>150-80</f>
        <v>70</v>
      </c>
      <c r="B27">
        <f>150-50</f>
        <v>100</v>
      </c>
      <c r="C27">
        <v>150</v>
      </c>
      <c r="D27">
        <v>150</v>
      </c>
      <c r="E27">
        <f>150-50</f>
        <v>100</v>
      </c>
      <c r="F27">
        <v>150</v>
      </c>
      <c r="G27">
        <v>100</v>
      </c>
      <c r="H27"/>
      <c r="I27"/>
      <c r="J27"/>
      <c r="K27"/>
      <c r="L27"/>
      <c r="M27"/>
      <c r="N27"/>
      <c r="O27"/>
      <c r="P27"/>
      <c r="Q27"/>
      <c r="R27"/>
      <c r="S27"/>
    </row>
    <row r="29" spans="1:19">
      <c r="A29" s="321" t="s">
        <v>86</v>
      </c>
      <c r="B29" s="34"/>
      <c r="C29" s="34"/>
      <c r="D29" s="34" t="s">
        <v>248</v>
      </c>
      <c r="E29" s="34"/>
      <c r="F29" s="34"/>
      <c r="G29" s="34"/>
      <c r="H29" s="34"/>
      <c r="I29" s="34"/>
      <c r="J29" s="34"/>
      <c r="K29" s="34"/>
      <c r="L29" s="34" t="s">
        <v>429</v>
      </c>
      <c r="M29" s="34"/>
      <c r="N29" s="34"/>
      <c r="O29" s="34"/>
      <c r="P29" s="34"/>
      <c r="Q29" s="34"/>
      <c r="R29" s="34"/>
      <c r="S29" s="34"/>
    </row>
    <row r="30" spans="1:19">
      <c r="A30" s="323" t="s">
        <v>21</v>
      </c>
      <c r="B30">
        <f ca="1">1000*15*(1+Population!AC3)-start_draftees</f>
        <v>11025</v>
      </c>
      <c r="D30" t="s">
        <v>504</v>
      </c>
      <c r="E30">
        <v>1</v>
      </c>
      <c r="F30">
        <v>2</v>
      </c>
      <c r="G30">
        <v>3</v>
      </c>
      <c r="H30">
        <v>4</v>
      </c>
      <c r="I30">
        <v>5</v>
      </c>
      <c r="J30">
        <v>6</v>
      </c>
      <c r="L30" t="s">
        <v>402</v>
      </c>
      <c r="M30" s="11">
        <v>0.1</v>
      </c>
      <c r="N30" t="s">
        <v>463</v>
      </c>
    </row>
    <row r="31" spans="1:19">
      <c r="A31" s="323" t="s">
        <v>24</v>
      </c>
      <c r="B31">
        <f ca="1">ROUND(1000*15*(1+Population!AC3)*0.3,0)</f>
        <v>4725</v>
      </c>
      <c r="D31" t="s">
        <v>21</v>
      </c>
      <c r="E31" s="9">
        <v>1300</v>
      </c>
      <c r="F31" s="9">
        <v>1390</v>
      </c>
      <c r="G31" s="9">
        <v>1480</v>
      </c>
      <c r="H31" s="9">
        <v>1570</v>
      </c>
      <c r="I31" s="9">
        <v>1660</v>
      </c>
      <c r="J31" s="9">
        <v>1750</v>
      </c>
      <c r="K31" s="9"/>
      <c r="M31" s="11">
        <v>0.05</v>
      </c>
      <c r="N31" t="s">
        <v>464</v>
      </c>
    </row>
    <row r="32" spans="1:19">
      <c r="A32" s="323" t="str">
        <f>Overview!$A22</f>
        <v>Spearman</v>
      </c>
      <c r="B32">
        <v>0</v>
      </c>
      <c r="D32" t="s">
        <v>2</v>
      </c>
      <c r="E32" s="9">
        <v>100000</v>
      </c>
      <c r="F32" s="9">
        <v>110000</v>
      </c>
      <c r="G32" s="9">
        <v>120000</v>
      </c>
      <c r="H32" s="9">
        <v>130000</v>
      </c>
      <c r="I32" s="9">
        <v>140000</v>
      </c>
      <c r="J32" s="9">
        <v>150000</v>
      </c>
      <c r="M32" s="11">
        <v>0.05</v>
      </c>
      <c r="N32" t="s">
        <v>465</v>
      </c>
    </row>
    <row r="33" spans="1:16">
      <c r="A33" s="323" t="str">
        <f ca="1">Overview!$A23</f>
        <v>Archer</v>
      </c>
      <c r="B33">
        <v>0</v>
      </c>
      <c r="D33" t="s">
        <v>5</v>
      </c>
      <c r="E33" s="9">
        <v>15000</v>
      </c>
      <c r="F33" s="9">
        <v>16000</v>
      </c>
      <c r="G33" s="9">
        <v>17000</v>
      </c>
      <c r="H33" s="9">
        <v>18000</v>
      </c>
      <c r="I33" s="9">
        <v>19000</v>
      </c>
      <c r="J33" s="9">
        <v>20000</v>
      </c>
      <c r="L33" t="s">
        <v>188</v>
      </c>
      <c r="M33" s="11">
        <v>-0.05</v>
      </c>
      <c r="N33" t="s">
        <v>466</v>
      </c>
    </row>
    <row r="34" spans="1:16">
      <c r="A34" s="323" t="str">
        <f ca="1">Overview!$A24</f>
        <v>Knight</v>
      </c>
      <c r="B34">
        <v>0</v>
      </c>
      <c r="D34" t="s">
        <v>7</v>
      </c>
      <c r="E34" s="9">
        <v>15000</v>
      </c>
      <c r="F34" s="9">
        <v>15450</v>
      </c>
      <c r="G34" s="9">
        <v>15900</v>
      </c>
      <c r="H34" s="9">
        <v>16350</v>
      </c>
      <c r="I34" s="9">
        <v>16800</v>
      </c>
      <c r="J34" s="9">
        <v>17250</v>
      </c>
      <c r="M34">
        <v>-1</v>
      </c>
      <c r="N34" t="s">
        <v>467</v>
      </c>
    </row>
    <row r="35" spans="1:16">
      <c r="A35" s="323" t="str">
        <f ca="1">Overview!$A25</f>
        <v>Cavalry</v>
      </c>
      <c r="B35">
        <v>0</v>
      </c>
      <c r="M35" s="11">
        <v>-0.1</v>
      </c>
      <c r="N35" t="s">
        <v>466</v>
      </c>
      <c r="O35">
        <v>-2</v>
      </c>
      <c r="P35" t="s">
        <v>467</v>
      </c>
    </row>
    <row r="36" spans="1:16">
      <c r="A36" s="323" t="s">
        <v>25</v>
      </c>
      <c r="B36">
        <v>0</v>
      </c>
      <c r="D36" t="s">
        <v>386</v>
      </c>
      <c r="E36" s="9">
        <v>1</v>
      </c>
      <c r="F36">
        <v>2</v>
      </c>
      <c r="G36">
        <v>3</v>
      </c>
      <c r="H36">
        <v>4</v>
      </c>
      <c r="I36">
        <v>5</v>
      </c>
      <c r="J36">
        <v>6</v>
      </c>
      <c r="L36" t="s">
        <v>292</v>
      </c>
      <c r="M36" s="11">
        <v>-0.1</v>
      </c>
      <c r="N36" t="s">
        <v>468</v>
      </c>
    </row>
    <row r="37" spans="1:16">
      <c r="A37" s="323" t="s">
        <v>26</v>
      </c>
      <c r="B37">
        <v>0</v>
      </c>
      <c r="D37" t="s">
        <v>21</v>
      </c>
      <c r="E37">
        <v>1200</v>
      </c>
      <c r="F37">
        <v>1325</v>
      </c>
      <c r="G37">
        <v>1450</v>
      </c>
      <c r="H37">
        <v>1575</v>
      </c>
      <c r="I37">
        <v>1700</v>
      </c>
      <c r="J37">
        <v>1825</v>
      </c>
      <c r="M37" s="11">
        <v>-0.1</v>
      </c>
      <c r="N37" t="s">
        <v>469</v>
      </c>
    </row>
    <row r="38" spans="1:16">
      <c r="A38" s="323" t="s">
        <v>27</v>
      </c>
      <c r="B38">
        <v>0</v>
      </c>
      <c r="D38" t="s">
        <v>2</v>
      </c>
      <c r="E38">
        <v>100000</v>
      </c>
      <c r="F38">
        <v>104750</v>
      </c>
      <c r="G38">
        <v>109500</v>
      </c>
      <c r="H38">
        <v>114250</v>
      </c>
      <c r="I38">
        <v>119000</v>
      </c>
      <c r="J38">
        <v>123750</v>
      </c>
      <c r="M38" s="11">
        <v>0.02</v>
      </c>
      <c r="N38" t="s">
        <v>470</v>
      </c>
    </row>
    <row r="39" spans="1:16">
      <c r="D39" t="s">
        <v>5</v>
      </c>
      <c r="E39">
        <v>15000</v>
      </c>
      <c r="F39">
        <v>16000</v>
      </c>
      <c r="G39">
        <v>17000</v>
      </c>
      <c r="H39">
        <v>18000</v>
      </c>
      <c r="I39">
        <v>19000</v>
      </c>
      <c r="J39">
        <v>20000</v>
      </c>
      <c r="L39" t="s">
        <v>22</v>
      </c>
      <c r="M39" s="11">
        <v>-0.1</v>
      </c>
      <c r="N39" t="s">
        <v>471</v>
      </c>
    </row>
    <row r="40" spans="1:16">
      <c r="A40" s="321" t="s">
        <v>81</v>
      </c>
      <c r="D40" t="s">
        <v>7</v>
      </c>
      <c r="E40">
        <v>15000</v>
      </c>
      <c r="F40">
        <v>15450</v>
      </c>
      <c r="G40">
        <v>15900</v>
      </c>
      <c r="H40">
        <v>16350</v>
      </c>
      <c r="I40">
        <v>16800</v>
      </c>
      <c r="J40">
        <v>17250</v>
      </c>
      <c r="M40" s="11">
        <v>-0.1</v>
      </c>
      <c r="N40" t="s">
        <v>472</v>
      </c>
    </row>
    <row r="41" spans="1:16">
      <c r="A41" s="323" t="s">
        <v>2</v>
      </c>
      <c r="B41" s="9">
        <f>IF(Overview!$B$14="Growth",0,4350000*(IF(OR(Overview!$B$14="Gnome",Overview!$B$14="Imperial Gnome"),0.75,1))+IF(ISNUMBER(MATCH(Overview!$B$14,cant_build,0)),355000/2,0)+IF(ISNUMBER(MATCH(Overview!$B$14,cant_invest,0)),20000*2,0))*IF(Overview!$B$14="Void",0.5,1)</f>
        <v>4350000</v>
      </c>
      <c r="C41" s="9"/>
      <c r="M41" s="11">
        <v>0.05</v>
      </c>
      <c r="N41" t="s">
        <v>307</v>
      </c>
    </row>
    <row r="42" spans="1:16">
      <c r="A42" s="323" t="s">
        <v>5</v>
      </c>
      <c r="B42" s="9">
        <f>IF(Overview!$B$14="Growth",5000*1000,50000*IF(ISNUMBER(MATCH(Overview!$B$14,no_food,0)),0,1))</f>
        <v>50000</v>
      </c>
      <c r="C42" s="9"/>
      <c r="D42" t="s">
        <v>509</v>
      </c>
      <c r="L42" t="s">
        <v>76</v>
      </c>
      <c r="M42" s="11">
        <v>-0.1</v>
      </c>
      <c r="N42" t="s">
        <v>473</v>
      </c>
    </row>
    <row r="43" spans="1:16">
      <c r="A43" s="323" t="s">
        <v>84</v>
      </c>
      <c r="B43" s="9">
        <f>355000*IF(ISNUMBER(MATCH(Overview!$B$14,cant_build,0)),0,1)</f>
        <v>355000</v>
      </c>
      <c r="C43" s="9"/>
      <c r="D43" t="s">
        <v>21</v>
      </c>
      <c r="E43">
        <v>100</v>
      </c>
      <c r="M43" s="11">
        <v>-0.2</v>
      </c>
      <c r="N43" t="s">
        <v>474</v>
      </c>
    </row>
    <row r="44" spans="1:16">
      <c r="A44" s="323" t="s">
        <v>12</v>
      </c>
      <c r="B44" s="9">
        <f>IF(Overview!$B$14="Void",start_plat,20000*IF(ISNUMBER(MATCH(Overview!$B$14,double_mana,0)),2,1))</f>
        <v>20000</v>
      </c>
      <c r="C44" s="9"/>
      <c r="D44" t="s">
        <v>2</v>
      </c>
      <c r="E44">
        <v>5000</v>
      </c>
      <c r="M44">
        <v>1</v>
      </c>
      <c r="N44" t="s">
        <v>475</v>
      </c>
    </row>
    <row r="45" spans="1:16">
      <c r="A45" s="323" t="s">
        <v>3</v>
      </c>
      <c r="B45" s="9">
        <f>300000*IF(ISNUMBER(MATCH(Overview!$B$14,extra_ore,0)),3,1)*IF(ISNUMBER(MATCH(Overview!$B$14,no_ore,0)),0,1)</f>
        <v>300000</v>
      </c>
      <c r="C45" s="9"/>
      <c r="D45" t="s">
        <v>5</v>
      </c>
      <c r="E45">
        <v>1500</v>
      </c>
      <c r="L45" t="s">
        <v>194</v>
      </c>
      <c r="M45" s="11">
        <v>-0.1</v>
      </c>
      <c r="N45" t="s">
        <v>476</v>
      </c>
    </row>
    <row r="46" spans="1:16">
      <c r="A46" s="323" t="s">
        <v>4</v>
      </c>
      <c r="B46" s="9">
        <f>IF(OR(Overview!$B$14="Growth",Overview!$B$14="Void"),0,20000*IF(ISNUMBER(MATCH(Overview!$B$14,cant_invest,0)),0,1))</f>
        <v>20000</v>
      </c>
      <c r="C46" s="9"/>
      <c r="D46" t="s">
        <v>7</v>
      </c>
      <c r="E46">
        <v>2500</v>
      </c>
      <c r="M46" s="11">
        <v>-0.2</v>
      </c>
      <c r="N46" t="s">
        <v>477</v>
      </c>
    </row>
    <row r="47" spans="1:16">
      <c r="A47" s="323" t="s">
        <v>85</v>
      </c>
      <c r="B47" s="9">
        <f>200*IF(ISNUMBER(MATCH(Overview!$B$14,no_boats,0)),0,1)</f>
        <v>200</v>
      </c>
      <c r="C47" s="9"/>
      <c r="D47" t="s">
        <v>3</v>
      </c>
      <c r="E47">
        <v>2500</v>
      </c>
      <c r="M47">
        <v>1</v>
      </c>
      <c r="N47" t="s">
        <v>478</v>
      </c>
    </row>
    <row r="48" spans="1:16">
      <c r="D48" t="s">
        <v>12</v>
      </c>
      <c r="E48">
        <v>1000</v>
      </c>
      <c r="L48" t="s">
        <v>403</v>
      </c>
      <c r="M48" s="11">
        <v>-0.1</v>
      </c>
      <c r="N48" t="s">
        <v>479</v>
      </c>
    </row>
    <row r="49" spans="1:16">
      <c r="A49" s="321" t="s">
        <v>89</v>
      </c>
      <c r="D49" t="s">
        <v>510</v>
      </c>
      <c r="E49">
        <v>30</v>
      </c>
      <c r="L49" t="s">
        <v>404</v>
      </c>
      <c r="M49" s="11">
        <v>0.2</v>
      </c>
      <c r="N49" t="s">
        <v>480</v>
      </c>
      <c r="O49" s="11">
        <v>0.1</v>
      </c>
      <c r="P49" t="s">
        <v>464</v>
      </c>
    </row>
    <row r="50" spans="1:16">
      <c r="A50" s="323" t="s">
        <v>21</v>
      </c>
      <c r="B50" s="10">
        <v>0.03</v>
      </c>
      <c r="D50" t="s">
        <v>511</v>
      </c>
      <c r="E50">
        <v>30</v>
      </c>
      <c r="L50" t="s">
        <v>405</v>
      </c>
      <c r="M50" s="951">
        <v>0.06</v>
      </c>
      <c r="N50" t="s">
        <v>470</v>
      </c>
    </row>
    <row r="51" spans="1:16">
      <c r="A51" s="323" t="s">
        <v>24</v>
      </c>
      <c r="B51" s="10">
        <v>0.01</v>
      </c>
      <c r="L51" t="s">
        <v>406</v>
      </c>
      <c r="M51" s="1014">
        <v>0.125</v>
      </c>
      <c r="N51" t="s">
        <v>465</v>
      </c>
    </row>
    <row r="52" spans="1:16">
      <c r="A52" s="323" t="s">
        <v>14</v>
      </c>
      <c r="B52" s="10">
        <v>0.01</v>
      </c>
      <c r="L52" t="s">
        <v>407</v>
      </c>
      <c r="M52" s="11">
        <v>-0.3</v>
      </c>
      <c r="N52" t="s">
        <v>481</v>
      </c>
    </row>
    <row r="53" spans="1:16">
      <c r="A53" s="323" t="s">
        <v>16</v>
      </c>
      <c r="B53" s="10">
        <v>0.01</v>
      </c>
      <c r="L53" t="s">
        <v>408</v>
      </c>
      <c r="M53" s="11">
        <v>-0.2</v>
      </c>
      <c r="N53" t="s">
        <v>466</v>
      </c>
      <c r="O53" s="11">
        <v>0.15</v>
      </c>
      <c r="P53" t="s">
        <v>482</v>
      </c>
    </row>
    <row r="54" spans="1:16">
      <c r="A54" s="323" t="s">
        <v>15</v>
      </c>
      <c r="B54" s="10">
        <v>0.02</v>
      </c>
      <c r="L54" t="s">
        <v>409</v>
      </c>
      <c r="M54" s="11">
        <v>-0.25</v>
      </c>
      <c r="N54" t="s">
        <v>483</v>
      </c>
    </row>
    <row r="55" spans="1:16">
      <c r="L55" t="s">
        <v>410</v>
      </c>
      <c r="M55" s="11">
        <v>0.1</v>
      </c>
      <c r="N55" t="s">
        <v>307</v>
      </c>
      <c r="O55" s="11">
        <v>0.15</v>
      </c>
      <c r="P55" t="s">
        <v>484</v>
      </c>
    </row>
    <row r="56" spans="1:16">
      <c r="L56" t="s">
        <v>411</v>
      </c>
      <c r="M56">
        <v>3</v>
      </c>
      <c r="N56" t="s">
        <v>485</v>
      </c>
    </row>
    <row r="57" spans="1:16">
      <c r="A57" s="323" t="s">
        <v>90</v>
      </c>
      <c r="B57">
        <v>0.25</v>
      </c>
      <c r="C57" t="s">
        <v>91</v>
      </c>
    </row>
    <row r="58" spans="1:16">
      <c r="A58" s="323" t="s">
        <v>178</v>
      </c>
      <c r="B58">
        <v>2.7</v>
      </c>
      <c r="C58" t="s">
        <v>179</v>
      </c>
    </row>
    <row r="59" spans="1:16">
      <c r="L59" t="s">
        <v>33</v>
      </c>
      <c r="M59">
        <v>6.4260000000000002</v>
      </c>
      <c r="N59" t="s">
        <v>551</v>
      </c>
    </row>
    <row r="60" spans="1:16">
      <c r="A60" s="321" t="s">
        <v>181</v>
      </c>
    </row>
    <row r="61" spans="1:16">
      <c r="A61" s="322" t="s">
        <v>362</v>
      </c>
      <c r="B61">
        <v>36</v>
      </c>
      <c r="C61" t="s">
        <v>363</v>
      </c>
      <c r="D61" t="s">
        <v>364</v>
      </c>
      <c r="L61" t="s">
        <v>550</v>
      </c>
      <c r="M61">
        <v>3780</v>
      </c>
    </row>
    <row r="62" spans="1:16">
      <c r="A62" s="323" t="s">
        <v>183</v>
      </c>
      <c r="B62">
        <v>30</v>
      </c>
      <c r="C62" t="s">
        <v>283</v>
      </c>
    </row>
    <row r="63" spans="1:16">
      <c r="A63" s="323" t="s">
        <v>557</v>
      </c>
      <c r="B63">
        <v>15</v>
      </c>
      <c r="C63" t="s">
        <v>283</v>
      </c>
      <c r="L63" s="98" t="s">
        <v>680</v>
      </c>
      <c r="M63" s="11">
        <v>0.1</v>
      </c>
    </row>
    <row r="64" spans="1:16">
      <c r="A64" s="323" t="s">
        <v>366</v>
      </c>
      <c r="B64">
        <v>15</v>
      </c>
      <c r="C64" t="s">
        <v>283</v>
      </c>
    </row>
    <row r="65" spans="1:13">
      <c r="A65" s="323" t="s">
        <v>182</v>
      </c>
      <c r="B65">
        <v>15</v>
      </c>
      <c r="C65" t="str">
        <f>C62</f>
        <v>peasants</v>
      </c>
    </row>
    <row r="66" spans="1:13">
      <c r="A66" s="323" t="s">
        <v>284</v>
      </c>
      <c r="B66">
        <f>IF(OR(Overview!$B$14="Halfling",Overview!$B$14="Dwarf",Overview!$B$14="Goblin",Overview!$B$14="Kobold",Overview!$B$14="Gnome",Overview!$B$14="Imperial Gnome",Overview!$B$14="Nomad"),10,5)+IF(Overview!$B$14="Beastfolk",10,0)+IF(Overview!$B$14="Void",15,0)+IF(Overview!$B$14="Growth",120,0)</f>
        <v>5</v>
      </c>
    </row>
    <row r="68" spans="1:13">
      <c r="A68" s="327" t="s">
        <v>285</v>
      </c>
    </row>
    <row r="69" spans="1:13">
      <c r="A69" s="323" t="str">
        <f>CONCATENATE("Your race is ",Overview!B14)</f>
        <v>Your race is Human</v>
      </c>
    </row>
    <row r="71" spans="1:13">
      <c r="A71" s="321" t="s">
        <v>214</v>
      </c>
      <c r="B71" t="s">
        <v>286</v>
      </c>
      <c r="D71" s="1354" t="s">
        <v>736</v>
      </c>
      <c r="F71" t="s">
        <v>219</v>
      </c>
    </row>
    <row r="72" spans="1:13">
      <c r="A72" s="323" t="s">
        <v>209</v>
      </c>
      <c r="B72">
        <v>2</v>
      </c>
      <c r="C72" t="s">
        <v>215</v>
      </c>
      <c r="D72" s="1030">
        <v>48</v>
      </c>
      <c r="F72" s="10">
        <v>0.1</v>
      </c>
      <c r="G72" t="s">
        <v>111</v>
      </c>
    </row>
    <row r="73" spans="1:13">
      <c r="A73" s="323" t="s">
        <v>210</v>
      </c>
      <c r="B73">
        <v>2</v>
      </c>
      <c r="C73" t="s">
        <v>215</v>
      </c>
      <c r="D73" s="1030">
        <v>48</v>
      </c>
      <c r="F73" s="10">
        <v>0.1</v>
      </c>
      <c r="G73" t="s">
        <v>114</v>
      </c>
    </row>
    <row r="74" spans="1:13">
      <c r="A74" s="323" t="s">
        <v>216</v>
      </c>
      <c r="B74">
        <v>2.5</v>
      </c>
      <c r="C74" t="s">
        <v>215</v>
      </c>
      <c r="D74" s="1030">
        <v>48</v>
      </c>
      <c r="F74" s="10">
        <v>0.1</v>
      </c>
      <c r="G74" t="s">
        <v>32</v>
      </c>
    </row>
    <row r="75" spans="1:13">
      <c r="A75" s="323" t="s">
        <v>213</v>
      </c>
      <c r="B75">
        <v>2.5</v>
      </c>
      <c r="C75" t="s">
        <v>215</v>
      </c>
      <c r="D75" s="1030">
        <v>48</v>
      </c>
      <c r="F75" s="10">
        <v>0.5</v>
      </c>
      <c r="G75" t="s">
        <v>220</v>
      </c>
    </row>
    <row r="76" spans="1:13">
      <c r="A76" s="324" t="s">
        <v>217</v>
      </c>
      <c r="B76" s="1279">
        <v>2.5</v>
      </c>
      <c r="C76" s="1279" t="s">
        <v>215</v>
      </c>
      <c r="D76" s="1361">
        <v>48</v>
      </c>
      <c r="E76" s="1279"/>
      <c r="F76" s="1158">
        <v>0.1</v>
      </c>
      <c r="G76" s="1279" t="s">
        <v>110</v>
      </c>
    </row>
    <row r="77" spans="1:13">
      <c r="A77" s="1357" t="s">
        <v>277</v>
      </c>
      <c r="B77">
        <v>8</v>
      </c>
      <c r="C77" t="s">
        <v>215</v>
      </c>
      <c r="D77" s="1030">
        <v>48</v>
      </c>
      <c r="F77" s="10">
        <v>0.2</v>
      </c>
      <c r="G77" t="s">
        <v>114</v>
      </c>
      <c r="H77" t="s">
        <v>262</v>
      </c>
      <c r="L77" t="s">
        <v>94</v>
      </c>
    </row>
    <row r="78" spans="1:13">
      <c r="A78" s="1357" t="s">
        <v>277</v>
      </c>
      <c r="B78">
        <v>8</v>
      </c>
      <c r="C78" t="s">
        <v>215</v>
      </c>
      <c r="D78" s="1030">
        <v>48</v>
      </c>
      <c r="F78" s="10">
        <v>0.2</v>
      </c>
      <c r="G78" t="s">
        <v>114</v>
      </c>
      <c r="H78" t="s">
        <v>262</v>
      </c>
      <c r="L78" t="s">
        <v>97</v>
      </c>
    </row>
    <row r="79" spans="1:13">
      <c r="A79" s="1357" t="s">
        <v>739</v>
      </c>
      <c r="B79">
        <v>10</v>
      </c>
      <c r="C79" t="str">
        <f>C77</f>
        <v>* Landsize</v>
      </c>
      <c r="D79" s="752">
        <v>48</v>
      </c>
      <c r="F79" s="10">
        <v>0.2</v>
      </c>
      <c r="G79" t="s">
        <v>32</v>
      </c>
      <c r="H79" t="s">
        <v>274</v>
      </c>
      <c r="L79" t="s">
        <v>96</v>
      </c>
    </row>
    <row r="80" spans="1:13">
      <c r="A80" s="1357" t="s">
        <v>731</v>
      </c>
      <c r="B80">
        <v>10</v>
      </c>
      <c r="C80" t="str">
        <f>C77</f>
        <v>* Landsize</v>
      </c>
      <c r="D80" s="752">
        <v>48</v>
      </c>
      <c r="F80" s="10">
        <v>0.1</v>
      </c>
      <c r="G80" t="s">
        <v>31</v>
      </c>
      <c r="L80" t="s">
        <v>99</v>
      </c>
      <c r="M80" t="s">
        <v>635</v>
      </c>
    </row>
    <row r="81" spans="1:19">
      <c r="A81" s="323" t="s">
        <v>315</v>
      </c>
      <c r="B81">
        <v>10</v>
      </c>
      <c r="C81" t="str">
        <f>C80</f>
        <v>* Landsize</v>
      </c>
      <c r="D81" s="752">
        <v>48</v>
      </c>
      <c r="F81" s="11">
        <v>0.2</v>
      </c>
      <c r="G81" s="315" t="s">
        <v>111</v>
      </c>
      <c r="H81" s="11">
        <v>0.1</v>
      </c>
      <c r="I81" t="s">
        <v>112</v>
      </c>
      <c r="L81" t="s">
        <v>95</v>
      </c>
    </row>
    <row r="82" spans="1:19">
      <c r="A82" s="323" t="s">
        <v>353</v>
      </c>
      <c r="B82">
        <v>10</v>
      </c>
      <c r="C82" t="str">
        <f>C81</f>
        <v>* Landsize</v>
      </c>
      <c r="D82" s="752">
        <v>48</v>
      </c>
      <c r="F82" s="11">
        <v>0.1</v>
      </c>
      <c r="G82" s="315" t="s">
        <v>31</v>
      </c>
      <c r="H82" s="11">
        <v>0.1</v>
      </c>
      <c r="I82" t="s">
        <v>32</v>
      </c>
      <c r="L82" t="s">
        <v>106</v>
      </c>
    </row>
    <row r="83" spans="1:19">
      <c r="A83" s="323" t="s">
        <v>352</v>
      </c>
      <c r="B83">
        <v>10</v>
      </c>
      <c r="C83" t="str">
        <f>C82</f>
        <v>* Landsize</v>
      </c>
      <c r="D83" s="752">
        <v>48</v>
      </c>
      <c r="F83" s="11">
        <v>0.15</v>
      </c>
      <c r="G83" s="315" t="s">
        <v>32</v>
      </c>
      <c r="H83" s="11" t="s">
        <v>354</v>
      </c>
      <c r="L83" t="s">
        <v>347</v>
      </c>
    </row>
    <row r="84" spans="1:19">
      <c r="A84" s="323" t="s">
        <v>359</v>
      </c>
      <c r="B84">
        <v>10</v>
      </c>
      <c r="C84" s="292" t="str">
        <f>C83</f>
        <v>* Landsize</v>
      </c>
      <c r="D84" s="752">
        <v>48</v>
      </c>
      <c r="F84" s="752">
        <v>15</v>
      </c>
      <c r="G84" s="315" t="s">
        <v>360</v>
      </c>
      <c r="H84" s="11"/>
      <c r="L84" t="s">
        <v>361</v>
      </c>
      <c r="M84" t="s">
        <v>104</v>
      </c>
    </row>
    <row r="85" spans="1:19">
      <c r="A85" s="323" t="s">
        <v>493</v>
      </c>
      <c r="B85">
        <v>10</v>
      </c>
      <c r="C85" t="str">
        <f>C84</f>
        <v>* Landsize</v>
      </c>
      <c r="D85" s="752">
        <v>48</v>
      </c>
      <c r="F85" s="11">
        <v>0.05</v>
      </c>
      <c r="G85" s="315" t="s">
        <v>31</v>
      </c>
      <c r="L85" t="s">
        <v>579</v>
      </c>
    </row>
    <row r="86" spans="1:19">
      <c r="A86" s="323" t="s">
        <v>727</v>
      </c>
      <c r="B86">
        <v>8</v>
      </c>
      <c r="C86" t="s">
        <v>215</v>
      </c>
      <c r="D86" s="752">
        <v>48</v>
      </c>
      <c r="F86" s="11">
        <v>0.05</v>
      </c>
      <c r="G86" s="1359" t="s">
        <v>31</v>
      </c>
      <c r="H86" s="11"/>
      <c r="L86" t="s">
        <v>92</v>
      </c>
      <c r="M86" t="s">
        <v>629</v>
      </c>
    </row>
    <row r="87" spans="1:19">
      <c r="A87" s="1357" t="s">
        <v>728</v>
      </c>
      <c r="B87">
        <v>10</v>
      </c>
      <c r="C87" t="s">
        <v>215</v>
      </c>
      <c r="D87" s="752">
        <v>48</v>
      </c>
      <c r="F87" s="1360">
        <v>0.1</v>
      </c>
      <c r="G87" s="1359" t="s">
        <v>31</v>
      </c>
      <c r="L87" t="s">
        <v>100</v>
      </c>
    </row>
    <row r="88" spans="1:19">
      <c r="A88" s="1357" t="s">
        <v>729</v>
      </c>
      <c r="B88">
        <v>8</v>
      </c>
      <c r="C88" t="s">
        <v>215</v>
      </c>
      <c r="D88" s="752">
        <v>48</v>
      </c>
      <c r="F88" s="11">
        <v>0.1</v>
      </c>
      <c r="G88" s="1359" t="s">
        <v>31</v>
      </c>
      <c r="L88" t="s">
        <v>150</v>
      </c>
      <c r="M88" t="s">
        <v>645</v>
      </c>
    </row>
    <row r="89" spans="1:19">
      <c r="A89" s="323" t="s">
        <v>730</v>
      </c>
      <c r="B89">
        <v>10</v>
      </c>
      <c r="C89" t="str">
        <f>C75</f>
        <v>* Landsize</v>
      </c>
      <c r="D89" s="752">
        <v>48</v>
      </c>
      <c r="F89" s="1360" t="s">
        <v>738</v>
      </c>
      <c r="G89" s="1359"/>
      <c r="L89" t="s">
        <v>102</v>
      </c>
      <c r="M89" t="s">
        <v>654</v>
      </c>
      <c r="P89" s="1368" t="s">
        <v>102</v>
      </c>
      <c r="Q89" s="1368" t="s">
        <v>730</v>
      </c>
      <c r="R89" s="1368">
        <v>10</v>
      </c>
      <c r="S89" s="1369">
        <v>48</v>
      </c>
    </row>
    <row r="90" spans="1:19">
      <c r="A90" s="1357" t="s">
        <v>747</v>
      </c>
      <c r="B90">
        <v>10</v>
      </c>
      <c r="C90" t="str">
        <f>C76</f>
        <v>* Landsize</v>
      </c>
      <c r="D90" s="752">
        <v>48</v>
      </c>
      <c r="F90" s="1360" t="s">
        <v>738</v>
      </c>
      <c r="G90" s="1359"/>
      <c r="L90" t="s">
        <v>105</v>
      </c>
      <c r="P90" s="1368" t="s">
        <v>654</v>
      </c>
      <c r="Q90" s="1368" t="s">
        <v>730</v>
      </c>
      <c r="R90" s="1368">
        <v>10</v>
      </c>
      <c r="S90" s="1369">
        <v>48</v>
      </c>
    </row>
    <row r="91" spans="1:19">
      <c r="A91" s="1357" t="s">
        <v>740</v>
      </c>
      <c r="B91">
        <v>8</v>
      </c>
      <c r="C91" t="str">
        <f>C77</f>
        <v>* Landsize</v>
      </c>
      <c r="D91" s="752">
        <v>48</v>
      </c>
      <c r="F91" s="1360" t="s">
        <v>738</v>
      </c>
      <c r="G91" s="1359"/>
      <c r="L91" t="s">
        <v>673</v>
      </c>
      <c r="P91" s="1368" t="s">
        <v>105</v>
      </c>
      <c r="Q91" s="1368" t="s">
        <v>747</v>
      </c>
      <c r="R91" s="1368">
        <v>10</v>
      </c>
      <c r="S91" s="1369">
        <v>48</v>
      </c>
    </row>
    <row r="92" spans="1:19">
      <c r="A92" s="323" t="s">
        <v>734</v>
      </c>
      <c r="B92">
        <v>8</v>
      </c>
      <c r="C92" t="str">
        <f t="shared" ref="C92:C97" si="0">C79</f>
        <v>* Landsize</v>
      </c>
      <c r="D92" s="752">
        <v>48</v>
      </c>
      <c r="F92" s="1360" t="s">
        <v>738</v>
      </c>
      <c r="G92" s="1359"/>
      <c r="L92" t="s">
        <v>624</v>
      </c>
      <c r="P92" s="1368" t="s">
        <v>673</v>
      </c>
      <c r="Q92" s="1368" t="s">
        <v>740</v>
      </c>
      <c r="R92" s="1368">
        <v>8</v>
      </c>
      <c r="S92" s="1369">
        <v>48</v>
      </c>
    </row>
    <row r="93" spans="1:19">
      <c r="A93" s="1357" t="s">
        <v>737</v>
      </c>
      <c r="B93">
        <v>8</v>
      </c>
      <c r="C93" t="str">
        <f t="shared" si="0"/>
        <v>* Landsize</v>
      </c>
      <c r="D93" s="752">
        <v>48</v>
      </c>
      <c r="F93" s="1360" t="s">
        <v>738</v>
      </c>
      <c r="G93" s="1359"/>
      <c r="L93" t="s">
        <v>103</v>
      </c>
      <c r="P93" s="1368" t="s">
        <v>624</v>
      </c>
      <c r="Q93" s="1368" t="s">
        <v>734</v>
      </c>
      <c r="R93" s="1368">
        <v>8</v>
      </c>
      <c r="S93" s="1369">
        <v>48</v>
      </c>
    </row>
    <row r="94" spans="1:19">
      <c r="A94" s="323" t="s">
        <v>735</v>
      </c>
      <c r="B94">
        <v>6</v>
      </c>
      <c r="C94" t="str">
        <f t="shared" si="0"/>
        <v>* Landsize</v>
      </c>
      <c r="D94" s="752">
        <v>24</v>
      </c>
      <c r="F94" s="1360" t="s">
        <v>738</v>
      </c>
      <c r="G94" s="1359"/>
      <c r="L94" t="s">
        <v>649</v>
      </c>
      <c r="P94" s="1368" t="s">
        <v>103</v>
      </c>
      <c r="Q94" s="1368" t="s">
        <v>737</v>
      </c>
      <c r="R94" s="1368">
        <v>8</v>
      </c>
      <c r="S94" s="1369">
        <v>48</v>
      </c>
    </row>
    <row r="95" spans="1:19">
      <c r="A95" s="1357" t="s">
        <v>746</v>
      </c>
      <c r="B95">
        <v>10</v>
      </c>
      <c r="C95" t="str">
        <f t="shared" si="0"/>
        <v>* Landsize</v>
      </c>
      <c r="D95" s="752">
        <v>48</v>
      </c>
      <c r="F95" s="1360" t="s">
        <v>738</v>
      </c>
      <c r="G95" s="1359"/>
      <c r="L95" t="s">
        <v>29</v>
      </c>
      <c r="M95" t="s">
        <v>640</v>
      </c>
      <c r="N95" t="s">
        <v>107</v>
      </c>
      <c r="P95" s="1368" t="s">
        <v>649</v>
      </c>
      <c r="Q95" s="1368" t="s">
        <v>735</v>
      </c>
      <c r="R95" s="1368">
        <v>6</v>
      </c>
      <c r="S95" s="1369">
        <v>24</v>
      </c>
    </row>
    <row r="96" spans="1:19">
      <c r="A96" s="323" t="s">
        <v>732</v>
      </c>
      <c r="B96">
        <v>10</v>
      </c>
      <c r="C96" t="str">
        <f t="shared" si="0"/>
        <v>* Landsize</v>
      </c>
      <c r="D96" s="752">
        <v>4</v>
      </c>
      <c r="F96" s="1360" t="s">
        <v>738</v>
      </c>
      <c r="L96" t="s">
        <v>93</v>
      </c>
      <c r="P96" s="1368" t="s">
        <v>29</v>
      </c>
      <c r="Q96" s="1368" t="s">
        <v>746</v>
      </c>
      <c r="R96" s="1368">
        <v>10</v>
      </c>
      <c r="S96" s="1369">
        <v>48</v>
      </c>
    </row>
    <row r="97" spans="1:19">
      <c r="A97" s="323" t="s">
        <v>733</v>
      </c>
      <c r="B97">
        <v>2</v>
      </c>
      <c r="C97" t="str">
        <f t="shared" si="0"/>
        <v>* Landsize</v>
      </c>
      <c r="D97" s="752">
        <v>4</v>
      </c>
      <c r="F97" s="1360" t="s">
        <v>738</v>
      </c>
      <c r="L97" t="s">
        <v>614</v>
      </c>
      <c r="P97" s="1368" t="s">
        <v>640</v>
      </c>
      <c r="Q97" s="1368" t="s">
        <v>746</v>
      </c>
      <c r="R97" s="1368">
        <v>10</v>
      </c>
      <c r="S97" s="1369">
        <v>48</v>
      </c>
    </row>
    <row r="98" spans="1:19">
      <c r="A98" s="1357" t="s">
        <v>741</v>
      </c>
      <c r="B98">
        <v>5</v>
      </c>
      <c r="C98" t="str">
        <f>C103</f>
        <v>* Landsize</v>
      </c>
      <c r="D98" s="752">
        <f>12*4</f>
        <v>48</v>
      </c>
      <c r="F98" s="1360" t="s">
        <v>738</v>
      </c>
      <c r="G98" s="1358"/>
      <c r="L98" t="s">
        <v>98</v>
      </c>
      <c r="P98" s="1368" t="s">
        <v>107</v>
      </c>
      <c r="Q98" s="1368" t="s">
        <v>746</v>
      </c>
      <c r="R98" s="1368">
        <v>10</v>
      </c>
      <c r="S98" s="1369">
        <v>48</v>
      </c>
    </row>
    <row r="99" spans="1:19">
      <c r="A99" s="1357" t="s">
        <v>718</v>
      </c>
      <c r="B99">
        <v>6</v>
      </c>
      <c r="C99" t="str">
        <f>C85</f>
        <v>* Landsize</v>
      </c>
      <c r="D99" s="752">
        <v>48</v>
      </c>
      <c r="F99" s="11">
        <v>0.02</v>
      </c>
      <c r="G99" s="1359" t="s">
        <v>723</v>
      </c>
      <c r="L99" t="s">
        <v>604</v>
      </c>
      <c r="P99" s="1368" t="s">
        <v>93</v>
      </c>
      <c r="Q99" s="1368" t="s">
        <v>732</v>
      </c>
      <c r="R99" s="1368">
        <v>10</v>
      </c>
      <c r="S99" s="1369">
        <v>4</v>
      </c>
    </row>
    <row r="100" spans="1:19">
      <c r="A100" s="1357" t="s">
        <v>719</v>
      </c>
      <c r="B100">
        <v>10</v>
      </c>
      <c r="C100" t="str">
        <f>C99</f>
        <v>* Landsize</v>
      </c>
      <c r="D100" s="752">
        <v>48</v>
      </c>
      <c r="F100" s="11">
        <v>0.01</v>
      </c>
      <c r="G100" s="1359" t="s">
        <v>724</v>
      </c>
      <c r="L100" t="s">
        <v>609</v>
      </c>
      <c r="P100" s="1368" t="s">
        <v>614</v>
      </c>
      <c r="Q100" s="1373" t="s">
        <v>733</v>
      </c>
      <c r="R100" s="1368">
        <v>2</v>
      </c>
      <c r="S100" s="1369">
        <v>4</v>
      </c>
    </row>
    <row r="101" spans="1:19">
      <c r="A101" s="1357" t="s">
        <v>720</v>
      </c>
      <c r="B101">
        <v>6</v>
      </c>
      <c r="C101" t="str">
        <f>C100</f>
        <v>* Landsize</v>
      </c>
      <c r="D101" s="752">
        <v>24</v>
      </c>
      <c r="F101" s="11"/>
      <c r="G101" s="1277"/>
      <c r="L101" t="s">
        <v>619</v>
      </c>
      <c r="P101" s="1368" t="s">
        <v>98</v>
      </c>
      <c r="Q101" s="1373" t="s">
        <v>741</v>
      </c>
      <c r="R101" s="1368">
        <v>5</v>
      </c>
      <c r="S101" s="1369">
        <v>48</v>
      </c>
    </row>
    <row r="102" spans="1:19">
      <c r="A102" s="1357" t="s">
        <v>721</v>
      </c>
      <c r="B102">
        <v>8</v>
      </c>
      <c r="C102" t="str">
        <f>C101</f>
        <v>* Landsize</v>
      </c>
      <c r="D102" s="752">
        <v>48</v>
      </c>
      <c r="F102" s="11">
        <v>-0.5</v>
      </c>
      <c r="G102" s="1359" t="s">
        <v>725</v>
      </c>
      <c r="L102" t="s">
        <v>180</v>
      </c>
      <c r="P102" s="1370" t="s">
        <v>582</v>
      </c>
      <c r="Q102" s="1372" t="s">
        <v>748</v>
      </c>
      <c r="R102" s="1370">
        <v>0</v>
      </c>
      <c r="S102" s="1371">
        <v>0</v>
      </c>
    </row>
    <row r="103" spans="1:19">
      <c r="A103" s="1357" t="s">
        <v>722</v>
      </c>
      <c r="B103">
        <v>8</v>
      </c>
      <c r="C103" t="str">
        <f>C102</f>
        <v>* Landsize</v>
      </c>
      <c r="D103" s="752">
        <v>48</v>
      </c>
      <c r="F103" s="11">
        <v>0.1</v>
      </c>
      <c r="G103" s="1358" t="s">
        <v>726</v>
      </c>
      <c r="L103" t="s">
        <v>663</v>
      </c>
    </row>
    <row r="104" spans="1:19">
      <c r="P104" s="1370"/>
    </row>
    <row r="105" spans="1:19">
      <c r="A105" s="321" t="s">
        <v>85</v>
      </c>
      <c r="P105" s="1370"/>
    </row>
    <row r="106" spans="1:19">
      <c r="A106" s="323" t="s">
        <v>282</v>
      </c>
      <c r="B106">
        <f>IF(Overview!$B$14="Kobold",40,30)</f>
        <v>30</v>
      </c>
      <c r="C106" t="s">
        <v>254</v>
      </c>
      <c r="D106" s="98"/>
    </row>
    <row r="107" spans="1:19">
      <c r="L107" s="1354"/>
    </row>
    <row r="108" spans="1:19">
      <c r="A108" s="321" t="s">
        <v>369</v>
      </c>
      <c r="P108" s="1354"/>
    </row>
    <row r="109" spans="1:19">
      <c r="A109" s="322" t="s">
        <v>583</v>
      </c>
      <c r="B109">
        <v>500</v>
      </c>
    </row>
    <row r="110" spans="1:19">
      <c r="A110" s="322" t="s">
        <v>584</v>
      </c>
      <c r="B110" s="11">
        <v>0.01</v>
      </c>
    </row>
    <row r="111" spans="1:19">
      <c r="A111" s="322" t="s">
        <v>585</v>
      </c>
      <c r="B111" s="11">
        <v>0.01</v>
      </c>
    </row>
    <row r="112" spans="1:19">
      <c r="A112" s="322" t="s">
        <v>586</v>
      </c>
      <c r="B112" s="11">
        <v>0.01</v>
      </c>
    </row>
    <row r="114" spans="1:6">
      <c r="A114" s="321" t="s">
        <v>535</v>
      </c>
    </row>
    <row r="116" spans="1:6">
      <c r="A116" s="323" t="s">
        <v>536</v>
      </c>
      <c r="B116" t="s">
        <v>223</v>
      </c>
      <c r="D116" s="10">
        <v>0.3</v>
      </c>
      <c r="E116" s="98" t="s">
        <v>505</v>
      </c>
    </row>
    <row r="117" spans="1:6">
      <c r="B117" t="s">
        <v>221</v>
      </c>
      <c r="D117" s="10">
        <v>0.2</v>
      </c>
      <c r="E117" s="98" t="s">
        <v>505</v>
      </c>
    </row>
    <row r="118" spans="1:6">
      <c r="B118" t="s">
        <v>537</v>
      </c>
      <c r="D118" s="10">
        <v>0.3</v>
      </c>
      <c r="E118" s="98" t="s">
        <v>505</v>
      </c>
    </row>
    <row r="119" spans="1:6">
      <c r="B119" t="s">
        <v>538</v>
      </c>
      <c r="D119" s="10">
        <v>0.4</v>
      </c>
      <c r="E119" s="98" t="s">
        <v>505</v>
      </c>
    </row>
    <row r="121" spans="1:6">
      <c r="A121" s="323" t="s">
        <v>539</v>
      </c>
      <c r="B121" t="s">
        <v>223</v>
      </c>
      <c r="D121">
        <v>4000</v>
      </c>
      <c r="E121" s="98" t="s">
        <v>587</v>
      </c>
    </row>
    <row r="122" spans="1:6">
      <c r="B122" t="s">
        <v>221</v>
      </c>
      <c r="D122">
        <v>4000</v>
      </c>
      <c r="E122" s="98" t="s">
        <v>587</v>
      </c>
    </row>
    <row r="123" spans="1:6">
      <c r="B123" t="s">
        <v>537</v>
      </c>
      <c r="D123">
        <v>7500</v>
      </c>
      <c r="E123" s="98" t="s">
        <v>587</v>
      </c>
    </row>
    <row r="124" spans="1:6">
      <c r="B124" t="s">
        <v>538</v>
      </c>
      <c r="D124">
        <v>5000</v>
      </c>
      <c r="E124" s="98" t="s">
        <v>587</v>
      </c>
    </row>
    <row r="126" spans="1:6">
      <c r="A126" s="321" t="s">
        <v>541</v>
      </c>
      <c r="F126" t="s">
        <v>543</v>
      </c>
    </row>
    <row r="127" spans="1:6">
      <c r="A127" s="323" t="s">
        <v>130</v>
      </c>
      <c r="B127" s="507"/>
      <c r="C127" s="1033">
        <v>0.2</v>
      </c>
      <c r="D127" t="s">
        <v>548</v>
      </c>
      <c r="F127" s="1" t="s">
        <v>547</v>
      </c>
    </row>
    <row r="128" spans="1:6">
      <c r="A128" s="323" t="s">
        <v>131</v>
      </c>
      <c r="B128" s="1031" t="s">
        <v>307</v>
      </c>
      <c r="C128" s="1033">
        <v>0.2</v>
      </c>
      <c r="D128" t="s">
        <v>548</v>
      </c>
      <c r="F128" s="1" t="s">
        <v>547</v>
      </c>
    </row>
    <row r="129" spans="1:7">
      <c r="B129" t="s">
        <v>306</v>
      </c>
      <c r="C129" s="1014">
        <v>0.2</v>
      </c>
      <c r="D129" t="s">
        <v>548</v>
      </c>
      <c r="F129" s="1" t="s">
        <v>547</v>
      </c>
    </row>
    <row r="130" spans="1:7">
      <c r="A130" s="323" t="s">
        <v>146</v>
      </c>
      <c r="B130" s="507"/>
      <c r="C130" s="1033">
        <v>0.2</v>
      </c>
      <c r="D130" t="s">
        <v>548</v>
      </c>
      <c r="F130" s="1">
        <v>4</v>
      </c>
    </row>
    <row r="131" spans="1:7">
      <c r="A131" s="323" t="s">
        <v>138</v>
      </c>
      <c r="B131" s="507"/>
      <c r="C131" s="1033">
        <v>0.2</v>
      </c>
      <c r="D131" t="s">
        <v>549</v>
      </c>
      <c r="F131" s="1">
        <v>2</v>
      </c>
    </row>
    <row r="132" spans="1:7">
      <c r="A132" s="323" t="s">
        <v>154</v>
      </c>
      <c r="B132" s="1031" t="s">
        <v>307</v>
      </c>
      <c r="C132" s="1033">
        <v>0.1</v>
      </c>
      <c r="D132" t="s">
        <v>312</v>
      </c>
      <c r="F132" s="1">
        <v>5</v>
      </c>
    </row>
    <row r="133" spans="1:7">
      <c r="B133" t="s">
        <v>306</v>
      </c>
      <c r="C133" s="1034">
        <v>0.1</v>
      </c>
      <c r="D133" t="s">
        <v>312</v>
      </c>
      <c r="F133" s="1">
        <v>5</v>
      </c>
    </row>
    <row r="134" spans="1:7">
      <c r="A134" s="323" t="s">
        <v>542</v>
      </c>
      <c r="B134" s="507"/>
      <c r="C134" s="1033">
        <v>0.2</v>
      </c>
      <c r="D134" t="s">
        <v>549</v>
      </c>
      <c r="F134" s="1">
        <v>3</v>
      </c>
    </row>
    <row r="135" spans="1:7">
      <c r="A135" s="323" t="s">
        <v>351</v>
      </c>
      <c r="C135" s="1">
        <v>0.9</v>
      </c>
      <c r="D135" t="s">
        <v>544</v>
      </c>
      <c r="F135" s="1">
        <v>3</v>
      </c>
    </row>
    <row r="136" spans="1:7">
      <c r="A136" s="323" t="s">
        <v>391</v>
      </c>
      <c r="B136" s="1" t="s">
        <v>546</v>
      </c>
      <c r="C136" s="1031">
        <v>600</v>
      </c>
      <c r="D136" t="s">
        <v>545</v>
      </c>
      <c r="F136" s="1">
        <v>2</v>
      </c>
    </row>
    <row r="137" spans="1:7">
      <c r="A137" s="323" t="s">
        <v>491</v>
      </c>
      <c r="B137" s="507"/>
      <c r="C137" s="1014">
        <v>0.1</v>
      </c>
      <c r="D137" s="98" t="s">
        <v>578</v>
      </c>
      <c r="F137" s="1">
        <v>4</v>
      </c>
    </row>
    <row r="138" spans="1:7">
      <c r="A138" s="322" t="s">
        <v>608</v>
      </c>
      <c r="C138" s="951">
        <v>0.1</v>
      </c>
      <c r="D138" s="98" t="s">
        <v>681</v>
      </c>
      <c r="F138" s="1">
        <v>1</v>
      </c>
      <c r="G138" s="98" t="s">
        <v>604</v>
      </c>
    </row>
    <row r="139" spans="1:7">
      <c r="A139" s="322" t="s">
        <v>617</v>
      </c>
      <c r="B139" s="98" t="s">
        <v>306</v>
      </c>
      <c r="C139" s="951">
        <v>0.1</v>
      </c>
      <c r="D139" s="98" t="s">
        <v>548</v>
      </c>
      <c r="F139" s="1">
        <v>3</v>
      </c>
      <c r="G139" s="98" t="s">
        <v>614</v>
      </c>
    </row>
    <row r="140" spans="1:7">
      <c r="A140" s="322" t="s">
        <v>618</v>
      </c>
      <c r="B140" s="98" t="s">
        <v>306</v>
      </c>
      <c r="C140" s="951">
        <v>0.1</v>
      </c>
      <c r="D140" s="98" t="s">
        <v>548</v>
      </c>
      <c r="F140" s="1">
        <v>3</v>
      </c>
    </row>
    <row r="141" spans="1:7">
      <c r="A141" s="322" t="s">
        <v>632</v>
      </c>
      <c r="B141" s="98" t="s">
        <v>307</v>
      </c>
      <c r="C141" s="951">
        <v>0.05</v>
      </c>
      <c r="D141" s="98" t="s">
        <v>682</v>
      </c>
      <c r="F141" s="1">
        <v>3</v>
      </c>
    </row>
    <row r="142" spans="1:7">
      <c r="A142" s="322"/>
      <c r="B142" s="98" t="s">
        <v>306</v>
      </c>
      <c r="C142" s="951">
        <v>0.05</v>
      </c>
      <c r="D142" s="98" t="s">
        <v>682</v>
      </c>
      <c r="F142" s="1">
        <v>3</v>
      </c>
    </row>
    <row r="143" spans="1:7">
      <c r="A143" s="322" t="s">
        <v>633</v>
      </c>
      <c r="C143" s="951">
        <v>0.05</v>
      </c>
      <c r="D143" s="98" t="s">
        <v>683</v>
      </c>
      <c r="F143" s="1">
        <v>3</v>
      </c>
    </row>
    <row r="144" spans="1:7">
      <c r="A144" s="322" t="s">
        <v>159</v>
      </c>
      <c r="B144" s="98" t="s">
        <v>307</v>
      </c>
      <c r="C144" s="11">
        <v>0.4</v>
      </c>
      <c r="D144" s="98" t="s">
        <v>684</v>
      </c>
      <c r="F144" s="1">
        <v>1</v>
      </c>
    </row>
    <row r="145" spans="1:6">
      <c r="B145" s="98" t="s">
        <v>306</v>
      </c>
      <c r="C145" s="11">
        <v>0.4</v>
      </c>
      <c r="D145" s="98" t="s">
        <v>684</v>
      </c>
      <c r="F145" s="1">
        <v>1</v>
      </c>
    </row>
    <row r="146" spans="1:6">
      <c r="A146" s="322" t="s">
        <v>158</v>
      </c>
      <c r="B146" s="98" t="s">
        <v>307</v>
      </c>
      <c r="C146" s="11">
        <v>0.2</v>
      </c>
      <c r="D146" s="98" t="s">
        <v>684</v>
      </c>
      <c r="F146" s="1">
        <v>2</v>
      </c>
    </row>
    <row r="147" spans="1:6">
      <c r="B147" s="98" t="s">
        <v>306</v>
      </c>
      <c r="C147" s="11">
        <v>0.2</v>
      </c>
      <c r="D147" s="98" t="s">
        <v>684</v>
      </c>
      <c r="F147" s="1">
        <v>2</v>
      </c>
    </row>
    <row r="148" spans="1:6">
      <c r="A148" s="322" t="s">
        <v>672</v>
      </c>
      <c r="C148" s="1189">
        <v>1</v>
      </c>
      <c r="D148" t="s">
        <v>544</v>
      </c>
      <c r="F148" s="1">
        <v>1</v>
      </c>
    </row>
    <row r="149" spans="1:6">
      <c r="A149" s="1357" t="s">
        <v>134</v>
      </c>
      <c r="C149" s="1189">
        <v>1</v>
      </c>
      <c r="D149" s="1354" t="s">
        <v>751</v>
      </c>
      <c r="F149" s="1">
        <v>2</v>
      </c>
    </row>
    <row r="150" spans="1:6">
      <c r="A150" s="323" t="s">
        <v>627</v>
      </c>
      <c r="B150" s="1" t="s">
        <v>546</v>
      </c>
      <c r="C150" s="1031">
        <v>500</v>
      </c>
      <c r="D150" t="s">
        <v>545</v>
      </c>
      <c r="F150" s="1">
        <v>2</v>
      </c>
    </row>
    <row r="151" spans="1:6">
      <c r="A151" s="1357" t="s">
        <v>647</v>
      </c>
      <c r="B151" s="1" t="s">
        <v>546</v>
      </c>
      <c r="C151" s="1031">
        <v>400</v>
      </c>
      <c r="D151" t="s">
        <v>545</v>
      </c>
      <c r="F151" s="1">
        <v>3</v>
      </c>
    </row>
    <row r="152" spans="1:6">
      <c r="A152" s="1357" t="s">
        <v>172</v>
      </c>
      <c r="C152" s="11">
        <v>0.05</v>
      </c>
      <c r="D152" s="1354" t="s">
        <v>755</v>
      </c>
      <c r="F152" s="1">
        <v>3</v>
      </c>
    </row>
    <row r="155" spans="1:6">
      <c r="A155" s="321" t="s">
        <v>278</v>
      </c>
    </row>
    <row r="156" spans="1:6">
      <c r="A156" s="323" t="s">
        <v>560</v>
      </c>
      <c r="B156">
        <v>20</v>
      </c>
    </row>
    <row r="157" spans="1:6">
      <c r="A157" s="323" t="s">
        <v>558</v>
      </c>
      <c r="B157">
        <v>0</v>
      </c>
      <c r="C157" t="s">
        <v>559</v>
      </c>
    </row>
  </sheetData>
  <phoneticPr fontId="0" type="noConversion"/>
  <conditionalFormatting sqref="J22:L22">
    <cfRule type="expression" dxfId="1" priority="1" stopIfTrue="1">
      <formula>$A$1288&lt;0</formula>
    </cfRule>
  </conditionalFormatting>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codeName="Sheet11"/>
  <dimension ref="A1:AH187"/>
  <sheetViews>
    <sheetView zoomScale="75" workbookViewId="0">
      <pane ySplit="4" topLeftCell="A71" activePane="bottomLeft" state="frozenSplit"/>
      <selection pane="bottomLeft" activeCell="D118" sqref="D118"/>
    </sheetView>
  </sheetViews>
  <sheetFormatPr defaultRowHeight="12.75"/>
  <cols>
    <col min="1" max="1" width="15.7109375" style="323" bestFit="1" customWidth="1"/>
    <col min="2" max="3" width="10" bestFit="1" customWidth="1"/>
    <col min="4" max="4" width="15.7109375" bestFit="1" customWidth="1"/>
    <col min="5" max="5" width="8.140625" bestFit="1" customWidth="1"/>
    <col min="6" max="6" width="8.5703125" bestFit="1" customWidth="1"/>
    <col min="7" max="7" width="6.85546875" customWidth="1"/>
    <col min="8" max="9" width="7" bestFit="1" customWidth="1"/>
    <col min="10" max="13" width="5.140625" customWidth="1"/>
    <col min="15" max="15" width="2.85546875" customWidth="1"/>
    <col min="16" max="16" width="3" customWidth="1"/>
    <col min="17" max="17" width="11" bestFit="1" customWidth="1"/>
    <col min="18" max="18" width="11.140625" bestFit="1" customWidth="1"/>
    <col min="20" max="20" width="10.28515625" bestFit="1" customWidth="1"/>
    <col min="21" max="21" width="12" bestFit="1" customWidth="1"/>
    <col min="22" max="22" width="10.5703125" bestFit="1" customWidth="1"/>
    <col min="23" max="23" width="8.7109375" bestFit="1" customWidth="1"/>
    <col min="24" max="24" width="9.7109375" bestFit="1" customWidth="1"/>
    <col min="25" max="25" width="10.7109375" bestFit="1" customWidth="1"/>
    <col min="26" max="26" width="8.5703125" bestFit="1" customWidth="1"/>
    <col min="27" max="27" width="8.140625" bestFit="1" customWidth="1"/>
    <col min="28" max="28" width="6.7109375" bestFit="1" customWidth="1"/>
    <col min="31" max="31" width="9.140625" style="10" customWidth="1"/>
  </cols>
  <sheetData>
    <row r="1" spans="1:34" s="34" customFormat="1">
      <c r="A1" s="321" t="s">
        <v>296</v>
      </c>
      <c r="AE1" s="1156"/>
    </row>
    <row r="3" spans="1:34" s="34" customFormat="1">
      <c r="A3" s="321" t="s">
        <v>36</v>
      </c>
      <c r="D3" s="34" t="s">
        <v>38</v>
      </c>
      <c r="O3" s="98"/>
      <c r="P3" s="98"/>
      <c r="Q3" s="34" t="s">
        <v>37</v>
      </c>
      <c r="AE3" s="1156"/>
    </row>
    <row r="4" spans="1:34" s="98" customFormat="1">
      <c r="A4" s="322" t="s">
        <v>34</v>
      </c>
      <c r="B4" s="98" t="s">
        <v>35</v>
      </c>
      <c r="C4" s="98" t="s">
        <v>257</v>
      </c>
      <c r="D4" s="98" t="s">
        <v>34</v>
      </c>
      <c r="E4" s="99" t="s">
        <v>31</v>
      </c>
      <c r="F4" s="99" t="s">
        <v>32</v>
      </c>
      <c r="G4" s="99" t="s">
        <v>39</v>
      </c>
      <c r="H4" s="99" t="s">
        <v>3</v>
      </c>
      <c r="I4" s="99" t="s">
        <v>600</v>
      </c>
      <c r="J4" s="99" t="s">
        <v>601</v>
      </c>
      <c r="K4" s="99" t="s">
        <v>12</v>
      </c>
      <c r="L4" s="99" t="s">
        <v>5</v>
      </c>
      <c r="M4" s="99" t="s">
        <v>602</v>
      </c>
      <c r="N4" s="99" t="s">
        <v>244</v>
      </c>
      <c r="O4" s="99"/>
      <c r="Q4" s="98" t="s">
        <v>108</v>
      </c>
      <c r="R4" s="98" t="s">
        <v>109</v>
      </c>
      <c r="S4" s="98" t="s">
        <v>110</v>
      </c>
      <c r="T4" s="98" t="s">
        <v>111</v>
      </c>
      <c r="U4" s="98" t="s">
        <v>112</v>
      </c>
      <c r="V4" s="98" t="s">
        <v>113</v>
      </c>
      <c r="W4" s="98" t="s">
        <v>114</v>
      </c>
      <c r="X4" s="98" t="s">
        <v>115</v>
      </c>
      <c r="Y4" s="98" t="s">
        <v>116</v>
      </c>
      <c r="Z4" s="98" t="s">
        <v>32</v>
      </c>
      <c r="AA4" s="98" t="s">
        <v>31</v>
      </c>
      <c r="AB4" s="98" t="s">
        <v>117</v>
      </c>
      <c r="AC4" s="98" t="s">
        <v>118</v>
      </c>
      <c r="AD4" s="98" t="s">
        <v>228</v>
      </c>
      <c r="AE4" s="1157" t="s">
        <v>203</v>
      </c>
      <c r="AF4" s="98" t="s">
        <v>567</v>
      </c>
      <c r="AG4" s="98" t="s">
        <v>188</v>
      </c>
      <c r="AH4" s="98" t="s">
        <v>603</v>
      </c>
    </row>
    <row r="5" spans="1:34" s="15" customFormat="1">
      <c r="A5" s="325" t="s">
        <v>92</v>
      </c>
      <c r="B5" s="74" t="s">
        <v>101</v>
      </c>
      <c r="C5" s="15" t="s">
        <v>259</v>
      </c>
      <c r="D5" s="70" t="s">
        <v>119</v>
      </c>
      <c r="E5" s="15">
        <v>3</v>
      </c>
      <c r="G5" s="15">
        <v>275</v>
      </c>
      <c r="H5" s="15">
        <v>25</v>
      </c>
      <c r="N5" s="74">
        <v>5</v>
      </c>
      <c r="Q5" s="445"/>
      <c r="R5" s="100"/>
      <c r="S5" s="100"/>
      <c r="T5" s="100">
        <v>0.05</v>
      </c>
      <c r="U5" s="100"/>
      <c r="V5" s="100"/>
      <c r="W5" s="100"/>
      <c r="X5" s="100"/>
      <c r="Y5" s="100"/>
      <c r="Z5" s="100"/>
      <c r="AA5" s="100"/>
      <c r="AB5" s="100"/>
      <c r="AC5" s="100"/>
      <c r="AD5" s="16"/>
      <c r="AE5" s="17"/>
      <c r="AF5" s="17"/>
      <c r="AG5" s="17"/>
      <c r="AH5" s="74"/>
    </row>
    <row r="6" spans="1:34" s="16" customFormat="1">
      <c r="A6" s="323"/>
      <c r="B6" s="53"/>
      <c r="D6" s="52" t="s">
        <v>120</v>
      </c>
      <c r="F6" s="16">
        <v>3</v>
      </c>
      <c r="G6" s="16">
        <v>275</v>
      </c>
      <c r="H6" s="16">
        <v>10</v>
      </c>
      <c r="N6" s="53">
        <v>5</v>
      </c>
      <c r="Q6" s="776"/>
      <c r="R6" s="65"/>
      <c r="S6" s="65"/>
      <c r="T6" s="65"/>
      <c r="U6" s="65"/>
      <c r="V6" s="65"/>
      <c r="W6" s="65"/>
      <c r="X6" s="65"/>
      <c r="Y6" s="65"/>
      <c r="Z6" s="65"/>
      <c r="AA6" s="65"/>
      <c r="AB6" s="65"/>
      <c r="AC6" s="65"/>
      <c r="AE6" s="17"/>
      <c r="AF6" s="17"/>
      <c r="AG6" s="17"/>
      <c r="AH6" s="53"/>
    </row>
    <row r="7" spans="1:34" s="16" customFormat="1">
      <c r="A7" s="323"/>
      <c r="B7" s="53"/>
      <c r="D7" s="52" t="s">
        <v>121</v>
      </c>
      <c r="E7" s="16">
        <v>2</v>
      </c>
      <c r="F7" s="16">
        <v>6</v>
      </c>
      <c r="G7" s="16">
        <v>1000</v>
      </c>
      <c r="H7" s="16">
        <v>75</v>
      </c>
      <c r="N7" s="53">
        <f>1.8 * MIN(6, MAX(E7,F7)) + 0.45 * MIN(6, MIN(E7,F7)) + IF(E7&gt;6, (E7-6)*0.2) + IF(F7&gt;6, (F7-6)*0.2)</f>
        <v>11.700000000000001</v>
      </c>
      <c r="Q7" s="776"/>
      <c r="R7" s="65"/>
      <c r="S7" s="65"/>
      <c r="T7" s="65"/>
      <c r="U7" s="65"/>
      <c r="V7" s="65"/>
      <c r="W7" s="65"/>
      <c r="X7" s="65"/>
      <c r="Y7" s="65"/>
      <c r="Z7" s="65"/>
      <c r="AA7" s="65"/>
      <c r="AB7" s="65"/>
      <c r="AC7" s="65"/>
      <c r="AE7" s="17"/>
      <c r="AF7" s="17"/>
      <c r="AG7" s="17"/>
      <c r="AH7" s="53"/>
    </row>
    <row r="8" spans="1:34" s="25" customFormat="1">
      <c r="A8" s="324"/>
      <c r="B8" s="75"/>
      <c r="D8" s="72" t="s">
        <v>122</v>
      </c>
      <c r="E8" s="25">
        <v>6</v>
      </c>
      <c r="F8" s="25">
        <v>3</v>
      </c>
      <c r="G8" s="25">
        <v>1250</v>
      </c>
      <c r="H8" s="25">
        <v>100</v>
      </c>
      <c r="N8" s="75">
        <f>1.8 * MIN(6, MAX(E8,F8)) + 0.45 * MIN(6, MIN(E8,F8)) + IF(E8&gt;6, (E8-6)*0.2) + IF(F8&gt;6, (F8-6)*0.2)</f>
        <v>12.15</v>
      </c>
      <c r="Q8" s="777"/>
      <c r="R8" s="102"/>
      <c r="S8" s="102"/>
      <c r="T8" s="102"/>
      <c r="U8" s="102"/>
      <c r="V8" s="102"/>
      <c r="W8" s="102"/>
      <c r="X8" s="102"/>
      <c r="Y8" s="102"/>
      <c r="Z8" s="102"/>
      <c r="AA8" s="102"/>
      <c r="AB8" s="102"/>
      <c r="AC8" s="102"/>
      <c r="AE8" s="1158"/>
      <c r="AF8" s="1158"/>
      <c r="AG8" s="1158"/>
      <c r="AH8" s="75"/>
    </row>
    <row r="9" spans="1:34" s="15" customFormat="1">
      <c r="A9" s="325" t="s">
        <v>93</v>
      </c>
      <c r="B9" s="74" t="s">
        <v>30</v>
      </c>
      <c r="C9" s="15" t="s">
        <v>259</v>
      </c>
      <c r="D9" s="70" t="s">
        <v>123</v>
      </c>
      <c r="E9" s="15">
        <v>3</v>
      </c>
      <c r="F9" s="15">
        <v>0</v>
      </c>
      <c r="G9" s="15">
        <v>280</v>
      </c>
      <c r="H9" s="15">
        <v>25</v>
      </c>
      <c r="N9" s="74">
        <v>5</v>
      </c>
      <c r="Q9" s="445"/>
      <c r="R9" s="100"/>
      <c r="S9" s="100"/>
      <c r="T9" s="100"/>
      <c r="U9" s="100"/>
      <c r="V9" s="100"/>
      <c r="W9" s="100"/>
      <c r="X9" s="100"/>
      <c r="Y9" s="100">
        <v>-0.1</v>
      </c>
      <c r="Z9" s="100"/>
      <c r="AA9" s="100"/>
      <c r="AB9" s="100"/>
      <c r="AC9" s="100"/>
      <c r="AD9" s="16"/>
      <c r="AE9" s="17"/>
      <c r="AF9" s="17">
        <v>0.1</v>
      </c>
      <c r="AG9" s="17"/>
      <c r="AH9" s="74"/>
    </row>
    <row r="10" spans="1:34" s="16" customFormat="1" ht="12.75" customHeight="1">
      <c r="A10" s="323"/>
      <c r="B10" s="53"/>
      <c r="D10" s="52" t="s">
        <v>668</v>
      </c>
      <c r="E10" s="107">
        <v>0</v>
      </c>
      <c r="F10" s="107">
        <v>3</v>
      </c>
      <c r="G10" s="107">
        <v>280</v>
      </c>
      <c r="H10" s="107">
        <v>15</v>
      </c>
      <c r="N10" s="53">
        <v>5</v>
      </c>
      <c r="Q10" s="776"/>
      <c r="R10" s="65"/>
      <c r="S10" s="65"/>
      <c r="T10" s="65"/>
      <c r="U10" s="65"/>
      <c r="V10" s="65"/>
      <c r="W10" s="65"/>
      <c r="X10" s="65"/>
      <c r="Y10" s="65"/>
      <c r="Z10" s="65"/>
      <c r="AA10" s="65"/>
      <c r="AB10" s="65"/>
      <c r="AC10" s="65"/>
      <c r="AE10" s="17"/>
      <c r="AF10" s="17"/>
      <c r="AG10" s="17"/>
      <c r="AH10" s="53"/>
    </row>
    <row r="11" spans="1:34" s="16" customFormat="1">
      <c r="A11" s="323"/>
      <c r="B11" s="53"/>
      <c r="D11" s="52" t="s">
        <v>669</v>
      </c>
      <c r="E11" s="107">
        <v>2</v>
      </c>
      <c r="F11" s="107">
        <v>6</v>
      </c>
      <c r="G11" s="107">
        <v>1050</v>
      </c>
      <c r="H11" s="107">
        <v>75</v>
      </c>
      <c r="N11" s="53">
        <f>1.8 * MIN(6, MAX(E11,F11)) + 0.45 * MIN(6, MIN(E11,F11)) + IF(E11&gt;6, (E11-6)*0.2) + IF(F11&gt;6, (F11-6)*0.2)</f>
        <v>11.700000000000001</v>
      </c>
      <c r="Q11" s="776"/>
      <c r="R11" s="65"/>
      <c r="S11" s="65"/>
      <c r="T11" s="65"/>
      <c r="U11" s="65"/>
      <c r="V11" s="65"/>
      <c r="W11" s="65"/>
      <c r="X11" s="65"/>
      <c r="Y11" s="65"/>
      <c r="Z11" s="65"/>
      <c r="AA11" s="65"/>
      <c r="AB11" s="65"/>
      <c r="AC11" s="65"/>
      <c r="AE11" s="17"/>
      <c r="AF11" s="17"/>
      <c r="AG11" s="17"/>
      <c r="AH11" s="53"/>
    </row>
    <row r="12" spans="1:34" s="16" customFormat="1">
      <c r="A12" s="324"/>
      <c r="B12" s="75"/>
      <c r="C12" s="25"/>
      <c r="D12" s="72" t="s">
        <v>670</v>
      </c>
      <c r="E12" s="25">
        <v>7</v>
      </c>
      <c r="F12" s="25">
        <v>2</v>
      </c>
      <c r="G12" s="25">
        <v>1275</v>
      </c>
      <c r="H12" s="25">
        <v>100</v>
      </c>
      <c r="I12" s="25"/>
      <c r="J12" s="25"/>
      <c r="K12" s="25"/>
      <c r="L12" s="25"/>
      <c r="M12" s="25"/>
      <c r="N12" s="75">
        <f>1.8 * MIN(6, MAX(E12,F12)) + 0.45 * MIN(6, MIN(E12,F12)) + IF(E12&gt;6, (E12-6)*0.2) + IF(F12&gt;6, (F12-6)*0.2)</f>
        <v>11.9</v>
      </c>
      <c r="O12" s="25"/>
      <c r="P12" s="25"/>
      <c r="Q12" s="777"/>
      <c r="R12" s="102"/>
      <c r="S12" s="102"/>
      <c r="T12" s="102"/>
      <c r="U12" s="102"/>
      <c r="V12" s="102"/>
      <c r="W12" s="102"/>
      <c r="X12" s="102"/>
      <c r="Y12" s="102"/>
      <c r="Z12" s="102"/>
      <c r="AA12" s="102"/>
      <c r="AB12" s="102"/>
      <c r="AC12" s="102"/>
      <c r="AD12" s="25"/>
      <c r="AE12" s="1158"/>
      <c r="AF12" s="1158"/>
      <c r="AG12" s="1158"/>
      <c r="AH12" s="75"/>
    </row>
    <row r="13" spans="1:34" s="15" customFormat="1">
      <c r="A13" s="325" t="s">
        <v>94</v>
      </c>
      <c r="B13" s="74" t="s">
        <v>101</v>
      </c>
      <c r="C13" s="15" t="s">
        <v>261</v>
      </c>
      <c r="D13" s="70" t="s">
        <v>124</v>
      </c>
      <c r="E13" s="15">
        <v>3</v>
      </c>
      <c r="G13" s="15">
        <v>275</v>
      </c>
      <c r="H13" s="15">
        <v>25</v>
      </c>
      <c r="N13" s="74">
        <v>5</v>
      </c>
      <c r="O13"/>
      <c r="P13"/>
      <c r="Q13" s="445">
        <v>7.4999999999999997E-2</v>
      </c>
      <c r="R13" s="100"/>
      <c r="S13" s="100"/>
      <c r="T13" s="100"/>
      <c r="U13" s="100"/>
      <c r="V13" s="100"/>
      <c r="W13" s="100">
        <v>0.1</v>
      </c>
      <c r="X13" s="100"/>
      <c r="Y13" s="100"/>
      <c r="Z13" s="100"/>
      <c r="AA13" s="100"/>
      <c r="AB13" s="100"/>
      <c r="AC13" s="100"/>
      <c r="AD13" s="16"/>
      <c r="AE13" s="17"/>
      <c r="AF13" s="17"/>
      <c r="AG13" s="17"/>
      <c r="AH13" s="74"/>
    </row>
    <row r="14" spans="1:34" s="16" customFormat="1">
      <c r="A14" s="323"/>
      <c r="B14" s="53"/>
      <c r="D14" s="52" t="s">
        <v>125</v>
      </c>
      <c r="F14" s="16">
        <v>3</v>
      </c>
      <c r="G14" s="16">
        <v>350</v>
      </c>
      <c r="H14" s="16">
        <v>25</v>
      </c>
      <c r="N14" s="53">
        <v>5</v>
      </c>
      <c r="O14"/>
      <c r="P14"/>
      <c r="Q14" s="776"/>
      <c r="R14" s="65"/>
      <c r="S14" s="65"/>
      <c r="T14" s="65"/>
      <c r="U14" s="65"/>
      <c r="V14" s="65"/>
      <c r="W14" s="65"/>
      <c r="X14" s="65"/>
      <c r="Y14" s="65"/>
      <c r="Z14" s="65"/>
      <c r="AA14" s="65"/>
      <c r="AB14" s="65"/>
      <c r="AC14" s="65"/>
      <c r="AE14" s="17"/>
      <c r="AF14" s="17"/>
      <c r="AG14" s="17"/>
      <c r="AH14" s="53"/>
    </row>
    <row r="15" spans="1:34" s="16" customFormat="1">
      <c r="A15" s="323"/>
      <c r="B15" s="53"/>
      <c r="D15" s="52" t="s">
        <v>126</v>
      </c>
      <c r="E15" s="16">
        <v>4</v>
      </c>
      <c r="F15" s="16">
        <v>4</v>
      </c>
      <c r="G15" s="16">
        <v>760</v>
      </c>
      <c r="H15" s="16">
        <v>0</v>
      </c>
      <c r="N15" s="53">
        <f>1.8 * MIN(6, MAX(E15,F15)) + 0.45 * MIN(6, MIN(E15,F15)) + IF(E15&gt;6, (E15-6)*0.2) + IF(F15&gt;6, (F15-6)*0.2)</f>
        <v>9</v>
      </c>
      <c r="O15"/>
      <c r="P15"/>
      <c r="Q15" s="776"/>
      <c r="R15" s="65"/>
      <c r="S15" s="65"/>
      <c r="T15" s="65"/>
      <c r="U15" s="65"/>
      <c r="V15" s="65"/>
      <c r="W15" s="65"/>
      <c r="X15" s="65"/>
      <c r="Y15" s="65"/>
      <c r="Z15" s="65"/>
      <c r="AA15" s="65"/>
      <c r="AB15" s="65"/>
      <c r="AC15" s="65"/>
      <c r="AE15" s="17"/>
      <c r="AF15" s="17"/>
      <c r="AG15" s="17"/>
      <c r="AH15" s="53"/>
    </row>
    <row r="16" spans="1:34" s="25" customFormat="1" ht="12.75" customHeight="1">
      <c r="A16" s="324"/>
      <c r="B16" s="75"/>
      <c r="D16" s="72" t="s">
        <v>127</v>
      </c>
      <c r="E16" s="25">
        <v>7</v>
      </c>
      <c r="F16" s="25">
        <v>2</v>
      </c>
      <c r="G16" s="25">
        <v>1250</v>
      </c>
      <c r="H16" s="25">
        <v>110</v>
      </c>
      <c r="N16" s="75">
        <f>1.8 * MIN(6, MAX(E16,F16)) + 0.45 * MIN(6, MIN(E16,F16)) + IF(E16&gt;6, (E16-6)*0.2) + IF(F16&gt;6, (F16-6)*0.2)</f>
        <v>11.9</v>
      </c>
      <c r="O16"/>
      <c r="P16"/>
      <c r="Q16" s="777"/>
      <c r="R16" s="102"/>
      <c r="S16" s="102"/>
      <c r="T16" s="102"/>
      <c r="U16" s="102"/>
      <c r="V16" s="102"/>
      <c r="W16" s="102"/>
      <c r="X16" s="102"/>
      <c r="Y16" s="102"/>
      <c r="Z16" s="102"/>
      <c r="AA16" s="102"/>
      <c r="AB16" s="102"/>
      <c r="AC16" s="102"/>
      <c r="AE16" s="1158"/>
      <c r="AF16" s="17"/>
      <c r="AG16" s="1158"/>
      <c r="AH16" s="75"/>
    </row>
    <row r="17" spans="1:34" s="15" customFormat="1">
      <c r="A17" s="325" t="s">
        <v>95</v>
      </c>
      <c r="B17" s="74" t="s">
        <v>101</v>
      </c>
      <c r="C17" s="15" t="s">
        <v>60</v>
      </c>
      <c r="D17" s="52" t="s">
        <v>128</v>
      </c>
      <c r="E17" s="16">
        <v>3</v>
      </c>
      <c r="F17" s="16"/>
      <c r="G17" s="16">
        <v>275</v>
      </c>
      <c r="H17" s="16">
        <v>50</v>
      </c>
      <c r="I17"/>
      <c r="J17"/>
      <c r="K17"/>
      <c r="L17"/>
      <c r="M17"/>
      <c r="N17" s="53">
        <v>5</v>
      </c>
      <c r="Q17" s="445">
        <v>-0.05</v>
      </c>
      <c r="R17" s="100"/>
      <c r="S17" s="100"/>
      <c r="T17" s="100"/>
      <c r="U17" s="100">
        <v>0.1</v>
      </c>
      <c r="V17" s="100"/>
      <c r="W17" s="100"/>
      <c r="X17" s="100"/>
      <c r="Y17" s="100"/>
      <c r="Z17" s="100"/>
      <c r="AA17" s="100">
        <v>0.05</v>
      </c>
      <c r="AB17" s="100">
        <v>0.1</v>
      </c>
      <c r="AC17" s="100">
        <v>0.1</v>
      </c>
      <c r="AD17" s="16"/>
      <c r="AE17" s="17"/>
      <c r="AF17" s="17"/>
      <c r="AG17" s="17"/>
      <c r="AH17" s="74"/>
    </row>
    <row r="18" spans="1:34" s="16" customFormat="1">
      <c r="A18" s="323"/>
      <c r="B18" s="53"/>
      <c r="D18" s="52" t="s">
        <v>129</v>
      </c>
      <c r="F18" s="16">
        <v>4</v>
      </c>
      <c r="G18" s="16">
        <v>325</v>
      </c>
      <c r="H18" s="16">
        <v>20</v>
      </c>
      <c r="I18"/>
      <c r="J18"/>
      <c r="K18"/>
      <c r="L18"/>
      <c r="M18"/>
      <c r="N18" s="53">
        <v>5</v>
      </c>
      <c r="Q18" s="776"/>
      <c r="R18" s="65"/>
      <c r="S18" s="65"/>
      <c r="T18" s="65"/>
      <c r="U18" s="65"/>
      <c r="V18" s="65"/>
      <c r="W18" s="65"/>
      <c r="X18" s="65"/>
      <c r="Y18" s="65"/>
      <c r="Z18" s="65"/>
      <c r="AA18" s="65"/>
      <c r="AB18" s="65"/>
      <c r="AC18" s="65"/>
      <c r="AE18" s="17"/>
      <c r="AF18" s="17"/>
      <c r="AG18" s="17"/>
      <c r="AH18" s="53"/>
    </row>
    <row r="19" spans="1:34" s="16" customFormat="1">
      <c r="A19" s="323"/>
      <c r="B19" s="53"/>
      <c r="D19" s="52" t="s">
        <v>130</v>
      </c>
      <c r="E19" s="16">
        <v>0</v>
      </c>
      <c r="F19" s="16">
        <v>4</v>
      </c>
      <c r="G19" s="16">
        <v>1075</v>
      </c>
      <c r="H19" s="16">
        <v>0</v>
      </c>
      <c r="I19"/>
      <c r="J19"/>
      <c r="K19"/>
      <c r="L19"/>
      <c r="M19"/>
      <c r="N19" s="53">
        <f>1.8 * MIN(6, MAX(E19,F19)) + 0.45 * MIN(6, MIN(E19,F19)) + IF(E19&gt;6, (E19-6)*0.2) + IF(F19&gt;6, (F19-6)*0.2)</f>
        <v>7.2</v>
      </c>
      <c r="Q19" s="776"/>
      <c r="R19" s="65"/>
      <c r="S19" s="65"/>
      <c r="T19" s="65"/>
      <c r="U19" s="65"/>
      <c r="V19" s="65"/>
      <c r="W19" s="65"/>
      <c r="X19" s="65"/>
      <c r="Y19" s="65"/>
      <c r="Z19" s="65"/>
      <c r="AA19" s="65"/>
      <c r="AB19" s="65"/>
      <c r="AC19" s="65"/>
      <c r="AE19" s="17"/>
      <c r="AF19" s="17"/>
      <c r="AG19" s="17"/>
      <c r="AH19" s="53"/>
    </row>
    <row r="20" spans="1:34" s="25" customFormat="1">
      <c r="A20" s="324"/>
      <c r="B20" s="75"/>
      <c r="D20" s="72" t="s">
        <v>131</v>
      </c>
      <c r="E20" s="25">
        <v>3</v>
      </c>
      <c r="F20" s="25">
        <v>1</v>
      </c>
      <c r="G20" s="25">
        <v>1100</v>
      </c>
      <c r="H20" s="25">
        <v>0</v>
      </c>
      <c r="I20"/>
      <c r="J20"/>
      <c r="K20"/>
      <c r="L20"/>
      <c r="M20"/>
      <c r="N20" s="53">
        <f>1.8 * MIN(6, MAX(E20,F20)) + 0.45 * MIN(6, MIN(E20,F20)) + IF(E20&gt;6, (E20-6)*0.2) + IF(F20&gt;6, (F20-6)*0.2)</f>
        <v>5.8500000000000005</v>
      </c>
      <c r="Q20" s="777"/>
      <c r="R20" s="102"/>
      <c r="S20" s="102"/>
      <c r="T20" s="102"/>
      <c r="U20" s="102"/>
      <c r="V20" s="102"/>
      <c r="W20" s="102"/>
      <c r="X20" s="102"/>
      <c r="Y20" s="102"/>
      <c r="Z20" s="102"/>
      <c r="AA20" s="102"/>
      <c r="AB20" s="102"/>
      <c r="AC20" s="102"/>
      <c r="AE20" s="1158"/>
      <c r="AF20" s="1158"/>
      <c r="AG20" s="1158"/>
      <c r="AH20" s="75"/>
    </row>
    <row r="21" spans="1:34" s="15" customFormat="1">
      <c r="A21" s="325" t="s">
        <v>96</v>
      </c>
      <c r="B21" s="74" t="s">
        <v>101</v>
      </c>
      <c r="C21" s="15" t="s">
        <v>260</v>
      </c>
      <c r="D21" s="52" t="s">
        <v>132</v>
      </c>
      <c r="E21" s="16">
        <v>3</v>
      </c>
      <c r="F21" s="16"/>
      <c r="G21" s="16">
        <v>275</v>
      </c>
      <c r="H21" s="16">
        <v>15</v>
      </c>
      <c r="I21"/>
      <c r="J21"/>
      <c r="K21"/>
      <c r="L21"/>
      <c r="M21"/>
      <c r="N21" s="53">
        <v>5</v>
      </c>
      <c r="Q21" s="776">
        <v>0.05</v>
      </c>
      <c r="R21" s="65"/>
      <c r="S21" s="65"/>
      <c r="T21" s="65"/>
      <c r="U21" s="65"/>
      <c r="V21" s="65"/>
      <c r="W21" s="65"/>
      <c r="X21" s="65"/>
      <c r="Y21" s="65">
        <v>-0.3</v>
      </c>
      <c r="Z21" s="65"/>
      <c r="AA21" s="65"/>
      <c r="AB21" s="65">
        <v>0.3</v>
      </c>
      <c r="AC21" s="65"/>
      <c r="AD21" s="16"/>
      <c r="AE21" s="17"/>
      <c r="AF21" s="17"/>
      <c r="AG21" s="17"/>
      <c r="AH21" s="53"/>
    </row>
    <row r="22" spans="1:34" s="16" customFormat="1">
      <c r="A22" s="323"/>
      <c r="B22" s="53"/>
      <c r="D22" s="52" t="s">
        <v>133</v>
      </c>
      <c r="F22" s="16">
        <v>3</v>
      </c>
      <c r="G22" s="16">
        <v>300</v>
      </c>
      <c r="H22" s="16">
        <v>0</v>
      </c>
      <c r="I22"/>
      <c r="J22"/>
      <c r="K22"/>
      <c r="L22"/>
      <c r="M22"/>
      <c r="N22" s="53">
        <v>5</v>
      </c>
      <c r="Q22" s="776"/>
      <c r="R22" s="65"/>
      <c r="S22" s="65"/>
      <c r="T22" s="65"/>
      <c r="U22" s="65"/>
      <c r="V22" s="65"/>
      <c r="W22" s="65"/>
      <c r="X22" s="65"/>
      <c r="Y22" s="65"/>
      <c r="Z22" s="65"/>
      <c r="AA22" s="65"/>
      <c r="AB22" s="65"/>
      <c r="AC22" s="65"/>
      <c r="AE22" s="17"/>
      <c r="AF22" s="17"/>
      <c r="AG22" s="17"/>
      <c r="AH22" s="53"/>
    </row>
    <row r="23" spans="1:34" s="16" customFormat="1">
      <c r="A23" s="323"/>
      <c r="B23" s="53"/>
      <c r="D23" s="52" t="s">
        <v>134</v>
      </c>
      <c r="E23" s="16">
        <v>5</v>
      </c>
      <c r="F23" s="16">
        <v>3</v>
      </c>
      <c r="G23" s="16">
        <v>1150</v>
      </c>
      <c r="H23" s="16">
        <v>25</v>
      </c>
      <c r="I23"/>
      <c r="J23"/>
      <c r="K23"/>
      <c r="L23"/>
      <c r="M23"/>
      <c r="N23" s="53">
        <f>1.8 * MIN(6, MAX(E23,F23)) + 0.45 * MIN(6, MIN(E23,F23)) + IF(E23&gt;6, (E23-6)*0.2) + IF(F23&gt;6, (F23-6)*0.2)</f>
        <v>10.35</v>
      </c>
      <c r="Q23" s="776"/>
      <c r="R23" s="65"/>
      <c r="S23" s="65"/>
      <c r="T23" s="65"/>
      <c r="U23" s="65"/>
      <c r="V23" s="65"/>
      <c r="W23" s="65"/>
      <c r="X23" s="65"/>
      <c r="Y23" s="65"/>
      <c r="Z23" s="65"/>
      <c r="AA23" s="65"/>
      <c r="AB23" s="65"/>
      <c r="AC23" s="65"/>
      <c r="AE23" s="17"/>
      <c r="AF23" s="17"/>
      <c r="AG23" s="17"/>
      <c r="AH23" s="53"/>
    </row>
    <row r="24" spans="1:34" s="25" customFormat="1">
      <c r="A24" s="324"/>
      <c r="B24" s="75"/>
      <c r="D24" s="52" t="s">
        <v>135</v>
      </c>
      <c r="E24" s="16">
        <v>2</v>
      </c>
      <c r="F24" s="16">
        <v>4</v>
      </c>
      <c r="G24" s="16">
        <v>875</v>
      </c>
      <c r="H24" s="16">
        <v>50</v>
      </c>
      <c r="I24"/>
      <c r="J24"/>
      <c r="K24"/>
      <c r="L24"/>
      <c r="M24"/>
      <c r="N24" s="53">
        <f>1.8 * MIN(6, MAX(E24,F24)) + 0.45 * MIN(6, MIN(E24,F24)) + IF(E24&gt;6, (E24-6)*0.2) + IF(F24&gt;6, (F24-6)*0.2)</f>
        <v>8.1</v>
      </c>
      <c r="Q24" s="777"/>
      <c r="R24" s="102"/>
      <c r="S24" s="102"/>
      <c r="T24" s="102"/>
      <c r="U24" s="102"/>
      <c r="V24" s="102"/>
      <c r="W24" s="102"/>
      <c r="X24" s="102"/>
      <c r="Y24" s="102"/>
      <c r="Z24" s="102"/>
      <c r="AA24" s="102"/>
      <c r="AB24" s="102"/>
      <c r="AC24" s="102"/>
      <c r="AE24" s="1158"/>
      <c r="AF24" s="1158"/>
      <c r="AG24" s="1158"/>
      <c r="AH24" s="75"/>
    </row>
    <row r="25" spans="1:34" s="15" customFormat="1">
      <c r="A25" s="325" t="s">
        <v>97</v>
      </c>
      <c r="B25" s="74" t="s">
        <v>101</v>
      </c>
      <c r="C25" s="15" t="s">
        <v>261</v>
      </c>
      <c r="D25" s="70" t="s">
        <v>136</v>
      </c>
      <c r="E25" s="15">
        <v>4</v>
      </c>
      <c r="G25" s="15">
        <v>200</v>
      </c>
      <c r="H25" s="15">
        <v>50</v>
      </c>
      <c r="N25" s="74">
        <v>5</v>
      </c>
      <c r="Q25" s="445">
        <v>-0.05</v>
      </c>
      <c r="R25" s="100"/>
      <c r="S25" s="100"/>
      <c r="T25" s="100"/>
      <c r="U25" s="100"/>
      <c r="V25" s="100"/>
      <c r="W25" s="100"/>
      <c r="X25" s="100">
        <v>0.05</v>
      </c>
      <c r="Y25" s="100">
        <v>-0.2</v>
      </c>
      <c r="Z25" s="100"/>
      <c r="AA25" s="778">
        <v>7.4999999999999997E-2</v>
      </c>
      <c r="AB25" s="100"/>
      <c r="AC25" s="100"/>
      <c r="AE25" s="1191"/>
      <c r="AF25" s="1191"/>
      <c r="AG25" s="1191"/>
      <c r="AH25" s="74"/>
    </row>
    <row r="26" spans="1:34" s="16" customFormat="1">
      <c r="A26" s="323"/>
      <c r="B26" s="53"/>
      <c r="D26" s="52" t="s">
        <v>137</v>
      </c>
      <c r="F26" s="16">
        <v>3</v>
      </c>
      <c r="G26" s="16">
        <v>300</v>
      </c>
      <c r="H26" s="16">
        <v>5</v>
      </c>
      <c r="N26" s="53">
        <v>5</v>
      </c>
      <c r="Q26" s="776"/>
      <c r="R26" s="65"/>
      <c r="S26" s="65"/>
      <c r="T26" s="65"/>
      <c r="U26" s="65"/>
      <c r="V26" s="65"/>
      <c r="W26" s="65"/>
      <c r="X26" s="65"/>
      <c r="Y26" s="65"/>
      <c r="Z26" s="65"/>
      <c r="AA26" s="65"/>
      <c r="AB26" s="65"/>
      <c r="AC26" s="65"/>
      <c r="AE26" s="17"/>
      <c r="AF26" s="17"/>
      <c r="AG26" s="17"/>
      <c r="AH26" s="53"/>
    </row>
    <row r="27" spans="1:34" s="16" customFormat="1">
      <c r="A27" s="323"/>
      <c r="B27" s="53"/>
      <c r="D27" s="52" t="s">
        <v>138</v>
      </c>
      <c r="E27" s="16">
        <v>2</v>
      </c>
      <c r="F27" s="16">
        <v>4</v>
      </c>
      <c r="G27" s="16">
        <v>675</v>
      </c>
      <c r="H27" s="16">
        <v>330</v>
      </c>
      <c r="N27" s="53">
        <f>1.8 * MIN(6, MAX(E27,F27)) + 0.45 * MIN(6, MIN(E27,F27)) + IF(E27&gt;6, (E27-6)*0.2) + IF(F27&gt;6, (F27-6)*0.2)</f>
        <v>8.1</v>
      </c>
      <c r="Q27" s="776"/>
      <c r="R27" s="65"/>
      <c r="S27" s="65"/>
      <c r="T27" s="65"/>
      <c r="U27" s="65"/>
      <c r="V27" s="65"/>
      <c r="W27" s="65"/>
      <c r="X27" s="65"/>
      <c r="Y27" s="65"/>
      <c r="Z27" s="65"/>
      <c r="AA27" s="65"/>
      <c r="AB27" s="65"/>
      <c r="AC27" s="65"/>
      <c r="AE27" s="17"/>
      <c r="AF27" s="17"/>
      <c r="AG27" s="17"/>
      <c r="AH27" s="53"/>
    </row>
    <row r="28" spans="1:34" s="25" customFormat="1" ht="12.75" customHeight="1">
      <c r="A28" s="323"/>
      <c r="B28" s="53"/>
      <c r="D28" s="72" t="s">
        <v>139</v>
      </c>
      <c r="E28" s="25">
        <v>7.5</v>
      </c>
      <c r="F28" s="25">
        <v>3</v>
      </c>
      <c r="G28" s="25">
        <v>775</v>
      </c>
      <c r="H28" s="25">
        <v>550</v>
      </c>
      <c r="N28" s="75">
        <f>1.8 * MIN(6, MAX(E28,F28)) + 0.45 * MIN(6, MIN(E28,F28)) + IF(E28&gt;6, (E28-6)*0.2) + IF(F28&gt;6, (F28-6)*0.2)</f>
        <v>12.450000000000001</v>
      </c>
      <c r="O28" s="1011" t="s">
        <v>580</v>
      </c>
      <c r="Q28" s="777"/>
      <c r="R28" s="102"/>
      <c r="S28" s="102"/>
      <c r="T28" s="102"/>
      <c r="U28" s="102"/>
      <c r="V28" s="102"/>
      <c r="W28" s="102"/>
      <c r="X28" s="102"/>
      <c r="Y28" s="102"/>
      <c r="Z28" s="102"/>
      <c r="AA28" s="102"/>
      <c r="AB28" s="102"/>
      <c r="AC28" s="102"/>
      <c r="AE28" s="1158"/>
      <c r="AF28" s="1158"/>
      <c r="AG28" s="1158"/>
      <c r="AH28" s="75"/>
    </row>
    <row r="29" spans="1:34" s="15" customFormat="1">
      <c r="A29" s="325" t="s">
        <v>98</v>
      </c>
      <c r="B29" s="74" t="s">
        <v>101</v>
      </c>
      <c r="C29" s="15" t="s">
        <v>65</v>
      </c>
      <c r="D29" s="52" t="s">
        <v>140</v>
      </c>
      <c r="E29" s="16">
        <v>3</v>
      </c>
      <c r="F29" s="16"/>
      <c r="G29" s="16">
        <v>300</v>
      </c>
      <c r="H29" s="16">
        <v>0</v>
      </c>
      <c r="I29"/>
      <c r="J29"/>
      <c r="K29"/>
      <c r="L29"/>
      <c r="M29"/>
      <c r="N29" s="53">
        <v>5</v>
      </c>
      <c r="Q29" s="445"/>
      <c r="R29" s="100"/>
      <c r="S29" s="100"/>
      <c r="T29" s="100">
        <v>0.15</v>
      </c>
      <c r="U29" s="100">
        <v>-0.15</v>
      </c>
      <c r="V29" s="100"/>
      <c r="W29" s="100"/>
      <c r="X29" s="100"/>
      <c r="Y29" s="100"/>
      <c r="Z29" s="100"/>
      <c r="AA29" s="100"/>
      <c r="AB29" s="100"/>
      <c r="AC29" s="100"/>
      <c r="AD29" s="16"/>
      <c r="AE29" s="17"/>
      <c r="AF29" s="17"/>
      <c r="AG29" s="17"/>
      <c r="AH29" s="74"/>
    </row>
    <row r="30" spans="1:34" s="16" customFormat="1">
      <c r="A30" s="323"/>
      <c r="B30" s="53"/>
      <c r="D30" s="52" t="s">
        <v>142</v>
      </c>
      <c r="F30" s="16">
        <v>3</v>
      </c>
      <c r="G30" s="16">
        <v>300</v>
      </c>
      <c r="H30" s="16">
        <v>0</v>
      </c>
      <c r="I30"/>
      <c r="J30"/>
      <c r="K30"/>
      <c r="L30"/>
      <c r="M30"/>
      <c r="N30" s="53">
        <v>5</v>
      </c>
      <c r="Q30" s="776"/>
      <c r="R30" s="65"/>
      <c r="S30" s="65"/>
      <c r="T30" s="65"/>
      <c r="U30" s="65"/>
      <c r="V30" s="65"/>
      <c r="W30" s="65"/>
      <c r="X30" s="65"/>
      <c r="Y30" s="65"/>
      <c r="Z30" s="65"/>
      <c r="AA30" s="65"/>
      <c r="AB30" s="65"/>
      <c r="AC30" s="65"/>
      <c r="AE30" s="17"/>
      <c r="AF30" s="17"/>
      <c r="AG30" s="17"/>
      <c r="AH30" s="53"/>
    </row>
    <row r="31" spans="1:34" s="16" customFormat="1">
      <c r="A31" s="323"/>
      <c r="B31" s="53"/>
      <c r="D31" s="52" t="s">
        <v>141</v>
      </c>
      <c r="E31" s="16">
        <v>12</v>
      </c>
      <c r="F31" s="16">
        <v>7</v>
      </c>
      <c r="G31" s="16">
        <v>2600</v>
      </c>
      <c r="H31" s="16">
        <v>0</v>
      </c>
      <c r="I31"/>
      <c r="J31"/>
      <c r="K31"/>
      <c r="L31"/>
      <c r="M31"/>
      <c r="N31" s="53">
        <f>1.8 * MIN(6, MAX(E31,F31)) + 0.45 * MIN(6, MIN(E31,F31)) + IF(E31&gt;6, (E31-6)*0.2) + IF(F31&gt;6, (F31-6)*0.2)</f>
        <v>14.899999999999999</v>
      </c>
      <c r="Q31" s="776"/>
      <c r="R31" s="65"/>
      <c r="S31" s="65"/>
      <c r="T31" s="65"/>
      <c r="U31" s="65"/>
      <c r="V31" s="65"/>
      <c r="W31" s="65"/>
      <c r="X31" s="65"/>
      <c r="Y31" s="65"/>
      <c r="Z31" s="65"/>
      <c r="AA31" s="65"/>
      <c r="AB31" s="65"/>
      <c r="AC31" s="65"/>
      <c r="AE31" s="17"/>
      <c r="AF31" s="17"/>
      <c r="AG31" s="17"/>
      <c r="AH31" s="53"/>
    </row>
    <row r="32" spans="1:34" s="25" customFormat="1">
      <c r="A32" s="324"/>
      <c r="B32" s="75"/>
      <c r="D32" s="72" t="s">
        <v>143</v>
      </c>
      <c r="E32" s="25">
        <v>0</v>
      </c>
      <c r="F32" s="25">
        <v>22</v>
      </c>
      <c r="G32" s="25">
        <v>3500</v>
      </c>
      <c r="H32" s="25">
        <v>0</v>
      </c>
      <c r="I32"/>
      <c r="J32"/>
      <c r="K32"/>
      <c r="L32"/>
      <c r="M32"/>
      <c r="N32" s="53">
        <f>1.8 * MIN(6, MAX(E32,F32)) + 0.45 * MIN(6, MIN(E32,F32)) + IF(E32&gt;6, (E32-6)*0.2) + IF(F32&gt;6, (F32-6)*0.2)</f>
        <v>14</v>
      </c>
      <c r="Q32" s="777"/>
      <c r="R32" s="102"/>
      <c r="S32" s="102"/>
      <c r="T32" s="102"/>
      <c r="U32" s="102"/>
      <c r="V32" s="102"/>
      <c r="W32" s="102"/>
      <c r="X32" s="102"/>
      <c r="Y32" s="102"/>
      <c r="Z32" s="102"/>
      <c r="AA32" s="102"/>
      <c r="AB32" s="102"/>
      <c r="AC32" s="102"/>
      <c r="AE32" s="1158"/>
      <c r="AF32" s="1158"/>
      <c r="AG32" s="1158"/>
      <c r="AH32" s="75"/>
    </row>
    <row r="33" spans="1:34" s="15" customFormat="1">
      <c r="A33" s="325" t="s">
        <v>99</v>
      </c>
      <c r="B33" s="74" t="s">
        <v>101</v>
      </c>
      <c r="C33" s="15" t="s">
        <v>60</v>
      </c>
      <c r="D33" s="70" t="s">
        <v>144</v>
      </c>
      <c r="E33" s="15">
        <v>3</v>
      </c>
      <c r="G33" s="15">
        <v>275</v>
      </c>
      <c r="H33" s="15">
        <v>0</v>
      </c>
      <c r="N33" s="74">
        <v>5</v>
      </c>
      <c r="Q33" s="445"/>
      <c r="R33" s="100"/>
      <c r="S33" s="100"/>
      <c r="T33" s="100">
        <v>0.1</v>
      </c>
      <c r="U33" s="100">
        <v>0.2</v>
      </c>
      <c r="V33" s="100"/>
      <c r="W33" s="100"/>
      <c r="X33" s="100"/>
      <c r="Y33" s="100"/>
      <c r="Z33" s="100"/>
      <c r="AA33" s="100"/>
      <c r="AB33" s="100"/>
      <c r="AC33" s="100"/>
      <c r="AE33" s="1191"/>
      <c r="AF33" s="1191"/>
      <c r="AG33" s="1191"/>
      <c r="AH33" s="74"/>
    </row>
    <row r="34" spans="1:34" s="16" customFormat="1" ht="13.5" customHeight="1">
      <c r="A34" s="323"/>
      <c r="B34" s="53"/>
      <c r="D34" s="52" t="s">
        <v>145</v>
      </c>
      <c r="F34" s="16">
        <v>3</v>
      </c>
      <c r="G34" s="16">
        <v>300</v>
      </c>
      <c r="H34" s="16">
        <v>0</v>
      </c>
      <c r="N34" s="53">
        <v>5</v>
      </c>
      <c r="Q34" s="776"/>
      <c r="R34" s="65"/>
      <c r="S34" s="65"/>
      <c r="T34" s="65"/>
      <c r="U34" s="65"/>
      <c r="V34" s="65"/>
      <c r="W34" s="65"/>
      <c r="X34" s="65"/>
      <c r="Y34" s="65"/>
      <c r="Z34" s="65"/>
      <c r="AA34" s="65"/>
      <c r="AB34" s="65"/>
      <c r="AC34" s="65"/>
      <c r="AE34" s="17"/>
      <c r="AF34" s="17"/>
      <c r="AG34" s="17"/>
      <c r="AH34" s="53"/>
    </row>
    <row r="35" spans="1:34" s="16" customFormat="1">
      <c r="A35" s="323"/>
      <c r="B35" s="53"/>
      <c r="D35" s="52" t="s">
        <v>146</v>
      </c>
      <c r="E35" s="16">
        <v>0</v>
      </c>
      <c r="F35" s="16">
        <v>3</v>
      </c>
      <c r="G35" s="16">
        <v>1050</v>
      </c>
      <c r="H35" s="16">
        <v>0</v>
      </c>
      <c r="N35" s="53">
        <f>1.8 * MIN(6, MAX(E35,F35)) + 0.45 * MIN(6, MIN(E35,F35)) + IF(E35&gt;6, (E35-6)*0.2) + IF(F35&gt;6, (F35-6)*0.2)</f>
        <v>5.4</v>
      </c>
      <c r="Q35" s="776"/>
      <c r="R35" s="65"/>
      <c r="S35" s="65"/>
      <c r="T35" s="65"/>
      <c r="U35" s="65"/>
      <c r="V35" s="65"/>
      <c r="W35" s="65"/>
      <c r="X35" s="65"/>
      <c r="Y35" s="65"/>
      <c r="Z35" s="65"/>
      <c r="AA35" s="65"/>
      <c r="AB35" s="65"/>
      <c r="AC35" s="65"/>
      <c r="AE35" s="17"/>
      <c r="AF35" s="17"/>
      <c r="AG35" s="17"/>
      <c r="AH35" s="53"/>
    </row>
    <row r="36" spans="1:34" s="25" customFormat="1">
      <c r="A36" s="323"/>
      <c r="B36" s="53"/>
      <c r="D36" s="72" t="s">
        <v>147</v>
      </c>
      <c r="E36" s="25">
        <v>5</v>
      </c>
      <c r="F36" s="25">
        <v>2</v>
      </c>
      <c r="G36" s="25">
        <v>950</v>
      </c>
      <c r="H36" s="25">
        <v>0</v>
      </c>
      <c r="N36" s="75">
        <f>1.8 * MIN(6, MAX(E36,F36)) + 0.45 * MIN(6, MIN(E36,F36)) + IF(E36&gt;6, (E36-6)*0.2) + IF(F36&gt;6, (F36-6)*0.2)</f>
        <v>9.9</v>
      </c>
      <c r="Q36" s="777"/>
      <c r="R36" s="102"/>
      <c r="S36" s="102"/>
      <c r="T36" s="102"/>
      <c r="U36" s="102"/>
      <c r="V36" s="102"/>
      <c r="W36" s="102"/>
      <c r="X36" s="102"/>
      <c r="Y36" s="102"/>
      <c r="Z36" s="102"/>
      <c r="AA36" s="102"/>
      <c r="AB36" s="102"/>
      <c r="AC36" s="102"/>
      <c r="AE36" s="1158"/>
      <c r="AF36" s="1158"/>
      <c r="AG36" s="1158"/>
      <c r="AH36" s="75"/>
    </row>
    <row r="37" spans="1:34" s="15" customFormat="1" ht="13.5" customHeight="1">
      <c r="A37" s="325" t="s">
        <v>100</v>
      </c>
      <c r="B37" s="74" t="s">
        <v>30</v>
      </c>
      <c r="C37" s="15" t="s">
        <v>260</v>
      </c>
      <c r="D37" s="70" t="s">
        <v>148</v>
      </c>
      <c r="E37" s="15">
        <v>3</v>
      </c>
      <c r="G37" s="15">
        <v>325</v>
      </c>
      <c r="H37" s="15">
        <v>25</v>
      </c>
      <c r="N37" s="74">
        <v>5</v>
      </c>
      <c r="Q37" s="445">
        <v>0.2</v>
      </c>
      <c r="R37" s="100"/>
      <c r="S37" s="100"/>
      <c r="T37" s="100"/>
      <c r="U37" s="100"/>
      <c r="V37" s="100"/>
      <c r="W37" s="100"/>
      <c r="X37" s="100">
        <v>0.1</v>
      </c>
      <c r="Y37" s="100"/>
      <c r="Z37" s="100"/>
      <c r="AA37" s="100"/>
      <c r="AB37" s="100"/>
      <c r="AC37" s="100"/>
      <c r="AD37" s="65">
        <v>0.1</v>
      </c>
      <c r="AE37" s="17"/>
      <c r="AF37" s="17"/>
      <c r="AG37" s="17"/>
      <c r="AH37" s="74"/>
    </row>
    <row r="38" spans="1:34" s="16" customFormat="1">
      <c r="A38" s="323"/>
      <c r="B38" s="53"/>
      <c r="D38" s="52" t="s">
        <v>149</v>
      </c>
      <c r="F38" s="16">
        <v>3</v>
      </c>
      <c r="G38" s="16">
        <v>375</v>
      </c>
      <c r="H38" s="16">
        <v>15</v>
      </c>
      <c r="N38" s="53">
        <v>5</v>
      </c>
      <c r="Q38" s="776"/>
      <c r="R38" s="65"/>
      <c r="S38" s="65"/>
      <c r="T38" s="65"/>
      <c r="U38" s="65"/>
      <c r="V38" s="65"/>
      <c r="W38" s="65"/>
      <c r="X38" s="65"/>
      <c r="Y38" s="65"/>
      <c r="Z38" s="65"/>
      <c r="AA38" s="65"/>
      <c r="AB38" s="65"/>
      <c r="AC38" s="65"/>
      <c r="AE38" s="17"/>
      <c r="AF38" s="17"/>
      <c r="AG38" s="17"/>
      <c r="AH38" s="53"/>
    </row>
    <row r="39" spans="1:34" s="16" customFormat="1">
      <c r="A39" s="323"/>
      <c r="B39" s="53"/>
      <c r="D39" s="52" t="s">
        <v>373</v>
      </c>
      <c r="E39" s="16">
        <v>5</v>
      </c>
      <c r="F39" s="16">
        <v>3</v>
      </c>
      <c r="G39" s="16">
        <v>1000</v>
      </c>
      <c r="H39" s="16">
        <v>80</v>
      </c>
      <c r="N39" s="53">
        <f>1.8 * MIN(6, MAX(E39,F39)) + 0.45 * MIN(6, MIN(E39,F39)) + IF(E39&gt;6, (E39-6)*0.2) + IF(F39&gt;6, (F39-6)*0.2)</f>
        <v>10.35</v>
      </c>
      <c r="Q39" s="776"/>
      <c r="R39" s="65"/>
      <c r="S39" s="65"/>
      <c r="T39" s="65"/>
      <c r="U39" s="65"/>
      <c r="V39" s="65"/>
      <c r="W39" s="65"/>
      <c r="X39" s="65"/>
      <c r="Y39" s="65"/>
      <c r="Z39" s="65"/>
      <c r="AA39" s="65"/>
      <c r="AB39" s="65"/>
      <c r="AC39" s="65"/>
      <c r="AE39" s="17"/>
      <c r="AF39" s="17"/>
      <c r="AG39" s="17"/>
      <c r="AH39" s="53"/>
    </row>
    <row r="40" spans="1:34" s="25" customFormat="1">
      <c r="A40" s="324"/>
      <c r="B40" s="75"/>
      <c r="D40" s="52" t="s">
        <v>151</v>
      </c>
      <c r="E40" s="16">
        <v>6</v>
      </c>
      <c r="F40" s="16">
        <v>2</v>
      </c>
      <c r="G40" s="16">
        <v>1300</v>
      </c>
      <c r="H40" s="16">
        <v>130</v>
      </c>
      <c r="I40" s="16"/>
      <c r="J40" s="16"/>
      <c r="K40" s="16"/>
      <c r="L40" s="16"/>
      <c r="M40" s="16"/>
      <c r="N40" s="53">
        <f>1.8 * MIN(6, MAX(E40,F40)) + 0.45 * MIN(6, MIN(E40,F40)) + IF(E40&gt;6, (E40-6)*0.2) + IF(F40&gt;6, (F40-6)*0.2)</f>
        <v>11.700000000000001</v>
      </c>
      <c r="Q40" s="777"/>
      <c r="R40" s="102"/>
      <c r="S40" s="102"/>
      <c r="T40" s="102"/>
      <c r="U40" s="102"/>
      <c r="V40" s="102"/>
      <c r="W40" s="102"/>
      <c r="X40" s="102"/>
      <c r="Y40" s="102"/>
      <c r="Z40" s="102"/>
      <c r="AA40" s="102"/>
      <c r="AB40" s="102"/>
      <c r="AC40" s="102"/>
      <c r="AE40" s="1158"/>
      <c r="AF40" s="1158"/>
      <c r="AG40" s="1158"/>
      <c r="AH40" s="75"/>
    </row>
    <row r="41" spans="1:34" s="15" customFormat="1">
      <c r="A41" s="325" t="s">
        <v>29</v>
      </c>
      <c r="B41" s="74" t="s">
        <v>30</v>
      </c>
      <c r="C41" s="15" t="s">
        <v>259</v>
      </c>
      <c r="D41" s="70" t="s">
        <v>40</v>
      </c>
      <c r="E41" s="15">
        <v>4</v>
      </c>
      <c r="G41" s="15">
        <v>350</v>
      </c>
      <c r="H41" s="15">
        <v>25</v>
      </c>
      <c r="N41" s="74">
        <v>5</v>
      </c>
      <c r="O41" s="16"/>
      <c r="P41" s="16"/>
      <c r="Q41" s="776">
        <v>-0.05</v>
      </c>
      <c r="R41" s="65"/>
      <c r="S41" s="65"/>
      <c r="T41" s="65"/>
      <c r="U41" s="65"/>
      <c r="V41" s="65"/>
      <c r="W41" s="65"/>
      <c r="X41" s="65"/>
      <c r="Y41" s="65">
        <v>0.05</v>
      </c>
      <c r="Z41" s="65"/>
      <c r="AA41" s="65">
        <v>0.1</v>
      </c>
      <c r="AB41" s="65">
        <v>-0.1</v>
      </c>
      <c r="AC41" s="65"/>
      <c r="AD41" s="16"/>
      <c r="AE41" s="17"/>
      <c r="AF41" s="17"/>
      <c r="AG41" s="17"/>
      <c r="AH41" s="53"/>
    </row>
    <row r="42" spans="1:34" s="16" customFormat="1">
      <c r="A42" s="323"/>
      <c r="B42" s="53"/>
      <c r="D42" s="52" t="s">
        <v>41</v>
      </c>
      <c r="F42" s="16">
        <v>3</v>
      </c>
      <c r="G42" s="16">
        <v>300</v>
      </c>
      <c r="H42" s="16">
        <v>25</v>
      </c>
      <c r="N42" s="53">
        <v>5</v>
      </c>
      <c r="Q42" s="776"/>
      <c r="R42" s="65"/>
      <c r="S42" s="65"/>
      <c r="T42" s="65"/>
      <c r="U42" s="65"/>
      <c r="V42" s="65"/>
      <c r="W42" s="65"/>
      <c r="X42" s="65"/>
      <c r="Y42" s="65"/>
      <c r="Z42" s="65"/>
      <c r="AA42" s="65"/>
      <c r="AB42" s="65"/>
      <c r="AC42" s="65"/>
      <c r="AE42" s="17"/>
      <c r="AF42" s="17"/>
      <c r="AG42" s="17"/>
      <c r="AH42" s="53"/>
    </row>
    <row r="43" spans="1:34" s="16" customFormat="1">
      <c r="A43" s="323"/>
      <c r="B43" s="53"/>
      <c r="D43" s="52" t="s">
        <v>42</v>
      </c>
      <c r="E43" s="16">
        <v>5</v>
      </c>
      <c r="F43" s="16">
        <v>2</v>
      </c>
      <c r="G43" s="16">
        <v>1000</v>
      </c>
      <c r="H43" s="16">
        <v>100</v>
      </c>
      <c r="N43" s="53">
        <f>1.8 * MIN(6, MAX(E43,F43)) + 0.45 * MIN(6, MIN(E43,F43)) + IF(E43&gt;6, (E43-6)*0.2) + IF(F43&gt;6, (F43-6)*0.2)</f>
        <v>9.9</v>
      </c>
      <c r="Q43" s="776"/>
      <c r="R43" s="65"/>
      <c r="S43" s="65"/>
      <c r="T43" s="65"/>
      <c r="U43" s="65"/>
      <c r="V43" s="65"/>
      <c r="W43" s="65"/>
      <c r="X43" s="65"/>
      <c r="Y43" s="65"/>
      <c r="Z43" s="65"/>
      <c r="AA43" s="65"/>
      <c r="AB43" s="65"/>
      <c r="AC43" s="65"/>
      <c r="AE43" s="17"/>
      <c r="AF43" s="17"/>
      <c r="AG43" s="17"/>
      <c r="AH43" s="53"/>
    </row>
    <row r="44" spans="1:34" s="25" customFormat="1">
      <c r="A44" s="324"/>
      <c r="B44" s="75"/>
      <c r="D44" s="72" t="s">
        <v>43</v>
      </c>
      <c r="E44" s="1353">
        <v>7</v>
      </c>
      <c r="F44" s="1353">
        <v>7</v>
      </c>
      <c r="G44" s="1353">
        <v>1450</v>
      </c>
      <c r="H44" s="1353">
        <v>135</v>
      </c>
      <c r="I44" s="1353"/>
      <c r="J44" s="1353"/>
      <c r="K44" s="1353"/>
      <c r="L44" s="1353"/>
      <c r="M44" s="1353"/>
      <c r="N44" s="75">
        <f>1.8 * MIN(6, MAX(E44,F44)) + 0.45 * MIN(6, MIN(E44,F44)) + IF(E44&gt;6, (E44-6)*0.2) + IF(F44&gt;6, (F44-6)*0.2)</f>
        <v>13.899999999999999</v>
      </c>
      <c r="Q44" s="777"/>
      <c r="R44" s="102"/>
      <c r="S44" s="102"/>
      <c r="T44" s="102"/>
      <c r="U44" s="102"/>
      <c r="V44" s="102"/>
      <c r="W44" s="102"/>
      <c r="X44" s="102"/>
      <c r="Y44" s="102"/>
      <c r="Z44" s="102"/>
      <c r="AA44" s="102"/>
      <c r="AB44" s="102"/>
      <c r="AC44" s="102"/>
      <c r="AE44" s="1158"/>
      <c r="AF44" s="1158"/>
      <c r="AG44" s="1158"/>
      <c r="AH44" s="75"/>
    </row>
    <row r="45" spans="1:34" s="15" customFormat="1">
      <c r="A45" s="325" t="s">
        <v>102</v>
      </c>
      <c r="B45" s="74" t="s">
        <v>30</v>
      </c>
      <c r="C45" s="15" t="s">
        <v>258</v>
      </c>
      <c r="D45" s="52" t="s">
        <v>152</v>
      </c>
      <c r="E45" s="16">
        <v>4</v>
      </c>
      <c r="F45" s="16"/>
      <c r="G45" s="16">
        <v>325</v>
      </c>
      <c r="H45" s="16">
        <v>25</v>
      </c>
      <c r="I45"/>
      <c r="J45"/>
      <c r="K45"/>
      <c r="L45"/>
      <c r="M45"/>
      <c r="N45" s="53">
        <v>5</v>
      </c>
      <c r="Q45" s="445"/>
      <c r="R45" s="100"/>
      <c r="S45" s="100"/>
      <c r="T45" s="100"/>
      <c r="U45" s="100"/>
      <c r="V45" s="100">
        <v>0.1</v>
      </c>
      <c r="W45" s="100"/>
      <c r="X45" s="100">
        <v>0.1</v>
      </c>
      <c r="Y45" s="100"/>
      <c r="Z45" s="100"/>
      <c r="AA45" s="100"/>
      <c r="AB45" s="100"/>
      <c r="AC45" s="100">
        <v>0.1</v>
      </c>
      <c r="AD45" s="16"/>
      <c r="AE45" s="17"/>
      <c r="AF45" s="17"/>
      <c r="AG45" s="17"/>
      <c r="AH45" s="74"/>
    </row>
    <row r="46" spans="1:34" s="16" customFormat="1">
      <c r="A46" s="323"/>
      <c r="B46" s="53"/>
      <c r="D46" s="52" t="s">
        <v>153</v>
      </c>
      <c r="F46" s="16">
        <v>3</v>
      </c>
      <c r="G46" s="16">
        <v>300</v>
      </c>
      <c r="H46" s="16">
        <v>15</v>
      </c>
      <c r="I46"/>
      <c r="J46"/>
      <c r="K46"/>
      <c r="L46"/>
      <c r="M46"/>
      <c r="N46" s="53">
        <v>5</v>
      </c>
      <c r="Q46" s="776"/>
      <c r="R46" s="65"/>
      <c r="S46" s="65"/>
      <c r="T46" s="65"/>
      <c r="U46" s="65"/>
      <c r="V46" s="65"/>
      <c r="W46" s="65"/>
      <c r="X46" s="65"/>
      <c r="Y46" s="65"/>
      <c r="Z46" s="65"/>
      <c r="AA46" s="65"/>
      <c r="AB46" s="65"/>
      <c r="AC46" s="65"/>
      <c r="AE46" s="17"/>
      <c r="AF46" s="17"/>
      <c r="AG46" s="17"/>
      <c r="AH46" s="53"/>
    </row>
    <row r="47" spans="1:34" s="16" customFormat="1" ht="12.75" customHeight="1">
      <c r="A47" s="323"/>
      <c r="B47" s="53"/>
      <c r="D47" s="52" t="s">
        <v>154</v>
      </c>
      <c r="E47" s="16">
        <v>2</v>
      </c>
      <c r="F47" s="16">
        <v>4</v>
      </c>
      <c r="G47" s="16">
        <v>1000</v>
      </c>
      <c r="H47" s="16">
        <v>55</v>
      </c>
      <c r="I47"/>
      <c r="J47"/>
      <c r="K47"/>
      <c r="L47"/>
      <c r="M47"/>
      <c r="N47" s="53">
        <f>1.8 * MIN(6, MAX(E47,F47)) + 0.45 * MIN(6, MIN(E47,F47)) + IF(E47&gt;6, (E47-6)*0.2) + IF(F47&gt;6, (F47-6)*0.2)</f>
        <v>8.1</v>
      </c>
      <c r="Q47" s="776"/>
      <c r="R47" s="65"/>
      <c r="S47" s="65"/>
      <c r="T47" s="65"/>
      <c r="U47" s="65"/>
      <c r="V47" s="65"/>
      <c r="W47" s="65"/>
      <c r="X47" s="65"/>
      <c r="Y47" s="65"/>
      <c r="Z47" s="65"/>
      <c r="AA47" s="65"/>
      <c r="AB47" s="65"/>
      <c r="AC47" s="65"/>
      <c r="AE47" s="17"/>
      <c r="AF47" s="17"/>
      <c r="AG47" s="17"/>
      <c r="AH47" s="53"/>
    </row>
    <row r="48" spans="1:34" s="25" customFormat="1">
      <c r="A48" s="324"/>
      <c r="B48" s="75"/>
      <c r="D48" s="72" t="s">
        <v>155</v>
      </c>
      <c r="E48" s="25">
        <v>6</v>
      </c>
      <c r="F48" s="25">
        <v>0</v>
      </c>
      <c r="G48" s="25">
        <v>1050</v>
      </c>
      <c r="H48" s="25">
        <v>55</v>
      </c>
      <c r="I48"/>
      <c r="J48"/>
      <c r="K48"/>
      <c r="L48"/>
      <c r="M48"/>
      <c r="N48" s="53">
        <f>1.8 * MIN(6, MAX(E48,F48)) + 0.45 * MIN(6, MIN(E48,F48)) + IF(E48&gt;6, (E48-6)*0.2) + IF(F48&gt;6, (F48-6)*0.2)</f>
        <v>10.8</v>
      </c>
      <c r="Q48" s="776"/>
      <c r="R48" s="65"/>
      <c r="S48" s="65"/>
      <c r="T48" s="65"/>
      <c r="U48" s="65"/>
      <c r="V48" s="65"/>
      <c r="W48" s="65"/>
      <c r="X48" s="65"/>
      <c r="Y48" s="65"/>
      <c r="Z48" s="65"/>
      <c r="AA48" s="65"/>
      <c r="AB48" s="65"/>
      <c r="AC48" s="65"/>
      <c r="AD48" s="16"/>
      <c r="AE48" s="17"/>
      <c r="AF48" s="17"/>
      <c r="AG48" s="17"/>
      <c r="AH48" s="53"/>
    </row>
    <row r="49" spans="1:34" s="15" customFormat="1">
      <c r="A49" s="325" t="s">
        <v>103</v>
      </c>
      <c r="B49" s="74" t="s">
        <v>30</v>
      </c>
      <c r="C49" s="15" t="s">
        <v>63</v>
      </c>
      <c r="D49" s="70" t="s">
        <v>156</v>
      </c>
      <c r="E49" s="15">
        <v>2.5</v>
      </c>
      <c r="G49" s="15">
        <v>225</v>
      </c>
      <c r="N49" s="74">
        <v>5</v>
      </c>
      <c r="Q49" s="445">
        <v>0.15</v>
      </c>
      <c r="R49" s="100"/>
      <c r="S49" s="100"/>
      <c r="T49" s="100"/>
      <c r="U49" s="100"/>
      <c r="V49" s="100">
        <v>0.1</v>
      </c>
      <c r="W49" s="100"/>
      <c r="X49" s="100"/>
      <c r="Y49" s="100">
        <v>-0.75</v>
      </c>
      <c r="Z49" s="100"/>
      <c r="AA49" s="100"/>
      <c r="AB49" s="100"/>
      <c r="AC49" s="100"/>
      <c r="AE49" s="1191"/>
      <c r="AF49" s="1191"/>
      <c r="AG49" s="1191"/>
      <c r="AH49" s="74"/>
    </row>
    <row r="50" spans="1:34" s="16" customFormat="1">
      <c r="A50" s="323"/>
      <c r="B50" s="53"/>
      <c r="D50" s="52" t="s">
        <v>157</v>
      </c>
      <c r="F50" s="107">
        <v>2.5</v>
      </c>
      <c r="G50" s="107">
        <v>225</v>
      </c>
      <c r="N50" s="53">
        <v>5</v>
      </c>
      <c r="Q50" s="776"/>
      <c r="R50" s="65"/>
      <c r="S50" s="65"/>
      <c r="T50" s="65"/>
      <c r="U50" s="65"/>
      <c r="V50" s="65"/>
      <c r="W50" s="65"/>
      <c r="X50" s="65"/>
      <c r="Y50" s="65"/>
      <c r="Z50" s="65"/>
      <c r="AA50" s="65"/>
      <c r="AB50" s="65"/>
      <c r="AC50" s="65"/>
      <c r="AE50" s="17"/>
      <c r="AF50" s="17"/>
      <c r="AG50" s="17"/>
      <c r="AH50" s="53"/>
    </row>
    <row r="51" spans="1:34" s="16" customFormat="1">
      <c r="A51" s="323"/>
      <c r="B51" s="53"/>
      <c r="D51" s="52" t="s">
        <v>671</v>
      </c>
      <c r="E51" s="107">
        <v>2</v>
      </c>
      <c r="F51" s="107">
        <v>4</v>
      </c>
      <c r="G51" s="107">
        <v>900</v>
      </c>
      <c r="K51" s="16">
        <v>10</v>
      </c>
      <c r="N51" s="53">
        <f>1.8 * MIN(6, MAX(E51,F51)) + 0.45 * MIN(6, MIN(E51,F51)) + IF(E51&gt;6, (E51-6)*0.2) + IF(F51&gt;6, (F51-6)*0.2)</f>
        <v>8.1</v>
      </c>
      <c r="Q51" s="776"/>
      <c r="R51" s="65"/>
      <c r="S51" s="65"/>
      <c r="T51" s="65"/>
      <c r="U51" s="65"/>
      <c r="V51" s="65"/>
      <c r="W51" s="65"/>
      <c r="X51" s="65"/>
      <c r="Y51" s="65"/>
      <c r="Z51" s="65"/>
      <c r="AA51" s="65"/>
      <c r="AB51" s="65"/>
      <c r="AC51" s="65"/>
      <c r="AE51" s="17"/>
      <c r="AF51" s="17"/>
      <c r="AG51" s="17"/>
      <c r="AH51" s="53"/>
    </row>
    <row r="52" spans="1:34" s="25" customFormat="1">
      <c r="A52" s="323"/>
      <c r="B52" s="53"/>
      <c r="C52" s="16"/>
      <c r="D52" s="52" t="s">
        <v>672</v>
      </c>
      <c r="E52" s="107">
        <v>4</v>
      </c>
      <c r="F52" s="107">
        <v>3</v>
      </c>
      <c r="G52" s="107">
        <v>1100</v>
      </c>
      <c r="H52" s="16"/>
      <c r="I52" s="16"/>
      <c r="J52" s="16"/>
      <c r="K52" s="16">
        <v>10</v>
      </c>
      <c r="L52" s="16"/>
      <c r="M52" s="16"/>
      <c r="N52" s="53">
        <f>1.8 * MIN(6, MAX(E52,F52)) + 0.45 * MIN(6, MIN(E52,F52)) + IF(E52&gt;6, (E52-6)*0.2) + IF(F52&gt;6, (F52-6)*0.2)</f>
        <v>8.5500000000000007</v>
      </c>
      <c r="O52" s="16"/>
      <c r="P52" s="16"/>
      <c r="Q52" s="777"/>
      <c r="R52" s="102"/>
      <c r="S52" s="102"/>
      <c r="T52" s="102"/>
      <c r="U52" s="102"/>
      <c r="V52" s="102"/>
      <c r="W52" s="102"/>
      <c r="X52" s="102"/>
      <c r="Y52" s="102"/>
      <c r="Z52" s="102"/>
      <c r="AA52" s="102"/>
      <c r="AB52" s="102"/>
      <c r="AC52" s="102"/>
      <c r="AD52" s="1353"/>
      <c r="AE52" s="1158"/>
      <c r="AF52" s="1158"/>
      <c r="AG52" s="1158"/>
      <c r="AH52" s="75"/>
    </row>
    <row r="53" spans="1:34" s="15" customFormat="1">
      <c r="A53" s="325" t="s">
        <v>104</v>
      </c>
      <c r="B53" s="74" t="s">
        <v>101</v>
      </c>
      <c r="C53" s="15" t="s">
        <v>65</v>
      </c>
      <c r="D53" s="70" t="s">
        <v>634</v>
      </c>
      <c r="E53" s="15">
        <v>2</v>
      </c>
      <c r="F53" s="15">
        <v>2</v>
      </c>
      <c r="G53" s="15">
        <v>200</v>
      </c>
      <c r="N53" s="74">
        <v>5</v>
      </c>
      <c r="Q53" s="776">
        <v>-0.1</v>
      </c>
      <c r="R53" s="65"/>
      <c r="S53" s="65"/>
      <c r="T53" s="65"/>
      <c r="U53" s="65"/>
      <c r="V53" s="65"/>
      <c r="W53" s="65"/>
      <c r="X53" s="65"/>
      <c r="Y53" s="65">
        <v>-1</v>
      </c>
      <c r="Z53" s="65"/>
      <c r="AA53" s="65"/>
      <c r="AB53" s="65"/>
      <c r="AC53" s="65"/>
      <c r="AD53" s="16"/>
      <c r="AE53" s="17"/>
      <c r="AF53" s="17"/>
      <c r="AG53" s="17"/>
      <c r="AH53" s="53"/>
    </row>
    <row r="54" spans="1:34" s="16" customFormat="1">
      <c r="A54" s="323"/>
      <c r="B54" s="53"/>
      <c r="D54" s="52" t="s">
        <v>159</v>
      </c>
      <c r="E54" s="107">
        <v>3</v>
      </c>
      <c r="F54" s="107">
        <v>3</v>
      </c>
      <c r="G54" s="107">
        <v>500</v>
      </c>
      <c r="N54" s="53">
        <v>5</v>
      </c>
      <c r="Q54" s="776"/>
      <c r="R54" s="65"/>
      <c r="S54" s="65"/>
      <c r="T54" s="65"/>
      <c r="U54" s="65"/>
      <c r="V54" s="65"/>
      <c r="W54" s="65"/>
      <c r="X54" s="65"/>
      <c r="Y54" s="65"/>
      <c r="Z54" s="65"/>
      <c r="AA54" s="65"/>
      <c r="AB54" s="65"/>
      <c r="AC54" s="65"/>
      <c r="AE54" s="17"/>
      <c r="AF54" s="17"/>
      <c r="AG54" s="17"/>
      <c r="AH54" s="53"/>
    </row>
    <row r="55" spans="1:34" s="16" customFormat="1" ht="12.75" customHeight="1">
      <c r="A55" s="323"/>
      <c r="B55" s="53"/>
      <c r="D55" s="52" t="s">
        <v>158</v>
      </c>
      <c r="E55" s="107">
        <v>4</v>
      </c>
      <c r="F55" s="107">
        <v>4</v>
      </c>
      <c r="G55" s="107">
        <v>1600</v>
      </c>
      <c r="N55" s="53">
        <f>1.8 * MIN(6, MAX(E55,F55)) + 0.45 * MIN(6, MIN(E55,F55)) + IF(E55&gt;6, (E55-6)*0.2) + IF(F55&gt;6, (F55-6)*0.2)</f>
        <v>9</v>
      </c>
      <c r="Q55" s="776"/>
      <c r="R55" s="65"/>
      <c r="S55" s="65"/>
      <c r="T55" s="65"/>
      <c r="U55" s="65"/>
      <c r="V55" s="65"/>
      <c r="W55" s="65"/>
      <c r="X55" s="65"/>
      <c r="Y55" s="65"/>
      <c r="Z55" s="65"/>
      <c r="AA55" s="65"/>
      <c r="AB55" s="65"/>
      <c r="AC55" s="65"/>
      <c r="AE55" s="17"/>
      <c r="AF55" s="17"/>
      <c r="AG55" s="17"/>
      <c r="AH55" s="53"/>
    </row>
    <row r="56" spans="1:34" s="25" customFormat="1">
      <c r="A56" s="324"/>
      <c r="B56" s="75"/>
      <c r="D56" s="52" t="s">
        <v>160</v>
      </c>
      <c r="E56" s="16">
        <v>10</v>
      </c>
      <c r="F56" s="16">
        <v>10</v>
      </c>
      <c r="G56" s="16">
        <v>12000</v>
      </c>
      <c r="H56" s="16"/>
      <c r="I56" s="16"/>
      <c r="J56" s="16"/>
      <c r="K56" s="16"/>
      <c r="L56" s="16"/>
      <c r="M56" s="16"/>
      <c r="N56" s="53">
        <f>1.8 * MIN(6, MAX(E56,F56)) + 0.45 * MIN(6, MIN(E56,F56)) + IF(E56&gt;6, (E56-6)*0.2) + IF(F56&gt;6, (F56-6)*0.2)</f>
        <v>15.100000000000001</v>
      </c>
      <c r="Q56" s="777"/>
      <c r="R56" s="102"/>
      <c r="S56" s="102"/>
      <c r="T56" s="102"/>
      <c r="U56" s="102"/>
      <c r="V56" s="102"/>
      <c r="W56" s="102"/>
      <c r="X56" s="102"/>
      <c r="Y56" s="102"/>
      <c r="Z56" s="102"/>
      <c r="AA56" s="102"/>
      <c r="AB56" s="102"/>
      <c r="AC56" s="102"/>
      <c r="AE56" s="1158"/>
      <c r="AF56" s="1158"/>
      <c r="AG56" s="1158"/>
      <c r="AH56" s="75"/>
    </row>
    <row r="57" spans="1:34" s="15" customFormat="1">
      <c r="A57" s="325" t="s">
        <v>105</v>
      </c>
      <c r="B57" s="74" t="s">
        <v>30</v>
      </c>
      <c r="C57" s="15" t="s">
        <v>258</v>
      </c>
      <c r="D57" s="70" t="s">
        <v>161</v>
      </c>
      <c r="E57" s="15">
        <v>3</v>
      </c>
      <c r="G57" s="15">
        <v>250</v>
      </c>
      <c r="L57" s="15">
        <v>25</v>
      </c>
      <c r="N57" s="74">
        <v>5</v>
      </c>
      <c r="O57" s="16"/>
      <c r="P57" s="16"/>
      <c r="Q57" s="776">
        <v>0.1</v>
      </c>
      <c r="R57" s="65"/>
      <c r="S57" s="65"/>
      <c r="T57" s="65"/>
      <c r="U57" s="65"/>
      <c r="V57" s="65"/>
      <c r="W57" s="65"/>
      <c r="X57" s="65"/>
      <c r="Y57" s="65"/>
      <c r="Z57" s="751"/>
      <c r="AA57" s="65"/>
      <c r="AB57" s="65"/>
      <c r="AC57" s="65"/>
      <c r="AD57" s="16"/>
      <c r="AE57" s="17"/>
      <c r="AF57" s="17"/>
      <c r="AG57" s="17"/>
      <c r="AH57" s="53"/>
    </row>
    <row r="58" spans="1:34" s="16" customFormat="1" ht="12.75" customHeight="1">
      <c r="A58" s="323"/>
      <c r="B58" s="53"/>
      <c r="D58" s="52" t="s">
        <v>162</v>
      </c>
      <c r="F58" s="16">
        <v>3</v>
      </c>
      <c r="G58" s="16">
        <v>250</v>
      </c>
      <c r="H58" s="16">
        <v>0</v>
      </c>
      <c r="N58" s="53">
        <v>5</v>
      </c>
      <c r="Q58" s="776"/>
      <c r="R58" s="65"/>
      <c r="S58" s="65"/>
      <c r="T58" s="65"/>
      <c r="U58" s="65"/>
      <c r="V58" s="65"/>
      <c r="W58" s="65"/>
      <c r="X58" s="65"/>
      <c r="Y58" s="65"/>
      <c r="Z58" s="65"/>
      <c r="AA58" s="65"/>
      <c r="AB58" s="65"/>
      <c r="AC58" s="65"/>
      <c r="AE58" s="17"/>
      <c r="AF58" s="17"/>
      <c r="AG58" s="17"/>
      <c r="AH58" s="53"/>
    </row>
    <row r="59" spans="1:34" s="16" customFormat="1">
      <c r="A59" s="323"/>
      <c r="B59" s="53"/>
      <c r="D59" s="52" t="s">
        <v>163</v>
      </c>
      <c r="E59" s="16">
        <v>4</v>
      </c>
      <c r="F59" s="16">
        <v>4</v>
      </c>
      <c r="G59" s="16">
        <v>850</v>
      </c>
      <c r="H59" s="16">
        <v>55</v>
      </c>
      <c r="N59" s="53">
        <f>1.8 * MIN(6, MAX(E59,F59)) + 0.45 * MIN(6, MIN(E59,F59)) + IF(E59&gt;6, (E59-6)*0.2) + IF(F59&gt;6, (F59-6)*0.2)</f>
        <v>9</v>
      </c>
      <c r="Q59" s="776"/>
      <c r="R59" s="65"/>
      <c r="S59" s="65"/>
      <c r="T59" s="65"/>
      <c r="U59" s="65"/>
      <c r="V59" s="65"/>
      <c r="W59" s="65"/>
      <c r="X59" s="65"/>
      <c r="Y59" s="65"/>
      <c r="Z59" s="65"/>
      <c r="AA59" s="65"/>
      <c r="AB59" s="65"/>
      <c r="AC59" s="65"/>
      <c r="AE59" s="17"/>
      <c r="AF59" s="17"/>
      <c r="AG59" s="17"/>
      <c r="AH59" s="53"/>
    </row>
    <row r="60" spans="1:34" s="25" customFormat="1">
      <c r="A60" s="324"/>
      <c r="B60" s="75"/>
      <c r="D60" s="72" t="s">
        <v>164</v>
      </c>
      <c r="E60" s="1353">
        <v>6</v>
      </c>
      <c r="F60" s="1353">
        <v>0</v>
      </c>
      <c r="G60" s="1353">
        <v>1100</v>
      </c>
      <c r="H60" s="1353">
        <v>110</v>
      </c>
      <c r="I60" s="1353"/>
      <c r="J60" s="1353"/>
      <c r="K60" s="1353"/>
      <c r="L60" s="1353"/>
      <c r="M60" s="1353"/>
      <c r="N60" s="75">
        <f>1.8 * MIN(6, MAX(E60,F60)) + 0.45 * MIN(6, MIN(E60,F60)) + IF(E60&gt;6, (E60-6)*0.2) + IF(F60&gt;6, (F60-6)*0.2)</f>
        <v>10.8</v>
      </c>
      <c r="Q60" s="777"/>
      <c r="R60" s="102"/>
      <c r="S60" s="102"/>
      <c r="T60" s="102"/>
      <c r="U60" s="102"/>
      <c r="V60" s="102"/>
      <c r="W60" s="102"/>
      <c r="X60" s="102"/>
      <c r="Y60" s="102"/>
      <c r="Z60" s="102"/>
      <c r="AA60" s="102"/>
      <c r="AB60" s="102"/>
      <c r="AC60" s="102"/>
      <c r="AE60" s="1158"/>
      <c r="AF60" s="1158"/>
      <c r="AG60" s="1158"/>
      <c r="AH60" s="75"/>
    </row>
    <row r="61" spans="1:34" s="15" customFormat="1">
      <c r="A61" s="325" t="s">
        <v>106</v>
      </c>
      <c r="B61" s="74" t="s">
        <v>101</v>
      </c>
      <c r="C61" s="15" t="s">
        <v>260</v>
      </c>
      <c r="D61" s="52" t="s">
        <v>165</v>
      </c>
      <c r="E61" s="16">
        <v>2</v>
      </c>
      <c r="F61" s="16"/>
      <c r="G61" s="16">
        <v>235</v>
      </c>
      <c r="H61" s="16">
        <v>15</v>
      </c>
      <c r="I61"/>
      <c r="J61"/>
      <c r="K61"/>
      <c r="L61"/>
      <c r="M61"/>
      <c r="N61" s="53">
        <v>5</v>
      </c>
      <c r="Q61" s="445">
        <v>0.4</v>
      </c>
      <c r="R61" s="100">
        <v>0.2</v>
      </c>
      <c r="S61" s="100"/>
      <c r="T61" s="100"/>
      <c r="U61" s="100"/>
      <c r="V61" s="100"/>
      <c r="W61" s="100"/>
      <c r="X61" s="100"/>
      <c r="Y61" s="100">
        <v>-0.3</v>
      </c>
      <c r="Z61" s="100"/>
      <c r="AA61" s="100"/>
      <c r="AB61" s="100">
        <v>-0.1</v>
      </c>
      <c r="AC61" s="100">
        <v>-0.1</v>
      </c>
      <c r="AE61" s="1191"/>
      <c r="AF61" s="1191"/>
      <c r="AG61" s="1191"/>
      <c r="AH61" s="74"/>
    </row>
    <row r="62" spans="1:34" s="16" customFormat="1">
      <c r="A62" s="323"/>
      <c r="B62" s="53"/>
      <c r="D62" s="52" t="s">
        <v>166</v>
      </c>
      <c r="F62" s="16">
        <v>2</v>
      </c>
      <c r="G62" s="16">
        <v>245</v>
      </c>
      <c r="H62" s="16">
        <v>20</v>
      </c>
      <c r="I62"/>
      <c r="J62"/>
      <c r="K62"/>
      <c r="L62"/>
      <c r="M62"/>
      <c r="N62" s="53">
        <v>5</v>
      </c>
      <c r="Q62" s="776"/>
      <c r="R62" s="65"/>
      <c r="S62" s="65"/>
      <c r="T62" s="65"/>
      <c r="U62" s="65"/>
      <c r="V62" s="65"/>
      <c r="W62" s="65"/>
      <c r="X62" s="65"/>
      <c r="Y62" s="65"/>
      <c r="Z62" s="65"/>
      <c r="AA62" s="65"/>
      <c r="AB62" s="65"/>
      <c r="AC62" s="65"/>
      <c r="AE62" s="17"/>
      <c r="AF62" s="17"/>
      <c r="AG62" s="17"/>
      <c r="AH62" s="53"/>
    </row>
    <row r="63" spans="1:34" s="16" customFormat="1">
      <c r="A63" s="323"/>
      <c r="B63" s="53"/>
      <c r="D63" s="52" t="s">
        <v>167</v>
      </c>
      <c r="E63" s="16">
        <v>0</v>
      </c>
      <c r="F63" s="16">
        <v>3</v>
      </c>
      <c r="G63" s="16">
        <v>975</v>
      </c>
      <c r="H63" s="16">
        <v>0</v>
      </c>
      <c r="I63"/>
      <c r="J63"/>
      <c r="K63"/>
      <c r="L63"/>
      <c r="M63"/>
      <c r="N63" s="53">
        <f>1.8 * MIN(6, MAX(E63,F63)) + 0.45 * MIN(6, MIN(E63,F63)) + IF(E63&gt;6, (E63-6)*0.2) + IF(F63&gt;6, (F63-6)*0.2)</f>
        <v>5.4</v>
      </c>
      <c r="Q63" s="776"/>
      <c r="R63" s="65"/>
      <c r="S63" s="65"/>
      <c r="T63" s="65"/>
      <c r="U63" s="65"/>
      <c r="V63" s="65"/>
      <c r="W63" s="65"/>
      <c r="X63" s="65"/>
      <c r="Y63" s="65"/>
      <c r="Z63" s="65"/>
      <c r="AA63" s="65"/>
      <c r="AB63" s="65"/>
      <c r="AC63" s="65"/>
      <c r="AE63" s="17"/>
      <c r="AF63" s="17"/>
      <c r="AG63" s="17"/>
      <c r="AH63" s="53"/>
    </row>
    <row r="64" spans="1:34" s="25" customFormat="1">
      <c r="A64" s="323"/>
      <c r="B64" s="53"/>
      <c r="D64" s="52" t="s">
        <v>168</v>
      </c>
      <c r="E64" s="16">
        <v>3</v>
      </c>
      <c r="F64" s="16">
        <v>2</v>
      </c>
      <c r="G64" s="16">
        <v>875</v>
      </c>
      <c r="H64" s="16">
        <v>55</v>
      </c>
      <c r="I64"/>
      <c r="J64"/>
      <c r="K64"/>
      <c r="L64"/>
      <c r="M64"/>
      <c r="N64" s="53">
        <f>1.8 * MIN(6, MAX(E64,F64)) + 0.45 * MIN(6, MIN(E64,F64)) + IF(E64&gt;6, (E64-6)*0.2) + IF(F64&gt;6, (F64-6)*0.2)</f>
        <v>6.3000000000000007</v>
      </c>
      <c r="Q64" s="777"/>
      <c r="R64" s="102"/>
      <c r="S64" s="102"/>
      <c r="T64" s="102"/>
      <c r="U64" s="102"/>
      <c r="V64" s="102"/>
      <c r="W64" s="102"/>
      <c r="X64" s="102"/>
      <c r="Y64" s="102"/>
      <c r="Z64" s="102"/>
      <c r="AA64" s="102"/>
      <c r="AB64" s="102"/>
      <c r="AC64" s="102"/>
      <c r="AE64" s="1158"/>
      <c r="AF64" s="1158"/>
      <c r="AG64" s="1158"/>
      <c r="AH64" s="75"/>
    </row>
    <row r="65" spans="1:34" s="15" customFormat="1" ht="12.75" customHeight="1">
      <c r="A65" s="325" t="s">
        <v>107</v>
      </c>
      <c r="B65" s="74" t="s">
        <v>30</v>
      </c>
      <c r="C65" s="15" t="s">
        <v>65</v>
      </c>
      <c r="D65" s="70" t="s">
        <v>169</v>
      </c>
      <c r="E65" s="15">
        <v>3</v>
      </c>
      <c r="G65" s="15">
        <v>250</v>
      </c>
      <c r="H65" s="15">
        <v>0</v>
      </c>
      <c r="N65" s="74">
        <v>5</v>
      </c>
      <c r="Q65" s="445">
        <v>0.1</v>
      </c>
      <c r="R65" s="100">
        <v>0.25</v>
      </c>
      <c r="S65" s="100"/>
      <c r="T65" s="100"/>
      <c r="U65" s="100"/>
      <c r="V65" s="100"/>
      <c r="W65" s="100"/>
      <c r="X65" s="100"/>
      <c r="Y65" s="100">
        <v>-0.15</v>
      </c>
      <c r="Z65" s="100"/>
      <c r="AA65" s="100"/>
      <c r="AB65" s="100">
        <v>0.1</v>
      </c>
      <c r="AC65" s="100"/>
      <c r="AE65" s="1191"/>
      <c r="AF65" s="1191"/>
      <c r="AG65" s="1191"/>
      <c r="AH65" s="74"/>
    </row>
    <row r="66" spans="1:34" s="16" customFormat="1">
      <c r="A66" s="323"/>
      <c r="B66" s="53"/>
      <c r="D66" s="52" t="s">
        <v>170</v>
      </c>
      <c r="F66" s="16">
        <v>3</v>
      </c>
      <c r="G66" s="16">
        <v>250</v>
      </c>
      <c r="H66" s="16">
        <v>0</v>
      </c>
      <c r="N66" s="53">
        <v>5</v>
      </c>
      <c r="Q66" s="776"/>
      <c r="R66" s="65"/>
      <c r="S66" s="65"/>
      <c r="T66" s="65"/>
      <c r="U66" s="65"/>
      <c r="V66" s="65"/>
      <c r="W66" s="65"/>
      <c r="X66" s="65"/>
      <c r="Y66" s="65"/>
      <c r="Z66" s="65"/>
      <c r="AA66" s="65"/>
      <c r="AB66" s="65"/>
      <c r="AC66" s="65"/>
      <c r="AE66" s="17"/>
      <c r="AF66" s="17"/>
      <c r="AG66" s="17"/>
      <c r="AH66" s="53"/>
    </row>
    <row r="67" spans="1:34" s="16" customFormat="1">
      <c r="A67" s="323"/>
      <c r="B67" s="53"/>
      <c r="D67" s="52" t="s">
        <v>171</v>
      </c>
      <c r="E67" s="16">
        <v>4</v>
      </c>
      <c r="F67" s="16">
        <v>4</v>
      </c>
      <c r="G67" s="16">
        <v>900</v>
      </c>
      <c r="H67" s="16">
        <v>0</v>
      </c>
      <c r="N67" s="53">
        <f>1.8 * MIN(6, MAX(E67,F67)) + 0.45 * MIN(6, MIN(E67,F67)) + IF(E67&gt;6, (E67-6)*0.2) + IF(F67&gt;6, (F67-6)*0.2)</f>
        <v>9</v>
      </c>
      <c r="Q67" s="776"/>
      <c r="R67" s="65"/>
      <c r="S67" s="65"/>
      <c r="T67" s="65"/>
      <c r="U67" s="65"/>
      <c r="V67" s="65"/>
      <c r="W67" s="65"/>
      <c r="X67" s="65"/>
      <c r="Y67" s="65"/>
      <c r="Z67" s="65"/>
      <c r="AA67" s="65"/>
      <c r="AB67" s="65"/>
      <c r="AC67" s="65"/>
      <c r="AE67" s="17"/>
      <c r="AF67" s="17"/>
      <c r="AG67" s="17"/>
      <c r="AH67" s="53"/>
    </row>
    <row r="68" spans="1:34" s="25" customFormat="1" ht="12.75" customHeight="1">
      <c r="A68" s="323"/>
      <c r="B68" s="53"/>
      <c r="D68" s="72" t="s">
        <v>172</v>
      </c>
      <c r="E68" s="25">
        <v>6</v>
      </c>
      <c r="F68" s="25">
        <v>2</v>
      </c>
      <c r="G68" s="25">
        <v>1200</v>
      </c>
      <c r="H68" s="25">
        <v>0</v>
      </c>
      <c r="N68" s="75">
        <f>1.8 * MIN(6, MAX(E68,F68)) + 0.45 * MIN(6, MIN(E68,F68)) + IF(E68&gt;6, (E68-6)*0.2) + IF(F68&gt;6, (F68-6)*0.2)</f>
        <v>11.700000000000001</v>
      </c>
      <c r="Q68" s="777"/>
      <c r="R68" s="102"/>
      <c r="S68" s="102"/>
      <c r="T68" s="102"/>
      <c r="U68" s="102"/>
      <c r="V68" s="102"/>
      <c r="W68" s="102"/>
      <c r="X68" s="102"/>
      <c r="Y68" s="102"/>
      <c r="Z68" s="102"/>
      <c r="AA68" s="102"/>
      <c r="AB68" s="102"/>
      <c r="AC68" s="102"/>
      <c r="AE68" s="1158"/>
      <c r="AF68" s="1158"/>
      <c r="AG68" s="1158"/>
      <c r="AH68" s="75"/>
    </row>
    <row r="69" spans="1:34" s="15" customFormat="1" ht="12.75" customHeight="1">
      <c r="A69" s="325" t="s">
        <v>347</v>
      </c>
      <c r="B69" s="74" t="s">
        <v>30</v>
      </c>
      <c r="C69" s="15" t="s">
        <v>261</v>
      </c>
      <c r="D69" s="70" t="s">
        <v>348</v>
      </c>
      <c r="E69" s="15">
        <v>3</v>
      </c>
      <c r="G69" s="15">
        <v>300</v>
      </c>
      <c r="H69" s="15">
        <v>0</v>
      </c>
      <c r="N69" s="74">
        <v>5</v>
      </c>
      <c r="Q69" s="445"/>
      <c r="R69" s="100"/>
      <c r="S69" s="100"/>
      <c r="T69" s="100"/>
      <c r="U69" s="100">
        <v>-0.1</v>
      </c>
      <c r="V69" s="100"/>
      <c r="W69" s="100"/>
      <c r="X69" s="100"/>
      <c r="Y69" s="100">
        <v>-0.5</v>
      </c>
      <c r="Z69" s="100"/>
      <c r="AA69" s="100"/>
      <c r="AB69" s="100"/>
      <c r="AC69" s="100"/>
      <c r="AE69" s="1191"/>
      <c r="AF69" s="1191"/>
      <c r="AG69" s="1191"/>
      <c r="AH69" s="74"/>
    </row>
    <row r="70" spans="1:34" s="16" customFormat="1">
      <c r="A70" s="323"/>
      <c r="B70" s="53"/>
      <c r="D70" s="52" t="s">
        <v>349</v>
      </c>
      <c r="F70" s="16">
        <v>3</v>
      </c>
      <c r="G70" s="16">
        <v>350</v>
      </c>
      <c r="H70" s="16">
        <v>25</v>
      </c>
      <c r="N70" s="53">
        <v>5</v>
      </c>
      <c r="Q70" s="776"/>
      <c r="R70" s="65"/>
      <c r="S70" s="65"/>
      <c r="T70" s="65"/>
      <c r="U70" s="65"/>
      <c r="V70" s="65"/>
      <c r="W70" s="65"/>
      <c r="X70" s="65"/>
      <c r="Y70" s="65"/>
      <c r="Z70" s="65"/>
      <c r="AA70" s="65"/>
      <c r="AB70" s="65"/>
      <c r="AC70" s="65"/>
      <c r="AE70" s="17"/>
      <c r="AF70" s="17"/>
      <c r="AG70" s="17"/>
      <c r="AH70" s="53"/>
    </row>
    <row r="71" spans="1:34" s="16" customFormat="1">
      <c r="A71" s="323"/>
      <c r="B71" s="53"/>
      <c r="D71" s="52" t="s">
        <v>350</v>
      </c>
      <c r="E71" s="16">
        <v>3</v>
      </c>
      <c r="F71" s="16">
        <v>3</v>
      </c>
      <c r="G71" s="16">
        <v>100</v>
      </c>
      <c r="H71" s="16">
        <v>100</v>
      </c>
      <c r="N71" s="53">
        <f>1.8 * MIN(6, MAX(E71,F71)) + 0.45 * MIN(6, MIN(E71,F71)) + IF(E71&gt;6, (E71-6)*0.2) + IF(F71&gt;6, (F71-6)*0.2)</f>
        <v>6.75</v>
      </c>
      <c r="Q71" s="776"/>
      <c r="R71" s="65"/>
      <c r="S71" s="65"/>
      <c r="T71" s="65"/>
      <c r="U71" s="65"/>
      <c r="V71" s="65"/>
      <c r="W71" s="65"/>
      <c r="X71" s="65"/>
      <c r="Y71" s="65"/>
      <c r="Z71" s="65"/>
      <c r="AA71" s="65"/>
      <c r="AB71" s="65"/>
      <c r="AC71" s="65"/>
      <c r="AE71" s="17"/>
      <c r="AF71" s="17"/>
      <c r="AG71" s="17"/>
      <c r="AH71" s="53"/>
    </row>
    <row r="72" spans="1:34" s="25" customFormat="1" ht="12.75" customHeight="1">
      <c r="A72" s="324"/>
      <c r="B72" s="75"/>
      <c r="D72" s="72" t="s">
        <v>351</v>
      </c>
      <c r="E72" s="25">
        <v>4</v>
      </c>
      <c r="F72" s="25">
        <v>2</v>
      </c>
      <c r="G72" s="25">
        <v>1100</v>
      </c>
      <c r="H72" s="25">
        <v>0</v>
      </c>
      <c r="N72" s="75">
        <f>1.8 * MIN(6, MAX(E72,F72)) + 0.45 * MIN(6, MIN(E72,F72)) + IF(E72&gt;6, (E72-6)*0.2) + IF(F72&gt;6, (F72-6)*0.2)</f>
        <v>8.1</v>
      </c>
      <c r="Q72" s="777"/>
      <c r="R72" s="102"/>
      <c r="S72" s="102"/>
      <c r="T72" s="102"/>
      <c r="U72" s="102"/>
      <c r="V72" s="102"/>
      <c r="W72" s="102"/>
      <c r="X72" s="102"/>
      <c r="Y72" s="102"/>
      <c r="Z72" s="102"/>
      <c r="AA72" s="102"/>
      <c r="AB72" s="102"/>
      <c r="AC72" s="102"/>
      <c r="AE72" s="1158"/>
      <c r="AF72" s="1158"/>
      <c r="AG72" s="1158"/>
      <c r="AH72" s="75"/>
    </row>
    <row r="73" spans="1:34">
      <c r="A73" s="325" t="s">
        <v>361</v>
      </c>
      <c r="B73" s="74" t="s">
        <v>101</v>
      </c>
      <c r="C73" s="15" t="s">
        <v>258</v>
      </c>
      <c r="D73" s="52" t="s">
        <v>355</v>
      </c>
      <c r="E73" s="16">
        <v>3</v>
      </c>
      <c r="F73" s="16"/>
      <c r="G73" s="16">
        <v>300</v>
      </c>
      <c r="H73" s="16">
        <v>0</v>
      </c>
      <c r="N73" s="53">
        <v>5</v>
      </c>
      <c r="O73" s="15"/>
      <c r="P73" s="15"/>
      <c r="Q73" s="445">
        <v>0.05</v>
      </c>
      <c r="R73" s="100"/>
      <c r="S73" s="100"/>
      <c r="T73" s="100"/>
      <c r="U73" s="100">
        <v>-0.1</v>
      </c>
      <c r="V73" s="100"/>
      <c r="W73" s="100"/>
      <c r="X73" s="100">
        <v>0.15</v>
      </c>
      <c r="Y73" s="100"/>
      <c r="Z73" s="100"/>
      <c r="AA73" s="100"/>
      <c r="AB73" s="100"/>
      <c r="AC73" s="100"/>
      <c r="AD73" s="16"/>
      <c r="AE73" s="17"/>
      <c r="AF73" s="1191">
        <v>-0.1</v>
      </c>
      <c r="AG73" s="17"/>
      <c r="AH73" s="74"/>
    </row>
    <row r="74" spans="1:34">
      <c r="B74" s="53"/>
      <c r="C74" s="16"/>
      <c r="D74" s="52" t="s">
        <v>356</v>
      </c>
      <c r="E74" s="16"/>
      <c r="F74" s="16">
        <v>3</v>
      </c>
      <c r="G74" s="16">
        <v>300</v>
      </c>
      <c r="H74" s="16">
        <v>0</v>
      </c>
      <c r="N74" s="53">
        <v>5</v>
      </c>
      <c r="O74" s="16"/>
      <c r="P74" s="16"/>
      <c r="Q74" s="776"/>
      <c r="R74" s="65"/>
      <c r="S74" s="65"/>
      <c r="T74" s="65"/>
      <c r="U74" s="65"/>
      <c r="V74" s="65"/>
      <c r="W74" s="65"/>
      <c r="X74" s="65"/>
      <c r="Y74" s="65"/>
      <c r="Z74" s="65"/>
      <c r="AA74" s="65"/>
      <c r="AB74" s="65"/>
      <c r="AC74" s="65"/>
      <c r="AD74" s="16"/>
      <c r="AE74" s="17"/>
      <c r="AF74" s="16"/>
      <c r="AG74" s="17"/>
      <c r="AH74" s="53"/>
    </row>
    <row r="75" spans="1:34">
      <c r="B75" s="53"/>
      <c r="C75" s="16"/>
      <c r="D75" s="52" t="s">
        <v>357</v>
      </c>
      <c r="E75" s="16">
        <v>0</v>
      </c>
      <c r="F75" s="16">
        <v>4.5</v>
      </c>
      <c r="G75" s="16">
        <v>925</v>
      </c>
      <c r="H75" s="16">
        <v>0</v>
      </c>
      <c r="N75" s="53">
        <f>1.8 * MIN(6, MAX(E75,F75)) + 0.45 * MIN(6, MIN(E75,F75)) + IF(E75&gt;6, (E75-6)*0.2) + IF(F75&gt;6, (F75-6)*0.2)</f>
        <v>8.1</v>
      </c>
      <c r="O75" s="16"/>
      <c r="P75" s="16"/>
      <c r="Q75" s="776"/>
      <c r="R75" s="65"/>
      <c r="S75" s="65"/>
      <c r="T75" s="65"/>
      <c r="U75" s="65"/>
      <c r="V75" s="65"/>
      <c r="W75" s="65"/>
      <c r="X75" s="65"/>
      <c r="Y75" s="65"/>
      <c r="Z75" s="65"/>
      <c r="AA75" s="65"/>
      <c r="AB75" s="65"/>
      <c r="AC75" s="65"/>
      <c r="AD75" s="16"/>
      <c r="AE75" s="17"/>
      <c r="AF75" s="16"/>
      <c r="AG75" s="17"/>
      <c r="AH75" s="53"/>
    </row>
    <row r="76" spans="1:34">
      <c r="A76" s="324"/>
      <c r="B76" s="75"/>
      <c r="C76" s="25"/>
      <c r="D76" s="52" t="s">
        <v>358</v>
      </c>
      <c r="E76" s="16">
        <v>5</v>
      </c>
      <c r="F76" s="16">
        <v>3</v>
      </c>
      <c r="G76" s="16">
        <v>925</v>
      </c>
      <c r="H76" s="16">
        <v>0</v>
      </c>
      <c r="N76" s="53">
        <f>1.8 * MIN(6, MAX(E76,F76)) + 0.45 * MIN(6, MIN(E76,F76)) + IF(E76&gt;6, (E76-6)*0.2) + IF(F76&gt;6, (F76-6)*0.2)</f>
        <v>10.35</v>
      </c>
      <c r="O76" s="25"/>
      <c r="P76" s="25"/>
      <c r="Q76" s="777"/>
      <c r="R76" s="102"/>
      <c r="S76" s="102"/>
      <c r="T76" s="102"/>
      <c r="U76" s="102"/>
      <c r="V76" s="102"/>
      <c r="W76" s="102"/>
      <c r="X76" s="102"/>
      <c r="Y76" s="102"/>
      <c r="Z76" s="102"/>
      <c r="AA76" s="102"/>
      <c r="AB76" s="102"/>
      <c r="AC76" s="102"/>
      <c r="AD76" s="25"/>
      <c r="AE76" s="1158"/>
      <c r="AF76" s="25"/>
      <c r="AG76" s="1158"/>
      <c r="AH76" s="75"/>
    </row>
    <row r="77" spans="1:34" s="16" customFormat="1">
      <c r="A77" s="325" t="s">
        <v>150</v>
      </c>
      <c r="B77" s="74" t="s">
        <v>30</v>
      </c>
      <c r="C77" s="70" t="s">
        <v>60</v>
      </c>
      <c r="D77" s="70" t="s">
        <v>374</v>
      </c>
      <c r="E77" s="15">
        <v>4</v>
      </c>
      <c r="F77" s="15"/>
      <c r="G77" s="15">
        <v>375</v>
      </c>
      <c r="H77" s="15">
        <v>0</v>
      </c>
      <c r="I77" s="15"/>
      <c r="J77" s="15"/>
      <c r="K77" s="15"/>
      <c r="L77" s="15"/>
      <c r="M77" s="15"/>
      <c r="N77" s="15">
        <v>5</v>
      </c>
      <c r="O77" s="70"/>
      <c r="P77" s="74"/>
      <c r="Q77" s="778"/>
      <c r="R77" s="100"/>
      <c r="S77" s="100"/>
      <c r="T77" s="100"/>
      <c r="U77" s="100">
        <v>0.5</v>
      </c>
      <c r="V77" s="100"/>
      <c r="W77" s="100"/>
      <c r="X77" s="100"/>
      <c r="Y77" s="100">
        <v>0.2</v>
      </c>
      <c r="Z77" s="100"/>
      <c r="AA77" s="100"/>
      <c r="AB77" s="100"/>
      <c r="AC77" s="100"/>
      <c r="AD77" s="15"/>
      <c r="AE77" s="1191"/>
      <c r="AF77" s="1191"/>
      <c r="AG77" s="1191"/>
      <c r="AH77" s="74"/>
    </row>
    <row r="78" spans="1:34" s="16" customFormat="1">
      <c r="A78" s="323"/>
      <c r="B78" s="53"/>
      <c r="C78" s="1192"/>
      <c r="D78" s="52" t="s">
        <v>343</v>
      </c>
      <c r="F78" s="16">
        <v>3</v>
      </c>
      <c r="G78" s="16">
        <v>300</v>
      </c>
      <c r="H78" s="16">
        <v>25</v>
      </c>
      <c r="N78" s="16">
        <v>5</v>
      </c>
      <c r="O78" s="52"/>
      <c r="P78" s="53"/>
      <c r="Q78" s="751"/>
      <c r="R78" s="65"/>
      <c r="S78" s="65"/>
      <c r="T78" s="65"/>
      <c r="U78" s="65"/>
      <c r="V78" s="65"/>
      <c r="W78" s="65"/>
      <c r="X78" s="65"/>
      <c r="Y78" s="65"/>
      <c r="Z78" s="65"/>
      <c r="AA78" s="65"/>
      <c r="AB78" s="65"/>
      <c r="AC78" s="65"/>
      <c r="AE78" s="17"/>
      <c r="AF78" s="17"/>
      <c r="AG78" s="17"/>
      <c r="AH78" s="53"/>
    </row>
    <row r="79" spans="1:34" s="16" customFormat="1">
      <c r="A79" s="323"/>
      <c r="B79" s="53"/>
      <c r="C79" s="1192"/>
      <c r="D79" s="52" t="s">
        <v>391</v>
      </c>
      <c r="E79" s="16">
        <v>0</v>
      </c>
      <c r="F79" s="16">
        <v>3</v>
      </c>
      <c r="G79" s="16">
        <v>800</v>
      </c>
      <c r="H79" s="16">
        <v>0</v>
      </c>
      <c r="N79" s="16">
        <f>1.8 * MIN(6, MAX(E79,F79)) + 0.45 * MIN(6, MIN(E79,F79)) + IF(E79&gt;6, (E79-6)*0.2) + IF(F79&gt;6, (F79-6)*0.2)</f>
        <v>5.4</v>
      </c>
      <c r="O79" s="52"/>
      <c r="P79" s="53"/>
      <c r="Q79" s="751"/>
      <c r="R79" s="65"/>
      <c r="S79" s="65"/>
      <c r="T79" s="65"/>
      <c r="U79" s="65"/>
      <c r="V79" s="65"/>
      <c r="W79" s="65"/>
      <c r="X79" s="65"/>
      <c r="Y79" s="65"/>
      <c r="Z79" s="65"/>
      <c r="AA79" s="65"/>
      <c r="AB79" s="65"/>
      <c r="AC79" s="65"/>
      <c r="AE79" s="17"/>
      <c r="AF79" s="17"/>
      <c r="AG79" s="17"/>
      <c r="AH79" s="53"/>
    </row>
    <row r="80" spans="1:34" s="16" customFormat="1">
      <c r="A80" s="324"/>
      <c r="B80" s="75"/>
      <c r="C80" s="1193"/>
      <c r="D80" s="72" t="s">
        <v>375</v>
      </c>
      <c r="E80" s="25">
        <v>7</v>
      </c>
      <c r="F80" s="25">
        <v>2</v>
      </c>
      <c r="G80" s="25">
        <v>1050</v>
      </c>
      <c r="H80" s="25">
        <v>105</v>
      </c>
      <c r="I80" s="25"/>
      <c r="J80" s="25"/>
      <c r="K80" s="25"/>
      <c r="L80" s="25"/>
      <c r="M80" s="25"/>
      <c r="N80" s="75">
        <f>1.8 * MIN(6, MAX(E80,F80)) + 0.45 * MIN(6, MIN(E80,F80)) + IF(E80&gt;6, (E80-6)*0.2) + IF(F80&gt;6, (F80-6)*0.2)</f>
        <v>11.9</v>
      </c>
      <c r="O80" s="72"/>
      <c r="P80" s="75"/>
      <c r="Q80" s="779"/>
      <c r="R80" s="102"/>
      <c r="S80" s="102"/>
      <c r="T80" s="102"/>
      <c r="U80" s="102"/>
      <c r="V80" s="102"/>
      <c r="W80" s="102"/>
      <c r="X80" s="102"/>
      <c r="Y80" s="102"/>
      <c r="Z80" s="102"/>
      <c r="AA80" s="102"/>
      <c r="AB80" s="102"/>
      <c r="AC80" s="102"/>
      <c r="AD80" s="25"/>
      <c r="AE80" s="1158"/>
      <c r="AF80" s="1158"/>
      <c r="AG80" s="1158"/>
      <c r="AH80" s="75"/>
    </row>
    <row r="81" spans="1:34" s="16" customFormat="1">
      <c r="A81" s="325" t="s">
        <v>579</v>
      </c>
      <c r="B81" s="74" t="s">
        <v>30</v>
      </c>
      <c r="C81" s="301" t="s">
        <v>63</v>
      </c>
      <c r="D81" s="16" t="s">
        <v>489</v>
      </c>
      <c r="E81" s="16">
        <v>3</v>
      </c>
      <c r="G81" s="16">
        <v>300</v>
      </c>
      <c r="H81" s="16">
        <v>0</v>
      </c>
      <c r="I81"/>
      <c r="J81"/>
      <c r="K81"/>
      <c r="L81"/>
      <c r="M81"/>
      <c r="N81" s="16">
        <v>5</v>
      </c>
      <c r="O81" s="70"/>
      <c r="P81" s="74"/>
      <c r="Q81" s="778"/>
      <c r="R81" s="100"/>
      <c r="S81" s="100"/>
      <c r="T81" s="100"/>
      <c r="U81" s="100"/>
      <c r="V81" s="100">
        <v>0.1</v>
      </c>
      <c r="W81" s="100"/>
      <c r="X81" s="100"/>
      <c r="Y81" s="100">
        <v>-0.2</v>
      </c>
      <c r="Z81" s="100"/>
      <c r="AA81" s="100"/>
      <c r="AB81" s="100"/>
      <c r="AC81" s="100"/>
      <c r="AE81" s="17"/>
      <c r="AF81" s="17"/>
      <c r="AG81" s="17"/>
      <c r="AH81" s="74"/>
    </row>
    <row r="82" spans="1:34" s="16" customFormat="1">
      <c r="A82" s="323"/>
      <c r="B82" s="53"/>
      <c r="C82" s="769"/>
      <c r="D82" s="16" t="s">
        <v>490</v>
      </c>
      <c r="F82" s="16">
        <v>3</v>
      </c>
      <c r="G82" s="16">
        <v>325</v>
      </c>
      <c r="H82" s="16">
        <v>25</v>
      </c>
      <c r="I82"/>
      <c r="J82"/>
      <c r="K82"/>
      <c r="L82"/>
      <c r="M82"/>
      <c r="N82" s="16">
        <v>5</v>
      </c>
      <c r="O82" s="52"/>
      <c r="P82" s="53"/>
      <c r="Q82" s="751"/>
      <c r="R82" s="65"/>
      <c r="S82" s="65"/>
      <c r="T82" s="65"/>
      <c r="U82" s="65"/>
      <c r="V82" s="65"/>
      <c r="W82" s="65"/>
      <c r="X82" s="65"/>
      <c r="Y82" s="65"/>
      <c r="Z82" s="65"/>
      <c r="AA82" s="65"/>
      <c r="AB82" s="65"/>
      <c r="AC82" s="65"/>
      <c r="AE82" s="17"/>
      <c r="AF82" s="17"/>
      <c r="AG82" s="17"/>
      <c r="AH82" s="53"/>
    </row>
    <row r="83" spans="1:34" s="16" customFormat="1">
      <c r="A83" s="323"/>
      <c r="B83" s="53"/>
      <c r="C83" s="769"/>
      <c r="D83" s="16" t="s">
        <v>491</v>
      </c>
      <c r="E83" s="16">
        <v>0</v>
      </c>
      <c r="F83" s="16">
        <v>2</v>
      </c>
      <c r="G83" s="16">
        <v>975</v>
      </c>
      <c r="H83" s="16">
        <v>100</v>
      </c>
      <c r="I83"/>
      <c r="J83"/>
      <c r="K83"/>
      <c r="L83"/>
      <c r="M83"/>
      <c r="N83">
        <f>1.8 * MIN(6, MAX(E83,F83)) + 0.45 * MIN(6, MIN(E83,F83)) + IF(E83&gt;6, (E83-6)*0.2) + IF(F83&gt;6, (F83-6)*0.2)</f>
        <v>3.6</v>
      </c>
      <c r="O83" s="52"/>
      <c r="P83" s="53"/>
      <c r="Q83" s="751"/>
      <c r="R83" s="65"/>
      <c r="S83" s="65"/>
      <c r="T83" s="65"/>
      <c r="U83" s="65"/>
      <c r="V83" s="65"/>
      <c r="W83" s="65"/>
      <c r="X83" s="65"/>
      <c r="Y83" s="65"/>
      <c r="Z83" s="65"/>
      <c r="AA83" s="65"/>
      <c r="AB83" s="65"/>
      <c r="AC83" s="65"/>
      <c r="AE83" s="17"/>
      <c r="AF83" s="17"/>
      <c r="AG83" s="17"/>
      <c r="AH83" s="53"/>
    </row>
    <row r="84" spans="1:34" s="16" customFormat="1">
      <c r="A84" s="323"/>
      <c r="B84" s="53"/>
      <c r="C84" s="770"/>
      <c r="D84" s="16" t="s">
        <v>492</v>
      </c>
      <c r="E84" s="16">
        <v>5</v>
      </c>
      <c r="F84" s="16">
        <v>2</v>
      </c>
      <c r="G84" s="16">
        <v>1150</v>
      </c>
      <c r="H84" s="16">
        <v>0</v>
      </c>
      <c r="I84"/>
      <c r="J84"/>
      <c r="K84"/>
      <c r="L84"/>
      <c r="M84"/>
      <c r="N84" s="53">
        <f>1.8 * MIN(6, MAX(E84,F84)) + 0.45 * MIN(6, MIN(E84,F84)) + IF(E84&gt;6, (E84-6)*0.2) + IF(F84&gt;6, (F84-6)*0.2)</f>
        <v>9.9</v>
      </c>
      <c r="O84" s="52"/>
      <c r="P84" s="53"/>
      <c r="Q84" s="751"/>
      <c r="R84" s="65"/>
      <c r="S84" s="65"/>
      <c r="T84" s="65"/>
      <c r="U84" s="65"/>
      <c r="V84" s="65"/>
      <c r="W84" s="65"/>
      <c r="X84" s="65"/>
      <c r="Y84" s="65"/>
      <c r="Z84" s="65"/>
      <c r="AA84" s="65"/>
      <c r="AB84" s="65"/>
      <c r="AC84" s="65"/>
      <c r="AE84" s="17"/>
      <c r="AF84" s="17"/>
      <c r="AG84" s="17"/>
      <c r="AH84" s="53"/>
    </row>
    <row r="85" spans="1:34">
      <c r="A85" s="325" t="s">
        <v>604</v>
      </c>
      <c r="B85" s="74" t="s">
        <v>101</v>
      </c>
      <c r="C85" s="15" t="s">
        <v>60</v>
      </c>
      <c r="D85" s="70" t="s">
        <v>605</v>
      </c>
      <c r="E85" s="15">
        <v>1</v>
      </c>
      <c r="F85" s="15">
        <v>0</v>
      </c>
      <c r="G85" s="15">
        <v>50</v>
      </c>
      <c r="H85" s="15"/>
      <c r="I85" s="15"/>
      <c r="J85" s="15"/>
      <c r="K85" s="15"/>
      <c r="L85" s="15"/>
      <c r="M85" s="15"/>
      <c r="N85" s="74">
        <v>5</v>
      </c>
      <c r="O85" s="15"/>
      <c r="P85" s="15"/>
      <c r="Q85" s="445">
        <v>1.5</v>
      </c>
      <c r="R85" s="100">
        <v>1</v>
      </c>
      <c r="S85" s="100">
        <v>-0.15</v>
      </c>
      <c r="T85" s="100"/>
      <c r="U85" s="100"/>
      <c r="V85" s="100"/>
      <c r="W85" s="100"/>
      <c r="X85" s="100"/>
      <c r="Y85" s="100">
        <v>-0.5</v>
      </c>
      <c r="Z85" s="100"/>
      <c r="AA85" s="100"/>
      <c r="AB85" s="100"/>
      <c r="AC85" s="100"/>
      <c r="AD85" s="15"/>
      <c r="AE85" s="1191"/>
      <c r="AF85" s="1191">
        <v>-0.2</v>
      </c>
      <c r="AG85" s="1191">
        <v>0.1</v>
      </c>
      <c r="AH85" s="101"/>
    </row>
    <row r="86" spans="1:34">
      <c r="B86" s="53"/>
      <c r="C86" s="16"/>
      <c r="D86" s="52" t="s">
        <v>606</v>
      </c>
      <c r="E86" s="16">
        <v>0</v>
      </c>
      <c r="F86" s="16">
        <v>2</v>
      </c>
      <c r="G86" s="16">
        <v>150</v>
      </c>
      <c r="H86" s="107"/>
      <c r="I86" s="107"/>
      <c r="J86" s="107"/>
      <c r="K86" s="107"/>
      <c r="L86" s="107"/>
      <c r="M86" s="107"/>
      <c r="N86" s="53">
        <v>5</v>
      </c>
      <c r="O86" s="16"/>
      <c r="P86" s="16"/>
      <c r="Q86" s="776"/>
      <c r="R86" s="65"/>
      <c r="S86" s="65"/>
      <c r="T86" s="65"/>
      <c r="U86" s="65"/>
      <c r="V86" s="65"/>
      <c r="W86" s="65"/>
      <c r="X86" s="65"/>
      <c r="Y86" s="65"/>
      <c r="Z86" s="65"/>
      <c r="AA86" s="65"/>
      <c r="AB86" s="65"/>
      <c r="AC86" s="65"/>
      <c r="AD86" s="16"/>
      <c r="AE86" s="17"/>
      <c r="AF86" s="17"/>
      <c r="AG86" s="17"/>
      <c r="AH86" s="53"/>
    </row>
    <row r="87" spans="1:34">
      <c r="B87" s="53"/>
      <c r="C87" s="16"/>
      <c r="D87" s="52" t="s">
        <v>607</v>
      </c>
      <c r="E87" s="16">
        <v>0</v>
      </c>
      <c r="F87" s="16">
        <v>3</v>
      </c>
      <c r="G87" s="16">
        <v>320</v>
      </c>
      <c r="H87" s="107"/>
      <c r="I87" s="107"/>
      <c r="J87" s="107"/>
      <c r="K87" s="107"/>
      <c r="L87" s="107"/>
      <c r="M87" s="107"/>
      <c r="N87" s="53">
        <f>1.8 * MIN(6, MAX(E87,F87)) + 0.45 * MIN(6, MIN(E87,F87)) + IF(E87&gt;6, (E87-6)*0.2) + IF(F87&gt;6, (F87-6)*0.2)</f>
        <v>5.4</v>
      </c>
      <c r="O87" s="16"/>
      <c r="P87" s="16"/>
      <c r="Q87" s="776"/>
      <c r="R87" s="65"/>
      <c r="S87" s="65"/>
      <c r="T87" s="65"/>
      <c r="U87" s="65"/>
      <c r="V87" s="65"/>
      <c r="W87" s="65"/>
      <c r="X87" s="65"/>
      <c r="Y87" s="65"/>
      <c r="Z87" s="65"/>
      <c r="AA87" s="65"/>
      <c r="AB87" s="65"/>
      <c r="AC87" s="65"/>
      <c r="AD87" s="16"/>
      <c r="AE87" s="17"/>
      <c r="AF87" s="17"/>
      <c r="AG87" s="17"/>
      <c r="AH87" s="53"/>
    </row>
    <row r="88" spans="1:34">
      <c r="A88" s="324"/>
      <c r="B88" s="75"/>
      <c r="C88" s="25"/>
      <c r="D88" s="72" t="s">
        <v>608</v>
      </c>
      <c r="E88" s="25">
        <v>2</v>
      </c>
      <c r="F88" s="25">
        <v>2</v>
      </c>
      <c r="G88" s="25">
        <v>500</v>
      </c>
      <c r="H88" s="25"/>
      <c r="I88" s="16"/>
      <c r="J88" s="16"/>
      <c r="K88" s="16"/>
      <c r="L88" s="16"/>
      <c r="M88" s="16"/>
      <c r="N88" s="53">
        <f>1.8 * MIN(6, MAX(E88,F88)) + 0.45 * MIN(6, MIN(E88,F88)) + IF(E88&gt;6, (E88-6)*0.2) + IF(F88&gt;6, (F88-6)*0.2)</f>
        <v>4.5</v>
      </c>
      <c r="O88" s="25"/>
      <c r="P88" s="25"/>
      <c r="Q88" s="777"/>
      <c r="R88" s="102"/>
      <c r="S88" s="102"/>
      <c r="T88" s="102"/>
      <c r="U88" s="102"/>
      <c r="V88" s="102"/>
      <c r="W88" s="102"/>
      <c r="X88" s="102"/>
      <c r="Y88" s="102"/>
      <c r="Z88" s="102"/>
      <c r="AA88" s="102"/>
      <c r="AB88" s="102"/>
      <c r="AC88" s="102"/>
      <c r="AD88" s="1353"/>
      <c r="AE88" s="1158"/>
      <c r="AF88" s="1158"/>
      <c r="AG88" s="1158"/>
      <c r="AH88" s="75"/>
    </row>
    <row r="89" spans="1:34">
      <c r="A89" s="325" t="s">
        <v>609</v>
      </c>
      <c r="B89" s="74" t="s">
        <v>101</v>
      </c>
      <c r="C89" s="15" t="s">
        <v>65</v>
      </c>
      <c r="D89" s="70" t="s">
        <v>610</v>
      </c>
      <c r="E89" s="15">
        <v>3</v>
      </c>
      <c r="F89" s="15">
        <v>3</v>
      </c>
      <c r="G89" s="15">
        <v>350</v>
      </c>
      <c r="H89" s="15">
        <v>10</v>
      </c>
      <c r="I89" s="15"/>
      <c r="J89" s="15"/>
      <c r="K89" s="15"/>
      <c r="L89" s="15"/>
      <c r="M89" s="15"/>
      <c r="N89" s="74">
        <v>5</v>
      </c>
      <c r="O89" s="15"/>
      <c r="P89" s="15"/>
      <c r="Q89" s="445">
        <v>-0.1</v>
      </c>
      <c r="R89" s="100"/>
      <c r="S89" s="100">
        <v>0.05</v>
      </c>
      <c r="T89" s="100"/>
      <c r="U89" s="100"/>
      <c r="V89" s="100"/>
      <c r="W89" s="100"/>
      <c r="X89" s="100"/>
      <c r="Y89" s="100"/>
      <c r="Z89" s="100"/>
      <c r="AA89" s="100"/>
      <c r="AB89" s="100"/>
      <c r="AC89" s="100"/>
      <c r="AD89" s="15"/>
      <c r="AE89" s="1191"/>
      <c r="AF89" s="1191"/>
      <c r="AG89" s="1191"/>
      <c r="AH89" s="101">
        <v>0.25</v>
      </c>
    </row>
    <row r="90" spans="1:34">
      <c r="B90" s="53"/>
      <c r="C90" s="16"/>
      <c r="D90" s="52" t="s">
        <v>611</v>
      </c>
      <c r="E90" s="107">
        <v>5</v>
      </c>
      <c r="F90" s="107">
        <v>4</v>
      </c>
      <c r="G90" s="107">
        <v>800</v>
      </c>
      <c r="H90" s="107">
        <v>25</v>
      </c>
      <c r="I90" s="16"/>
      <c r="J90" s="16"/>
      <c r="K90" s="16"/>
      <c r="L90" s="16"/>
      <c r="M90" s="16"/>
      <c r="N90" s="53">
        <v>5</v>
      </c>
      <c r="O90" s="16"/>
      <c r="P90" s="16"/>
      <c r="Q90" s="776"/>
      <c r="R90" s="65"/>
      <c r="S90" s="65"/>
      <c r="T90" s="65"/>
      <c r="U90" s="65"/>
      <c r="V90" s="65"/>
      <c r="W90" s="65"/>
      <c r="X90" s="65"/>
      <c r="Y90" s="65"/>
      <c r="Z90" s="65"/>
      <c r="AA90" s="65"/>
      <c r="AB90" s="65"/>
      <c r="AC90" s="65"/>
      <c r="AD90" s="16"/>
      <c r="AE90" s="17"/>
      <c r="AF90" s="17"/>
      <c r="AG90" s="17"/>
      <c r="AH90" s="53"/>
    </row>
    <row r="91" spans="1:34">
      <c r="B91" s="53"/>
      <c r="C91" s="16"/>
      <c r="D91" s="52" t="s">
        <v>612</v>
      </c>
      <c r="E91" s="107">
        <v>0</v>
      </c>
      <c r="F91" s="107">
        <v>120</v>
      </c>
      <c r="G91" s="107">
        <v>5000</v>
      </c>
      <c r="H91" s="107">
        <v>18000</v>
      </c>
      <c r="I91" s="107">
        <v>4500</v>
      </c>
      <c r="J91" s="107"/>
      <c r="K91" s="16"/>
      <c r="L91" s="16"/>
      <c r="M91" s="107">
        <v>1</v>
      </c>
      <c r="N91" s="53">
        <f>1.8 * MIN(6, MAX(E91,F91)) + 0.45 * MIN(6, MIN(E91,F91)) + IF(E91&gt;6, (E91-6)*0.2) + IF(F91&gt;6, (F91-6)*0.2)</f>
        <v>33.6</v>
      </c>
      <c r="O91" s="16"/>
      <c r="P91" s="16"/>
      <c r="Q91" s="776"/>
      <c r="R91" s="65"/>
      <c r="S91" s="65"/>
      <c r="T91" s="65"/>
      <c r="U91" s="65"/>
      <c r="V91" s="65"/>
      <c r="W91" s="65"/>
      <c r="X91" s="65"/>
      <c r="Y91" s="65"/>
      <c r="Z91" s="65"/>
      <c r="AA91" s="65"/>
      <c r="AB91" s="65"/>
      <c r="AC91" s="65"/>
      <c r="AD91" s="16"/>
      <c r="AE91" s="17"/>
      <c r="AF91" s="17"/>
      <c r="AG91" s="17"/>
      <c r="AH91" s="53"/>
    </row>
    <row r="92" spans="1:34">
      <c r="B92" s="53"/>
      <c r="C92" s="16"/>
      <c r="D92" s="52" t="s">
        <v>613</v>
      </c>
      <c r="E92" s="107">
        <v>320</v>
      </c>
      <c r="F92" s="107">
        <v>40</v>
      </c>
      <c r="G92" s="107">
        <v>45000</v>
      </c>
      <c r="H92" s="107">
        <v>11000</v>
      </c>
      <c r="I92" s="107">
        <v>32500</v>
      </c>
      <c r="J92" s="107"/>
      <c r="K92" s="16"/>
      <c r="L92" s="16"/>
      <c r="M92" s="107">
        <v>1</v>
      </c>
      <c r="N92" s="53">
        <f>1.8 * MIN(6, MAX(E92,F92)) + 0.45 * MIN(6, MIN(E92,F92)) + IF(E92&gt;6, (E92-6)*0.2) + IF(F92&gt;6, (F92-6)*0.2)</f>
        <v>83.100000000000009</v>
      </c>
      <c r="O92" s="16"/>
      <c r="P92" s="16"/>
      <c r="Q92" s="777"/>
      <c r="R92" s="102"/>
      <c r="S92" s="102"/>
      <c r="T92" s="102"/>
      <c r="U92" s="102"/>
      <c r="V92" s="102"/>
      <c r="W92" s="102"/>
      <c r="X92" s="102"/>
      <c r="Y92" s="102"/>
      <c r="Z92" s="102"/>
      <c r="AA92" s="102"/>
      <c r="AB92" s="102"/>
      <c r="AC92" s="102"/>
      <c r="AD92" s="25"/>
      <c r="AE92" s="1158"/>
      <c r="AF92" s="1158"/>
      <c r="AG92" s="1158"/>
      <c r="AH92" s="75"/>
    </row>
    <row r="93" spans="1:34">
      <c r="A93" s="325" t="s">
        <v>614</v>
      </c>
      <c r="B93" s="74" t="s">
        <v>101</v>
      </c>
      <c r="C93" s="15" t="s">
        <v>60</v>
      </c>
      <c r="D93" s="70" t="s">
        <v>615</v>
      </c>
      <c r="E93" s="15">
        <v>3</v>
      </c>
      <c r="F93" s="15">
        <v>0</v>
      </c>
      <c r="G93" s="15">
        <v>265</v>
      </c>
      <c r="H93" s="15">
        <v>25</v>
      </c>
      <c r="I93" s="15"/>
      <c r="J93" s="15"/>
      <c r="K93" s="15"/>
      <c r="L93" s="15"/>
      <c r="M93" s="15"/>
      <c r="N93" s="74">
        <v>5</v>
      </c>
      <c r="O93" s="15"/>
      <c r="P93" s="15"/>
      <c r="Q93" s="776"/>
      <c r="R93" s="65"/>
      <c r="S93" s="65"/>
      <c r="T93" s="65"/>
      <c r="U93" s="65"/>
      <c r="V93" s="65"/>
      <c r="W93" s="65"/>
      <c r="X93" s="65"/>
      <c r="Y93" s="65"/>
      <c r="Z93" s="65"/>
      <c r="AA93" s="65"/>
      <c r="AB93" s="65"/>
      <c r="AC93" s="65"/>
      <c r="AD93" s="16"/>
      <c r="AE93" s="17"/>
      <c r="AF93" s="17"/>
      <c r="AG93" s="17"/>
      <c r="AH93" s="53"/>
    </row>
    <row r="94" spans="1:34">
      <c r="B94" s="53"/>
      <c r="C94" s="16"/>
      <c r="D94" s="52" t="s">
        <v>616</v>
      </c>
      <c r="E94" s="107">
        <v>0</v>
      </c>
      <c r="F94" s="107">
        <v>4</v>
      </c>
      <c r="G94" s="107">
        <v>325</v>
      </c>
      <c r="H94" s="107">
        <v>25</v>
      </c>
      <c r="I94" s="16"/>
      <c r="J94" s="16"/>
      <c r="K94" s="16"/>
      <c r="L94" s="16"/>
      <c r="M94" s="16"/>
      <c r="N94" s="53">
        <v>5</v>
      </c>
      <c r="O94" s="16"/>
      <c r="P94" s="16"/>
      <c r="Q94" s="776"/>
      <c r="R94" s="65"/>
      <c r="S94" s="65"/>
      <c r="T94" s="65"/>
      <c r="U94" s="65"/>
      <c r="V94" s="65"/>
      <c r="W94" s="65"/>
      <c r="X94" s="65"/>
      <c r="Y94" s="65"/>
      <c r="Z94" s="65"/>
      <c r="AA94" s="65"/>
      <c r="AB94" s="65"/>
      <c r="AC94" s="65"/>
      <c r="AD94" s="16"/>
      <c r="AE94" s="17"/>
      <c r="AF94" s="17"/>
      <c r="AG94" s="17"/>
      <c r="AH94" s="53"/>
    </row>
    <row r="95" spans="1:34">
      <c r="B95" s="53"/>
      <c r="C95" s="16"/>
      <c r="D95" s="52" t="s">
        <v>617</v>
      </c>
      <c r="E95" s="107">
        <v>1</v>
      </c>
      <c r="F95" s="107">
        <v>3</v>
      </c>
      <c r="G95" s="107">
        <v>1000</v>
      </c>
      <c r="H95" s="16"/>
      <c r="I95" s="16"/>
      <c r="J95" s="16"/>
      <c r="K95" s="16"/>
      <c r="L95" s="16"/>
      <c r="M95" s="16"/>
      <c r="N95" s="53">
        <f>1.8 * MIN(6, MAX(E95,F95)) + 0.45 * MIN(6, MIN(E95,F95)) + IF(E95&gt;6, (E95-6)*0.2) + IF(F95&gt;6, (F95-6)*0.2)</f>
        <v>5.8500000000000005</v>
      </c>
      <c r="O95" s="16"/>
      <c r="P95" s="16"/>
      <c r="Q95" s="776"/>
      <c r="R95" s="65"/>
      <c r="S95" s="65"/>
      <c r="T95" s="65"/>
      <c r="U95" s="65"/>
      <c r="V95" s="65"/>
      <c r="W95" s="65"/>
      <c r="X95" s="65"/>
      <c r="Y95" s="65"/>
      <c r="Z95" s="65"/>
      <c r="AA95" s="65"/>
      <c r="AB95" s="65"/>
      <c r="AC95" s="65"/>
      <c r="AD95" s="16"/>
      <c r="AE95" s="17"/>
      <c r="AF95" s="17"/>
      <c r="AG95" s="17"/>
      <c r="AH95" s="53"/>
    </row>
    <row r="96" spans="1:34">
      <c r="A96" s="324"/>
      <c r="B96" s="75"/>
      <c r="C96" s="25"/>
      <c r="D96" s="52" t="s">
        <v>618</v>
      </c>
      <c r="E96" s="16">
        <v>4</v>
      </c>
      <c r="F96" s="16">
        <v>1</v>
      </c>
      <c r="G96" s="16">
        <v>1200</v>
      </c>
      <c r="H96" s="16">
        <v>90</v>
      </c>
      <c r="I96" s="16"/>
      <c r="J96" s="16"/>
      <c r="K96" s="16"/>
      <c r="L96" s="16"/>
      <c r="M96" s="16"/>
      <c r="N96" s="53">
        <f>1.8 * MIN(6, MAX(E96,F96)) + 0.45 * MIN(6, MIN(E96,F96)) + IF(E96&gt;6, (E96-6)*0.2) + IF(F96&gt;6, (F96-6)*0.2)</f>
        <v>7.65</v>
      </c>
      <c r="O96" s="25"/>
      <c r="P96" s="25"/>
      <c r="Q96" s="777"/>
      <c r="R96" s="102"/>
      <c r="S96" s="102"/>
      <c r="T96" s="102"/>
      <c r="U96" s="102"/>
      <c r="V96" s="102"/>
      <c r="W96" s="102"/>
      <c r="X96" s="102"/>
      <c r="Y96" s="102"/>
      <c r="Z96" s="102"/>
      <c r="AA96" s="102"/>
      <c r="AB96" s="102"/>
      <c r="AC96" s="102"/>
      <c r="AD96" s="25"/>
      <c r="AE96" s="1158"/>
      <c r="AF96" s="1158"/>
      <c r="AG96" s="1158"/>
      <c r="AH96" s="75"/>
    </row>
    <row r="97" spans="1:34">
      <c r="A97" s="325" t="s">
        <v>619</v>
      </c>
      <c r="B97" s="74" t="s">
        <v>101</v>
      </c>
      <c r="C97" s="15" t="s">
        <v>65</v>
      </c>
      <c r="D97" s="70" t="s">
        <v>620</v>
      </c>
      <c r="E97" s="15">
        <v>0</v>
      </c>
      <c r="F97" s="15">
        <v>0</v>
      </c>
      <c r="G97" s="15">
        <v>250</v>
      </c>
      <c r="H97" s="15"/>
      <c r="I97" s="15"/>
      <c r="J97" s="15"/>
      <c r="K97" s="15">
        <v>25</v>
      </c>
      <c r="L97" s="15"/>
      <c r="M97" s="15"/>
      <c r="N97" s="74">
        <v>5</v>
      </c>
      <c r="O97" s="15"/>
      <c r="P97" s="15"/>
      <c r="Q97" s="776">
        <v>0.05</v>
      </c>
      <c r="R97" s="65"/>
      <c r="S97" s="65">
        <v>-0.1</v>
      </c>
      <c r="T97" s="65"/>
      <c r="U97" s="65"/>
      <c r="V97" s="65">
        <v>0.1</v>
      </c>
      <c r="W97" s="65"/>
      <c r="X97" s="65"/>
      <c r="Y97" s="65">
        <v>-0.5</v>
      </c>
      <c r="Z97" s="65"/>
      <c r="AA97" s="65"/>
      <c r="AB97" s="65"/>
      <c r="AC97" s="65"/>
      <c r="AD97" s="65">
        <v>-0.1</v>
      </c>
      <c r="AE97" s="17"/>
      <c r="AF97" s="17"/>
      <c r="AG97" s="17"/>
      <c r="AH97" s="53"/>
    </row>
    <row r="98" spans="1:34">
      <c r="B98" s="53"/>
      <c r="C98" s="16"/>
      <c r="D98" s="52" t="s">
        <v>621</v>
      </c>
      <c r="E98" s="107">
        <v>0</v>
      </c>
      <c r="F98" s="107">
        <v>4</v>
      </c>
      <c r="G98" s="16"/>
      <c r="H98" s="16"/>
      <c r="I98" s="16"/>
      <c r="J98" s="16">
        <v>1</v>
      </c>
      <c r="K98" s="16">
        <v>50</v>
      </c>
      <c r="L98" s="16"/>
      <c r="M98" s="16">
        <v>1</v>
      </c>
      <c r="N98" s="53">
        <v>5</v>
      </c>
      <c r="O98" s="16"/>
      <c r="P98" s="16"/>
      <c r="Q98" s="776"/>
      <c r="R98" s="65"/>
      <c r="S98" s="65"/>
      <c r="T98" s="65"/>
      <c r="U98" s="65"/>
      <c r="V98" s="65"/>
      <c r="W98" s="65"/>
      <c r="X98" s="65"/>
      <c r="Y98" s="65"/>
      <c r="Z98" s="65"/>
      <c r="AA98" s="65"/>
      <c r="AB98" s="65"/>
      <c r="AC98" s="65"/>
      <c r="AD98" s="16"/>
      <c r="AE98" s="17"/>
      <c r="AF98" s="17"/>
      <c r="AG98" s="17"/>
      <c r="AH98" s="53"/>
    </row>
    <row r="99" spans="1:34">
      <c r="B99" s="53"/>
      <c r="C99" s="16"/>
      <c r="D99" s="52" t="s">
        <v>622</v>
      </c>
      <c r="E99" s="107">
        <v>4</v>
      </c>
      <c r="F99" s="107">
        <v>0</v>
      </c>
      <c r="G99" s="16"/>
      <c r="H99" s="16"/>
      <c r="I99" s="16"/>
      <c r="J99" s="16">
        <v>1</v>
      </c>
      <c r="K99" s="16">
        <v>50</v>
      </c>
      <c r="L99" s="16"/>
      <c r="M99" s="16">
        <v>1</v>
      </c>
      <c r="N99" s="53">
        <f>1.8 * MIN(6, MAX(E99,F99)) + 0.45 * MIN(6, MIN(E99,F99)) + IF(E99&gt;6, (E99-6)*0.2) + IF(F99&gt;6, (F99-6)*0.2)</f>
        <v>7.2</v>
      </c>
      <c r="O99" s="16"/>
      <c r="P99" s="16"/>
      <c r="Q99" s="776"/>
      <c r="R99" s="65"/>
      <c r="S99" s="65"/>
      <c r="T99" s="65"/>
      <c r="U99" s="65"/>
      <c r="V99" s="65"/>
      <c r="W99" s="65"/>
      <c r="X99" s="65"/>
      <c r="Y99" s="65"/>
      <c r="Z99" s="65"/>
      <c r="AA99" s="65"/>
      <c r="AB99" s="65"/>
      <c r="AC99" s="65"/>
      <c r="AD99" s="16"/>
      <c r="AE99" s="17"/>
      <c r="AF99" s="17"/>
      <c r="AG99" s="17"/>
      <c r="AH99" s="53"/>
    </row>
    <row r="100" spans="1:34">
      <c r="A100" s="324"/>
      <c r="B100" s="75"/>
      <c r="C100" s="25"/>
      <c r="D100" s="72" t="s">
        <v>623</v>
      </c>
      <c r="E100" s="25">
        <v>8</v>
      </c>
      <c r="F100" s="25">
        <v>8</v>
      </c>
      <c r="G100" s="25"/>
      <c r="H100" s="25"/>
      <c r="I100" s="25"/>
      <c r="J100" s="25">
        <v>4</v>
      </c>
      <c r="K100" s="25">
        <v>100</v>
      </c>
      <c r="L100" s="25"/>
      <c r="M100" s="25">
        <v>2</v>
      </c>
      <c r="N100" s="75">
        <f>1.8 * MIN(6, MAX(E100,F100)) + 0.45 * MIN(6, MIN(E100,F100)) + IF(E100&gt;6, (E100-6)*0.2) + IF(F100&gt;6, (F100-6)*0.2)</f>
        <v>14.3</v>
      </c>
      <c r="O100" s="25"/>
      <c r="P100" s="25"/>
      <c r="Q100" s="777"/>
      <c r="R100" s="102"/>
      <c r="S100" s="102"/>
      <c r="T100" s="102"/>
      <c r="U100" s="102"/>
      <c r="V100" s="102"/>
      <c r="W100" s="102"/>
      <c r="X100" s="102"/>
      <c r="Y100" s="102"/>
      <c r="Z100" s="102"/>
      <c r="AA100" s="102"/>
      <c r="AB100" s="102"/>
      <c r="AC100" s="102"/>
      <c r="AD100" s="25"/>
      <c r="AE100" s="1158"/>
      <c r="AF100" s="1158"/>
      <c r="AG100" s="1158"/>
      <c r="AH100" s="75"/>
    </row>
    <row r="101" spans="1:34">
      <c r="A101" s="325" t="s">
        <v>624</v>
      </c>
      <c r="B101" s="74" t="s">
        <v>101</v>
      </c>
      <c r="C101" s="301" t="s">
        <v>259</v>
      </c>
      <c r="D101" s="15" t="s">
        <v>625</v>
      </c>
      <c r="E101" s="15">
        <v>4</v>
      </c>
      <c r="F101" s="15">
        <v>0</v>
      </c>
      <c r="G101" s="15">
        <v>350</v>
      </c>
      <c r="H101" s="15">
        <v>10</v>
      </c>
      <c r="I101" s="15"/>
      <c r="J101" s="15"/>
      <c r="K101" s="15"/>
      <c r="L101" s="15"/>
      <c r="M101" s="15"/>
      <c r="N101" s="74">
        <v>5</v>
      </c>
      <c r="O101" s="15"/>
      <c r="P101" s="15"/>
      <c r="Q101" s="445"/>
      <c r="R101" s="100"/>
      <c r="S101" s="100"/>
      <c r="T101" s="100"/>
      <c r="U101" s="100">
        <v>0.1</v>
      </c>
      <c r="V101" s="100"/>
      <c r="W101" s="100"/>
      <c r="X101" s="100"/>
      <c r="Y101" s="100"/>
      <c r="Z101" s="100"/>
      <c r="AA101" s="100"/>
      <c r="AB101" s="100"/>
      <c r="AC101" s="100"/>
      <c r="AD101" s="15"/>
      <c r="AE101" s="1191"/>
      <c r="AF101" s="1191"/>
      <c r="AG101" s="1191"/>
      <c r="AH101" s="101">
        <v>0.1</v>
      </c>
    </row>
    <row r="102" spans="1:34">
      <c r="B102" s="53"/>
      <c r="C102" s="63"/>
      <c r="D102" s="16" t="s">
        <v>626</v>
      </c>
      <c r="E102" s="107">
        <v>0</v>
      </c>
      <c r="F102" s="107">
        <v>3</v>
      </c>
      <c r="G102" s="107">
        <v>350</v>
      </c>
      <c r="H102" s="107">
        <v>50</v>
      </c>
      <c r="I102" s="16"/>
      <c r="J102" s="16"/>
      <c r="K102" s="107">
        <v>10</v>
      </c>
      <c r="L102" s="107"/>
      <c r="M102" s="16"/>
      <c r="N102" s="53">
        <v>5</v>
      </c>
      <c r="O102" s="16"/>
      <c r="P102" s="16"/>
      <c r="Q102" s="776"/>
      <c r="R102" s="65"/>
      <c r="S102" s="65"/>
      <c r="T102" s="65"/>
      <c r="U102" s="65"/>
      <c r="V102" s="65"/>
      <c r="W102" s="65"/>
      <c r="X102" s="65"/>
      <c r="Y102" s="65"/>
      <c r="Z102" s="65"/>
      <c r="AA102" s="65"/>
      <c r="AB102" s="65"/>
      <c r="AC102" s="65"/>
      <c r="AD102" s="16"/>
      <c r="AE102" s="17"/>
      <c r="AF102" s="17"/>
      <c r="AG102" s="17"/>
      <c r="AH102" s="53"/>
    </row>
    <row r="103" spans="1:34">
      <c r="B103" s="53"/>
      <c r="C103" s="63"/>
      <c r="D103" s="1354" t="s">
        <v>627</v>
      </c>
      <c r="E103" s="107">
        <v>4</v>
      </c>
      <c r="F103" s="107">
        <v>6</v>
      </c>
      <c r="G103" s="107">
        <v>1000</v>
      </c>
      <c r="H103" s="107">
        <v>200</v>
      </c>
      <c r="I103" s="16"/>
      <c r="J103" s="16"/>
      <c r="K103" s="107">
        <v>25</v>
      </c>
      <c r="L103" s="107"/>
      <c r="M103" s="16"/>
      <c r="N103" s="53">
        <f>1.8 * MIN(6, MAX(E103,F103)) + 0.45 * MIN(6, MIN(E103,F103)) + IF(E103&gt;6, (E103-6)*0.2) + IF(F103&gt;6, (F103-6)*0.2)</f>
        <v>12.600000000000001</v>
      </c>
      <c r="O103" s="16"/>
      <c r="P103" s="16"/>
      <c r="Q103" s="776"/>
      <c r="R103" s="65"/>
      <c r="S103" s="65"/>
      <c r="T103" s="65"/>
      <c r="U103" s="65"/>
      <c r="V103" s="65"/>
      <c r="W103" s="65"/>
      <c r="X103" s="65"/>
      <c r="Y103" s="65"/>
      <c r="Z103" s="65"/>
      <c r="AA103" s="65"/>
      <c r="AB103" s="65"/>
      <c r="AC103" s="65"/>
      <c r="AD103" s="16"/>
      <c r="AE103" s="17"/>
      <c r="AF103" s="17"/>
      <c r="AG103" s="17"/>
      <c r="AH103" s="53"/>
    </row>
    <row r="104" spans="1:34">
      <c r="B104" s="53"/>
      <c r="C104" s="298"/>
      <c r="D104" t="s">
        <v>628</v>
      </c>
      <c r="E104" s="107">
        <v>30</v>
      </c>
      <c r="F104" s="107">
        <v>0</v>
      </c>
      <c r="G104" s="16"/>
      <c r="H104" s="16"/>
      <c r="I104" s="16"/>
      <c r="J104" s="16"/>
      <c r="K104" s="16"/>
      <c r="L104" s="16"/>
      <c r="M104" s="16">
        <v>1</v>
      </c>
      <c r="N104" s="53">
        <f>1.8 * MIN(6, MAX(E104,F104)) + 0.45 * MIN(6, MIN(E104,F104)) + IF(E104&gt;6, (E104-6)*0.2) + IF(F104&gt;6, (F104-6)*0.2)</f>
        <v>15.600000000000001</v>
      </c>
      <c r="O104" s="16"/>
      <c r="P104" s="16"/>
      <c r="Q104" s="777"/>
      <c r="R104" s="102"/>
      <c r="S104" s="102"/>
      <c r="T104" s="102"/>
      <c r="U104" s="102"/>
      <c r="V104" s="102"/>
      <c r="W104" s="102"/>
      <c r="X104" s="102"/>
      <c r="Y104" s="102"/>
      <c r="Z104" s="102"/>
      <c r="AA104" s="102"/>
      <c r="AB104" s="102"/>
      <c r="AC104" s="102"/>
      <c r="AD104" s="25"/>
      <c r="AE104" s="1158"/>
      <c r="AF104" s="1158"/>
      <c r="AG104" s="1158"/>
      <c r="AH104" s="75"/>
    </row>
    <row r="105" spans="1:34">
      <c r="A105" s="325" t="s">
        <v>629</v>
      </c>
      <c r="B105" s="74" t="s">
        <v>101</v>
      </c>
      <c r="C105" s="15" t="s">
        <v>259</v>
      </c>
      <c r="D105" s="70" t="s">
        <v>630</v>
      </c>
      <c r="E105" s="15">
        <v>3</v>
      </c>
      <c r="F105" s="15">
        <v>0</v>
      </c>
      <c r="G105" s="15">
        <v>100</v>
      </c>
      <c r="H105" s="15"/>
      <c r="I105" s="15"/>
      <c r="J105" s="15"/>
      <c r="K105" s="15"/>
      <c r="L105" s="15"/>
      <c r="M105" s="15"/>
      <c r="N105" s="74">
        <v>5</v>
      </c>
      <c r="O105" s="15"/>
      <c r="P105" s="15"/>
      <c r="Q105" s="776">
        <v>-0.05</v>
      </c>
      <c r="R105" s="65">
        <v>-0.15</v>
      </c>
      <c r="S105" s="65"/>
      <c r="T105" s="65">
        <v>0.05</v>
      </c>
      <c r="U105" s="65"/>
      <c r="V105" s="65"/>
      <c r="W105" s="65"/>
      <c r="X105" s="65"/>
      <c r="Y105" s="65"/>
      <c r="Z105" s="65"/>
      <c r="AA105" s="65"/>
      <c r="AB105" s="65"/>
      <c r="AC105" s="65"/>
      <c r="AD105" s="16"/>
      <c r="AE105" s="17"/>
      <c r="AF105" s="17"/>
      <c r="AG105" s="17"/>
      <c r="AH105" s="53"/>
    </row>
    <row r="106" spans="1:34">
      <c r="B106" s="53"/>
      <c r="C106" s="16"/>
      <c r="D106" s="52" t="s">
        <v>631</v>
      </c>
      <c r="E106" s="107">
        <v>0</v>
      </c>
      <c r="F106" s="107">
        <v>3</v>
      </c>
      <c r="G106" s="107">
        <v>275</v>
      </c>
      <c r="H106" s="107">
        <v>25</v>
      </c>
      <c r="I106" s="16"/>
      <c r="J106" s="16"/>
      <c r="K106" s="16"/>
      <c r="L106" s="16"/>
      <c r="M106" s="16"/>
      <c r="N106" s="53">
        <v>5</v>
      </c>
      <c r="O106" s="16"/>
      <c r="P106" s="16"/>
      <c r="Q106" s="776"/>
      <c r="R106" s="65"/>
      <c r="S106" s="65"/>
      <c r="T106" s="65"/>
      <c r="U106" s="65"/>
      <c r="V106" s="65"/>
      <c r="W106" s="65"/>
      <c r="X106" s="65"/>
      <c r="Y106" s="65"/>
      <c r="Z106" s="65"/>
      <c r="AA106" s="65"/>
      <c r="AB106" s="65"/>
      <c r="AC106" s="65"/>
      <c r="AD106" s="16"/>
      <c r="AE106" s="17"/>
      <c r="AF106" s="17"/>
      <c r="AG106" s="17"/>
      <c r="AH106" s="53"/>
    </row>
    <row r="107" spans="1:34">
      <c r="B107" s="53"/>
      <c r="C107" s="16"/>
      <c r="D107" s="52" t="s">
        <v>632</v>
      </c>
      <c r="E107" s="107">
        <v>1</v>
      </c>
      <c r="F107" s="107">
        <v>3</v>
      </c>
      <c r="G107" s="107">
        <v>1000</v>
      </c>
      <c r="H107" s="107">
        <v>50</v>
      </c>
      <c r="I107" s="16"/>
      <c r="J107" s="16"/>
      <c r="K107" s="16"/>
      <c r="L107" s="16"/>
      <c r="M107" s="16"/>
      <c r="N107" s="53">
        <f>1.8 * MIN(6, MAX(E107,F107)) + 0.45 * MIN(6, MIN(E107,F107)) + IF(E107&gt;6, (E107-6)*0.2) + IF(F107&gt;6, (F107-6)*0.2)</f>
        <v>5.8500000000000005</v>
      </c>
      <c r="O107" s="16"/>
      <c r="P107" s="16"/>
      <c r="Q107" s="776"/>
      <c r="R107" s="65"/>
      <c r="S107" s="65"/>
      <c r="T107" s="65"/>
      <c r="U107" s="65"/>
      <c r="V107" s="65"/>
      <c r="W107" s="65"/>
      <c r="X107" s="65"/>
      <c r="Y107" s="65"/>
      <c r="Z107" s="65"/>
      <c r="AA107" s="65"/>
      <c r="AB107" s="65"/>
      <c r="AC107" s="65"/>
      <c r="AD107" s="16"/>
      <c r="AE107" s="17"/>
      <c r="AF107" s="17"/>
      <c r="AG107" s="17"/>
      <c r="AH107" s="53"/>
    </row>
    <row r="108" spans="1:34">
      <c r="A108" s="324"/>
      <c r="B108" s="75"/>
      <c r="C108" s="25"/>
      <c r="D108" s="52" t="s">
        <v>633</v>
      </c>
      <c r="E108" s="16">
        <v>5</v>
      </c>
      <c r="F108" s="16">
        <v>3</v>
      </c>
      <c r="G108" s="16">
        <v>1675</v>
      </c>
      <c r="H108" s="16">
        <v>80</v>
      </c>
      <c r="I108" s="16"/>
      <c r="J108" s="16"/>
      <c r="K108" s="16"/>
      <c r="L108" s="16"/>
      <c r="M108" s="16"/>
      <c r="N108" s="53">
        <f>1.8 * MIN(6, MAX(E108,F108)) + 0.45 * MIN(6, MIN(E108,F108)) + IF(E108&gt;6, (E108-6)*0.2) + IF(F108&gt;6, (F108-6)*0.2)</f>
        <v>10.35</v>
      </c>
      <c r="O108" s="25"/>
      <c r="P108" s="25"/>
      <c r="Q108" s="777"/>
      <c r="R108" s="102"/>
      <c r="S108" s="102"/>
      <c r="T108" s="102"/>
      <c r="U108" s="102"/>
      <c r="V108" s="102"/>
      <c r="W108" s="102"/>
      <c r="X108" s="102"/>
      <c r="Y108" s="102"/>
      <c r="Z108" s="102"/>
      <c r="AA108" s="102"/>
      <c r="AB108" s="102"/>
      <c r="AC108" s="102"/>
      <c r="AD108" s="25"/>
      <c r="AE108" s="1158"/>
      <c r="AF108" s="1158"/>
      <c r="AG108" s="1158"/>
      <c r="AH108" s="75"/>
    </row>
    <row r="109" spans="1:34">
      <c r="A109" s="325" t="s">
        <v>635</v>
      </c>
      <c r="B109" s="74" t="s">
        <v>101</v>
      </c>
      <c r="C109" s="15" t="s">
        <v>260</v>
      </c>
      <c r="D109" s="70" t="s">
        <v>636</v>
      </c>
      <c r="E109" s="15">
        <v>3</v>
      </c>
      <c r="F109" s="15">
        <v>0</v>
      </c>
      <c r="G109" s="15">
        <v>350</v>
      </c>
      <c r="H109" s="15">
        <v>35</v>
      </c>
      <c r="I109" s="15"/>
      <c r="J109" s="15"/>
      <c r="K109" s="15"/>
      <c r="L109" s="15"/>
      <c r="M109" s="15"/>
      <c r="N109" s="74">
        <v>5</v>
      </c>
      <c r="O109" s="15"/>
      <c r="P109" s="15"/>
      <c r="Q109" s="776"/>
      <c r="R109" s="65"/>
      <c r="S109" s="65"/>
      <c r="T109" s="65"/>
      <c r="U109" s="65"/>
      <c r="V109" s="65"/>
      <c r="W109" s="65"/>
      <c r="X109" s="65">
        <v>0.05</v>
      </c>
      <c r="Y109" s="65"/>
      <c r="Z109" s="65"/>
      <c r="AA109" s="65"/>
      <c r="AB109" s="65"/>
      <c r="AC109" s="65"/>
      <c r="AD109" s="16"/>
      <c r="AE109" s="17"/>
      <c r="AF109" s="17"/>
      <c r="AG109" s="17"/>
      <c r="AH109" s="53"/>
    </row>
    <row r="110" spans="1:34">
      <c r="B110" s="53"/>
      <c r="C110" s="16"/>
      <c r="D110" s="52" t="s">
        <v>637</v>
      </c>
      <c r="E110" s="107">
        <v>0</v>
      </c>
      <c r="F110" s="107">
        <v>1</v>
      </c>
      <c r="G110" s="107">
        <v>0</v>
      </c>
      <c r="H110" s="16"/>
      <c r="I110" s="16"/>
      <c r="J110" s="16"/>
      <c r="K110" s="16"/>
      <c r="L110" s="16"/>
      <c r="M110" s="16"/>
      <c r="N110" s="53">
        <v>5</v>
      </c>
      <c r="O110" s="16"/>
      <c r="P110" s="16"/>
      <c r="Q110" s="776"/>
      <c r="R110" s="65"/>
      <c r="S110" s="65"/>
      <c r="T110" s="65"/>
      <c r="U110" s="65"/>
      <c r="V110" s="65"/>
      <c r="W110" s="65"/>
      <c r="X110" s="65"/>
      <c r="Y110" s="65"/>
      <c r="Z110" s="65"/>
      <c r="AA110" s="65"/>
      <c r="AB110" s="65"/>
      <c r="AC110" s="65"/>
      <c r="AD110" s="16"/>
      <c r="AE110" s="17"/>
      <c r="AF110" s="17"/>
      <c r="AG110" s="17"/>
      <c r="AH110" s="53"/>
    </row>
    <row r="111" spans="1:34">
      <c r="B111" s="53"/>
      <c r="C111" s="16"/>
      <c r="D111" s="52" t="s">
        <v>638</v>
      </c>
      <c r="E111" s="107">
        <v>0</v>
      </c>
      <c r="F111" s="107">
        <v>6</v>
      </c>
      <c r="G111" s="107">
        <v>900</v>
      </c>
      <c r="H111" s="107">
        <v>90</v>
      </c>
      <c r="I111" s="16"/>
      <c r="J111" s="16"/>
      <c r="K111" s="16"/>
      <c r="L111" s="16"/>
      <c r="M111" s="16"/>
      <c r="N111" s="53">
        <f>1.8 * MIN(6, MAX(E111,F111)) + 0.45 * MIN(6, MIN(E111,F111)) + IF(E111&gt;6, (E111-6)*0.2) + IF(F111&gt;6, (F111-6)*0.2)</f>
        <v>10.8</v>
      </c>
      <c r="O111" s="16"/>
      <c r="P111" s="16"/>
      <c r="Q111" s="776"/>
      <c r="R111" s="65"/>
      <c r="S111" s="65"/>
      <c r="T111" s="65"/>
      <c r="U111" s="65"/>
      <c r="V111" s="65"/>
      <c r="W111" s="65"/>
      <c r="X111" s="65"/>
      <c r="Y111" s="65"/>
      <c r="Z111" s="65"/>
      <c r="AA111" s="65"/>
      <c r="AB111" s="65"/>
      <c r="AC111" s="65"/>
      <c r="AD111" s="16"/>
      <c r="AE111" s="17"/>
      <c r="AF111" s="17"/>
      <c r="AG111" s="17"/>
      <c r="AH111" s="53"/>
    </row>
    <row r="112" spans="1:34">
      <c r="A112" s="324"/>
      <c r="B112" s="75"/>
      <c r="C112" s="25"/>
      <c r="D112" s="72" t="s">
        <v>639</v>
      </c>
      <c r="E112" s="25">
        <v>3</v>
      </c>
      <c r="F112" s="25">
        <v>3</v>
      </c>
      <c r="G112" s="25">
        <v>1200</v>
      </c>
      <c r="H112" s="25">
        <v>100</v>
      </c>
      <c r="I112" s="25"/>
      <c r="J112" s="25"/>
      <c r="K112" s="25"/>
      <c r="L112" s="25"/>
      <c r="M112" s="25"/>
      <c r="N112" s="75">
        <f>1.8 * MIN(6, MAX(E112,F112)) + 0.45 * MIN(6, MIN(E112,F112)) + IF(E112&gt;6, (E112-6)*0.2) + IF(F112&gt;6, (F112-6)*0.2)</f>
        <v>6.75</v>
      </c>
      <c r="O112" s="25"/>
      <c r="P112" s="25"/>
      <c r="Q112" s="777"/>
      <c r="R112" s="102"/>
      <c r="S112" s="102"/>
      <c r="T112" s="102"/>
      <c r="U112" s="102"/>
      <c r="V112" s="102"/>
      <c r="W112" s="102"/>
      <c r="X112" s="102"/>
      <c r="Y112" s="102"/>
      <c r="Z112" s="102"/>
      <c r="AA112" s="102"/>
      <c r="AB112" s="102"/>
      <c r="AC112" s="102"/>
      <c r="AD112" s="25"/>
      <c r="AE112" s="1158"/>
      <c r="AF112" s="1158"/>
      <c r="AG112" s="1158"/>
      <c r="AH112" s="75"/>
    </row>
    <row r="113" spans="1:34">
      <c r="A113" s="325" t="s">
        <v>640</v>
      </c>
      <c r="B113" s="74" t="s">
        <v>30</v>
      </c>
      <c r="C113" s="15" t="s">
        <v>260</v>
      </c>
      <c r="D113" s="70" t="s">
        <v>641</v>
      </c>
      <c r="E113" s="15">
        <v>2</v>
      </c>
      <c r="F113" s="15">
        <v>0</v>
      </c>
      <c r="G113" s="15">
        <v>180</v>
      </c>
      <c r="H113" s="15">
        <v>5</v>
      </c>
      <c r="I113" s="15"/>
      <c r="J113" s="15"/>
      <c r="K113" s="15"/>
      <c r="L113" s="15"/>
      <c r="M113" s="15"/>
      <c r="N113" s="74">
        <v>5</v>
      </c>
      <c r="O113" s="15"/>
      <c r="P113" s="15"/>
      <c r="Q113" s="445">
        <v>0.1</v>
      </c>
      <c r="R113" s="100">
        <v>-0.05</v>
      </c>
      <c r="S113" s="100"/>
      <c r="T113" s="100"/>
      <c r="U113" s="100"/>
      <c r="V113" s="100"/>
      <c r="W113" s="100"/>
      <c r="X113" s="100"/>
      <c r="Y113" s="100"/>
      <c r="Z113" s="100"/>
      <c r="AA113" s="100"/>
      <c r="AB113" s="100"/>
      <c r="AC113" s="100"/>
      <c r="AD113" s="15"/>
      <c r="AE113" s="1191"/>
      <c r="AF113" s="1191"/>
      <c r="AG113" s="1191"/>
      <c r="AH113" s="74"/>
    </row>
    <row r="114" spans="1:34">
      <c r="B114" s="53"/>
      <c r="C114" s="16"/>
      <c r="D114" s="52" t="s">
        <v>642</v>
      </c>
      <c r="E114" s="107">
        <v>0</v>
      </c>
      <c r="F114" s="107">
        <v>3</v>
      </c>
      <c r="G114" s="107">
        <v>300</v>
      </c>
      <c r="H114" s="16"/>
      <c r="I114" s="16"/>
      <c r="J114" s="16"/>
      <c r="K114" s="16"/>
      <c r="L114" s="16"/>
      <c r="M114" s="16"/>
      <c r="N114" s="53">
        <v>5</v>
      </c>
      <c r="O114" s="16"/>
      <c r="P114" s="16"/>
      <c r="Q114" s="776"/>
      <c r="R114" s="65"/>
      <c r="S114" s="65"/>
      <c r="T114" s="65"/>
      <c r="U114" s="65"/>
      <c r="V114" s="65"/>
      <c r="W114" s="65"/>
      <c r="X114" s="65"/>
      <c r="Y114" s="65"/>
      <c r="Z114" s="65"/>
      <c r="AA114" s="65"/>
      <c r="AB114" s="65"/>
      <c r="AC114" s="65"/>
      <c r="AD114" s="16"/>
      <c r="AE114" s="17"/>
      <c r="AF114" s="17"/>
      <c r="AG114" s="17"/>
      <c r="AH114" s="53"/>
    </row>
    <row r="115" spans="1:34">
      <c r="B115" s="53"/>
      <c r="C115" s="16"/>
      <c r="D115" s="52" t="s">
        <v>643</v>
      </c>
      <c r="E115" s="107">
        <v>-1</v>
      </c>
      <c r="F115" s="107">
        <v>5</v>
      </c>
      <c r="G115" s="107">
        <v>900</v>
      </c>
      <c r="H115" s="107">
        <v>10</v>
      </c>
      <c r="I115" s="16"/>
      <c r="J115" s="16"/>
      <c r="K115" s="16"/>
      <c r="L115" s="16"/>
      <c r="M115" s="16"/>
      <c r="N115" s="53">
        <f>1.8 * MIN(6, MAX(E115,F115)) + 0.45 * MIN(6, MIN(E115,F115)) + IF(E115&gt;6, (E115-6)*0.2) + IF(F115&gt;6, (F115-6)*0.2)</f>
        <v>8.5500000000000007</v>
      </c>
      <c r="O115" s="16"/>
      <c r="P115" s="16"/>
      <c r="Q115" s="776"/>
      <c r="R115" s="65"/>
      <c r="S115" s="65"/>
      <c r="T115" s="65"/>
      <c r="U115" s="65"/>
      <c r="V115" s="65"/>
      <c r="W115" s="65"/>
      <c r="X115" s="65"/>
      <c r="Y115" s="65"/>
      <c r="Z115" s="65"/>
      <c r="AA115" s="65"/>
      <c r="AB115" s="65"/>
      <c r="AC115" s="65"/>
      <c r="AD115" s="16"/>
      <c r="AE115" s="17"/>
      <c r="AF115" s="17"/>
      <c r="AG115" s="17"/>
      <c r="AH115" s="53"/>
    </row>
    <row r="116" spans="1:34">
      <c r="B116" s="53"/>
      <c r="C116" s="16"/>
      <c r="D116" s="52" t="s">
        <v>644</v>
      </c>
      <c r="E116" s="107">
        <v>8</v>
      </c>
      <c r="F116" s="107">
        <v>-2</v>
      </c>
      <c r="G116" s="107">
        <v>950</v>
      </c>
      <c r="H116" s="107">
        <v>100</v>
      </c>
      <c r="I116" s="16"/>
      <c r="J116" s="16"/>
      <c r="K116" s="16"/>
      <c r="L116" s="16"/>
      <c r="M116" s="16"/>
      <c r="N116" s="53">
        <f>1.8 * MIN(6, MAX(E116,F116)) + 0.45 * MIN(6, MIN(E116,F116)) + IF(E116&gt;6, (E116-6)*0.2) + IF(F116&gt;6, (F116-6)*0.2)</f>
        <v>10.3</v>
      </c>
      <c r="O116" s="16"/>
      <c r="P116" s="16"/>
      <c r="Q116" s="777"/>
      <c r="R116" s="102"/>
      <c r="S116" s="102"/>
      <c r="T116" s="102"/>
      <c r="U116" s="102"/>
      <c r="V116" s="102"/>
      <c r="W116" s="102"/>
      <c r="X116" s="102"/>
      <c r="Y116" s="102"/>
      <c r="Z116" s="102"/>
      <c r="AA116" s="102"/>
      <c r="AB116" s="102"/>
      <c r="AC116" s="102"/>
      <c r="AD116" s="25"/>
      <c r="AE116" s="1158"/>
      <c r="AF116" s="1158"/>
      <c r="AG116" s="1158"/>
      <c r="AH116" s="75"/>
    </row>
    <row r="117" spans="1:34">
      <c r="A117" s="325" t="s">
        <v>645</v>
      </c>
      <c r="B117" s="74" t="s">
        <v>30</v>
      </c>
      <c r="C117" s="15" t="s">
        <v>60</v>
      </c>
      <c r="D117" s="1391" t="s">
        <v>762</v>
      </c>
      <c r="E117" s="15">
        <v>3</v>
      </c>
      <c r="F117" s="15">
        <v>0</v>
      </c>
      <c r="G117" s="15">
        <v>500</v>
      </c>
      <c r="H117" s="15">
        <v>25</v>
      </c>
      <c r="I117" s="15"/>
      <c r="J117" s="15"/>
      <c r="K117" s="15"/>
      <c r="L117" s="15"/>
      <c r="M117" s="15"/>
      <c r="N117" s="74">
        <v>5</v>
      </c>
      <c r="O117" s="15"/>
      <c r="P117" s="15"/>
      <c r="Q117" s="776">
        <v>-7.4999999999999997E-2</v>
      </c>
      <c r="R117" s="65"/>
      <c r="S117" s="65"/>
      <c r="T117" s="65"/>
      <c r="U117" s="65">
        <v>0.5</v>
      </c>
      <c r="V117" s="65"/>
      <c r="W117" s="65"/>
      <c r="X117" s="65"/>
      <c r="Y117" s="65">
        <v>0.2</v>
      </c>
      <c r="Z117" s="65"/>
      <c r="AA117" s="65"/>
      <c r="AB117" s="65"/>
      <c r="AC117" s="65"/>
      <c r="AD117" s="16"/>
      <c r="AE117" s="17"/>
      <c r="AF117" s="17"/>
      <c r="AG117" s="17"/>
      <c r="AH117" s="53"/>
    </row>
    <row r="118" spans="1:34">
      <c r="B118" s="53"/>
      <c r="C118" s="16"/>
      <c r="D118" s="52" t="s">
        <v>646</v>
      </c>
      <c r="E118" s="107">
        <v>0</v>
      </c>
      <c r="F118" s="107">
        <v>3</v>
      </c>
      <c r="G118" s="107">
        <v>400</v>
      </c>
      <c r="H118" s="107">
        <v>20</v>
      </c>
      <c r="I118" s="16"/>
      <c r="J118" s="16"/>
      <c r="K118" s="16"/>
      <c r="L118" s="16"/>
      <c r="M118" s="16"/>
      <c r="N118" s="53">
        <v>5</v>
      </c>
      <c r="O118" s="16"/>
      <c r="P118" s="16"/>
      <c r="Q118" s="776"/>
      <c r="R118" s="65"/>
      <c r="S118" s="65"/>
      <c r="T118" s="65"/>
      <c r="U118" s="65"/>
      <c r="V118" s="65"/>
      <c r="W118" s="65"/>
      <c r="X118" s="65"/>
      <c r="Y118" s="65"/>
      <c r="Z118" s="65"/>
      <c r="AA118" s="65"/>
      <c r="AB118" s="65"/>
      <c r="AC118" s="65"/>
      <c r="AD118" s="16"/>
      <c r="AE118" s="17"/>
      <c r="AF118" s="17"/>
      <c r="AG118" s="17"/>
      <c r="AH118" s="53"/>
    </row>
    <row r="119" spans="1:34">
      <c r="B119" s="53"/>
      <c r="C119" s="16"/>
      <c r="D119" s="52" t="s">
        <v>647</v>
      </c>
      <c r="E119" s="107">
        <v>0</v>
      </c>
      <c r="F119" s="107">
        <v>2.5</v>
      </c>
      <c r="G119" s="107">
        <v>700</v>
      </c>
      <c r="H119" s="16"/>
      <c r="I119" s="107">
        <v>10</v>
      </c>
      <c r="J119" s="107">
        <v>1</v>
      </c>
      <c r="K119" s="16"/>
      <c r="L119" s="16"/>
      <c r="M119" s="16"/>
      <c r="N119" s="53">
        <f>1.8 * MIN(6, MAX(E119,F119)) + 0.45 * MIN(6, MIN(E119,F119)) + IF(E119&gt;6, (E119-6)*0.2) + IF(F119&gt;6, (F119-6)*0.2)</f>
        <v>4.5</v>
      </c>
      <c r="O119" s="16"/>
      <c r="P119" s="16"/>
      <c r="Q119" s="776"/>
      <c r="R119" s="65"/>
      <c r="S119" s="65"/>
      <c r="T119" s="65"/>
      <c r="U119" s="65"/>
      <c r="V119" s="65"/>
      <c r="W119" s="65"/>
      <c r="X119" s="65"/>
      <c r="Y119" s="65"/>
      <c r="Z119" s="65"/>
      <c r="AA119" s="65"/>
      <c r="AB119" s="65"/>
      <c r="AC119" s="65"/>
      <c r="AD119" s="16"/>
      <c r="AE119" s="17"/>
      <c r="AF119" s="17"/>
      <c r="AG119" s="17"/>
      <c r="AH119" s="53"/>
    </row>
    <row r="120" spans="1:34">
      <c r="A120" s="324"/>
      <c r="B120" s="75"/>
      <c r="C120" s="25"/>
      <c r="D120" s="72" t="s">
        <v>648</v>
      </c>
      <c r="E120" s="25">
        <v>8</v>
      </c>
      <c r="F120" s="25">
        <v>3</v>
      </c>
      <c r="G120" s="25">
        <v>1400</v>
      </c>
      <c r="H120" s="25">
        <v>200</v>
      </c>
      <c r="I120" s="25"/>
      <c r="J120" s="681">
        <v>1</v>
      </c>
      <c r="K120" s="25"/>
      <c r="L120" s="25"/>
      <c r="M120" s="25"/>
      <c r="N120" s="75">
        <f>1.8 * MIN(6, MAX(E120,F120)) + 0.45 * MIN(6, MIN(E120,F120)) + IF(E120&gt;6, (E120-6)*0.2) + IF(F120&gt;6, (F120-6)*0.2)</f>
        <v>12.55</v>
      </c>
      <c r="O120" s="25"/>
      <c r="P120" s="25"/>
      <c r="Q120" s="777"/>
      <c r="R120" s="102"/>
      <c r="S120" s="102"/>
      <c r="T120" s="102"/>
      <c r="U120" s="102"/>
      <c r="V120" s="102"/>
      <c r="W120" s="102"/>
      <c r="X120" s="102"/>
      <c r="Y120" s="102"/>
      <c r="Z120" s="102"/>
      <c r="AA120" s="102"/>
      <c r="AB120" s="102"/>
      <c r="AC120" s="102"/>
      <c r="AD120" s="25"/>
      <c r="AE120" s="1158"/>
      <c r="AF120" s="1158"/>
      <c r="AG120" s="1158"/>
      <c r="AH120" s="75"/>
    </row>
    <row r="121" spans="1:34">
      <c r="A121" s="325" t="s">
        <v>649</v>
      </c>
      <c r="B121" s="74" t="s">
        <v>30</v>
      </c>
      <c r="C121" s="15" t="s">
        <v>258</v>
      </c>
      <c r="D121" s="70" t="s">
        <v>650</v>
      </c>
      <c r="E121" s="15">
        <v>3</v>
      </c>
      <c r="F121" s="15">
        <v>0</v>
      </c>
      <c r="G121" s="15">
        <v>300</v>
      </c>
      <c r="H121" s="15"/>
      <c r="I121" s="15"/>
      <c r="J121" s="15"/>
      <c r="K121" s="15"/>
      <c r="L121" s="15"/>
      <c r="M121" s="15"/>
      <c r="N121" s="74">
        <v>5</v>
      </c>
      <c r="O121" s="15"/>
      <c r="P121" s="15"/>
      <c r="Q121" s="445">
        <v>6.6600000000000006E-2</v>
      </c>
      <c r="R121" s="100"/>
      <c r="S121" s="100"/>
      <c r="T121" s="100"/>
      <c r="U121" s="100"/>
      <c r="V121" s="100">
        <v>0.15</v>
      </c>
      <c r="W121" s="100"/>
      <c r="X121" s="100"/>
      <c r="Y121" s="100">
        <v>-0.25</v>
      </c>
      <c r="Z121" s="100"/>
      <c r="AA121" s="100"/>
      <c r="AB121" s="100"/>
      <c r="AC121" s="100"/>
      <c r="AD121" s="15"/>
      <c r="AE121" s="1191"/>
      <c r="AF121" s="1191"/>
      <c r="AG121" s="1191"/>
      <c r="AH121" s="74"/>
    </row>
    <row r="122" spans="1:34">
      <c r="B122" s="53"/>
      <c r="C122" s="16"/>
      <c r="D122" s="52" t="s">
        <v>651</v>
      </c>
      <c r="E122" s="107">
        <v>2</v>
      </c>
      <c r="F122" s="107">
        <v>5</v>
      </c>
      <c r="G122" s="107">
        <v>300</v>
      </c>
      <c r="H122" s="107">
        <v>100</v>
      </c>
      <c r="I122" s="16"/>
      <c r="J122" s="16"/>
      <c r="K122" s="16"/>
      <c r="L122" s="16"/>
      <c r="M122" s="16"/>
      <c r="N122" s="53">
        <v>5</v>
      </c>
      <c r="O122" s="16"/>
      <c r="P122" s="16"/>
      <c r="Q122" s="776"/>
      <c r="R122" s="65"/>
      <c r="S122" s="65"/>
      <c r="T122" s="65"/>
      <c r="U122" s="65"/>
      <c r="V122" s="65"/>
      <c r="W122" s="65"/>
      <c r="X122" s="65"/>
      <c r="Y122" s="65"/>
      <c r="Z122" s="65"/>
      <c r="AA122" s="65"/>
      <c r="AB122" s="65"/>
      <c r="AC122" s="65"/>
      <c r="AD122" s="16"/>
      <c r="AE122" s="17"/>
      <c r="AF122" s="17"/>
      <c r="AG122" s="17"/>
      <c r="AH122" s="53"/>
    </row>
    <row r="123" spans="1:34">
      <c r="B123" s="53"/>
      <c r="C123" s="16"/>
      <c r="D123" s="52" t="s">
        <v>652</v>
      </c>
      <c r="E123" s="107">
        <v>6</v>
      </c>
      <c r="F123" s="107">
        <v>6</v>
      </c>
      <c r="G123" s="107">
        <v>1000</v>
      </c>
      <c r="H123" s="16"/>
      <c r="I123" s="16"/>
      <c r="J123" s="16"/>
      <c r="K123" s="16"/>
      <c r="L123" s="16">
        <v>100</v>
      </c>
      <c r="M123" s="16">
        <v>1</v>
      </c>
      <c r="N123" s="53">
        <f>1.8 * MIN(6, MAX(E123,F123)) + 0.45 * MIN(6, MIN(E123,F123)) + IF(E123&gt;6, (E123-6)*0.2) + IF(F123&gt;6, (F123-6)*0.2)</f>
        <v>13.5</v>
      </c>
      <c r="O123" s="16"/>
      <c r="P123" s="16"/>
      <c r="Q123" s="776"/>
      <c r="R123" s="65"/>
      <c r="S123" s="65"/>
      <c r="T123" s="65"/>
      <c r="U123" s="65"/>
      <c r="V123" s="65"/>
      <c r="W123" s="65"/>
      <c r="X123" s="65"/>
      <c r="Y123" s="65"/>
      <c r="Z123" s="65"/>
      <c r="AA123" s="65"/>
      <c r="AB123" s="65"/>
      <c r="AC123" s="65"/>
      <c r="AD123" s="16"/>
      <c r="AE123" s="17"/>
      <c r="AF123" s="17"/>
      <c r="AG123" s="17"/>
      <c r="AH123" s="53"/>
    </row>
    <row r="124" spans="1:34">
      <c r="B124" s="53"/>
      <c r="C124" s="16"/>
      <c r="D124" s="52" t="s">
        <v>653</v>
      </c>
      <c r="E124" s="107">
        <v>8</v>
      </c>
      <c r="F124" s="107">
        <v>4</v>
      </c>
      <c r="G124" s="107">
        <v>1000</v>
      </c>
      <c r="H124" s="16"/>
      <c r="I124" s="16"/>
      <c r="J124" s="16"/>
      <c r="K124" s="16">
        <v>30</v>
      </c>
      <c r="L124" s="16"/>
      <c r="M124" s="16">
        <v>3</v>
      </c>
      <c r="N124" s="53">
        <f>1.8 * MIN(6, MAX(E124,F124)) + 0.45 * MIN(6, MIN(E124,F124)) + IF(E124&gt;6, (E124-6)*0.2) + IF(F124&gt;6, (F124-6)*0.2)</f>
        <v>13.000000000000002</v>
      </c>
      <c r="O124" s="16"/>
      <c r="P124" s="16"/>
      <c r="Q124" s="777"/>
      <c r="R124" s="102"/>
      <c r="S124" s="102"/>
      <c r="T124" s="102"/>
      <c r="U124" s="102"/>
      <c r="V124" s="102"/>
      <c r="W124" s="102"/>
      <c r="X124" s="102"/>
      <c r="Y124" s="102"/>
      <c r="Z124" s="102"/>
      <c r="AA124" s="102"/>
      <c r="AB124" s="102"/>
      <c r="AC124" s="102"/>
      <c r="AD124" s="25"/>
      <c r="AE124" s="1158"/>
      <c r="AF124" s="1158"/>
      <c r="AG124" s="1158"/>
      <c r="AH124" s="75"/>
    </row>
    <row r="125" spans="1:34">
      <c r="A125" s="325" t="s">
        <v>654</v>
      </c>
      <c r="B125" s="74" t="s">
        <v>30</v>
      </c>
      <c r="C125" s="15" t="s">
        <v>259</v>
      </c>
      <c r="D125" s="70" t="s">
        <v>655</v>
      </c>
      <c r="E125" s="15">
        <v>4</v>
      </c>
      <c r="F125" s="15">
        <v>0</v>
      </c>
      <c r="G125" s="15">
        <v>300</v>
      </c>
      <c r="H125" s="15"/>
      <c r="I125" s="15"/>
      <c r="J125" s="15"/>
      <c r="K125" s="15"/>
      <c r="L125" s="15"/>
      <c r="M125" s="15"/>
      <c r="N125" s="74">
        <v>5</v>
      </c>
      <c r="O125" s="15"/>
      <c r="P125" s="15"/>
      <c r="Q125" s="776"/>
      <c r="R125" s="65"/>
      <c r="S125" s="65"/>
      <c r="T125" s="65"/>
      <c r="U125" s="65"/>
      <c r="V125" s="65"/>
      <c r="W125" s="65"/>
      <c r="X125" s="65">
        <v>0.1</v>
      </c>
      <c r="Y125" s="65">
        <v>0.25</v>
      </c>
      <c r="Z125" s="65"/>
      <c r="AA125" s="65"/>
      <c r="AB125" s="65"/>
      <c r="AC125" s="65"/>
      <c r="AD125" s="16"/>
      <c r="AE125" s="17"/>
      <c r="AF125" s="17"/>
      <c r="AG125" s="17"/>
      <c r="AH125" s="53"/>
    </row>
    <row r="126" spans="1:34">
      <c r="B126" s="53"/>
      <c r="C126" s="16"/>
      <c r="D126" s="52" t="s">
        <v>656</v>
      </c>
      <c r="E126" s="107">
        <v>0</v>
      </c>
      <c r="F126" s="107">
        <v>4</v>
      </c>
      <c r="G126" s="107">
        <v>300</v>
      </c>
      <c r="H126" s="16"/>
      <c r="I126" s="16"/>
      <c r="J126" s="16"/>
      <c r="K126" s="16"/>
      <c r="L126" s="16"/>
      <c r="M126" s="16"/>
      <c r="N126" s="53">
        <v>5</v>
      </c>
      <c r="O126" s="16"/>
      <c r="P126" s="16"/>
      <c r="Q126" s="776"/>
      <c r="R126" s="65"/>
      <c r="S126" s="65"/>
      <c r="T126" s="65"/>
      <c r="U126" s="65"/>
      <c r="V126" s="65"/>
      <c r="W126" s="65"/>
      <c r="X126" s="65"/>
      <c r="Y126" s="65"/>
      <c r="Z126" s="65"/>
      <c r="AA126" s="65"/>
      <c r="AB126" s="65"/>
      <c r="AC126" s="65"/>
      <c r="AD126" s="16"/>
      <c r="AE126" s="17"/>
      <c r="AF126" s="17"/>
      <c r="AG126" s="17"/>
      <c r="AH126" s="53"/>
    </row>
    <row r="127" spans="1:34">
      <c r="B127" s="53"/>
      <c r="C127" s="16"/>
      <c r="D127" s="52" t="s">
        <v>657</v>
      </c>
      <c r="E127" s="107">
        <v>0</v>
      </c>
      <c r="F127" s="107">
        <v>10</v>
      </c>
      <c r="G127" s="107">
        <v>1680</v>
      </c>
      <c r="H127" s="16"/>
      <c r="I127" s="16"/>
      <c r="J127" s="16"/>
      <c r="K127" s="16"/>
      <c r="L127" s="16"/>
      <c r="M127" s="16"/>
      <c r="N127" s="53">
        <f>1.8 * MIN(6, MAX(E127,F127)) + 0.45 * MIN(6, MIN(E127,F127)) + IF(E127&gt;6, (E127-6)*0.2) + IF(F127&gt;6, (F127-6)*0.2)</f>
        <v>11.600000000000001</v>
      </c>
      <c r="O127" s="16"/>
      <c r="P127" s="16"/>
      <c r="Q127" s="776"/>
      <c r="R127" s="65"/>
      <c r="S127" s="65"/>
      <c r="T127" s="65"/>
      <c r="U127" s="65"/>
      <c r="V127" s="65"/>
      <c r="W127" s="65"/>
      <c r="X127" s="65"/>
      <c r="Y127" s="65"/>
      <c r="Z127" s="65"/>
      <c r="AA127" s="65"/>
      <c r="AB127" s="65"/>
      <c r="AC127" s="65"/>
      <c r="AD127" s="16"/>
      <c r="AE127" s="17"/>
      <c r="AF127" s="17"/>
      <c r="AG127" s="17"/>
      <c r="AH127" s="53"/>
    </row>
    <row r="128" spans="1:34">
      <c r="A128" s="324"/>
      <c r="B128" s="75"/>
      <c r="C128" s="25"/>
      <c r="D128" s="52" t="s">
        <v>658</v>
      </c>
      <c r="E128" s="16">
        <v>10</v>
      </c>
      <c r="F128" s="16">
        <v>4</v>
      </c>
      <c r="G128" s="16">
        <v>1680</v>
      </c>
      <c r="H128" s="16"/>
      <c r="I128" s="16"/>
      <c r="J128" s="16"/>
      <c r="K128" s="16"/>
      <c r="L128" s="16"/>
      <c r="M128" s="16"/>
      <c r="N128" s="53">
        <f>1.8 * MIN(6, MAX(E128,F128)) + 0.45 * MIN(6, MIN(E128,F128)) + IF(E128&gt;6, (E128-6)*0.2) + IF(F128&gt;6, (F128-6)*0.2)</f>
        <v>13.400000000000002</v>
      </c>
      <c r="O128" s="16"/>
      <c r="P128" s="16"/>
      <c r="Q128" s="776"/>
      <c r="R128" s="65"/>
      <c r="S128" s="65"/>
      <c r="T128" s="65"/>
      <c r="U128" s="65"/>
      <c r="V128" s="65"/>
      <c r="W128" s="65"/>
      <c r="X128" s="65"/>
      <c r="Y128" s="65"/>
      <c r="Z128" s="65"/>
      <c r="AA128" s="65"/>
      <c r="AB128" s="65"/>
      <c r="AC128" s="65"/>
      <c r="AD128" s="16"/>
      <c r="AE128" s="17"/>
      <c r="AF128" s="17"/>
      <c r="AG128" s="17"/>
      <c r="AH128" s="53"/>
    </row>
    <row r="129" spans="1:34">
      <c r="A129" s="325" t="s">
        <v>180</v>
      </c>
      <c r="B129" s="74" t="s">
        <v>30</v>
      </c>
      <c r="C129" s="15" t="s">
        <v>63</v>
      </c>
      <c r="D129" s="70" t="s">
        <v>659</v>
      </c>
      <c r="E129" s="15">
        <v>1</v>
      </c>
      <c r="F129" s="15">
        <v>0</v>
      </c>
      <c r="G129" s="15"/>
      <c r="H129" s="15"/>
      <c r="I129" s="15"/>
      <c r="J129" s="15"/>
      <c r="K129" s="15"/>
      <c r="L129" s="15">
        <v>100</v>
      </c>
      <c r="M129" s="15"/>
      <c r="N129" s="74"/>
      <c r="O129" s="15"/>
      <c r="P129" s="15"/>
      <c r="Q129" s="445"/>
      <c r="R129" s="100">
        <v>2</v>
      </c>
      <c r="S129" s="100"/>
      <c r="T129" s="100"/>
      <c r="U129" s="100"/>
      <c r="V129" s="100"/>
      <c r="W129" s="100"/>
      <c r="X129" s="100"/>
      <c r="Y129" s="100"/>
      <c r="Z129" s="100"/>
      <c r="AA129" s="100"/>
      <c r="AB129" s="100"/>
      <c r="AC129" s="100"/>
      <c r="AD129" s="15"/>
      <c r="AE129" s="1191"/>
      <c r="AF129" s="1191"/>
      <c r="AG129" s="1191"/>
      <c r="AH129" s="74"/>
    </row>
    <row r="130" spans="1:34">
      <c r="B130" s="53"/>
      <c r="C130" s="16"/>
      <c r="D130" s="52" t="s">
        <v>660</v>
      </c>
      <c r="E130" s="107">
        <v>0</v>
      </c>
      <c r="F130" s="107">
        <v>1</v>
      </c>
      <c r="G130" s="16"/>
      <c r="H130" s="16"/>
      <c r="I130" s="16"/>
      <c r="J130" s="16"/>
      <c r="K130" s="16"/>
      <c r="L130" s="16">
        <v>100</v>
      </c>
      <c r="M130" s="16"/>
      <c r="N130" s="53"/>
      <c r="O130" s="16"/>
      <c r="P130" s="16"/>
      <c r="Q130" s="776"/>
      <c r="R130" s="65"/>
      <c r="S130" s="65"/>
      <c r="T130" s="65"/>
      <c r="U130" s="65"/>
      <c r="V130" s="65"/>
      <c r="W130" s="65"/>
      <c r="X130" s="65"/>
      <c r="Y130" s="65"/>
      <c r="Z130" s="65"/>
      <c r="AA130" s="65"/>
      <c r="AB130" s="65"/>
      <c r="AC130" s="65"/>
      <c r="AD130" s="16"/>
      <c r="AE130" s="17"/>
      <c r="AF130" s="17"/>
      <c r="AG130" s="17"/>
      <c r="AH130" s="53"/>
    </row>
    <row r="131" spans="1:34">
      <c r="B131" s="53"/>
      <c r="C131" s="16"/>
      <c r="D131" s="52" t="s">
        <v>661</v>
      </c>
      <c r="E131" s="107">
        <v>0</v>
      </c>
      <c r="F131" s="107">
        <v>2</v>
      </c>
      <c r="G131" s="16"/>
      <c r="H131" s="16"/>
      <c r="I131" s="16"/>
      <c r="J131" s="16"/>
      <c r="K131" s="16"/>
      <c r="L131" s="16">
        <v>250</v>
      </c>
      <c r="M131" s="16"/>
      <c r="N131" s="53">
        <f>1.8 * MIN(6, MAX(E131,F131)) + 0.45 * MIN(6, MIN(E131,F131)) + IF(E131&gt;6, (E131-6)*0.2) + IF(F131&gt;6, (F131-6)*0.2)</f>
        <v>3.6</v>
      </c>
      <c r="O131" s="16"/>
      <c r="P131" s="16"/>
      <c r="Q131" s="776"/>
      <c r="R131" s="65"/>
      <c r="S131" s="65"/>
      <c r="T131" s="65"/>
      <c r="U131" s="65"/>
      <c r="V131" s="65"/>
      <c r="W131" s="65"/>
      <c r="X131" s="65"/>
      <c r="Y131" s="65"/>
      <c r="Z131" s="65"/>
      <c r="AA131" s="65"/>
      <c r="AB131" s="65"/>
      <c r="AC131" s="65"/>
      <c r="AD131" s="16"/>
      <c r="AE131" s="17"/>
      <c r="AF131" s="17"/>
      <c r="AG131" s="17"/>
      <c r="AH131" s="53"/>
    </row>
    <row r="132" spans="1:34">
      <c r="B132" s="53"/>
      <c r="C132" s="16"/>
      <c r="D132" s="72" t="s">
        <v>662</v>
      </c>
      <c r="E132" s="681">
        <v>2</v>
      </c>
      <c r="F132" s="681">
        <v>1</v>
      </c>
      <c r="G132" s="1276"/>
      <c r="H132" s="1276"/>
      <c r="I132" s="1276"/>
      <c r="J132" s="1276"/>
      <c r="K132" s="1276"/>
      <c r="L132" s="681">
        <v>250</v>
      </c>
      <c r="M132" s="1276"/>
      <c r="N132" s="75">
        <f>1.8 * MIN(6, MAX(E132,F132)) + 0.45 * MIN(6, MIN(E132,F132)) + IF(E132&gt;6, (E132-6)*0.2) + IF(F132&gt;6, (F132-6)*0.2)</f>
        <v>4.05</v>
      </c>
      <c r="O132" s="1276"/>
      <c r="P132" s="1276"/>
      <c r="Q132" s="777"/>
      <c r="R132" s="102"/>
      <c r="S132" s="102"/>
      <c r="T132" s="102"/>
      <c r="U132" s="102"/>
      <c r="V132" s="102"/>
      <c r="W132" s="102"/>
      <c r="X132" s="102"/>
      <c r="Y132" s="102"/>
      <c r="Z132" s="102"/>
      <c r="AA132" s="102"/>
      <c r="AB132" s="102"/>
      <c r="AC132" s="102"/>
      <c r="AD132" s="1276"/>
      <c r="AE132" s="1158"/>
      <c r="AF132" s="1158"/>
      <c r="AG132" s="1158"/>
      <c r="AH132" s="75"/>
    </row>
    <row r="133" spans="1:34">
      <c r="A133" s="325" t="s">
        <v>663</v>
      </c>
      <c r="B133" s="74" t="s">
        <v>30</v>
      </c>
      <c r="C133" s="15" t="s">
        <v>261</v>
      </c>
      <c r="D133" s="52" t="s">
        <v>664</v>
      </c>
      <c r="E133" s="16">
        <v>3</v>
      </c>
      <c r="F133" s="16">
        <v>0</v>
      </c>
      <c r="G133" s="16">
        <v>275</v>
      </c>
      <c r="H133" s="16">
        <v>50</v>
      </c>
      <c r="I133" s="16"/>
      <c r="J133" s="16"/>
      <c r="K133" s="16"/>
      <c r="L133" s="16"/>
      <c r="M133" s="16"/>
      <c r="N133" s="53">
        <v>5</v>
      </c>
      <c r="O133" s="16"/>
      <c r="P133" s="16"/>
      <c r="Q133" s="776">
        <v>-0.1</v>
      </c>
      <c r="R133" s="65"/>
      <c r="S133" s="65"/>
      <c r="T133" s="65"/>
      <c r="U133" s="65"/>
      <c r="V133" s="65"/>
      <c r="W133" s="65"/>
      <c r="X133" s="65">
        <v>0.1</v>
      </c>
      <c r="Y133" s="65">
        <v>-0.15</v>
      </c>
      <c r="Z133" s="65"/>
      <c r="AA133" s="65"/>
      <c r="AB133" s="65"/>
      <c r="AC133" s="65"/>
      <c r="AD133" s="16"/>
      <c r="AE133" s="17"/>
      <c r="AF133" s="17"/>
      <c r="AG133" s="17"/>
      <c r="AH133" s="53"/>
    </row>
    <row r="134" spans="1:34">
      <c r="B134" s="53"/>
      <c r="C134" s="16"/>
      <c r="D134" s="52" t="s">
        <v>665</v>
      </c>
      <c r="E134" s="107">
        <v>4</v>
      </c>
      <c r="F134" s="107">
        <v>5</v>
      </c>
      <c r="G134" s="107">
        <v>525</v>
      </c>
      <c r="H134" s="107">
        <v>100</v>
      </c>
      <c r="I134" s="16"/>
      <c r="J134" s="107">
        <v>1</v>
      </c>
      <c r="K134" s="16"/>
      <c r="L134" s="16"/>
      <c r="M134" s="16"/>
      <c r="N134" s="53">
        <v>5</v>
      </c>
      <c r="O134" s="16"/>
      <c r="P134" s="16"/>
      <c r="Q134" s="776"/>
      <c r="R134" s="65"/>
      <c r="S134" s="65"/>
      <c r="T134" s="65"/>
      <c r="U134" s="65"/>
      <c r="V134" s="65"/>
      <c r="W134" s="65"/>
      <c r="X134" s="65"/>
      <c r="Y134" s="65"/>
      <c r="Z134" s="65"/>
      <c r="AA134" s="65"/>
      <c r="AB134" s="65"/>
      <c r="AC134" s="65"/>
      <c r="AD134" s="16"/>
      <c r="AE134" s="17"/>
      <c r="AF134" s="17"/>
      <c r="AG134" s="17"/>
      <c r="AH134" s="53"/>
    </row>
    <row r="135" spans="1:34">
      <c r="B135" s="53"/>
      <c r="C135" s="16"/>
      <c r="D135" s="52" t="s">
        <v>666</v>
      </c>
      <c r="E135" s="107">
        <v>0</v>
      </c>
      <c r="F135" s="107">
        <v>300</v>
      </c>
      <c r="G135" s="107">
        <v>37500</v>
      </c>
      <c r="H135" s="107">
        <v>20000</v>
      </c>
      <c r="I135" s="107">
        <v>20000</v>
      </c>
      <c r="J135" s="16"/>
      <c r="K135" s="16"/>
      <c r="L135" s="16"/>
      <c r="M135" s="16"/>
      <c r="N135" s="53">
        <f>1.8 * MIN(6, MAX(E135,F135)) + 0.45 * MIN(6, MIN(E135,F135)) + IF(E135&gt;6, (E135-6)*0.2) + IF(F135&gt;6, (F135-6)*0.2)</f>
        <v>69.600000000000009</v>
      </c>
      <c r="O135" s="16"/>
      <c r="P135" s="16"/>
      <c r="Q135" s="776"/>
      <c r="R135" s="65"/>
      <c r="S135" s="65"/>
      <c r="T135" s="65"/>
      <c r="U135" s="65"/>
      <c r="V135" s="65"/>
      <c r="W135" s="65"/>
      <c r="X135" s="65"/>
      <c r="Y135" s="65"/>
      <c r="Z135" s="65"/>
      <c r="AA135" s="65"/>
      <c r="AB135" s="65"/>
      <c r="AC135" s="65"/>
      <c r="AD135" s="16"/>
      <c r="AE135" s="17"/>
      <c r="AF135" s="17"/>
      <c r="AG135" s="17"/>
      <c r="AH135" s="53"/>
    </row>
    <row r="136" spans="1:34">
      <c r="A136" s="324"/>
      <c r="B136" s="75"/>
      <c r="C136" s="25"/>
      <c r="D136" s="52" t="s">
        <v>667</v>
      </c>
      <c r="E136" s="16">
        <v>120</v>
      </c>
      <c r="F136" s="16">
        <v>20</v>
      </c>
      <c r="G136" s="16">
        <v>14500</v>
      </c>
      <c r="H136" s="16">
        <v>3500</v>
      </c>
      <c r="I136" s="107">
        <v>14500</v>
      </c>
      <c r="J136" s="107">
        <v>250</v>
      </c>
      <c r="K136" s="16"/>
      <c r="L136" s="16"/>
      <c r="M136" s="16"/>
      <c r="N136" s="53">
        <f>1.8 * MIN(6, MAX(E136,F136)) + 0.45 * MIN(6, MIN(E136,F136)) + IF(E136&gt;6, (E136-6)*0.2) + IF(F136&gt;6, (F136-6)*0.2)</f>
        <v>39.099999999999994</v>
      </c>
      <c r="O136" s="16"/>
      <c r="P136" s="16"/>
      <c r="Q136" s="776"/>
      <c r="R136" s="65"/>
      <c r="S136" s="65"/>
      <c r="T136" s="65"/>
      <c r="U136" s="65"/>
      <c r="V136" s="65"/>
      <c r="W136" s="65"/>
      <c r="X136" s="65"/>
      <c r="Y136" s="65"/>
      <c r="Z136" s="65"/>
      <c r="AA136" s="65"/>
      <c r="AB136" s="65"/>
      <c r="AC136" s="65"/>
      <c r="AD136" s="16"/>
      <c r="AE136" s="17"/>
      <c r="AF136" s="17"/>
      <c r="AG136" s="17"/>
      <c r="AH136" s="53"/>
    </row>
    <row r="137" spans="1:34">
      <c r="A137" s="325" t="s">
        <v>673</v>
      </c>
      <c r="B137" s="74" t="s">
        <v>30</v>
      </c>
      <c r="C137" s="15" t="s">
        <v>261</v>
      </c>
      <c r="D137" s="70" t="s">
        <v>674</v>
      </c>
      <c r="E137" s="15">
        <v>3</v>
      </c>
      <c r="F137" s="15">
        <v>0</v>
      </c>
      <c r="G137" s="15">
        <v>100</v>
      </c>
      <c r="H137" s="15"/>
      <c r="I137" s="15"/>
      <c r="J137" s="15"/>
      <c r="K137" s="15">
        <v>200</v>
      </c>
      <c r="L137" s="15"/>
      <c r="M137" s="15"/>
      <c r="N137" s="74"/>
      <c r="O137" s="15"/>
      <c r="P137" s="15"/>
      <c r="Q137" s="445">
        <v>0.1</v>
      </c>
      <c r="R137" s="100">
        <v>0.4</v>
      </c>
      <c r="S137" s="100">
        <v>-0.2</v>
      </c>
      <c r="T137" s="100"/>
      <c r="U137" s="100"/>
      <c r="V137" s="100"/>
      <c r="W137" s="100"/>
      <c r="X137" s="100"/>
      <c r="Y137" s="100">
        <v>-1</v>
      </c>
      <c r="Z137" s="100"/>
      <c r="AA137" s="100"/>
      <c r="AB137" s="100"/>
      <c r="AC137" s="100"/>
      <c r="AD137" s="15"/>
      <c r="AE137" s="1191"/>
      <c r="AF137" s="1191"/>
      <c r="AG137" s="1191"/>
      <c r="AH137" s="74"/>
    </row>
    <row r="138" spans="1:34">
      <c r="B138" s="53"/>
      <c r="C138" s="16"/>
      <c r="D138" s="52" t="s">
        <v>675</v>
      </c>
      <c r="E138" s="107">
        <v>0</v>
      </c>
      <c r="F138" s="107">
        <v>3</v>
      </c>
      <c r="G138" s="107">
        <v>200</v>
      </c>
      <c r="H138" s="16"/>
      <c r="I138" s="16"/>
      <c r="J138" s="16"/>
      <c r="K138" s="107">
        <v>100</v>
      </c>
      <c r="L138" s="16"/>
      <c r="M138" s="16"/>
      <c r="N138" s="53"/>
      <c r="O138" s="16"/>
      <c r="P138" s="16"/>
      <c r="Q138" s="776"/>
      <c r="R138" s="65"/>
      <c r="S138" s="65"/>
      <c r="T138" s="65"/>
      <c r="U138" s="65"/>
      <c r="V138" s="65"/>
      <c r="W138" s="65"/>
      <c r="X138" s="65"/>
      <c r="Y138" s="65"/>
      <c r="Z138" s="65"/>
      <c r="AA138" s="65"/>
      <c r="AB138" s="65"/>
      <c r="AC138" s="65"/>
      <c r="AD138" s="16"/>
      <c r="AE138" s="17"/>
      <c r="AF138" s="17"/>
      <c r="AG138" s="17"/>
      <c r="AH138" s="53"/>
    </row>
    <row r="139" spans="1:34">
      <c r="B139" s="53"/>
      <c r="C139" s="16"/>
      <c r="D139" s="52" t="s">
        <v>676</v>
      </c>
      <c r="E139" s="107">
        <v>0</v>
      </c>
      <c r="F139" s="107">
        <v>5</v>
      </c>
      <c r="G139" s="107">
        <v>550</v>
      </c>
      <c r="H139" s="16"/>
      <c r="I139" s="16"/>
      <c r="J139" s="16"/>
      <c r="K139" s="107">
        <v>150</v>
      </c>
      <c r="L139" s="16"/>
      <c r="M139" s="16"/>
      <c r="N139" s="53">
        <f>1.8 * MIN(6, MAX(E139,F139)) + 0.45 * MIN(6, MIN(E139,F139)) + IF(E139&gt;6, (E139-6)*0.2) + IF(F139&gt;6, (F139-6)*0.2)</f>
        <v>9</v>
      </c>
      <c r="O139" s="16"/>
      <c r="P139" s="16"/>
      <c r="Q139" s="776"/>
      <c r="R139" s="65"/>
      <c r="S139" s="65"/>
      <c r="T139" s="65"/>
      <c r="U139" s="65"/>
      <c r="V139" s="65"/>
      <c r="W139" s="65"/>
      <c r="X139" s="65"/>
      <c r="Y139" s="65"/>
      <c r="Z139" s="65"/>
      <c r="AA139" s="65"/>
      <c r="AB139" s="65"/>
      <c r="AC139" s="65"/>
      <c r="AD139" s="16"/>
      <c r="AE139" s="17"/>
      <c r="AF139" s="17"/>
      <c r="AG139" s="17"/>
      <c r="AH139" s="53"/>
    </row>
    <row r="140" spans="1:34">
      <c r="A140" s="324"/>
      <c r="B140" s="75"/>
      <c r="C140" s="25"/>
      <c r="D140" s="72" t="s">
        <v>677</v>
      </c>
      <c r="E140" s="25">
        <v>5</v>
      </c>
      <c r="F140" s="25">
        <v>3</v>
      </c>
      <c r="G140" s="25">
        <v>400</v>
      </c>
      <c r="H140" s="25"/>
      <c r="I140" s="25"/>
      <c r="J140" s="25"/>
      <c r="K140" s="681">
        <v>400</v>
      </c>
      <c r="L140" s="25"/>
      <c r="M140" s="25"/>
      <c r="N140" s="75">
        <f>1.8 * MIN(6, MAX(E140,F140)) + 0.45 * MIN(6, MIN(E140,F140)) + IF(E140&gt;6, (E140-6)*0.2) + IF(F140&gt;6, (F140-6)*0.2)</f>
        <v>10.35</v>
      </c>
      <c r="O140" s="25"/>
      <c r="P140" s="25"/>
      <c r="Q140" s="777"/>
      <c r="R140" s="102"/>
      <c r="S140" s="102"/>
      <c r="T140" s="102"/>
      <c r="U140" s="102"/>
      <c r="V140" s="102"/>
      <c r="W140" s="102"/>
      <c r="X140" s="102"/>
      <c r="Y140" s="102"/>
      <c r="Z140" s="102"/>
      <c r="AA140" s="102"/>
      <c r="AB140" s="102"/>
      <c r="AC140" s="102"/>
      <c r="AD140" s="25"/>
      <c r="AE140" s="1158"/>
      <c r="AF140" s="1158"/>
      <c r="AG140" s="1158"/>
      <c r="AH140" s="75"/>
    </row>
    <row r="142" spans="1:34">
      <c r="A142" s="323" t="s">
        <v>92</v>
      </c>
      <c r="B142">
        <v>5</v>
      </c>
      <c r="C142" s="292"/>
      <c r="D142" s="16" t="s">
        <v>378</v>
      </c>
      <c r="G142" t="s">
        <v>604</v>
      </c>
    </row>
    <row r="143" spans="1:34">
      <c r="A143" s="323" t="s">
        <v>93</v>
      </c>
      <c r="B143">
        <v>9</v>
      </c>
      <c r="C143" s="292"/>
      <c r="D143">
        <v>1</v>
      </c>
      <c r="G143" t="s">
        <v>609</v>
      </c>
    </row>
    <row r="144" spans="1:34">
      <c r="A144" s="323" t="s">
        <v>94</v>
      </c>
      <c r="B144">
        <v>13</v>
      </c>
      <c r="C144" s="292"/>
      <c r="D144">
        <v>2</v>
      </c>
      <c r="G144" t="s">
        <v>614</v>
      </c>
    </row>
    <row r="145" spans="1:7">
      <c r="A145" s="323" t="s">
        <v>95</v>
      </c>
      <c r="B145">
        <v>17</v>
      </c>
      <c r="C145" s="292"/>
      <c r="D145">
        <v>3</v>
      </c>
      <c r="G145" t="s">
        <v>94</v>
      </c>
    </row>
    <row r="146" spans="1:7">
      <c r="A146" s="323" t="s">
        <v>96</v>
      </c>
      <c r="B146">
        <v>21</v>
      </c>
      <c r="C146" s="292"/>
      <c r="D146">
        <v>4</v>
      </c>
      <c r="G146" t="s">
        <v>361</v>
      </c>
    </row>
    <row r="147" spans="1:7">
      <c r="A147" s="323" t="s">
        <v>97</v>
      </c>
      <c r="B147">
        <v>25</v>
      </c>
      <c r="C147" s="292"/>
      <c r="D147">
        <v>5</v>
      </c>
      <c r="G147" t="s">
        <v>97</v>
      </c>
    </row>
    <row r="148" spans="1:7">
      <c r="A148" s="323" t="s">
        <v>98</v>
      </c>
      <c r="B148">
        <v>29</v>
      </c>
      <c r="C148" s="292"/>
      <c r="D148">
        <v>6</v>
      </c>
      <c r="G148" t="s">
        <v>96</v>
      </c>
    </row>
    <row r="149" spans="1:7">
      <c r="A149" s="323" t="s">
        <v>99</v>
      </c>
      <c r="B149">
        <v>33</v>
      </c>
      <c r="C149" s="292"/>
      <c r="G149" t="s">
        <v>92</v>
      </c>
    </row>
    <row r="150" spans="1:7">
      <c r="A150" s="323" t="s">
        <v>100</v>
      </c>
      <c r="B150">
        <v>37</v>
      </c>
      <c r="C150" s="292"/>
      <c r="G150" t="s">
        <v>106</v>
      </c>
    </row>
    <row r="151" spans="1:7">
      <c r="A151" s="323" t="s">
        <v>29</v>
      </c>
      <c r="B151">
        <v>41</v>
      </c>
      <c r="C151" s="292"/>
      <c r="G151" t="s">
        <v>619</v>
      </c>
    </row>
    <row r="152" spans="1:7">
      <c r="A152" s="323" t="s">
        <v>102</v>
      </c>
      <c r="B152">
        <v>45</v>
      </c>
      <c r="C152" s="292"/>
      <c r="G152" t="s">
        <v>98</v>
      </c>
    </row>
    <row r="153" spans="1:7">
      <c r="A153" s="323" t="s">
        <v>103</v>
      </c>
      <c r="B153">
        <v>49</v>
      </c>
      <c r="C153" s="292"/>
      <c r="G153" t="s">
        <v>624</v>
      </c>
    </row>
    <row r="154" spans="1:7">
      <c r="A154" s="323" t="s">
        <v>104</v>
      </c>
      <c r="B154">
        <v>53</v>
      </c>
      <c r="C154" s="292"/>
      <c r="G154" t="s">
        <v>629</v>
      </c>
    </row>
    <row r="155" spans="1:7">
      <c r="A155" s="323" t="s">
        <v>105</v>
      </c>
      <c r="B155">
        <v>57</v>
      </c>
      <c r="C155" s="292"/>
      <c r="G155" t="s">
        <v>104</v>
      </c>
    </row>
    <row r="156" spans="1:7">
      <c r="A156" s="323" t="s">
        <v>106</v>
      </c>
      <c r="B156">
        <v>61</v>
      </c>
      <c r="G156" t="s">
        <v>99</v>
      </c>
    </row>
    <row r="157" spans="1:7">
      <c r="A157" s="323" t="s">
        <v>107</v>
      </c>
      <c r="B157">
        <v>65</v>
      </c>
      <c r="G157" t="s">
        <v>635</v>
      </c>
    </row>
    <row r="158" spans="1:7">
      <c r="A158" s="323" t="s">
        <v>347</v>
      </c>
      <c r="B158">
        <v>69</v>
      </c>
      <c r="G158" t="s">
        <v>95</v>
      </c>
    </row>
    <row r="159" spans="1:7">
      <c r="A159" s="323" t="s">
        <v>361</v>
      </c>
      <c r="B159">
        <v>73</v>
      </c>
      <c r="G159" t="s">
        <v>640</v>
      </c>
    </row>
    <row r="160" spans="1:7">
      <c r="A160" s="323" t="s">
        <v>150</v>
      </c>
      <c r="B160">
        <v>77</v>
      </c>
      <c r="G160" t="s">
        <v>645</v>
      </c>
    </row>
    <row r="161" spans="1:7">
      <c r="A161" s="322" t="s">
        <v>579</v>
      </c>
      <c r="B161">
        <v>81</v>
      </c>
      <c r="G161" t="s">
        <v>102</v>
      </c>
    </row>
    <row r="162" spans="1:7">
      <c r="A162" s="323" t="s">
        <v>604</v>
      </c>
      <c r="B162">
        <v>85</v>
      </c>
      <c r="G162" t="s">
        <v>649</v>
      </c>
    </row>
    <row r="163" spans="1:7">
      <c r="A163" s="323" t="s">
        <v>609</v>
      </c>
      <c r="B163">
        <v>89</v>
      </c>
      <c r="G163" t="s">
        <v>654</v>
      </c>
    </row>
    <row r="164" spans="1:7">
      <c r="A164" s="323" t="s">
        <v>614</v>
      </c>
      <c r="B164">
        <v>93</v>
      </c>
      <c r="G164" t="s">
        <v>100</v>
      </c>
    </row>
    <row r="165" spans="1:7">
      <c r="A165" s="323" t="s">
        <v>619</v>
      </c>
      <c r="B165">
        <v>97</v>
      </c>
      <c r="G165" t="s">
        <v>180</v>
      </c>
    </row>
    <row r="166" spans="1:7">
      <c r="A166" s="323" t="s">
        <v>624</v>
      </c>
      <c r="B166">
        <v>101</v>
      </c>
      <c r="G166" t="s">
        <v>347</v>
      </c>
    </row>
    <row r="167" spans="1:7">
      <c r="A167" s="323" t="s">
        <v>629</v>
      </c>
      <c r="B167">
        <v>105</v>
      </c>
      <c r="G167" t="s">
        <v>663</v>
      </c>
    </row>
    <row r="168" spans="1:7">
      <c r="A168" s="323" t="s">
        <v>635</v>
      </c>
      <c r="B168">
        <v>109</v>
      </c>
      <c r="G168" t="s">
        <v>107</v>
      </c>
    </row>
    <row r="169" spans="1:7">
      <c r="A169" s="323" t="s">
        <v>640</v>
      </c>
      <c r="B169">
        <v>113</v>
      </c>
      <c r="G169" t="s">
        <v>105</v>
      </c>
    </row>
    <row r="170" spans="1:7">
      <c r="A170" s="323" t="s">
        <v>645</v>
      </c>
      <c r="B170">
        <v>117</v>
      </c>
      <c r="G170" t="s">
        <v>93</v>
      </c>
    </row>
    <row r="171" spans="1:7">
      <c r="A171" s="323" t="s">
        <v>649</v>
      </c>
      <c r="B171">
        <v>121</v>
      </c>
      <c r="G171" t="s">
        <v>579</v>
      </c>
    </row>
    <row r="172" spans="1:7">
      <c r="A172" s="323" t="s">
        <v>654</v>
      </c>
      <c r="B172">
        <v>125</v>
      </c>
      <c r="G172" t="s">
        <v>150</v>
      </c>
    </row>
    <row r="173" spans="1:7">
      <c r="A173" s="323" t="s">
        <v>180</v>
      </c>
      <c r="B173">
        <v>129</v>
      </c>
      <c r="G173" t="s">
        <v>29</v>
      </c>
    </row>
    <row r="174" spans="1:7">
      <c r="A174" s="323" t="s">
        <v>663</v>
      </c>
      <c r="B174">
        <v>133</v>
      </c>
      <c r="G174" t="s">
        <v>103</v>
      </c>
    </row>
    <row r="175" spans="1:7">
      <c r="A175" s="323" t="s">
        <v>673</v>
      </c>
      <c r="B175">
        <v>137</v>
      </c>
      <c r="G175" t="s">
        <v>673</v>
      </c>
    </row>
    <row r="177" spans="1:7">
      <c r="A177" s="322" t="s">
        <v>97</v>
      </c>
      <c r="B177" t="s">
        <v>604</v>
      </c>
      <c r="C177" s="98" t="s">
        <v>104</v>
      </c>
      <c r="D177" t="s">
        <v>619</v>
      </c>
      <c r="E177" t="s">
        <v>619</v>
      </c>
      <c r="F177" s="98" t="s">
        <v>180</v>
      </c>
      <c r="G177" s="98" t="s">
        <v>614</v>
      </c>
    </row>
    <row r="178" spans="1:7">
      <c r="A178" s="322" t="s">
        <v>663</v>
      </c>
      <c r="B178" t="s">
        <v>361</v>
      </c>
      <c r="C178" s="98" t="s">
        <v>673</v>
      </c>
      <c r="D178" t="s">
        <v>98</v>
      </c>
      <c r="E178" t="s">
        <v>624</v>
      </c>
      <c r="F178" s="98" t="s">
        <v>673</v>
      </c>
    </row>
    <row r="179" spans="1:7">
      <c r="B179" t="s">
        <v>619</v>
      </c>
      <c r="D179" t="s">
        <v>104</v>
      </c>
      <c r="E179" t="s">
        <v>679</v>
      </c>
    </row>
    <row r="180" spans="1:7">
      <c r="B180" t="s">
        <v>98</v>
      </c>
      <c r="D180" t="s">
        <v>654</v>
      </c>
      <c r="E180" t="s">
        <v>103</v>
      </c>
    </row>
    <row r="181" spans="1:7">
      <c r="B181" t="s">
        <v>104</v>
      </c>
      <c r="D181" t="s">
        <v>180</v>
      </c>
      <c r="E181" t="s">
        <v>673</v>
      </c>
    </row>
    <row r="182" spans="1:7">
      <c r="B182" t="s">
        <v>95</v>
      </c>
      <c r="D182" t="s">
        <v>107</v>
      </c>
    </row>
    <row r="183" spans="1:7">
      <c r="B183" t="s">
        <v>654</v>
      </c>
      <c r="D183" t="s">
        <v>103</v>
      </c>
    </row>
    <row r="184" spans="1:7">
      <c r="B184" t="s">
        <v>180</v>
      </c>
      <c r="D184" t="s">
        <v>673</v>
      </c>
    </row>
    <row r="185" spans="1:7">
      <c r="B185" t="s">
        <v>107</v>
      </c>
    </row>
    <row r="186" spans="1:7">
      <c r="B186" t="s">
        <v>103</v>
      </c>
    </row>
    <row r="187" spans="1:7">
      <c r="B187" t="s">
        <v>673</v>
      </c>
    </row>
  </sheetData>
  <phoneticPr fontId="0" type="noConversion"/>
  <pageMargins left="0.75" right="0.75" top="1" bottom="1" header="0.5" footer="0.5"/>
  <headerFooter alignWithMargins="0"/>
  <legacyDrawing r:id="rId1"/>
</worksheet>
</file>

<file path=xl/worksheets/sheet14.xml><?xml version="1.0" encoding="utf-8"?>
<worksheet xmlns="http://schemas.openxmlformats.org/spreadsheetml/2006/main" xmlns:r="http://schemas.openxmlformats.org/officeDocument/2006/relationships">
  <sheetPr codeName="Sheet12"/>
  <dimension ref="A2:N1198"/>
  <sheetViews>
    <sheetView zoomScale="85" workbookViewId="0"/>
  </sheetViews>
  <sheetFormatPr defaultRowHeight="12.75"/>
  <cols>
    <col min="2" max="2" width="11.5703125" bestFit="1" customWidth="1"/>
    <col min="3" max="3" width="11.140625" customWidth="1"/>
    <col min="4" max="4" width="9.42578125" bestFit="1" customWidth="1"/>
    <col min="5" max="5" width="13.7109375" bestFit="1" customWidth="1"/>
    <col min="6" max="6" width="11.28515625" customWidth="1"/>
    <col min="7" max="7" width="10.85546875" bestFit="1" customWidth="1"/>
    <col min="8" max="9" width="9.42578125" bestFit="1" customWidth="1"/>
    <col min="10" max="10" width="12.85546875" bestFit="1" customWidth="1"/>
    <col min="11" max="11" width="9.28515625" bestFit="1" customWidth="1"/>
    <col min="12" max="12" width="12.7109375" bestFit="1" customWidth="1"/>
    <col min="13" max="13" width="8.42578125" bestFit="1" customWidth="1"/>
    <col min="14" max="14" width="7.28515625" bestFit="1" customWidth="1"/>
  </cols>
  <sheetData>
    <row r="2" spans="2:11" ht="13.5" thickBot="1">
      <c r="B2" s="280" t="s">
        <v>249</v>
      </c>
      <c r="C2" s="15" t="s">
        <v>299</v>
      </c>
      <c r="D2" s="15" t="s">
        <v>300</v>
      </c>
      <c r="E2" s="15" t="s">
        <v>252</v>
      </c>
      <c r="F2" s="15" t="s">
        <v>251</v>
      </c>
      <c r="G2" s="15"/>
      <c r="H2" s="15"/>
      <c r="I2" s="15" t="s">
        <v>250</v>
      </c>
      <c r="J2" s="15" t="s">
        <v>253</v>
      </c>
      <c r="K2" s="74"/>
    </row>
    <row r="3" spans="2:11" ht="13.5" thickBot="1">
      <c r="B3" s="52" t="s">
        <v>390</v>
      </c>
      <c r="C3" s="361">
        <v>3845</v>
      </c>
      <c r="D3" s="436">
        <v>3220</v>
      </c>
      <c r="E3" s="16">
        <f t="shared" ref="E3:E17" si="0">MAX(10,ROUND($F3*$D3,0))</f>
        <v>322</v>
      </c>
      <c r="F3" s="281">
        <f>MIN(0.15, 0.25 * ( 0.7 - EXP( -1.3 * $D3 / $C3 ) ))*1.1</f>
        <v>9.9918948647991029E-2</v>
      </c>
      <c r="G3" s="751"/>
      <c r="H3" s="16"/>
      <c r="I3" s="437">
        <v>500</v>
      </c>
      <c r="J3" s="438">
        <f t="shared" ref="J3:J17" si="1">25*$I3</f>
        <v>12500</v>
      </c>
      <c r="K3" s="53"/>
    </row>
    <row r="4" spans="2:11">
      <c r="B4" s="52" t="s">
        <v>255</v>
      </c>
      <c r="C4" s="16">
        <f t="shared" ref="C4:C17" si="2">C3</f>
        <v>3845</v>
      </c>
      <c r="D4" s="36">
        <f t="shared" ref="D4:D17" si="3">D3+100</f>
        <v>3320</v>
      </c>
      <c r="E4" s="16">
        <f t="shared" si="0"/>
        <v>342</v>
      </c>
      <c r="F4" s="281">
        <f t="shared" ref="F4:F17" si="4">MIN(0.15, 0.25 * ( 0.7 - EXP( -1.3 * $D4 / $C4 ) ))*1.1</f>
        <v>0.10299680270207687</v>
      </c>
      <c r="G4" s="751"/>
      <c r="H4" s="16"/>
      <c r="I4" s="285">
        <f t="shared" ref="I4:I17" si="5">I3+25</f>
        <v>525</v>
      </c>
      <c r="J4" s="285">
        <f t="shared" si="1"/>
        <v>13125</v>
      </c>
      <c r="K4" s="53"/>
    </row>
    <row r="5" spans="2:11">
      <c r="B5" s="282" t="s">
        <v>256</v>
      </c>
      <c r="C5" s="16">
        <f t="shared" si="2"/>
        <v>3845</v>
      </c>
      <c r="D5" s="36">
        <f t="shared" si="3"/>
        <v>3420</v>
      </c>
      <c r="E5" s="16">
        <f t="shared" si="0"/>
        <v>362</v>
      </c>
      <c r="F5" s="281">
        <f t="shared" si="4"/>
        <v>0.10597233359780676</v>
      </c>
      <c r="G5" s="751"/>
      <c r="H5" s="16"/>
      <c r="I5" s="16">
        <f t="shared" si="5"/>
        <v>550</v>
      </c>
      <c r="J5" s="16">
        <f t="shared" si="1"/>
        <v>13750</v>
      </c>
      <c r="K5" s="53"/>
    </row>
    <row r="6" spans="2:11">
      <c r="B6" s="52"/>
      <c r="C6" s="16">
        <f t="shared" si="2"/>
        <v>3845</v>
      </c>
      <c r="D6" s="36">
        <f t="shared" si="3"/>
        <v>3520</v>
      </c>
      <c r="E6" s="16">
        <f t="shared" si="0"/>
        <v>383</v>
      </c>
      <c r="F6" s="281">
        <f t="shared" si="4"/>
        <v>0.10884894306526666</v>
      </c>
      <c r="G6" s="751"/>
      <c r="H6" s="16"/>
      <c r="I6" s="16">
        <f t="shared" si="5"/>
        <v>575</v>
      </c>
      <c r="J6" s="16">
        <f t="shared" si="1"/>
        <v>14375</v>
      </c>
      <c r="K6" s="53"/>
    </row>
    <row r="7" spans="2:11">
      <c r="B7" s="52"/>
      <c r="C7" s="16">
        <f t="shared" si="2"/>
        <v>3845</v>
      </c>
      <c r="D7" s="36">
        <f t="shared" si="3"/>
        <v>3620</v>
      </c>
      <c r="E7" s="16">
        <f t="shared" si="0"/>
        <v>404</v>
      </c>
      <c r="F7" s="281">
        <f t="shared" si="4"/>
        <v>0.11162991974413593</v>
      </c>
      <c r="G7" s="751"/>
      <c r="H7" s="16"/>
      <c r="I7" s="16">
        <f t="shared" si="5"/>
        <v>600</v>
      </c>
      <c r="J7" s="16">
        <f t="shared" si="1"/>
        <v>15000</v>
      </c>
      <c r="K7" s="53"/>
    </row>
    <row r="8" spans="2:11">
      <c r="B8" s="314" t="s">
        <v>297</v>
      </c>
      <c r="C8" s="16">
        <f t="shared" si="2"/>
        <v>3845</v>
      </c>
      <c r="D8" s="36">
        <f t="shared" si="3"/>
        <v>3720</v>
      </c>
      <c r="E8" s="16">
        <f t="shared" si="0"/>
        <v>425</v>
      </c>
      <c r="F8" s="281">
        <f t="shared" si="4"/>
        <v>0.11431844294337434</v>
      </c>
      <c r="G8" s="751"/>
      <c r="H8" s="16"/>
      <c r="I8" s="16">
        <f t="shared" si="5"/>
        <v>625</v>
      </c>
      <c r="J8" s="16">
        <f t="shared" si="1"/>
        <v>15625</v>
      </c>
      <c r="K8" s="53"/>
    </row>
    <row r="9" spans="2:11">
      <c r="B9" s="142" t="str">
        <f>CONCATENATE( CONCATENATE(TEXT(C3*0.75,0)," - "), TEXT(C3*1.33,0))</f>
        <v>2884 - 5114</v>
      </c>
      <c r="C9" s="16">
        <f t="shared" si="2"/>
        <v>3845</v>
      </c>
      <c r="D9" s="36">
        <f t="shared" si="3"/>
        <v>3820</v>
      </c>
      <c r="E9" s="16">
        <f t="shared" si="0"/>
        <v>447</v>
      </c>
      <c r="F9" s="281">
        <f t="shared" si="4"/>
        <v>0.11691758627591825</v>
      </c>
      <c r="G9" s="751"/>
      <c r="H9" s="16"/>
      <c r="I9" s="16">
        <f t="shared" si="5"/>
        <v>650</v>
      </c>
      <c r="J9" s="16">
        <f t="shared" si="1"/>
        <v>16250</v>
      </c>
      <c r="K9" s="53"/>
    </row>
    <row r="10" spans="2:11">
      <c r="B10" s="142"/>
      <c r="C10" s="16">
        <f t="shared" si="2"/>
        <v>3845</v>
      </c>
      <c r="D10" s="36">
        <f t="shared" si="3"/>
        <v>3920</v>
      </c>
      <c r="E10" s="16">
        <f t="shared" si="0"/>
        <v>468</v>
      </c>
      <c r="F10" s="281">
        <f t="shared" si="4"/>
        <v>0.11943032117254147</v>
      </c>
      <c r="G10" s="751"/>
      <c r="H10" s="16"/>
      <c r="I10" s="16">
        <f t="shared" si="5"/>
        <v>675</v>
      </c>
      <c r="J10" s="16">
        <f t="shared" si="1"/>
        <v>16875</v>
      </c>
      <c r="K10" s="53"/>
    </row>
    <row r="11" spans="2:11">
      <c r="B11" s="52"/>
      <c r="C11" s="16">
        <f t="shared" si="2"/>
        <v>3845</v>
      </c>
      <c r="D11" s="36">
        <f t="shared" si="3"/>
        <v>4020</v>
      </c>
      <c r="E11" s="16">
        <f t="shared" si="0"/>
        <v>490</v>
      </c>
      <c r="F11" s="281">
        <f t="shared" si="4"/>
        <v>0.12185952027889797</v>
      </c>
      <c r="G11" s="751"/>
      <c r="H11" s="16"/>
      <c r="I11" s="16">
        <f t="shared" si="5"/>
        <v>700</v>
      </c>
      <c r="J11" s="16">
        <f t="shared" si="1"/>
        <v>17500</v>
      </c>
      <c r="K11" s="53"/>
    </row>
    <row r="12" spans="2:11">
      <c r="B12" s="314" t="s">
        <v>298</v>
      </c>
      <c r="C12" s="16">
        <f t="shared" si="2"/>
        <v>3845</v>
      </c>
      <c r="D12" s="36">
        <f t="shared" si="3"/>
        <v>4120</v>
      </c>
      <c r="E12" s="16">
        <f t="shared" si="0"/>
        <v>512</v>
      </c>
      <c r="F12" s="281">
        <f t="shared" si="4"/>
        <v>0.12420796073962995</v>
      </c>
      <c r="G12" s="751"/>
      <c r="H12" s="16"/>
      <c r="I12" s="16">
        <f t="shared" si="5"/>
        <v>725</v>
      </c>
      <c r="J12" s="16">
        <f t="shared" si="1"/>
        <v>18125</v>
      </c>
      <c r="K12" s="53"/>
    </row>
    <row r="13" spans="2:11">
      <c r="B13" s="142" t="str">
        <f>CONCATENATE(CONCATENATE(TEXT(C3*0.6,0)," - "),TEXT(C3*1.66,0))</f>
        <v>2307 - 6383</v>
      </c>
      <c r="C13" s="16">
        <f t="shared" si="2"/>
        <v>3845</v>
      </c>
      <c r="D13" s="36">
        <f t="shared" si="3"/>
        <v>4220</v>
      </c>
      <c r="E13" s="16">
        <f t="shared" si="0"/>
        <v>534</v>
      </c>
      <c r="F13" s="281">
        <f t="shared" si="4"/>
        <v>0.12647832737329595</v>
      </c>
      <c r="G13" s="751"/>
      <c r="H13" s="16"/>
      <c r="I13" s="16">
        <f t="shared" si="5"/>
        <v>750</v>
      </c>
      <c r="J13" s="16">
        <f t="shared" si="1"/>
        <v>18750</v>
      </c>
      <c r="K13" s="53"/>
    </row>
    <row r="14" spans="2:11">
      <c r="B14" s="142"/>
      <c r="C14" s="16">
        <f t="shared" si="2"/>
        <v>3845</v>
      </c>
      <c r="D14" s="36">
        <f t="shared" si="3"/>
        <v>4320</v>
      </c>
      <c r="E14" s="16">
        <f t="shared" si="0"/>
        <v>556</v>
      </c>
      <c r="F14" s="281">
        <f t="shared" si="4"/>
        <v>0.12867321574174848</v>
      </c>
      <c r="G14" s="751"/>
      <c r="H14" s="16"/>
      <c r="I14" s="16">
        <f t="shared" si="5"/>
        <v>775</v>
      </c>
      <c r="J14" s="16">
        <f t="shared" si="1"/>
        <v>19375</v>
      </c>
      <c r="K14" s="53"/>
    </row>
    <row r="15" spans="2:11">
      <c r="B15" s="52"/>
      <c r="C15" s="16">
        <f t="shared" si="2"/>
        <v>3845</v>
      </c>
      <c r="D15" s="36">
        <f t="shared" si="3"/>
        <v>4420</v>
      </c>
      <c r="E15" s="16">
        <f t="shared" si="0"/>
        <v>578</v>
      </c>
      <c r="F15" s="281">
        <f t="shared" si="4"/>
        <v>0.13079513511747026</v>
      </c>
      <c r="G15" s="751"/>
      <c r="H15" s="16"/>
      <c r="I15" s="16">
        <f t="shared" si="5"/>
        <v>800</v>
      </c>
      <c r="J15" s="16">
        <f t="shared" si="1"/>
        <v>20000</v>
      </c>
      <c r="K15" s="53"/>
    </row>
    <row r="16" spans="2:11">
      <c r="B16" s="52"/>
      <c r="C16" s="16">
        <f t="shared" si="2"/>
        <v>3845</v>
      </c>
      <c r="D16" s="36">
        <f t="shared" si="3"/>
        <v>4520</v>
      </c>
      <c r="E16" s="16">
        <f t="shared" si="0"/>
        <v>600</v>
      </c>
      <c r="F16" s="281">
        <f t="shared" si="4"/>
        <v>0.13284651135226169</v>
      </c>
      <c r="G16" s="751"/>
      <c r="H16" s="16"/>
      <c r="I16" s="16">
        <f t="shared" si="5"/>
        <v>825</v>
      </c>
      <c r="J16" s="16">
        <f t="shared" si="1"/>
        <v>20625</v>
      </c>
      <c r="K16" s="53"/>
    </row>
    <row r="17" spans="1:14">
      <c r="B17" s="52"/>
      <c r="C17" s="16">
        <f t="shared" si="2"/>
        <v>3845</v>
      </c>
      <c r="D17" s="36">
        <f t="shared" si="3"/>
        <v>4620</v>
      </c>
      <c r="E17" s="16">
        <f t="shared" si="0"/>
        <v>623</v>
      </c>
      <c r="F17" s="281">
        <f t="shared" si="4"/>
        <v>0.13482968965055847</v>
      </c>
      <c r="G17" s="751"/>
      <c r="H17" s="16"/>
      <c r="I17" s="16">
        <f t="shared" si="5"/>
        <v>850</v>
      </c>
      <c r="J17" s="16">
        <f t="shared" si="1"/>
        <v>21250</v>
      </c>
      <c r="K17" s="53"/>
    </row>
    <row r="18" spans="1:14">
      <c r="B18" s="72"/>
      <c r="C18" s="25"/>
      <c r="D18" s="25"/>
      <c r="E18" s="25"/>
      <c r="F18" s="25"/>
      <c r="G18" s="25"/>
      <c r="H18" s="1432" t="s">
        <v>508</v>
      </c>
      <c r="I18" s="1432"/>
      <c r="J18" s="1432"/>
      <c r="K18" s="1471"/>
    </row>
    <row r="20" spans="1:14" ht="13.5" thickBot="1">
      <c r="H20" s="9"/>
      <c r="I20" s="9"/>
      <c r="L20" t="s">
        <v>500</v>
      </c>
    </row>
    <row r="21" spans="1:14" ht="13.5" thickBot="1">
      <c r="E21" t="s">
        <v>312</v>
      </c>
      <c r="F21" s="968">
        <v>0.125</v>
      </c>
      <c r="H21" s="9"/>
      <c r="I21" s="9"/>
      <c r="J21" t="s">
        <v>501</v>
      </c>
      <c r="K21" t="s">
        <v>502</v>
      </c>
      <c r="L21" s="967">
        <v>0.3</v>
      </c>
      <c r="M21" t="s">
        <v>503</v>
      </c>
    </row>
    <row r="22" spans="1:14">
      <c r="A22" s="325" t="s">
        <v>102</v>
      </c>
      <c r="B22" s="15" t="s">
        <v>30</v>
      </c>
      <c r="C22" s="965"/>
      <c r="D22" s="15" t="s">
        <v>152</v>
      </c>
      <c r="E22" s="15">
        <v>4</v>
      </c>
      <c r="F22" s="16"/>
      <c r="G22" s="15">
        <v>325</v>
      </c>
      <c r="H22" s="15">
        <v>25</v>
      </c>
      <c r="I22" s="74">
        <v>5</v>
      </c>
      <c r="J22" s="9"/>
      <c r="K22" s="9">
        <f>(K29-K28-K27)*C22</f>
        <v>0</v>
      </c>
      <c r="M22" s="9">
        <f>J22*F22*(1+L21)</f>
        <v>0</v>
      </c>
    </row>
    <row r="23" spans="1:14">
      <c r="A23" s="323"/>
      <c r="B23" s="16"/>
      <c r="C23" s="367">
        <f>1-C24</f>
        <v>0.5</v>
      </c>
      <c r="D23" s="16" t="s">
        <v>153</v>
      </c>
      <c r="E23" s="16"/>
      <c r="F23" s="16">
        <v>3</v>
      </c>
      <c r="G23" s="16">
        <v>300</v>
      </c>
      <c r="H23" s="16">
        <v>15</v>
      </c>
      <c r="I23" s="53">
        <v>5</v>
      </c>
      <c r="J23" s="9">
        <f>K23/I23</f>
        <v>6412.7</v>
      </c>
      <c r="K23" s="9">
        <f>(K29-K28-K27)*C23</f>
        <v>32063.5</v>
      </c>
      <c r="M23" s="9">
        <f>J23*F23*(1+L21)</f>
        <v>25009.53</v>
      </c>
    </row>
    <row r="24" spans="1:14">
      <c r="A24" s="323"/>
      <c r="B24" s="16"/>
      <c r="C24" s="367">
        <v>0.5</v>
      </c>
      <c r="D24" s="16" t="s">
        <v>154</v>
      </c>
      <c r="E24" s="16">
        <f>1+F21*10</f>
        <v>2.25</v>
      </c>
      <c r="F24" s="16">
        <f>4+F21*10</f>
        <v>5.25</v>
      </c>
      <c r="G24" s="16">
        <v>1000</v>
      </c>
      <c r="H24" s="16">
        <v>55</v>
      </c>
      <c r="I24" s="53">
        <f>1.8 * MIN(6, MAX(E24,F24)) + 0.45 * MIN(6, MIN(E24,F24)) + IF(E24&gt;6, (E24-6)*0.2) + IF(F24&gt;6, (F24-6)*0.2)</f>
        <v>10.4625</v>
      </c>
      <c r="J24" s="9">
        <f>K24/I24</f>
        <v>3064.611708482676</v>
      </c>
      <c r="K24" s="9">
        <f>(K29-K28-K27)*C24</f>
        <v>32063.5</v>
      </c>
      <c r="M24" s="9">
        <f>J24*F24*(1+L21)</f>
        <v>20915.974910394267</v>
      </c>
    </row>
    <row r="25" spans="1:14" ht="13.5" thickBot="1">
      <c r="A25" s="324"/>
      <c r="B25" s="25"/>
      <c r="C25" s="966"/>
      <c r="D25" s="25" t="s">
        <v>155</v>
      </c>
      <c r="E25" s="25">
        <v>6</v>
      </c>
      <c r="F25" s="25">
        <v>0</v>
      </c>
      <c r="G25" s="25">
        <v>1200</v>
      </c>
      <c r="H25" s="25">
        <v>55</v>
      </c>
      <c r="I25" s="53">
        <f>1.8 * MIN(6, MAX(E25,F25)) + 0.45 * MIN(6, MIN(E25,F25)) + IF(E25&gt;6, (E25-6)*0.2) + IF(F25&gt;6, (F25-6)*0.2)</f>
        <v>10.8</v>
      </c>
      <c r="J25" s="9"/>
      <c r="K25" s="9">
        <f>(K29-K28-K27)*C25</f>
        <v>0</v>
      </c>
      <c r="M25" s="9">
        <f>J25*F25*(1+L21)</f>
        <v>0</v>
      </c>
    </row>
    <row r="26" spans="1:14">
      <c r="C26" s="11">
        <f>SUM(C22:C25)</f>
        <v>1</v>
      </c>
      <c r="D26" s="107" t="s">
        <v>24</v>
      </c>
      <c r="F26" s="107">
        <v>1</v>
      </c>
      <c r="H26" s="9"/>
      <c r="I26" s="107" t="s">
        <v>24</v>
      </c>
      <c r="J26" s="965">
        <v>5000</v>
      </c>
      <c r="M26" s="9">
        <f>J26*F26*(1+L21)</f>
        <v>6500</v>
      </c>
    </row>
    <row r="27" spans="1:14">
      <c r="H27" s="9"/>
      <c r="I27" s="9" t="s">
        <v>498</v>
      </c>
      <c r="J27" s="439">
        <v>1250</v>
      </c>
      <c r="K27" s="9">
        <f>J27*25</f>
        <v>31250</v>
      </c>
      <c r="M27" s="969">
        <f>SUM(M22:M26)</f>
        <v>52425.504910394266</v>
      </c>
      <c r="N27" t="s">
        <v>503</v>
      </c>
    </row>
    <row r="28" spans="1:14" ht="13.5" thickBot="1">
      <c r="H28" s="9"/>
      <c r="I28" s="9" t="s">
        <v>499</v>
      </c>
      <c r="J28" s="966">
        <v>750</v>
      </c>
      <c r="K28" s="9">
        <f>5*J28</f>
        <v>3750</v>
      </c>
    </row>
    <row r="29" spans="1:14" ht="13.5" thickBot="1">
      <c r="H29" s="9"/>
      <c r="I29" s="9"/>
      <c r="K29" s="964">
        <v>99127</v>
      </c>
    </row>
    <row r="30" spans="1:14">
      <c r="H30" s="9"/>
      <c r="I30" s="9"/>
    </row>
    <row r="31" spans="1:14" ht="13.5" thickBot="1">
      <c r="H31" s="9"/>
      <c r="I31" s="9"/>
      <c r="L31" t="s">
        <v>512</v>
      </c>
    </row>
    <row r="32" spans="1:14" ht="13.5" thickBot="1">
      <c r="H32" s="9"/>
      <c r="I32" s="9"/>
      <c r="J32" t="s">
        <v>501</v>
      </c>
      <c r="K32" t="s">
        <v>502</v>
      </c>
      <c r="L32" s="967">
        <v>0.2</v>
      </c>
      <c r="M32" t="s">
        <v>503</v>
      </c>
      <c r="N32" t="s">
        <v>514</v>
      </c>
    </row>
    <row r="33" spans="1:14">
      <c r="A33" s="325" t="s">
        <v>100</v>
      </c>
      <c r="B33" s="74" t="s">
        <v>30</v>
      </c>
      <c r="C33" s="965"/>
      <c r="D33" s="70" t="s">
        <v>148</v>
      </c>
      <c r="E33" s="15">
        <v>3</v>
      </c>
      <c r="F33" s="15"/>
      <c r="G33" s="15">
        <v>325</v>
      </c>
      <c r="H33" s="15">
        <v>25</v>
      </c>
      <c r="I33" s="74">
        <v>5</v>
      </c>
      <c r="J33" s="9"/>
      <c r="K33" s="9">
        <f>(K40-K39-K38)*C33</f>
        <v>0</v>
      </c>
      <c r="M33" s="9"/>
      <c r="N33" s="9"/>
    </row>
    <row r="34" spans="1:14">
      <c r="A34" s="323"/>
      <c r="B34" s="53"/>
      <c r="C34" s="367">
        <f>1-C36</f>
        <v>0.4</v>
      </c>
      <c r="D34" s="52" t="s">
        <v>149</v>
      </c>
      <c r="E34" s="16"/>
      <c r="F34" s="16">
        <v>3</v>
      </c>
      <c r="G34" s="16">
        <v>375</v>
      </c>
      <c r="H34" s="16">
        <v>15</v>
      </c>
      <c r="I34" s="53">
        <v>5</v>
      </c>
      <c r="J34" s="9">
        <f>K34/I34</f>
        <v>14126</v>
      </c>
      <c r="K34" s="9">
        <f>(K40-K39-K38)*C34</f>
        <v>70630</v>
      </c>
      <c r="M34" s="976">
        <f>J34*F34*(1+L32)</f>
        <v>50853.599999999999</v>
      </c>
      <c r="N34" s="9"/>
    </row>
    <row r="35" spans="1:14">
      <c r="A35" s="323"/>
      <c r="B35" s="53"/>
      <c r="C35" s="367"/>
      <c r="D35" s="52" t="s">
        <v>373</v>
      </c>
      <c r="E35" s="16">
        <v>5</v>
      </c>
      <c r="F35" s="16">
        <v>3</v>
      </c>
      <c r="G35" s="16">
        <v>1025</v>
      </c>
      <c r="H35" s="16">
        <v>80</v>
      </c>
      <c r="I35" s="53">
        <f>1.8 * MIN(6, MAX(E35,F35)) + 0.45 * MIN(6, MIN(E35,F35)) + IF(E35&gt;6, (E35-6)*0.2) + IF(F35&gt;6, (F35-6)*0.2)</f>
        <v>10.35</v>
      </c>
      <c r="J35" s="9">
        <f>K35/I35</f>
        <v>0</v>
      </c>
      <c r="K35" s="9">
        <f>(K40-K39-K38)*C35</f>
        <v>0</v>
      </c>
      <c r="M35" s="9"/>
      <c r="N35" s="9"/>
    </row>
    <row r="36" spans="1:14" ht="13.5" thickBot="1">
      <c r="A36" s="324"/>
      <c r="B36" s="75"/>
      <c r="C36" s="975">
        <v>0.6</v>
      </c>
      <c r="D36" s="72" t="s">
        <v>151</v>
      </c>
      <c r="E36" s="25">
        <v>6</v>
      </c>
      <c r="F36" s="25">
        <v>2</v>
      </c>
      <c r="G36" s="25">
        <v>1300</v>
      </c>
      <c r="H36" s="25">
        <v>80</v>
      </c>
      <c r="I36" s="53">
        <f>1.8 * MIN(6, MAX(E36,F36)) + 0.45 * MIN(6, MIN(E36,F36)) + IF(E36&gt;6, (E36-6)*0.2) + IF(F36&gt;6, (F36-6)*0.2)</f>
        <v>11.700000000000001</v>
      </c>
      <c r="J36" s="9">
        <f>K36/I36</f>
        <v>9055.1282051282051</v>
      </c>
      <c r="K36" s="9">
        <f>(K40-K39-K38)*C36</f>
        <v>105945</v>
      </c>
      <c r="M36" s="9"/>
      <c r="N36" s="976">
        <f>J36*E36</f>
        <v>54330.769230769234</v>
      </c>
    </row>
    <row r="37" spans="1:14">
      <c r="F37" s="107">
        <v>1</v>
      </c>
      <c r="H37" s="9"/>
      <c r="I37" s="107" t="s">
        <v>24</v>
      </c>
      <c r="J37" s="965">
        <v>1000</v>
      </c>
      <c r="M37" s="976">
        <f>J37*F37*(1+L35)</f>
        <v>1000</v>
      </c>
      <c r="N37" s="9"/>
    </row>
    <row r="38" spans="1:14">
      <c r="H38" s="9"/>
      <c r="I38" s="9" t="s">
        <v>498</v>
      </c>
      <c r="J38" s="439">
        <v>2337</v>
      </c>
      <c r="K38" s="9">
        <f>J38*25</f>
        <v>58425</v>
      </c>
      <c r="M38" s="969"/>
      <c r="N38" s="969"/>
    </row>
    <row r="39" spans="1:14" ht="13.5" thickBot="1">
      <c r="H39" s="9"/>
      <c r="I39" s="9" t="s">
        <v>513</v>
      </c>
      <c r="J39" s="966">
        <v>1000</v>
      </c>
      <c r="K39" s="9">
        <f>5*J39</f>
        <v>5000</v>
      </c>
      <c r="M39" s="969">
        <f>SUM(M33:M37)</f>
        <v>51853.599999999999</v>
      </c>
      <c r="N39" s="969">
        <f>N36</f>
        <v>54330.769230769234</v>
      </c>
    </row>
    <row r="40" spans="1:14" ht="13.5" thickBot="1">
      <c r="H40" s="9"/>
      <c r="I40" s="9"/>
      <c r="K40" s="964">
        <v>240000</v>
      </c>
    </row>
    <row r="41" spans="1:14">
      <c r="H41" s="9"/>
      <c r="I41" s="9"/>
    </row>
    <row r="42" spans="1:14">
      <c r="H42" s="9"/>
      <c r="I42" s="9"/>
    </row>
    <row r="43" spans="1:14">
      <c r="H43" s="9"/>
      <c r="I43" s="9"/>
    </row>
    <row r="44" spans="1:14">
      <c r="H44" s="9"/>
      <c r="I44" s="9"/>
    </row>
    <row r="45" spans="1:14">
      <c r="H45" s="9"/>
      <c r="I45" s="9"/>
    </row>
    <row r="46" spans="1:14">
      <c r="H46" s="9"/>
      <c r="I46" s="9"/>
    </row>
    <row r="47" spans="1:14">
      <c r="H47" s="9"/>
      <c r="I47" s="9"/>
    </row>
    <row r="48" spans="1:14">
      <c r="H48" s="9"/>
      <c r="I48" s="9"/>
    </row>
    <row r="49" spans="3:9">
      <c r="H49" s="9"/>
      <c r="I49" s="9"/>
    </row>
    <row r="50" spans="3:9">
      <c r="H50" s="9"/>
      <c r="I50" s="9"/>
    </row>
    <row r="51" spans="3:9" ht="13.5" thickBot="1">
      <c r="C51" s="15" t="s">
        <v>299</v>
      </c>
      <c r="D51" s="15" t="s">
        <v>300</v>
      </c>
      <c r="E51" s="15" t="s">
        <v>252</v>
      </c>
      <c r="F51" s="15" t="s">
        <v>251</v>
      </c>
      <c r="H51" s="9"/>
      <c r="I51" s="9"/>
    </row>
    <row r="52" spans="3:9" ht="13.5" thickBot="1">
      <c r="C52" s="361">
        <v>3845</v>
      </c>
      <c r="D52" s="436">
        <v>3220</v>
      </c>
      <c r="E52" s="1028">
        <f>MAX(10,($F52*$D52))</f>
        <v>321.73901464653113</v>
      </c>
      <c r="F52" s="281">
        <f>MIN(0.15, 0.25 * ( 0.7 - EXP( -1.3 * $D52 / $C52 ) ))*1.1</f>
        <v>9.9918948647991029E-2</v>
      </c>
      <c r="G52">
        <v>310</v>
      </c>
      <c r="H52" s="9"/>
      <c r="I52" s="9"/>
    </row>
    <row r="53" spans="3:9" ht="13.5" thickBot="1">
      <c r="C53" s="361">
        <v>3810</v>
      </c>
      <c r="D53" s="436">
        <v>3127</v>
      </c>
      <c r="E53" s="1028">
        <f>MAX(10,($F53*$D53))</f>
        <v>306.08648635209335</v>
      </c>
      <c r="F53" s="281">
        <f>MIN(0.15, 0.25 * ( 0.7 - EXP( -1.3 * $D53 / $C53 ) ))*1.1</f>
        <v>9.7885029213972921E-2</v>
      </c>
      <c r="G53" s="1029">
        <v>298</v>
      </c>
      <c r="H53" s="9"/>
      <c r="I53" s="9"/>
    </row>
    <row r="54" spans="3:9" ht="13.5" thickBot="1">
      <c r="C54" s="361">
        <v>3643</v>
      </c>
      <c r="D54" s="436">
        <v>3042</v>
      </c>
      <c r="E54" s="1028">
        <f>MAX(10,($F54*$D54))</f>
        <v>303.0641393490846</v>
      </c>
      <c r="F54" s="281">
        <f>MIN(0.15, 0.25 * ( 0.7 - EXP( -1.3 * $D54 / $C54 ) ))*1.1</f>
        <v>9.9626607281092891E-2</v>
      </c>
      <c r="G54" s="1029">
        <v>294</v>
      </c>
      <c r="H54" s="9"/>
      <c r="I54" s="9"/>
    </row>
    <row r="55" spans="3:9" ht="13.5" thickBot="1">
      <c r="C55" s="361">
        <v>3905</v>
      </c>
      <c r="D55" s="436">
        <v>2938</v>
      </c>
      <c r="E55" s="1028">
        <f>MAX(10,($F55*$D55))</f>
        <v>261.74944508637975</v>
      </c>
      <c r="F55" s="281">
        <f>MIN(0.15, 0.25 * ( 0.7 - EXP( -1.3 * $D55 / $C55 ) ))*1.1</f>
        <v>8.9091029641381811E-2</v>
      </c>
      <c r="G55" s="1029">
        <v>234</v>
      </c>
      <c r="H55" s="9"/>
      <c r="I55" s="9"/>
    </row>
    <row r="56" spans="3:9">
      <c r="H56" s="9"/>
      <c r="I56" s="9"/>
    </row>
    <row r="57" spans="3:9">
      <c r="H57" s="9"/>
      <c r="I57" s="9"/>
    </row>
    <row r="58" spans="3:9">
      <c r="H58" s="9"/>
      <c r="I58" s="9"/>
    </row>
    <row r="59" spans="3:9">
      <c r="H59" s="9"/>
      <c r="I59" s="9"/>
    </row>
    <row r="60" spans="3:9">
      <c r="H60" s="9"/>
      <c r="I60" s="9"/>
    </row>
    <row r="61" spans="3:9">
      <c r="H61" s="9"/>
      <c r="I61" s="9"/>
    </row>
    <row r="62" spans="3:9">
      <c r="H62" s="9"/>
      <c r="I62" s="9"/>
    </row>
    <row r="63" spans="3:9">
      <c r="H63" s="9"/>
      <c r="I63" s="9"/>
    </row>
    <row r="64" spans="3:9">
      <c r="H64" s="9"/>
      <c r="I64" s="9"/>
    </row>
    <row r="65" spans="8:9">
      <c r="H65" s="9"/>
      <c r="I65" s="9"/>
    </row>
    <row r="66" spans="8:9">
      <c r="H66" s="9"/>
      <c r="I66" s="9"/>
    </row>
    <row r="67" spans="8:9">
      <c r="H67" s="9"/>
      <c r="I67" s="9"/>
    </row>
    <row r="68" spans="8:9">
      <c r="H68" s="9"/>
      <c r="I68" s="9"/>
    </row>
    <row r="69" spans="8:9">
      <c r="H69" s="9"/>
      <c r="I69" s="9"/>
    </row>
    <row r="70" spans="8:9">
      <c r="H70" s="9"/>
      <c r="I70" s="9"/>
    </row>
    <row r="71" spans="8:9">
      <c r="H71" s="9"/>
      <c r="I71" s="9"/>
    </row>
    <row r="72" spans="8:9">
      <c r="H72" s="9"/>
      <c r="I72" s="9"/>
    </row>
    <row r="73" spans="8:9">
      <c r="H73" s="9"/>
      <c r="I73" s="9"/>
    </row>
    <row r="74" spans="8:9">
      <c r="H74" s="9"/>
      <c r="I74" s="9"/>
    </row>
    <row r="75" spans="8:9">
      <c r="H75" s="9"/>
      <c r="I75" s="9"/>
    </row>
    <row r="76" spans="8:9">
      <c r="H76" s="9"/>
      <c r="I76" s="9"/>
    </row>
    <row r="77" spans="8:9">
      <c r="H77" s="9"/>
      <c r="I77" s="9"/>
    </row>
    <row r="78" spans="8:9">
      <c r="H78" s="9"/>
      <c r="I78" s="9"/>
    </row>
    <row r="79" spans="8:9">
      <c r="H79" s="9"/>
      <c r="I79" s="9"/>
    </row>
    <row r="80" spans="8:9">
      <c r="H80" s="9"/>
      <c r="I80" s="9"/>
    </row>
    <row r="81" spans="8:9">
      <c r="H81" s="9"/>
      <c r="I81" s="9"/>
    </row>
    <row r="82" spans="8:9">
      <c r="H82" s="9"/>
      <c r="I82" s="9"/>
    </row>
    <row r="83" spans="8:9">
      <c r="H83" s="9"/>
      <c r="I83" s="9"/>
    </row>
    <row r="84" spans="8:9">
      <c r="H84" s="9"/>
      <c r="I84" s="9"/>
    </row>
    <row r="85" spans="8:9">
      <c r="H85" s="9"/>
      <c r="I85" s="9"/>
    </row>
    <row r="86" spans="8:9">
      <c r="H86" s="9"/>
      <c r="I86" s="9"/>
    </row>
    <row r="87" spans="8:9">
      <c r="H87" s="9"/>
      <c r="I87" s="9"/>
    </row>
    <row r="88" spans="8:9">
      <c r="H88" s="9"/>
      <c r="I88" s="9"/>
    </row>
    <row r="89" spans="8:9">
      <c r="H89" s="9"/>
      <c r="I89" s="9"/>
    </row>
    <row r="90" spans="8:9">
      <c r="H90" s="9"/>
      <c r="I90" s="9"/>
    </row>
    <row r="91" spans="8:9">
      <c r="H91" s="9"/>
      <c r="I91" s="9"/>
    </row>
    <row r="92" spans="8:9">
      <c r="H92" s="9"/>
      <c r="I92" s="9"/>
    </row>
    <row r="93" spans="8:9">
      <c r="H93" s="9"/>
      <c r="I93" s="9"/>
    </row>
    <row r="94" spans="8:9">
      <c r="H94" s="9"/>
      <c r="I94" s="9"/>
    </row>
    <row r="95" spans="8:9">
      <c r="H95" s="9"/>
      <c r="I95" s="9"/>
    </row>
    <row r="96" spans="8:9">
      <c r="H96" s="9"/>
      <c r="I96" s="9"/>
    </row>
    <row r="97" spans="8:9">
      <c r="H97" s="9"/>
      <c r="I97" s="9"/>
    </row>
    <row r="98" spans="8:9">
      <c r="H98" s="9"/>
      <c r="I98" s="9"/>
    </row>
    <row r="99" spans="8:9">
      <c r="H99" s="9"/>
      <c r="I99" s="9"/>
    </row>
    <row r="100" spans="8:9">
      <c r="H100" s="9"/>
      <c r="I100" s="9"/>
    </row>
    <row r="101" spans="8:9">
      <c r="H101" s="9"/>
      <c r="I101" s="9"/>
    </row>
    <row r="102" spans="8:9">
      <c r="H102" s="9"/>
      <c r="I102" s="9"/>
    </row>
    <row r="103" spans="8:9">
      <c r="H103" s="9"/>
      <c r="I103" s="9"/>
    </row>
    <row r="104" spans="8:9">
      <c r="H104" s="9"/>
      <c r="I104" s="9"/>
    </row>
    <row r="105" spans="8:9">
      <c r="H105" s="9"/>
      <c r="I105" s="9"/>
    </row>
    <row r="106" spans="8:9">
      <c r="H106" s="9"/>
      <c r="I106" s="9"/>
    </row>
    <row r="107" spans="8:9">
      <c r="H107" s="9"/>
      <c r="I107" s="9"/>
    </row>
    <row r="108" spans="8:9">
      <c r="H108" s="9"/>
      <c r="I108" s="9"/>
    </row>
    <row r="109" spans="8:9">
      <c r="H109" s="9"/>
      <c r="I109" s="9"/>
    </row>
    <row r="110" spans="8:9">
      <c r="H110" s="9"/>
      <c r="I110" s="9"/>
    </row>
    <row r="111" spans="8:9">
      <c r="H111" s="9"/>
      <c r="I111" s="9"/>
    </row>
    <row r="112" spans="8:9">
      <c r="H112" s="9"/>
      <c r="I112" s="9"/>
    </row>
    <row r="113" spans="8:9">
      <c r="H113" s="9"/>
      <c r="I113" s="9"/>
    </row>
    <row r="114" spans="8:9">
      <c r="H114" s="9"/>
      <c r="I114" s="9"/>
    </row>
    <row r="115" spans="8:9">
      <c r="H115" s="9"/>
      <c r="I115" s="9"/>
    </row>
    <row r="116" spans="8:9">
      <c r="H116" s="9"/>
      <c r="I116" s="9"/>
    </row>
    <row r="117" spans="8:9">
      <c r="H117" s="9"/>
      <c r="I117" s="9"/>
    </row>
    <row r="118" spans="8:9">
      <c r="H118" s="9"/>
      <c r="I118" s="9"/>
    </row>
    <row r="119" spans="8:9">
      <c r="H119" s="9"/>
      <c r="I119" s="9"/>
    </row>
    <row r="120" spans="8:9">
      <c r="H120" s="9"/>
      <c r="I120" s="9"/>
    </row>
    <row r="121" spans="8:9">
      <c r="H121" s="9"/>
      <c r="I121" s="9"/>
    </row>
    <row r="122" spans="8:9">
      <c r="H122" s="9"/>
      <c r="I122" s="9"/>
    </row>
    <row r="123" spans="8:9">
      <c r="H123" s="9"/>
      <c r="I123" s="9"/>
    </row>
    <row r="124" spans="8:9">
      <c r="H124" s="9"/>
      <c r="I124" s="9"/>
    </row>
    <row r="125" spans="8:9">
      <c r="H125" s="9"/>
      <c r="I125" s="9"/>
    </row>
    <row r="126" spans="8:9">
      <c r="H126" s="9"/>
      <c r="I126" s="9"/>
    </row>
    <row r="127" spans="8:9">
      <c r="H127" s="9"/>
      <c r="I127" s="9"/>
    </row>
    <row r="128" spans="8:9">
      <c r="H128" s="9"/>
      <c r="I128" s="9"/>
    </row>
    <row r="129" spans="8:9">
      <c r="H129" s="9"/>
      <c r="I129" s="9"/>
    </row>
    <row r="130" spans="8:9">
      <c r="H130" s="9"/>
      <c r="I130" s="9"/>
    </row>
    <row r="131" spans="8:9">
      <c r="H131" s="9"/>
      <c r="I131" s="9"/>
    </row>
    <row r="132" spans="8:9">
      <c r="H132" s="9"/>
      <c r="I132" s="9"/>
    </row>
    <row r="133" spans="8:9">
      <c r="H133" s="9"/>
      <c r="I133" s="9"/>
    </row>
    <row r="134" spans="8:9">
      <c r="H134" s="9"/>
      <c r="I134" s="9"/>
    </row>
    <row r="135" spans="8:9">
      <c r="H135" s="9"/>
      <c r="I135" s="9"/>
    </row>
    <row r="136" spans="8:9">
      <c r="H136" s="9"/>
      <c r="I136" s="9"/>
    </row>
    <row r="137" spans="8:9">
      <c r="H137" s="9"/>
      <c r="I137" s="9"/>
    </row>
    <row r="138" spans="8:9">
      <c r="H138" s="9"/>
      <c r="I138" s="9"/>
    </row>
    <row r="139" spans="8:9">
      <c r="H139" s="9"/>
      <c r="I139" s="9"/>
    </row>
    <row r="140" spans="8:9">
      <c r="H140" s="9"/>
      <c r="I140" s="9"/>
    </row>
    <row r="141" spans="8:9">
      <c r="H141" s="9"/>
      <c r="I141" s="9"/>
    </row>
    <row r="142" spans="8:9">
      <c r="H142" s="9"/>
      <c r="I142" s="9"/>
    </row>
    <row r="143" spans="8:9">
      <c r="H143" s="9"/>
      <c r="I143" s="9"/>
    </row>
    <row r="144" spans="8:9">
      <c r="H144" s="9"/>
      <c r="I144" s="9"/>
    </row>
    <row r="145" spans="8:9">
      <c r="H145" s="9"/>
      <c r="I145" s="9"/>
    </row>
    <row r="146" spans="8:9">
      <c r="H146" s="9"/>
      <c r="I146" s="9"/>
    </row>
    <row r="147" spans="8:9">
      <c r="H147" s="9"/>
      <c r="I147" s="9"/>
    </row>
    <row r="148" spans="8:9">
      <c r="H148" s="9"/>
      <c r="I148" s="9"/>
    </row>
    <row r="149" spans="8:9">
      <c r="H149" s="9"/>
      <c r="I149" s="9"/>
    </row>
    <row r="150" spans="8:9">
      <c r="H150" s="9"/>
      <c r="I150" s="9"/>
    </row>
    <row r="151" spans="8:9">
      <c r="H151" s="9"/>
      <c r="I151" s="9"/>
    </row>
    <row r="152" spans="8:9">
      <c r="H152" s="9"/>
      <c r="I152" s="9"/>
    </row>
    <row r="153" spans="8:9">
      <c r="H153" s="9"/>
      <c r="I153" s="9"/>
    </row>
    <row r="154" spans="8:9">
      <c r="H154" s="9"/>
      <c r="I154" s="9"/>
    </row>
    <row r="155" spans="8:9">
      <c r="H155" s="9"/>
      <c r="I155" s="9"/>
    </row>
    <row r="156" spans="8:9">
      <c r="H156" s="9"/>
      <c r="I156" s="9"/>
    </row>
    <row r="157" spans="8:9">
      <c r="H157" s="9"/>
      <c r="I157" s="9"/>
    </row>
    <row r="158" spans="8:9">
      <c r="H158" s="9"/>
      <c r="I158" s="9"/>
    </row>
    <row r="159" spans="8:9">
      <c r="H159" s="9"/>
      <c r="I159" s="9"/>
    </row>
    <row r="160" spans="8:9">
      <c r="H160" s="9"/>
      <c r="I160" s="9"/>
    </row>
    <row r="161" spans="8:9">
      <c r="H161" s="9"/>
      <c r="I161" s="9"/>
    </row>
    <row r="162" spans="8:9">
      <c r="H162" s="9"/>
      <c r="I162" s="9"/>
    </row>
    <row r="163" spans="8:9">
      <c r="H163" s="9"/>
      <c r="I163" s="9"/>
    </row>
    <row r="164" spans="8:9">
      <c r="H164" s="9"/>
      <c r="I164" s="9"/>
    </row>
    <row r="165" spans="8:9">
      <c r="H165" s="9"/>
      <c r="I165" s="9"/>
    </row>
    <row r="166" spans="8:9">
      <c r="H166" s="9"/>
      <c r="I166" s="9"/>
    </row>
    <row r="167" spans="8:9">
      <c r="H167" s="9"/>
      <c r="I167" s="9"/>
    </row>
    <row r="168" spans="8:9">
      <c r="H168" s="9"/>
      <c r="I168" s="9"/>
    </row>
    <row r="169" spans="8:9">
      <c r="H169" s="9"/>
      <c r="I169" s="9"/>
    </row>
    <row r="170" spans="8:9">
      <c r="H170" s="9"/>
      <c r="I170" s="9"/>
    </row>
    <row r="171" spans="8:9">
      <c r="H171" s="9"/>
      <c r="I171" s="9"/>
    </row>
    <row r="172" spans="8:9">
      <c r="H172" s="9"/>
      <c r="I172" s="9"/>
    </row>
    <row r="173" spans="8:9">
      <c r="H173" s="9"/>
      <c r="I173" s="9"/>
    </row>
    <row r="174" spans="8:9">
      <c r="H174" s="9"/>
      <c r="I174" s="9"/>
    </row>
    <row r="175" spans="8:9">
      <c r="H175" s="9"/>
      <c r="I175" s="9"/>
    </row>
    <row r="176" spans="8:9">
      <c r="H176" s="9"/>
      <c r="I176" s="9"/>
    </row>
    <row r="177" spans="8:9">
      <c r="H177" s="9"/>
      <c r="I177" s="9"/>
    </row>
    <row r="178" spans="8:9">
      <c r="H178" s="9"/>
      <c r="I178" s="9"/>
    </row>
    <row r="179" spans="8:9">
      <c r="H179" s="9"/>
      <c r="I179" s="9"/>
    </row>
    <row r="180" spans="8:9">
      <c r="H180" s="9"/>
      <c r="I180" s="9"/>
    </row>
    <row r="181" spans="8:9">
      <c r="H181" s="9"/>
      <c r="I181" s="9"/>
    </row>
    <row r="182" spans="8:9">
      <c r="H182" s="9"/>
      <c r="I182" s="9"/>
    </row>
    <row r="183" spans="8:9">
      <c r="H183" s="9"/>
      <c r="I183" s="9"/>
    </row>
    <row r="184" spans="8:9">
      <c r="H184" s="9"/>
      <c r="I184" s="9"/>
    </row>
    <row r="185" spans="8:9">
      <c r="H185" s="9"/>
      <c r="I185" s="9"/>
    </row>
    <row r="186" spans="8:9">
      <c r="H186" s="9"/>
      <c r="I186" s="9"/>
    </row>
    <row r="187" spans="8:9">
      <c r="H187" s="9"/>
      <c r="I187" s="9"/>
    </row>
    <row r="188" spans="8:9">
      <c r="H188" s="9"/>
      <c r="I188" s="9"/>
    </row>
    <row r="189" spans="8:9">
      <c r="H189" s="9"/>
      <c r="I189" s="9"/>
    </row>
    <row r="190" spans="8:9">
      <c r="H190" s="9"/>
      <c r="I190" s="9"/>
    </row>
    <row r="191" spans="8:9">
      <c r="H191" s="9"/>
      <c r="I191" s="9"/>
    </row>
    <row r="192" spans="8:9">
      <c r="H192" s="9"/>
      <c r="I192" s="9"/>
    </row>
    <row r="193" spans="8:9">
      <c r="H193" s="9"/>
      <c r="I193" s="9"/>
    </row>
    <row r="194" spans="8:9">
      <c r="H194" s="9"/>
      <c r="I194" s="9"/>
    </row>
    <row r="195" spans="8:9">
      <c r="H195" s="9"/>
      <c r="I195" s="9"/>
    </row>
    <row r="196" spans="8:9">
      <c r="H196" s="9"/>
      <c r="I196" s="9"/>
    </row>
    <row r="197" spans="8:9">
      <c r="H197" s="9"/>
      <c r="I197" s="9"/>
    </row>
    <row r="198" spans="8:9">
      <c r="H198" s="9"/>
      <c r="I198" s="9"/>
    </row>
    <row r="199" spans="8:9">
      <c r="H199" s="9"/>
      <c r="I199" s="9"/>
    </row>
    <row r="200" spans="8:9">
      <c r="H200" s="9"/>
      <c r="I200" s="9"/>
    </row>
    <row r="201" spans="8:9">
      <c r="H201" s="9"/>
      <c r="I201" s="9"/>
    </row>
    <row r="202" spans="8:9">
      <c r="H202" s="9"/>
      <c r="I202" s="9"/>
    </row>
    <row r="203" spans="8:9">
      <c r="H203" s="9"/>
      <c r="I203" s="9"/>
    </row>
    <row r="204" spans="8:9">
      <c r="H204" s="9"/>
      <c r="I204" s="9"/>
    </row>
    <row r="205" spans="8:9">
      <c r="H205" s="9"/>
      <c r="I205" s="9"/>
    </row>
    <row r="206" spans="8:9">
      <c r="H206" s="9"/>
      <c r="I206" s="9"/>
    </row>
    <row r="207" spans="8:9">
      <c r="H207" s="9"/>
      <c r="I207" s="9"/>
    </row>
    <row r="208" spans="8:9">
      <c r="H208" s="9"/>
      <c r="I208" s="9"/>
    </row>
    <row r="209" spans="8:9">
      <c r="H209" s="9"/>
      <c r="I209" s="9"/>
    </row>
    <row r="210" spans="8:9">
      <c r="H210" s="9"/>
      <c r="I210" s="9"/>
    </row>
    <row r="211" spans="8:9">
      <c r="H211" s="9"/>
      <c r="I211" s="9"/>
    </row>
    <row r="212" spans="8:9">
      <c r="H212" s="9"/>
      <c r="I212" s="9"/>
    </row>
    <row r="213" spans="8:9">
      <c r="H213" s="9"/>
      <c r="I213" s="9"/>
    </row>
    <row r="214" spans="8:9">
      <c r="H214" s="9"/>
      <c r="I214" s="9"/>
    </row>
    <row r="215" spans="8:9">
      <c r="H215" s="9"/>
      <c r="I215" s="9"/>
    </row>
    <row r="216" spans="8:9">
      <c r="H216" s="9"/>
      <c r="I216" s="9"/>
    </row>
    <row r="217" spans="8:9">
      <c r="H217" s="9"/>
      <c r="I217" s="9"/>
    </row>
    <row r="218" spans="8:9">
      <c r="H218" s="9"/>
      <c r="I218" s="9"/>
    </row>
    <row r="219" spans="8:9">
      <c r="H219" s="9"/>
      <c r="I219" s="9"/>
    </row>
    <row r="220" spans="8:9">
      <c r="H220" s="9"/>
      <c r="I220" s="9"/>
    </row>
    <row r="221" spans="8:9">
      <c r="H221" s="9"/>
      <c r="I221" s="9"/>
    </row>
    <row r="222" spans="8:9">
      <c r="H222" s="9"/>
      <c r="I222" s="9"/>
    </row>
    <row r="223" spans="8:9">
      <c r="H223" s="9"/>
      <c r="I223" s="9"/>
    </row>
    <row r="224" spans="8:9">
      <c r="H224" s="9"/>
      <c r="I224" s="9"/>
    </row>
    <row r="225" spans="8:9">
      <c r="H225" s="9"/>
      <c r="I225" s="9"/>
    </row>
    <row r="226" spans="8:9">
      <c r="H226" s="9"/>
      <c r="I226" s="9"/>
    </row>
    <row r="227" spans="8:9">
      <c r="H227" s="9"/>
      <c r="I227" s="9"/>
    </row>
    <row r="228" spans="8:9">
      <c r="H228" s="9"/>
      <c r="I228" s="9"/>
    </row>
    <row r="229" spans="8:9">
      <c r="H229" s="9"/>
      <c r="I229" s="9"/>
    </row>
    <row r="230" spans="8:9">
      <c r="H230" s="9"/>
      <c r="I230" s="9"/>
    </row>
    <row r="231" spans="8:9">
      <c r="H231" s="9"/>
      <c r="I231" s="9"/>
    </row>
    <row r="232" spans="8:9">
      <c r="H232" s="9"/>
      <c r="I232" s="9"/>
    </row>
    <row r="233" spans="8:9">
      <c r="H233" s="9"/>
      <c r="I233" s="9"/>
    </row>
    <row r="234" spans="8:9">
      <c r="H234" s="9"/>
      <c r="I234" s="9"/>
    </row>
    <row r="235" spans="8:9">
      <c r="H235" s="9"/>
      <c r="I235" s="9"/>
    </row>
    <row r="236" spans="8:9">
      <c r="H236" s="9"/>
      <c r="I236" s="9"/>
    </row>
    <row r="237" spans="8:9">
      <c r="H237" s="9"/>
      <c r="I237" s="9"/>
    </row>
    <row r="238" spans="8:9">
      <c r="H238" s="9"/>
      <c r="I238" s="9"/>
    </row>
    <row r="239" spans="8:9">
      <c r="H239" s="9"/>
      <c r="I239" s="9"/>
    </row>
    <row r="240" spans="8:9">
      <c r="H240" s="9"/>
      <c r="I240" s="9"/>
    </row>
    <row r="241" spans="8:9">
      <c r="H241" s="9"/>
      <c r="I241" s="9"/>
    </row>
    <row r="242" spans="8:9">
      <c r="H242" s="9"/>
      <c r="I242" s="9"/>
    </row>
    <row r="243" spans="8:9">
      <c r="H243" s="9"/>
      <c r="I243" s="9"/>
    </row>
    <row r="244" spans="8:9">
      <c r="H244" s="9"/>
      <c r="I244" s="9"/>
    </row>
    <row r="245" spans="8:9">
      <c r="H245" s="9"/>
      <c r="I245" s="9"/>
    </row>
    <row r="246" spans="8:9">
      <c r="H246" s="9"/>
      <c r="I246" s="9"/>
    </row>
    <row r="247" spans="8:9">
      <c r="H247" s="9"/>
      <c r="I247" s="9"/>
    </row>
    <row r="248" spans="8:9">
      <c r="H248" s="9"/>
      <c r="I248" s="9"/>
    </row>
    <row r="249" spans="8:9">
      <c r="H249" s="9"/>
      <c r="I249" s="9"/>
    </row>
    <row r="250" spans="8:9">
      <c r="H250" s="9"/>
      <c r="I250" s="9"/>
    </row>
    <row r="251" spans="8:9">
      <c r="H251" s="9"/>
      <c r="I251" s="9"/>
    </row>
    <row r="252" spans="8:9">
      <c r="H252" s="9"/>
      <c r="I252" s="9"/>
    </row>
    <row r="253" spans="8:9">
      <c r="H253" s="9"/>
      <c r="I253" s="9"/>
    </row>
    <row r="254" spans="8:9">
      <c r="H254" s="9"/>
      <c r="I254" s="9"/>
    </row>
    <row r="255" spans="8:9">
      <c r="H255" s="9"/>
      <c r="I255" s="9"/>
    </row>
    <row r="256" spans="8:9">
      <c r="H256" s="9"/>
      <c r="I256" s="9"/>
    </row>
    <row r="257" spans="8:9">
      <c r="H257" s="9"/>
      <c r="I257" s="9"/>
    </row>
    <row r="258" spans="8:9">
      <c r="H258" s="9"/>
      <c r="I258" s="9"/>
    </row>
    <row r="259" spans="8:9">
      <c r="H259" s="9"/>
      <c r="I259" s="9"/>
    </row>
    <row r="260" spans="8:9">
      <c r="H260" s="9"/>
      <c r="I260" s="9"/>
    </row>
    <row r="261" spans="8:9">
      <c r="H261" s="9"/>
      <c r="I261" s="9"/>
    </row>
    <row r="262" spans="8:9">
      <c r="H262" s="9"/>
      <c r="I262" s="9"/>
    </row>
    <row r="263" spans="8:9">
      <c r="H263" s="9"/>
      <c r="I263" s="9"/>
    </row>
    <row r="264" spans="8:9">
      <c r="H264" s="9"/>
      <c r="I264" s="9"/>
    </row>
    <row r="265" spans="8:9">
      <c r="H265" s="9"/>
      <c r="I265" s="9"/>
    </row>
    <row r="266" spans="8:9">
      <c r="H266" s="9"/>
      <c r="I266" s="9"/>
    </row>
    <row r="267" spans="8:9">
      <c r="H267" s="9"/>
      <c r="I267" s="9"/>
    </row>
    <row r="268" spans="8:9">
      <c r="H268" s="9"/>
      <c r="I268" s="9"/>
    </row>
    <row r="269" spans="8:9">
      <c r="H269" s="9"/>
      <c r="I269" s="9"/>
    </row>
    <row r="270" spans="8:9">
      <c r="H270" s="9"/>
      <c r="I270" s="9"/>
    </row>
    <row r="271" spans="8:9">
      <c r="H271" s="9"/>
      <c r="I271" s="9"/>
    </row>
    <row r="272" spans="8:9">
      <c r="H272" s="9"/>
      <c r="I272" s="9"/>
    </row>
    <row r="273" spans="8:9">
      <c r="H273" s="9"/>
      <c r="I273" s="9"/>
    </row>
    <row r="274" spans="8:9">
      <c r="H274" s="9"/>
      <c r="I274" s="9"/>
    </row>
    <row r="275" spans="8:9">
      <c r="H275" s="9"/>
      <c r="I275" s="9"/>
    </row>
    <row r="276" spans="8:9">
      <c r="H276" s="9"/>
      <c r="I276" s="9"/>
    </row>
    <row r="277" spans="8:9">
      <c r="H277" s="9"/>
      <c r="I277" s="9"/>
    </row>
    <row r="278" spans="8:9">
      <c r="H278" s="9"/>
      <c r="I278" s="9"/>
    </row>
    <row r="279" spans="8:9">
      <c r="H279" s="9"/>
      <c r="I279" s="9"/>
    </row>
    <row r="280" spans="8:9">
      <c r="H280" s="9"/>
      <c r="I280" s="9"/>
    </row>
    <row r="281" spans="8:9">
      <c r="H281" s="9"/>
      <c r="I281" s="9"/>
    </row>
    <row r="282" spans="8:9">
      <c r="H282" s="9"/>
      <c r="I282" s="9"/>
    </row>
    <row r="283" spans="8:9">
      <c r="H283" s="9"/>
      <c r="I283" s="9"/>
    </row>
    <row r="284" spans="8:9">
      <c r="H284" s="9"/>
      <c r="I284" s="9"/>
    </row>
    <row r="285" spans="8:9">
      <c r="H285" s="9"/>
      <c r="I285" s="9"/>
    </row>
    <row r="286" spans="8:9">
      <c r="H286" s="9"/>
      <c r="I286" s="9"/>
    </row>
    <row r="287" spans="8:9">
      <c r="H287" s="9"/>
      <c r="I287" s="9"/>
    </row>
    <row r="288" spans="8:9">
      <c r="H288" s="9"/>
      <c r="I288" s="9"/>
    </row>
    <row r="289" spans="8:9">
      <c r="H289" s="9"/>
      <c r="I289" s="9"/>
    </row>
    <row r="290" spans="8:9">
      <c r="H290" s="9"/>
      <c r="I290" s="9"/>
    </row>
    <row r="291" spans="8:9">
      <c r="H291" s="9"/>
      <c r="I291" s="9"/>
    </row>
    <row r="292" spans="8:9">
      <c r="H292" s="9"/>
      <c r="I292" s="9"/>
    </row>
    <row r="293" spans="8:9">
      <c r="H293" s="9"/>
      <c r="I293" s="9"/>
    </row>
    <row r="294" spans="8:9">
      <c r="H294" s="9"/>
      <c r="I294" s="9"/>
    </row>
    <row r="295" spans="8:9">
      <c r="H295" s="9"/>
      <c r="I295" s="9"/>
    </row>
    <row r="296" spans="8:9">
      <c r="H296" s="9"/>
      <c r="I296" s="9"/>
    </row>
    <row r="297" spans="8:9">
      <c r="H297" s="9"/>
      <c r="I297" s="9"/>
    </row>
    <row r="298" spans="8:9">
      <c r="H298" s="9"/>
      <c r="I298" s="9"/>
    </row>
    <row r="299" spans="8:9">
      <c r="H299" s="9"/>
      <c r="I299" s="9"/>
    </row>
    <row r="300" spans="8:9">
      <c r="H300" s="9"/>
      <c r="I300" s="9"/>
    </row>
    <row r="301" spans="8:9">
      <c r="H301" s="9"/>
      <c r="I301" s="9"/>
    </row>
    <row r="302" spans="8:9">
      <c r="H302" s="9"/>
      <c r="I302" s="9"/>
    </row>
    <row r="303" spans="8:9">
      <c r="H303" s="9"/>
      <c r="I303" s="9"/>
    </row>
    <row r="304" spans="8:9">
      <c r="H304" s="9"/>
      <c r="I304" s="9"/>
    </row>
    <row r="305" spans="8:9">
      <c r="H305" s="9"/>
      <c r="I305" s="9"/>
    </row>
    <row r="306" spans="8:9">
      <c r="H306" s="9"/>
      <c r="I306" s="9"/>
    </row>
    <row r="307" spans="8:9">
      <c r="H307" s="9"/>
      <c r="I307" s="9"/>
    </row>
    <row r="308" spans="8:9">
      <c r="H308" s="9"/>
      <c r="I308" s="9"/>
    </row>
    <row r="309" spans="8:9">
      <c r="H309" s="9"/>
      <c r="I309" s="9"/>
    </row>
    <row r="310" spans="8:9">
      <c r="H310" s="9"/>
      <c r="I310" s="9"/>
    </row>
    <row r="311" spans="8:9">
      <c r="H311" s="9"/>
      <c r="I311" s="9"/>
    </row>
    <row r="312" spans="8:9">
      <c r="H312" s="9"/>
      <c r="I312" s="9"/>
    </row>
    <row r="313" spans="8:9">
      <c r="H313" s="9"/>
      <c r="I313" s="9"/>
    </row>
    <row r="314" spans="8:9">
      <c r="H314" s="9"/>
      <c r="I314" s="9"/>
    </row>
    <row r="315" spans="8:9">
      <c r="H315" s="9"/>
      <c r="I315" s="9"/>
    </row>
    <row r="316" spans="8:9">
      <c r="H316" s="9"/>
      <c r="I316" s="9"/>
    </row>
    <row r="317" spans="8:9">
      <c r="H317" s="9"/>
      <c r="I317" s="9"/>
    </row>
    <row r="318" spans="8:9">
      <c r="H318" s="9"/>
      <c r="I318" s="9"/>
    </row>
    <row r="319" spans="8:9">
      <c r="H319" s="9"/>
      <c r="I319" s="9"/>
    </row>
    <row r="320" spans="8:9">
      <c r="H320" s="9"/>
      <c r="I320" s="9"/>
    </row>
    <row r="321" spans="8:9">
      <c r="H321" s="9"/>
      <c r="I321" s="9"/>
    </row>
    <row r="322" spans="8:9">
      <c r="H322" s="9"/>
      <c r="I322" s="9"/>
    </row>
    <row r="323" spans="8:9">
      <c r="H323" s="9"/>
      <c r="I323" s="9"/>
    </row>
    <row r="324" spans="8:9">
      <c r="H324" s="9"/>
      <c r="I324" s="9"/>
    </row>
    <row r="325" spans="8:9">
      <c r="H325" s="9"/>
      <c r="I325" s="9"/>
    </row>
    <row r="326" spans="8:9">
      <c r="H326" s="9"/>
      <c r="I326" s="9"/>
    </row>
    <row r="327" spans="8:9">
      <c r="H327" s="9"/>
      <c r="I327" s="9"/>
    </row>
    <row r="328" spans="8:9">
      <c r="H328" s="9"/>
      <c r="I328" s="9"/>
    </row>
    <row r="329" spans="8:9">
      <c r="H329" s="9"/>
      <c r="I329" s="9"/>
    </row>
    <row r="330" spans="8:9">
      <c r="H330" s="9"/>
      <c r="I330" s="9"/>
    </row>
    <row r="331" spans="8:9">
      <c r="H331" s="9"/>
      <c r="I331" s="9"/>
    </row>
    <row r="332" spans="8:9">
      <c r="H332" s="9"/>
      <c r="I332" s="9"/>
    </row>
    <row r="333" spans="8:9">
      <c r="H333" s="9"/>
      <c r="I333" s="9"/>
    </row>
    <row r="334" spans="8:9">
      <c r="H334" s="9"/>
      <c r="I334" s="9"/>
    </row>
    <row r="335" spans="8:9">
      <c r="H335" s="9"/>
      <c r="I335" s="9"/>
    </row>
    <row r="336" spans="8:9">
      <c r="H336" s="9"/>
      <c r="I336" s="9"/>
    </row>
    <row r="337" spans="8:9">
      <c r="H337" s="9"/>
      <c r="I337" s="9"/>
    </row>
    <row r="338" spans="8:9">
      <c r="H338" s="9"/>
      <c r="I338" s="9"/>
    </row>
    <row r="339" spans="8:9">
      <c r="H339" s="9"/>
      <c r="I339" s="9"/>
    </row>
    <row r="340" spans="8:9">
      <c r="H340" s="9"/>
      <c r="I340" s="9"/>
    </row>
    <row r="341" spans="8:9">
      <c r="H341" s="9"/>
      <c r="I341" s="9"/>
    </row>
    <row r="342" spans="8:9">
      <c r="H342" s="9"/>
      <c r="I342" s="9"/>
    </row>
    <row r="343" spans="8:9">
      <c r="H343" s="9"/>
      <c r="I343" s="9"/>
    </row>
    <row r="344" spans="8:9">
      <c r="H344" s="9"/>
      <c r="I344" s="9"/>
    </row>
    <row r="345" spans="8:9">
      <c r="H345" s="9"/>
      <c r="I345" s="9"/>
    </row>
    <row r="346" spans="8:9">
      <c r="H346" s="9"/>
      <c r="I346" s="9"/>
    </row>
    <row r="347" spans="8:9">
      <c r="H347" s="9"/>
      <c r="I347" s="9"/>
    </row>
    <row r="348" spans="8:9">
      <c r="H348" s="9"/>
      <c r="I348" s="9"/>
    </row>
    <row r="349" spans="8:9">
      <c r="H349" s="9"/>
      <c r="I349" s="9"/>
    </row>
    <row r="350" spans="8:9">
      <c r="H350" s="9"/>
      <c r="I350" s="9"/>
    </row>
    <row r="351" spans="8:9">
      <c r="H351" s="9"/>
      <c r="I351" s="9"/>
    </row>
    <row r="352" spans="8:9">
      <c r="H352" s="9"/>
      <c r="I352" s="9"/>
    </row>
    <row r="353" spans="8:9">
      <c r="H353" s="9"/>
      <c r="I353" s="9"/>
    </row>
    <row r="354" spans="8:9">
      <c r="H354" s="9"/>
      <c r="I354" s="9"/>
    </row>
    <row r="355" spans="8:9">
      <c r="H355" s="9"/>
      <c r="I355" s="9"/>
    </row>
    <row r="356" spans="8:9">
      <c r="H356" s="9"/>
      <c r="I356" s="9"/>
    </row>
    <row r="357" spans="8:9">
      <c r="H357" s="9"/>
      <c r="I357" s="9"/>
    </row>
    <row r="358" spans="8:9">
      <c r="H358" s="9"/>
      <c r="I358" s="9"/>
    </row>
    <row r="359" spans="8:9">
      <c r="H359" s="9"/>
      <c r="I359" s="9"/>
    </row>
    <row r="360" spans="8:9">
      <c r="H360" s="9"/>
      <c r="I360" s="9"/>
    </row>
    <row r="361" spans="8:9">
      <c r="H361" s="9"/>
      <c r="I361" s="9"/>
    </row>
    <row r="362" spans="8:9">
      <c r="H362" s="9"/>
      <c r="I362" s="9"/>
    </row>
    <row r="363" spans="8:9">
      <c r="H363" s="9"/>
      <c r="I363" s="9"/>
    </row>
    <row r="364" spans="8:9">
      <c r="H364" s="9"/>
      <c r="I364" s="9"/>
    </row>
    <row r="365" spans="8:9">
      <c r="H365" s="9"/>
      <c r="I365" s="9"/>
    </row>
    <row r="366" spans="8:9">
      <c r="H366" s="9"/>
      <c r="I366" s="9"/>
    </row>
    <row r="367" spans="8:9">
      <c r="H367" s="9"/>
      <c r="I367" s="9"/>
    </row>
    <row r="368" spans="8:9">
      <c r="H368" s="9"/>
      <c r="I368" s="9"/>
    </row>
    <row r="369" spans="8:9">
      <c r="H369" s="9"/>
      <c r="I369" s="9"/>
    </row>
    <row r="370" spans="8:9">
      <c r="H370" s="9"/>
      <c r="I370" s="9"/>
    </row>
    <row r="371" spans="8:9">
      <c r="H371" s="9"/>
      <c r="I371" s="9"/>
    </row>
    <row r="372" spans="8:9">
      <c r="H372" s="9"/>
      <c r="I372" s="9"/>
    </row>
    <row r="373" spans="8:9">
      <c r="H373" s="9"/>
      <c r="I373" s="9"/>
    </row>
    <row r="374" spans="8:9">
      <c r="H374" s="9"/>
      <c r="I374" s="9"/>
    </row>
    <row r="375" spans="8:9">
      <c r="H375" s="9"/>
      <c r="I375" s="9"/>
    </row>
    <row r="376" spans="8:9">
      <c r="H376" s="9"/>
      <c r="I376" s="9"/>
    </row>
    <row r="377" spans="8:9">
      <c r="H377" s="9"/>
      <c r="I377" s="9"/>
    </row>
    <row r="378" spans="8:9">
      <c r="H378" s="9"/>
      <c r="I378" s="9"/>
    </row>
    <row r="379" spans="8:9">
      <c r="H379" s="9"/>
      <c r="I379" s="9"/>
    </row>
    <row r="380" spans="8:9">
      <c r="H380" s="9"/>
      <c r="I380" s="9"/>
    </row>
    <row r="381" spans="8:9">
      <c r="H381" s="9"/>
      <c r="I381" s="9"/>
    </row>
    <row r="382" spans="8:9">
      <c r="H382" s="9"/>
      <c r="I382" s="9"/>
    </row>
    <row r="383" spans="8:9">
      <c r="H383" s="9"/>
      <c r="I383" s="9"/>
    </row>
    <row r="384" spans="8:9">
      <c r="H384" s="9"/>
      <c r="I384" s="9"/>
    </row>
    <row r="385" spans="8:9">
      <c r="H385" s="9"/>
      <c r="I385" s="9"/>
    </row>
    <row r="386" spans="8:9">
      <c r="H386" s="9"/>
      <c r="I386" s="9"/>
    </row>
    <row r="387" spans="8:9">
      <c r="H387" s="9"/>
      <c r="I387" s="9"/>
    </row>
    <row r="388" spans="8:9">
      <c r="H388" s="9"/>
      <c r="I388" s="9"/>
    </row>
    <row r="389" spans="8:9">
      <c r="H389" s="9"/>
      <c r="I389" s="9"/>
    </row>
    <row r="390" spans="8:9">
      <c r="H390" s="9"/>
      <c r="I390" s="9"/>
    </row>
    <row r="391" spans="8:9">
      <c r="H391" s="9"/>
      <c r="I391" s="9"/>
    </row>
    <row r="392" spans="8:9">
      <c r="H392" s="9"/>
      <c r="I392" s="9"/>
    </row>
    <row r="393" spans="8:9">
      <c r="H393" s="9"/>
      <c r="I393" s="9"/>
    </row>
    <row r="394" spans="8:9">
      <c r="H394" s="9"/>
      <c r="I394" s="9"/>
    </row>
    <row r="395" spans="8:9">
      <c r="H395" s="9"/>
      <c r="I395" s="9"/>
    </row>
    <row r="396" spans="8:9">
      <c r="H396" s="9"/>
      <c r="I396" s="9"/>
    </row>
    <row r="397" spans="8:9">
      <c r="H397" s="9"/>
      <c r="I397" s="9"/>
    </row>
    <row r="398" spans="8:9">
      <c r="H398" s="9"/>
      <c r="I398" s="9"/>
    </row>
    <row r="399" spans="8:9">
      <c r="H399" s="9"/>
      <c r="I399" s="9"/>
    </row>
    <row r="400" spans="8:9">
      <c r="H400" s="9"/>
      <c r="I400" s="9"/>
    </row>
    <row r="401" spans="8:9">
      <c r="H401" s="9"/>
      <c r="I401" s="9"/>
    </row>
    <row r="402" spans="8:9">
      <c r="H402" s="9"/>
      <c r="I402" s="9"/>
    </row>
    <row r="403" spans="8:9">
      <c r="H403" s="9"/>
      <c r="I403" s="9"/>
    </row>
    <row r="404" spans="8:9">
      <c r="H404" s="9"/>
      <c r="I404" s="9"/>
    </row>
    <row r="405" spans="8:9">
      <c r="H405" s="9"/>
      <c r="I405" s="9"/>
    </row>
    <row r="406" spans="8:9">
      <c r="H406" s="9"/>
      <c r="I406" s="9"/>
    </row>
    <row r="407" spans="8:9">
      <c r="H407" s="9"/>
      <c r="I407" s="9"/>
    </row>
    <row r="408" spans="8:9">
      <c r="H408" s="9"/>
      <c r="I408" s="9"/>
    </row>
    <row r="409" spans="8:9">
      <c r="H409" s="9"/>
      <c r="I409" s="9"/>
    </row>
    <row r="410" spans="8:9">
      <c r="H410" s="9"/>
      <c r="I410" s="9"/>
    </row>
    <row r="411" spans="8:9">
      <c r="H411" s="9"/>
      <c r="I411" s="9"/>
    </row>
    <row r="412" spans="8:9">
      <c r="H412" s="9"/>
      <c r="I412" s="9"/>
    </row>
    <row r="413" spans="8:9">
      <c r="H413" s="9"/>
      <c r="I413" s="9"/>
    </row>
    <row r="414" spans="8:9">
      <c r="H414" s="9"/>
      <c r="I414" s="9"/>
    </row>
    <row r="415" spans="8:9">
      <c r="H415" s="9"/>
      <c r="I415" s="9"/>
    </row>
    <row r="416" spans="8:9">
      <c r="H416" s="9"/>
      <c r="I416" s="9"/>
    </row>
    <row r="417" spans="8:9">
      <c r="H417" s="9"/>
      <c r="I417" s="9"/>
    </row>
    <row r="418" spans="8:9">
      <c r="H418" s="9"/>
      <c r="I418" s="9"/>
    </row>
    <row r="419" spans="8:9">
      <c r="H419" s="9"/>
      <c r="I419" s="9"/>
    </row>
    <row r="420" spans="8:9">
      <c r="H420" s="9"/>
      <c r="I420" s="9"/>
    </row>
    <row r="421" spans="8:9">
      <c r="H421" s="9"/>
      <c r="I421" s="9"/>
    </row>
    <row r="422" spans="8:9">
      <c r="H422" s="9"/>
      <c r="I422" s="9"/>
    </row>
    <row r="423" spans="8:9">
      <c r="H423" s="9"/>
      <c r="I423" s="9"/>
    </row>
    <row r="424" spans="8:9">
      <c r="H424" s="9"/>
      <c r="I424" s="9"/>
    </row>
    <row r="425" spans="8:9">
      <c r="H425" s="9"/>
      <c r="I425" s="9"/>
    </row>
    <row r="426" spans="8:9">
      <c r="H426" s="9"/>
      <c r="I426" s="9"/>
    </row>
    <row r="427" spans="8:9">
      <c r="H427" s="9"/>
      <c r="I427" s="9"/>
    </row>
    <row r="428" spans="8:9">
      <c r="H428" s="9"/>
      <c r="I428" s="9"/>
    </row>
    <row r="429" spans="8:9">
      <c r="H429" s="9"/>
      <c r="I429" s="9"/>
    </row>
    <row r="430" spans="8:9">
      <c r="H430" s="9"/>
      <c r="I430" s="9"/>
    </row>
    <row r="431" spans="8:9">
      <c r="H431" s="9"/>
      <c r="I431" s="9"/>
    </row>
    <row r="432" spans="8:9">
      <c r="H432" s="9"/>
      <c r="I432" s="9"/>
    </row>
    <row r="433" spans="8:9">
      <c r="H433" s="9"/>
      <c r="I433" s="9"/>
    </row>
    <row r="434" spans="8:9">
      <c r="H434" s="9"/>
      <c r="I434" s="9"/>
    </row>
    <row r="435" spans="8:9">
      <c r="H435" s="9"/>
      <c r="I435" s="9"/>
    </row>
    <row r="436" spans="8:9">
      <c r="H436" s="9"/>
      <c r="I436" s="9"/>
    </row>
    <row r="437" spans="8:9">
      <c r="H437" s="9"/>
      <c r="I437" s="9"/>
    </row>
    <row r="438" spans="8:9">
      <c r="H438" s="9"/>
      <c r="I438" s="9"/>
    </row>
    <row r="439" spans="8:9">
      <c r="H439" s="9"/>
      <c r="I439" s="9"/>
    </row>
    <row r="440" spans="8:9">
      <c r="H440" s="9"/>
      <c r="I440" s="9"/>
    </row>
    <row r="441" spans="8:9">
      <c r="H441" s="9"/>
      <c r="I441" s="9"/>
    </row>
    <row r="442" spans="8:9">
      <c r="H442" s="9"/>
      <c r="I442" s="9"/>
    </row>
    <row r="443" spans="8:9">
      <c r="H443" s="9"/>
      <c r="I443" s="9"/>
    </row>
    <row r="444" spans="8:9">
      <c r="H444" s="9"/>
      <c r="I444" s="9"/>
    </row>
    <row r="445" spans="8:9">
      <c r="H445" s="9"/>
      <c r="I445" s="9"/>
    </row>
    <row r="446" spans="8:9">
      <c r="H446" s="9"/>
      <c r="I446" s="9"/>
    </row>
    <row r="447" spans="8:9">
      <c r="H447" s="9"/>
      <c r="I447" s="9"/>
    </row>
    <row r="448" spans="8:9">
      <c r="H448" s="9"/>
      <c r="I448" s="9"/>
    </row>
    <row r="449" spans="8:9">
      <c r="H449" s="9"/>
      <c r="I449" s="9"/>
    </row>
    <row r="450" spans="8:9">
      <c r="H450" s="9"/>
      <c r="I450" s="9"/>
    </row>
    <row r="451" spans="8:9">
      <c r="H451" s="9"/>
      <c r="I451" s="9"/>
    </row>
    <row r="452" spans="8:9">
      <c r="H452" s="9"/>
      <c r="I452" s="9"/>
    </row>
    <row r="453" spans="8:9">
      <c r="H453" s="9"/>
      <c r="I453" s="9"/>
    </row>
    <row r="454" spans="8:9">
      <c r="H454" s="9"/>
      <c r="I454" s="9"/>
    </row>
    <row r="455" spans="8:9">
      <c r="H455" s="9"/>
      <c r="I455" s="9"/>
    </row>
    <row r="456" spans="8:9">
      <c r="H456" s="9"/>
      <c r="I456" s="9"/>
    </row>
    <row r="457" spans="8:9">
      <c r="H457" s="9"/>
      <c r="I457" s="9"/>
    </row>
    <row r="458" spans="8:9">
      <c r="H458" s="9"/>
      <c r="I458" s="9"/>
    </row>
    <row r="459" spans="8:9">
      <c r="H459" s="9"/>
      <c r="I459" s="9"/>
    </row>
    <row r="460" spans="8:9">
      <c r="H460" s="9"/>
      <c r="I460" s="9"/>
    </row>
    <row r="461" spans="8:9">
      <c r="H461" s="9"/>
      <c r="I461" s="9"/>
    </row>
    <row r="462" spans="8:9">
      <c r="H462" s="9"/>
      <c r="I462" s="9"/>
    </row>
    <row r="463" spans="8:9">
      <c r="H463" s="9"/>
      <c r="I463" s="9"/>
    </row>
    <row r="464" spans="8:9">
      <c r="H464" s="9"/>
      <c r="I464" s="9"/>
    </row>
    <row r="465" spans="8:9">
      <c r="H465" s="9"/>
      <c r="I465" s="9"/>
    </row>
    <row r="466" spans="8:9">
      <c r="H466" s="9"/>
      <c r="I466" s="9"/>
    </row>
    <row r="467" spans="8:9">
      <c r="H467" s="9"/>
      <c r="I467" s="9"/>
    </row>
    <row r="468" spans="8:9">
      <c r="H468" s="9"/>
      <c r="I468" s="9"/>
    </row>
    <row r="469" spans="8:9">
      <c r="H469" s="9"/>
      <c r="I469" s="9"/>
    </row>
    <row r="470" spans="8:9">
      <c r="H470" s="9"/>
      <c r="I470" s="9"/>
    </row>
    <row r="471" spans="8:9">
      <c r="H471" s="9"/>
      <c r="I471" s="9"/>
    </row>
    <row r="472" spans="8:9">
      <c r="H472" s="9"/>
      <c r="I472" s="9"/>
    </row>
    <row r="473" spans="8:9">
      <c r="H473" s="9"/>
      <c r="I473" s="9"/>
    </row>
    <row r="474" spans="8:9">
      <c r="H474" s="9"/>
      <c r="I474" s="9"/>
    </row>
    <row r="475" spans="8:9">
      <c r="H475" s="9"/>
      <c r="I475" s="9"/>
    </row>
    <row r="476" spans="8:9">
      <c r="H476" s="9"/>
      <c r="I476" s="9"/>
    </row>
    <row r="477" spans="8:9">
      <c r="H477" s="9"/>
      <c r="I477" s="9"/>
    </row>
    <row r="478" spans="8:9">
      <c r="H478" s="9"/>
      <c r="I478" s="9"/>
    </row>
    <row r="479" spans="8:9">
      <c r="H479" s="9"/>
      <c r="I479" s="9"/>
    </row>
    <row r="480" spans="8:9">
      <c r="H480" s="9"/>
      <c r="I480" s="9"/>
    </row>
    <row r="481" spans="8:9">
      <c r="H481" s="9"/>
      <c r="I481" s="9"/>
    </row>
    <row r="482" spans="8:9">
      <c r="H482" s="9"/>
      <c r="I482" s="9"/>
    </row>
    <row r="483" spans="8:9">
      <c r="H483" s="9"/>
      <c r="I483" s="9"/>
    </row>
    <row r="484" spans="8:9">
      <c r="H484" s="9"/>
      <c r="I484" s="9"/>
    </row>
    <row r="485" spans="8:9">
      <c r="H485" s="9"/>
      <c r="I485" s="9"/>
    </row>
    <row r="486" spans="8:9">
      <c r="H486" s="9"/>
      <c r="I486" s="9"/>
    </row>
    <row r="487" spans="8:9">
      <c r="H487" s="9"/>
      <c r="I487" s="9"/>
    </row>
    <row r="488" spans="8:9">
      <c r="H488" s="9"/>
      <c r="I488" s="9"/>
    </row>
    <row r="489" spans="8:9">
      <c r="H489" s="9"/>
      <c r="I489" s="9"/>
    </row>
    <row r="490" spans="8:9">
      <c r="H490" s="9"/>
      <c r="I490" s="9"/>
    </row>
    <row r="491" spans="8:9">
      <c r="H491" s="9"/>
      <c r="I491" s="9"/>
    </row>
    <row r="492" spans="8:9">
      <c r="H492" s="9"/>
      <c r="I492" s="9"/>
    </row>
    <row r="493" spans="8:9">
      <c r="H493" s="9"/>
      <c r="I493" s="9"/>
    </row>
    <row r="494" spans="8:9">
      <c r="H494" s="9"/>
      <c r="I494" s="9"/>
    </row>
    <row r="495" spans="8:9">
      <c r="H495" s="9"/>
      <c r="I495" s="9"/>
    </row>
    <row r="496" spans="8:9">
      <c r="H496" s="9"/>
      <c r="I496" s="9"/>
    </row>
    <row r="497" spans="8:9">
      <c r="H497" s="9"/>
      <c r="I497" s="9"/>
    </row>
    <row r="498" spans="8:9">
      <c r="H498" s="9"/>
      <c r="I498" s="9"/>
    </row>
    <row r="499" spans="8:9">
      <c r="H499" s="9"/>
      <c r="I499" s="9"/>
    </row>
    <row r="500" spans="8:9">
      <c r="H500" s="9"/>
      <c r="I500" s="9"/>
    </row>
    <row r="501" spans="8:9">
      <c r="H501" s="9"/>
      <c r="I501" s="9"/>
    </row>
    <row r="502" spans="8:9">
      <c r="H502" s="9"/>
      <c r="I502" s="9"/>
    </row>
    <row r="503" spans="8:9">
      <c r="H503" s="9"/>
      <c r="I503" s="9"/>
    </row>
    <row r="504" spans="8:9">
      <c r="H504" s="9"/>
      <c r="I504" s="9"/>
    </row>
    <row r="505" spans="8:9">
      <c r="H505" s="9"/>
      <c r="I505" s="9"/>
    </row>
    <row r="506" spans="8:9">
      <c r="H506" s="9"/>
      <c r="I506" s="9"/>
    </row>
    <row r="507" spans="8:9">
      <c r="H507" s="9"/>
      <c r="I507" s="9"/>
    </row>
    <row r="508" spans="8:9">
      <c r="H508" s="9"/>
      <c r="I508" s="9"/>
    </row>
    <row r="509" spans="8:9">
      <c r="H509" s="9"/>
      <c r="I509" s="9"/>
    </row>
    <row r="510" spans="8:9">
      <c r="H510" s="9"/>
      <c r="I510" s="9"/>
    </row>
    <row r="511" spans="8:9">
      <c r="H511" s="9"/>
      <c r="I511" s="9"/>
    </row>
    <row r="512" spans="8:9">
      <c r="H512" s="9"/>
      <c r="I512" s="9"/>
    </row>
    <row r="513" spans="8:9">
      <c r="H513" s="9"/>
      <c r="I513" s="9"/>
    </row>
    <row r="514" spans="8:9">
      <c r="H514" s="9"/>
      <c r="I514" s="9"/>
    </row>
    <row r="515" spans="8:9">
      <c r="H515" s="9"/>
      <c r="I515" s="9"/>
    </row>
    <row r="516" spans="8:9">
      <c r="H516" s="9"/>
      <c r="I516" s="9"/>
    </row>
    <row r="517" spans="8:9">
      <c r="H517" s="9"/>
      <c r="I517" s="9"/>
    </row>
    <row r="518" spans="8:9">
      <c r="H518" s="9"/>
      <c r="I518" s="9"/>
    </row>
    <row r="519" spans="8:9">
      <c r="H519" s="9"/>
      <c r="I519" s="9"/>
    </row>
    <row r="520" spans="8:9">
      <c r="H520" s="9"/>
      <c r="I520" s="9"/>
    </row>
    <row r="521" spans="8:9">
      <c r="H521" s="9"/>
      <c r="I521" s="9"/>
    </row>
    <row r="522" spans="8:9">
      <c r="H522" s="9"/>
      <c r="I522" s="9"/>
    </row>
    <row r="523" spans="8:9">
      <c r="H523" s="9"/>
      <c r="I523" s="9"/>
    </row>
    <row r="524" spans="8:9">
      <c r="H524" s="9"/>
      <c r="I524" s="9"/>
    </row>
    <row r="525" spans="8:9">
      <c r="H525" s="9"/>
      <c r="I525" s="9"/>
    </row>
    <row r="526" spans="8:9">
      <c r="H526" s="9"/>
      <c r="I526" s="9"/>
    </row>
    <row r="527" spans="8:9">
      <c r="H527" s="9"/>
      <c r="I527" s="9"/>
    </row>
    <row r="528" spans="8:9">
      <c r="H528" s="9"/>
      <c r="I528" s="9"/>
    </row>
    <row r="529" spans="8:9">
      <c r="H529" s="9"/>
      <c r="I529" s="9"/>
    </row>
    <row r="530" spans="8:9">
      <c r="H530" s="9"/>
      <c r="I530" s="9"/>
    </row>
    <row r="531" spans="8:9">
      <c r="H531" s="9"/>
      <c r="I531" s="9"/>
    </row>
    <row r="532" spans="8:9">
      <c r="H532" s="9"/>
      <c r="I532" s="9"/>
    </row>
    <row r="533" spans="8:9">
      <c r="H533" s="9"/>
      <c r="I533" s="9"/>
    </row>
    <row r="534" spans="8:9">
      <c r="H534" s="9"/>
      <c r="I534" s="9"/>
    </row>
    <row r="535" spans="8:9">
      <c r="H535" s="9"/>
      <c r="I535" s="9"/>
    </row>
    <row r="536" spans="8:9">
      <c r="H536" s="9"/>
      <c r="I536" s="9"/>
    </row>
    <row r="537" spans="8:9">
      <c r="H537" s="9"/>
      <c r="I537" s="9"/>
    </row>
    <row r="538" spans="8:9">
      <c r="H538" s="9"/>
      <c r="I538" s="9"/>
    </row>
    <row r="539" spans="8:9">
      <c r="H539" s="9"/>
      <c r="I539" s="9"/>
    </row>
    <row r="540" spans="8:9">
      <c r="H540" s="9"/>
      <c r="I540" s="9"/>
    </row>
    <row r="541" spans="8:9">
      <c r="H541" s="9"/>
      <c r="I541" s="9"/>
    </row>
    <row r="542" spans="8:9">
      <c r="H542" s="9"/>
      <c r="I542" s="9"/>
    </row>
    <row r="543" spans="8:9">
      <c r="H543" s="9"/>
      <c r="I543" s="9"/>
    </row>
    <row r="544" spans="8:9">
      <c r="H544" s="9"/>
      <c r="I544" s="9"/>
    </row>
    <row r="545" spans="8:9">
      <c r="H545" s="9"/>
      <c r="I545" s="9"/>
    </row>
    <row r="546" spans="8:9">
      <c r="H546" s="9"/>
      <c r="I546" s="9"/>
    </row>
    <row r="547" spans="8:9">
      <c r="H547" s="9"/>
      <c r="I547" s="9"/>
    </row>
    <row r="548" spans="8:9">
      <c r="H548" s="9"/>
      <c r="I548" s="9"/>
    </row>
    <row r="549" spans="8:9">
      <c r="H549" s="9"/>
      <c r="I549" s="9"/>
    </row>
    <row r="550" spans="8:9">
      <c r="H550" s="9"/>
      <c r="I550" s="9"/>
    </row>
    <row r="551" spans="8:9">
      <c r="H551" s="9"/>
      <c r="I551" s="9"/>
    </row>
    <row r="552" spans="8:9">
      <c r="H552" s="9"/>
      <c r="I552" s="9"/>
    </row>
    <row r="553" spans="8:9">
      <c r="H553" s="9"/>
      <c r="I553" s="9"/>
    </row>
    <row r="554" spans="8:9">
      <c r="H554" s="9"/>
      <c r="I554" s="9"/>
    </row>
    <row r="555" spans="8:9">
      <c r="H555" s="9"/>
      <c r="I555" s="9"/>
    </row>
    <row r="556" spans="8:9">
      <c r="H556" s="9"/>
      <c r="I556" s="9"/>
    </row>
    <row r="557" spans="8:9">
      <c r="H557" s="9"/>
      <c r="I557" s="9"/>
    </row>
    <row r="558" spans="8:9">
      <c r="H558" s="9"/>
      <c r="I558" s="9"/>
    </row>
    <row r="559" spans="8:9">
      <c r="H559" s="9"/>
      <c r="I559" s="9"/>
    </row>
    <row r="560" spans="8:9">
      <c r="H560" s="9"/>
      <c r="I560" s="9"/>
    </row>
    <row r="561" spans="8:9">
      <c r="H561" s="9"/>
      <c r="I561" s="9"/>
    </row>
    <row r="562" spans="8:9">
      <c r="H562" s="9"/>
      <c r="I562" s="9"/>
    </row>
    <row r="563" spans="8:9">
      <c r="H563" s="9"/>
      <c r="I563" s="9"/>
    </row>
    <row r="564" spans="8:9">
      <c r="H564" s="9"/>
      <c r="I564" s="9"/>
    </row>
    <row r="565" spans="8:9">
      <c r="H565" s="9"/>
      <c r="I565" s="9"/>
    </row>
    <row r="566" spans="8:9">
      <c r="H566" s="9"/>
      <c r="I566" s="9"/>
    </row>
    <row r="567" spans="8:9">
      <c r="H567" s="9"/>
      <c r="I567" s="9"/>
    </row>
    <row r="568" spans="8:9">
      <c r="H568" s="9"/>
      <c r="I568" s="9"/>
    </row>
    <row r="569" spans="8:9">
      <c r="H569" s="9"/>
      <c r="I569" s="9"/>
    </row>
    <row r="570" spans="8:9">
      <c r="H570" s="9"/>
      <c r="I570" s="9"/>
    </row>
    <row r="571" spans="8:9">
      <c r="H571" s="9"/>
      <c r="I571" s="9"/>
    </row>
    <row r="572" spans="8:9">
      <c r="H572" s="9"/>
      <c r="I572" s="9"/>
    </row>
    <row r="573" spans="8:9">
      <c r="H573" s="9"/>
      <c r="I573" s="9"/>
    </row>
    <row r="574" spans="8:9">
      <c r="H574" s="9"/>
      <c r="I574" s="9"/>
    </row>
    <row r="575" spans="8:9">
      <c r="H575" s="9"/>
      <c r="I575" s="9"/>
    </row>
    <row r="576" spans="8:9">
      <c r="H576" s="9"/>
      <c r="I576" s="9"/>
    </row>
    <row r="577" spans="8:9">
      <c r="H577" s="9"/>
      <c r="I577" s="9"/>
    </row>
    <row r="578" spans="8:9">
      <c r="H578" s="9"/>
      <c r="I578" s="9"/>
    </row>
    <row r="579" spans="8:9">
      <c r="H579" s="9"/>
      <c r="I579" s="9"/>
    </row>
    <row r="580" spans="8:9">
      <c r="H580" s="9"/>
      <c r="I580" s="9"/>
    </row>
    <row r="581" spans="8:9">
      <c r="H581" s="9"/>
      <c r="I581" s="9"/>
    </row>
    <row r="582" spans="8:9">
      <c r="H582" s="9"/>
      <c r="I582" s="9"/>
    </row>
    <row r="583" spans="8:9">
      <c r="H583" s="9"/>
      <c r="I583" s="9"/>
    </row>
    <row r="584" spans="8:9">
      <c r="H584" s="9"/>
      <c r="I584" s="9"/>
    </row>
    <row r="585" spans="8:9">
      <c r="H585" s="9"/>
      <c r="I585" s="9"/>
    </row>
    <row r="586" spans="8:9">
      <c r="H586" s="9"/>
      <c r="I586" s="9"/>
    </row>
    <row r="587" spans="8:9">
      <c r="H587" s="9"/>
      <c r="I587" s="9"/>
    </row>
    <row r="588" spans="8:9">
      <c r="H588" s="9"/>
      <c r="I588" s="9"/>
    </row>
    <row r="589" spans="8:9">
      <c r="H589" s="9"/>
      <c r="I589" s="9"/>
    </row>
    <row r="590" spans="8:9">
      <c r="H590" s="9"/>
      <c r="I590" s="9"/>
    </row>
    <row r="591" spans="8:9">
      <c r="H591" s="9"/>
      <c r="I591" s="9"/>
    </row>
    <row r="592" spans="8:9">
      <c r="H592" s="9"/>
      <c r="I592" s="9"/>
    </row>
    <row r="593" spans="8:9">
      <c r="H593" s="9"/>
      <c r="I593" s="9"/>
    </row>
    <row r="594" spans="8:9">
      <c r="H594" s="9"/>
      <c r="I594" s="9"/>
    </row>
    <row r="595" spans="8:9">
      <c r="H595" s="9"/>
      <c r="I595" s="9"/>
    </row>
    <row r="596" spans="8:9">
      <c r="H596" s="9"/>
      <c r="I596" s="9"/>
    </row>
    <row r="597" spans="8:9">
      <c r="H597" s="9"/>
      <c r="I597" s="9"/>
    </row>
    <row r="598" spans="8:9">
      <c r="H598" s="9"/>
      <c r="I598" s="9"/>
    </row>
    <row r="599" spans="8:9">
      <c r="H599" s="9"/>
      <c r="I599" s="9"/>
    </row>
    <row r="600" spans="8:9">
      <c r="H600" s="9"/>
      <c r="I600" s="9"/>
    </row>
    <row r="601" spans="8:9">
      <c r="H601" s="9"/>
      <c r="I601" s="9"/>
    </row>
    <row r="602" spans="8:9">
      <c r="H602" s="9"/>
      <c r="I602" s="9"/>
    </row>
    <row r="603" spans="8:9">
      <c r="H603" s="9"/>
      <c r="I603" s="9"/>
    </row>
    <row r="604" spans="8:9">
      <c r="H604" s="9"/>
      <c r="I604" s="9"/>
    </row>
    <row r="605" spans="8:9">
      <c r="H605" s="9"/>
      <c r="I605" s="9"/>
    </row>
    <row r="606" spans="8:9">
      <c r="H606" s="9"/>
      <c r="I606" s="9"/>
    </row>
    <row r="607" spans="8:9">
      <c r="H607" s="9"/>
      <c r="I607" s="9"/>
    </row>
    <row r="608" spans="8:9">
      <c r="H608" s="9"/>
      <c r="I608" s="9"/>
    </row>
    <row r="609" spans="8:9">
      <c r="H609" s="9"/>
      <c r="I609" s="9"/>
    </row>
    <row r="610" spans="8:9">
      <c r="H610" s="9"/>
      <c r="I610" s="9"/>
    </row>
    <row r="611" spans="8:9">
      <c r="H611" s="9"/>
      <c r="I611" s="9"/>
    </row>
    <row r="612" spans="8:9">
      <c r="H612" s="9"/>
      <c r="I612" s="9"/>
    </row>
    <row r="613" spans="8:9">
      <c r="H613" s="9"/>
      <c r="I613" s="9"/>
    </row>
    <row r="614" spans="8:9">
      <c r="H614" s="9"/>
      <c r="I614" s="9"/>
    </row>
    <row r="615" spans="8:9">
      <c r="H615" s="9"/>
      <c r="I615" s="9"/>
    </row>
    <row r="616" spans="8:9">
      <c r="H616" s="9"/>
      <c r="I616" s="9"/>
    </row>
    <row r="617" spans="8:9">
      <c r="H617" s="9"/>
      <c r="I617" s="9"/>
    </row>
    <row r="618" spans="8:9">
      <c r="H618" s="9"/>
      <c r="I618" s="9"/>
    </row>
    <row r="619" spans="8:9">
      <c r="H619" s="9"/>
      <c r="I619" s="9"/>
    </row>
    <row r="620" spans="8:9">
      <c r="H620" s="9"/>
      <c r="I620" s="9"/>
    </row>
    <row r="621" spans="8:9">
      <c r="H621" s="9"/>
      <c r="I621" s="9"/>
    </row>
    <row r="622" spans="8:9">
      <c r="H622" s="9"/>
      <c r="I622" s="9"/>
    </row>
    <row r="623" spans="8:9">
      <c r="H623" s="9"/>
      <c r="I623" s="9"/>
    </row>
    <row r="624" spans="8:9">
      <c r="H624" s="9"/>
      <c r="I624" s="9"/>
    </row>
    <row r="625" spans="8:9">
      <c r="H625" s="9"/>
      <c r="I625" s="9"/>
    </row>
    <row r="626" spans="8:9">
      <c r="H626" s="9"/>
      <c r="I626" s="9"/>
    </row>
    <row r="627" spans="8:9">
      <c r="H627" s="9"/>
      <c r="I627" s="9"/>
    </row>
    <row r="628" spans="8:9">
      <c r="H628" s="9"/>
      <c r="I628" s="9"/>
    </row>
    <row r="629" spans="8:9">
      <c r="H629" s="9"/>
      <c r="I629" s="9"/>
    </row>
    <row r="630" spans="8:9">
      <c r="H630" s="9"/>
      <c r="I630" s="9"/>
    </row>
    <row r="631" spans="8:9">
      <c r="H631" s="9"/>
      <c r="I631" s="9"/>
    </row>
    <row r="632" spans="8:9">
      <c r="H632" s="9"/>
      <c r="I632" s="9"/>
    </row>
    <row r="633" spans="8:9">
      <c r="H633" s="9"/>
      <c r="I633" s="9"/>
    </row>
    <row r="634" spans="8:9">
      <c r="H634" s="9"/>
      <c r="I634" s="9"/>
    </row>
    <row r="635" spans="8:9">
      <c r="H635" s="9"/>
      <c r="I635" s="9"/>
    </row>
    <row r="636" spans="8:9">
      <c r="H636" s="9"/>
      <c r="I636" s="9"/>
    </row>
    <row r="637" spans="8:9">
      <c r="H637" s="9"/>
      <c r="I637" s="9"/>
    </row>
    <row r="638" spans="8:9">
      <c r="H638" s="9"/>
      <c r="I638" s="9"/>
    </row>
    <row r="639" spans="8:9">
      <c r="H639" s="9"/>
      <c r="I639" s="9"/>
    </row>
    <row r="640" spans="8:9">
      <c r="H640" s="9"/>
      <c r="I640" s="9"/>
    </row>
    <row r="641" spans="8:9">
      <c r="H641" s="9"/>
      <c r="I641" s="9"/>
    </row>
    <row r="642" spans="8:9">
      <c r="H642" s="9"/>
      <c r="I642" s="9"/>
    </row>
    <row r="643" spans="8:9">
      <c r="H643" s="9"/>
      <c r="I643" s="9"/>
    </row>
    <row r="644" spans="8:9">
      <c r="H644" s="9"/>
      <c r="I644" s="9"/>
    </row>
    <row r="645" spans="8:9">
      <c r="H645" s="9"/>
      <c r="I645" s="9"/>
    </row>
    <row r="646" spans="8:9">
      <c r="H646" s="9"/>
      <c r="I646" s="9"/>
    </row>
    <row r="647" spans="8:9">
      <c r="H647" s="9"/>
      <c r="I647" s="9"/>
    </row>
    <row r="648" spans="8:9">
      <c r="H648" s="9"/>
      <c r="I648" s="9"/>
    </row>
    <row r="649" spans="8:9">
      <c r="H649" s="9"/>
      <c r="I649" s="9"/>
    </row>
    <row r="650" spans="8:9">
      <c r="H650" s="9"/>
      <c r="I650" s="9"/>
    </row>
    <row r="651" spans="8:9">
      <c r="H651" s="9"/>
      <c r="I651" s="9"/>
    </row>
    <row r="652" spans="8:9">
      <c r="H652" s="9"/>
      <c r="I652" s="9"/>
    </row>
    <row r="653" spans="8:9">
      <c r="H653" s="9"/>
      <c r="I653" s="9"/>
    </row>
    <row r="654" spans="8:9">
      <c r="H654" s="9"/>
      <c r="I654" s="9"/>
    </row>
    <row r="655" spans="8:9">
      <c r="H655" s="9"/>
      <c r="I655" s="9"/>
    </row>
    <row r="656" spans="8:9">
      <c r="H656" s="9"/>
      <c r="I656" s="9"/>
    </row>
    <row r="657" spans="8:9">
      <c r="H657" s="9"/>
      <c r="I657" s="9"/>
    </row>
    <row r="658" spans="8:9">
      <c r="H658" s="9"/>
      <c r="I658" s="9"/>
    </row>
    <row r="659" spans="8:9">
      <c r="H659" s="9"/>
      <c r="I659" s="9"/>
    </row>
    <row r="660" spans="8:9">
      <c r="H660" s="9"/>
      <c r="I660" s="9"/>
    </row>
    <row r="661" spans="8:9">
      <c r="H661" s="9"/>
      <c r="I661" s="9"/>
    </row>
    <row r="662" spans="8:9">
      <c r="H662" s="9"/>
      <c r="I662" s="9"/>
    </row>
    <row r="663" spans="8:9">
      <c r="H663" s="9"/>
      <c r="I663" s="9"/>
    </row>
    <row r="664" spans="8:9">
      <c r="H664" s="9"/>
      <c r="I664" s="9"/>
    </row>
    <row r="665" spans="8:9">
      <c r="H665" s="9"/>
      <c r="I665" s="9"/>
    </row>
    <row r="666" spans="8:9">
      <c r="H666" s="9"/>
      <c r="I666" s="9"/>
    </row>
    <row r="667" spans="8:9">
      <c r="H667" s="9"/>
      <c r="I667" s="9"/>
    </row>
    <row r="668" spans="8:9">
      <c r="H668" s="9"/>
      <c r="I668" s="9"/>
    </row>
    <row r="669" spans="8:9">
      <c r="H669" s="9"/>
      <c r="I669" s="9"/>
    </row>
    <row r="670" spans="8:9">
      <c r="H670" s="9"/>
      <c r="I670" s="9"/>
    </row>
    <row r="671" spans="8:9">
      <c r="H671" s="9"/>
      <c r="I671" s="9"/>
    </row>
    <row r="672" spans="8:9">
      <c r="H672" s="9"/>
      <c r="I672" s="9"/>
    </row>
    <row r="673" spans="8:9">
      <c r="H673" s="9"/>
      <c r="I673" s="9"/>
    </row>
    <row r="674" spans="8:9">
      <c r="H674" s="9"/>
      <c r="I674" s="9"/>
    </row>
    <row r="675" spans="8:9">
      <c r="H675" s="9"/>
      <c r="I675" s="9"/>
    </row>
    <row r="676" spans="8:9">
      <c r="H676" s="9"/>
      <c r="I676" s="9"/>
    </row>
    <row r="677" spans="8:9">
      <c r="H677" s="9"/>
      <c r="I677" s="9"/>
    </row>
    <row r="678" spans="8:9">
      <c r="H678" s="9"/>
      <c r="I678" s="9"/>
    </row>
    <row r="679" spans="8:9">
      <c r="H679" s="9"/>
      <c r="I679" s="9"/>
    </row>
    <row r="680" spans="8:9">
      <c r="H680" s="9"/>
      <c r="I680" s="9"/>
    </row>
    <row r="681" spans="8:9">
      <c r="H681" s="9"/>
      <c r="I681" s="9"/>
    </row>
    <row r="682" spans="8:9">
      <c r="H682" s="9"/>
      <c r="I682" s="9"/>
    </row>
    <row r="683" spans="8:9">
      <c r="H683" s="9"/>
      <c r="I683" s="9"/>
    </row>
    <row r="684" spans="8:9">
      <c r="H684" s="9"/>
      <c r="I684" s="9"/>
    </row>
    <row r="685" spans="8:9">
      <c r="H685" s="9"/>
      <c r="I685" s="9"/>
    </row>
    <row r="686" spans="8:9">
      <c r="H686" s="9"/>
      <c r="I686" s="9"/>
    </row>
    <row r="687" spans="8:9">
      <c r="H687" s="9"/>
      <c r="I687" s="9"/>
    </row>
    <row r="688" spans="8:9">
      <c r="H688" s="9"/>
      <c r="I688" s="9"/>
    </row>
    <row r="689" spans="8:9">
      <c r="H689" s="9"/>
      <c r="I689" s="9"/>
    </row>
    <row r="690" spans="8:9">
      <c r="H690" s="9"/>
      <c r="I690" s="9"/>
    </row>
    <row r="691" spans="8:9">
      <c r="H691" s="9"/>
      <c r="I691" s="9"/>
    </row>
    <row r="692" spans="8:9">
      <c r="H692" s="9"/>
      <c r="I692" s="9"/>
    </row>
    <row r="693" spans="8:9">
      <c r="H693" s="9"/>
      <c r="I693" s="9"/>
    </row>
    <row r="694" spans="8:9">
      <c r="H694" s="9"/>
      <c r="I694" s="9"/>
    </row>
    <row r="695" spans="8:9">
      <c r="H695" s="9"/>
      <c r="I695" s="9"/>
    </row>
    <row r="696" spans="8:9">
      <c r="H696" s="9"/>
      <c r="I696" s="9"/>
    </row>
    <row r="697" spans="8:9">
      <c r="H697" s="9"/>
      <c r="I697" s="9"/>
    </row>
    <row r="698" spans="8:9">
      <c r="H698" s="9"/>
      <c r="I698" s="9"/>
    </row>
    <row r="699" spans="8:9">
      <c r="H699" s="9"/>
      <c r="I699" s="9"/>
    </row>
    <row r="700" spans="8:9">
      <c r="H700" s="9"/>
      <c r="I700" s="9"/>
    </row>
    <row r="701" spans="8:9">
      <c r="H701" s="9"/>
      <c r="I701" s="9"/>
    </row>
    <row r="702" spans="8:9">
      <c r="H702" s="9"/>
      <c r="I702" s="9"/>
    </row>
    <row r="703" spans="8:9">
      <c r="H703" s="9"/>
      <c r="I703" s="9"/>
    </row>
    <row r="704" spans="8:9">
      <c r="H704" s="9"/>
      <c r="I704" s="9"/>
    </row>
    <row r="705" spans="8:9">
      <c r="H705" s="9"/>
      <c r="I705" s="9"/>
    </row>
    <row r="706" spans="8:9">
      <c r="H706" s="9"/>
      <c r="I706" s="9"/>
    </row>
    <row r="707" spans="8:9">
      <c r="H707" s="9"/>
      <c r="I707" s="9"/>
    </row>
    <row r="708" spans="8:9">
      <c r="H708" s="9"/>
      <c r="I708" s="9"/>
    </row>
    <row r="709" spans="8:9">
      <c r="H709" s="9"/>
      <c r="I709" s="9"/>
    </row>
    <row r="710" spans="8:9">
      <c r="H710" s="9"/>
      <c r="I710" s="9"/>
    </row>
    <row r="711" spans="8:9">
      <c r="H711" s="9"/>
      <c r="I711" s="9"/>
    </row>
    <row r="712" spans="8:9">
      <c r="H712" s="9"/>
      <c r="I712" s="9"/>
    </row>
    <row r="713" spans="8:9">
      <c r="H713" s="9"/>
      <c r="I713" s="9"/>
    </row>
    <row r="714" spans="8:9">
      <c r="H714" s="9"/>
      <c r="I714" s="9"/>
    </row>
    <row r="715" spans="8:9">
      <c r="H715" s="9"/>
      <c r="I715" s="9"/>
    </row>
    <row r="716" spans="8:9">
      <c r="H716" s="9"/>
      <c r="I716" s="9"/>
    </row>
    <row r="717" spans="8:9">
      <c r="H717" s="9"/>
      <c r="I717" s="9"/>
    </row>
    <row r="718" spans="8:9">
      <c r="H718" s="9"/>
      <c r="I718" s="9"/>
    </row>
    <row r="719" spans="8:9">
      <c r="H719" s="9"/>
      <c r="I719" s="9"/>
    </row>
    <row r="720" spans="8:9">
      <c r="H720" s="9"/>
      <c r="I720" s="9"/>
    </row>
    <row r="721" spans="8:9">
      <c r="H721" s="9"/>
      <c r="I721" s="9"/>
    </row>
    <row r="722" spans="8:9">
      <c r="H722" s="9"/>
      <c r="I722" s="9"/>
    </row>
    <row r="723" spans="8:9">
      <c r="H723" s="9"/>
      <c r="I723" s="9"/>
    </row>
    <row r="724" spans="8:9">
      <c r="H724" s="9"/>
      <c r="I724" s="9"/>
    </row>
    <row r="725" spans="8:9">
      <c r="H725" s="9"/>
      <c r="I725" s="9"/>
    </row>
    <row r="726" spans="8:9">
      <c r="H726" s="9"/>
      <c r="I726" s="9"/>
    </row>
    <row r="727" spans="8:9">
      <c r="H727" s="9"/>
      <c r="I727" s="9"/>
    </row>
    <row r="728" spans="8:9">
      <c r="H728" s="9"/>
      <c r="I728" s="9"/>
    </row>
    <row r="729" spans="8:9">
      <c r="H729" s="9"/>
      <c r="I729" s="9"/>
    </row>
    <row r="730" spans="8:9">
      <c r="H730" s="9"/>
      <c r="I730" s="9"/>
    </row>
    <row r="731" spans="8:9">
      <c r="H731" s="9"/>
      <c r="I731" s="9"/>
    </row>
    <row r="732" spans="8:9">
      <c r="H732" s="9"/>
      <c r="I732" s="9"/>
    </row>
    <row r="733" spans="8:9">
      <c r="H733" s="9"/>
      <c r="I733" s="9"/>
    </row>
    <row r="734" spans="8:9">
      <c r="H734" s="9"/>
      <c r="I734" s="9"/>
    </row>
    <row r="735" spans="8:9">
      <c r="H735" s="9"/>
      <c r="I735" s="9"/>
    </row>
    <row r="736" spans="8:9">
      <c r="H736" s="9"/>
      <c r="I736" s="9"/>
    </row>
    <row r="737" spans="8:9">
      <c r="H737" s="9"/>
      <c r="I737" s="9"/>
    </row>
    <row r="738" spans="8:9">
      <c r="H738" s="9"/>
      <c r="I738" s="9"/>
    </row>
    <row r="739" spans="8:9">
      <c r="H739" s="9"/>
      <c r="I739" s="9"/>
    </row>
    <row r="740" spans="8:9">
      <c r="H740" s="9"/>
      <c r="I740" s="9"/>
    </row>
    <row r="741" spans="8:9">
      <c r="H741" s="9"/>
      <c r="I741" s="9"/>
    </row>
    <row r="742" spans="8:9">
      <c r="H742" s="9"/>
      <c r="I742" s="9"/>
    </row>
    <row r="743" spans="8:9">
      <c r="H743" s="9"/>
      <c r="I743" s="9"/>
    </row>
    <row r="744" spans="8:9">
      <c r="H744" s="9"/>
      <c r="I744" s="9"/>
    </row>
    <row r="745" spans="8:9">
      <c r="H745" s="9"/>
      <c r="I745" s="9"/>
    </row>
    <row r="746" spans="8:9">
      <c r="H746" s="9"/>
      <c r="I746" s="9"/>
    </row>
    <row r="747" spans="8:9">
      <c r="H747" s="9"/>
      <c r="I747" s="9"/>
    </row>
    <row r="748" spans="8:9">
      <c r="H748" s="9"/>
      <c r="I748" s="9"/>
    </row>
    <row r="749" spans="8:9">
      <c r="H749" s="9"/>
      <c r="I749" s="9"/>
    </row>
    <row r="750" spans="8:9">
      <c r="H750" s="9"/>
      <c r="I750" s="9"/>
    </row>
    <row r="751" spans="8:9">
      <c r="H751" s="9"/>
      <c r="I751" s="9"/>
    </row>
    <row r="752" spans="8:9">
      <c r="H752" s="9"/>
      <c r="I752" s="9"/>
    </row>
    <row r="753" spans="8:9">
      <c r="H753" s="9"/>
      <c r="I753" s="9"/>
    </row>
    <row r="754" spans="8:9">
      <c r="H754" s="9"/>
      <c r="I754" s="9"/>
    </row>
    <row r="755" spans="8:9">
      <c r="H755" s="9"/>
      <c r="I755" s="9"/>
    </row>
    <row r="756" spans="8:9">
      <c r="H756" s="9"/>
      <c r="I756" s="9"/>
    </row>
    <row r="757" spans="8:9">
      <c r="H757" s="9"/>
      <c r="I757" s="9"/>
    </row>
    <row r="758" spans="8:9">
      <c r="H758" s="9"/>
      <c r="I758" s="9"/>
    </row>
    <row r="759" spans="8:9">
      <c r="H759" s="9"/>
      <c r="I759" s="9"/>
    </row>
    <row r="760" spans="8:9">
      <c r="H760" s="9"/>
      <c r="I760" s="9"/>
    </row>
    <row r="761" spans="8:9">
      <c r="H761" s="9"/>
      <c r="I761" s="9"/>
    </row>
    <row r="762" spans="8:9">
      <c r="H762" s="9"/>
      <c r="I762" s="9"/>
    </row>
    <row r="763" spans="8:9">
      <c r="H763" s="9"/>
      <c r="I763" s="9"/>
    </row>
    <row r="764" spans="8:9">
      <c r="H764" s="9"/>
      <c r="I764" s="9"/>
    </row>
    <row r="765" spans="8:9">
      <c r="H765" s="9"/>
      <c r="I765" s="9"/>
    </row>
    <row r="766" spans="8:9">
      <c r="H766" s="9"/>
      <c r="I766" s="9"/>
    </row>
    <row r="767" spans="8:9">
      <c r="H767" s="9"/>
      <c r="I767" s="9"/>
    </row>
    <row r="768" spans="8:9">
      <c r="H768" s="9"/>
      <c r="I768" s="9"/>
    </row>
    <row r="769" spans="8:9">
      <c r="H769" s="9"/>
      <c r="I769" s="9"/>
    </row>
    <row r="770" spans="8:9">
      <c r="H770" s="9"/>
      <c r="I770" s="9"/>
    </row>
    <row r="771" spans="8:9">
      <c r="H771" s="9"/>
      <c r="I771" s="9"/>
    </row>
    <row r="772" spans="8:9">
      <c r="H772" s="9"/>
      <c r="I772" s="9"/>
    </row>
    <row r="773" spans="8:9">
      <c r="H773" s="9"/>
      <c r="I773" s="9"/>
    </row>
    <row r="774" spans="8:9">
      <c r="H774" s="9"/>
      <c r="I774" s="9"/>
    </row>
    <row r="775" spans="8:9">
      <c r="H775" s="9"/>
      <c r="I775" s="9"/>
    </row>
    <row r="776" spans="8:9">
      <c r="H776" s="9"/>
      <c r="I776" s="9"/>
    </row>
    <row r="777" spans="8:9">
      <c r="H777" s="9"/>
      <c r="I777" s="9"/>
    </row>
    <row r="778" spans="8:9">
      <c r="H778" s="9"/>
      <c r="I778" s="9"/>
    </row>
    <row r="779" spans="8:9">
      <c r="H779" s="9"/>
      <c r="I779" s="9"/>
    </row>
    <row r="780" spans="8:9">
      <c r="H780" s="9"/>
      <c r="I780" s="9"/>
    </row>
    <row r="781" spans="8:9">
      <c r="H781" s="9"/>
      <c r="I781" s="9"/>
    </row>
    <row r="782" spans="8:9">
      <c r="H782" s="9"/>
      <c r="I782" s="9"/>
    </row>
    <row r="783" spans="8:9">
      <c r="H783" s="9"/>
      <c r="I783" s="9"/>
    </row>
    <row r="784" spans="8:9">
      <c r="H784" s="9"/>
      <c r="I784" s="9"/>
    </row>
    <row r="785" spans="8:9">
      <c r="H785" s="9"/>
      <c r="I785" s="9"/>
    </row>
    <row r="786" spans="8:9">
      <c r="H786" s="9"/>
      <c r="I786" s="9"/>
    </row>
    <row r="787" spans="8:9">
      <c r="H787" s="9"/>
      <c r="I787" s="9"/>
    </row>
    <row r="788" spans="8:9">
      <c r="H788" s="9"/>
      <c r="I788" s="9"/>
    </row>
    <row r="789" spans="8:9">
      <c r="H789" s="9"/>
      <c r="I789" s="9"/>
    </row>
    <row r="790" spans="8:9">
      <c r="H790" s="9"/>
      <c r="I790" s="9"/>
    </row>
    <row r="791" spans="8:9">
      <c r="H791" s="9"/>
      <c r="I791" s="9"/>
    </row>
    <row r="792" spans="8:9">
      <c r="H792" s="9"/>
      <c r="I792" s="9"/>
    </row>
    <row r="793" spans="8:9">
      <c r="H793" s="9"/>
      <c r="I793" s="9"/>
    </row>
    <row r="794" spans="8:9">
      <c r="H794" s="9"/>
      <c r="I794" s="9"/>
    </row>
    <row r="795" spans="8:9">
      <c r="H795" s="9"/>
      <c r="I795" s="9"/>
    </row>
    <row r="796" spans="8:9">
      <c r="H796" s="9"/>
      <c r="I796" s="9"/>
    </row>
    <row r="797" spans="8:9">
      <c r="H797" s="9"/>
      <c r="I797" s="9"/>
    </row>
    <row r="798" spans="8:9">
      <c r="H798" s="9"/>
      <c r="I798" s="9"/>
    </row>
    <row r="799" spans="8:9">
      <c r="H799" s="9"/>
      <c r="I799" s="9"/>
    </row>
    <row r="800" spans="8:9">
      <c r="H800" s="9"/>
      <c r="I800" s="9"/>
    </row>
    <row r="801" spans="8:9">
      <c r="H801" s="9"/>
      <c r="I801" s="9"/>
    </row>
    <row r="802" spans="8:9">
      <c r="H802" s="9"/>
      <c r="I802" s="9"/>
    </row>
    <row r="803" spans="8:9">
      <c r="H803" s="9"/>
      <c r="I803" s="9"/>
    </row>
    <row r="804" spans="8:9">
      <c r="H804" s="9"/>
      <c r="I804" s="9"/>
    </row>
    <row r="805" spans="8:9">
      <c r="H805" s="9"/>
      <c r="I805" s="9"/>
    </row>
    <row r="806" spans="8:9">
      <c r="H806" s="9"/>
      <c r="I806" s="9"/>
    </row>
    <row r="807" spans="8:9">
      <c r="H807" s="9"/>
      <c r="I807" s="9"/>
    </row>
    <row r="808" spans="8:9">
      <c r="H808" s="9"/>
      <c r="I808" s="9"/>
    </row>
    <row r="809" spans="8:9">
      <c r="H809" s="9"/>
      <c r="I809" s="9"/>
    </row>
    <row r="810" spans="8:9">
      <c r="H810" s="9"/>
      <c r="I810" s="9"/>
    </row>
    <row r="811" spans="8:9">
      <c r="H811" s="9"/>
      <c r="I811" s="9"/>
    </row>
    <row r="812" spans="8:9">
      <c r="H812" s="9"/>
      <c r="I812" s="9"/>
    </row>
    <row r="813" spans="8:9">
      <c r="H813" s="9"/>
      <c r="I813" s="9"/>
    </row>
    <row r="814" spans="8:9">
      <c r="H814" s="9"/>
      <c r="I814" s="9"/>
    </row>
    <row r="815" spans="8:9">
      <c r="H815" s="9"/>
      <c r="I815" s="9"/>
    </row>
    <row r="816" spans="8:9">
      <c r="H816" s="9"/>
      <c r="I816" s="9"/>
    </row>
    <row r="817" spans="8:9">
      <c r="H817" s="9"/>
      <c r="I817" s="9"/>
    </row>
    <row r="818" spans="8:9">
      <c r="H818" s="9"/>
      <c r="I818" s="9"/>
    </row>
    <row r="819" spans="8:9">
      <c r="H819" s="9"/>
      <c r="I819" s="9"/>
    </row>
    <row r="820" spans="8:9">
      <c r="H820" s="9"/>
      <c r="I820" s="9"/>
    </row>
    <row r="821" spans="8:9">
      <c r="H821" s="9"/>
      <c r="I821" s="9"/>
    </row>
    <row r="822" spans="8:9">
      <c r="H822" s="9"/>
      <c r="I822" s="9"/>
    </row>
    <row r="823" spans="8:9">
      <c r="H823" s="9"/>
      <c r="I823" s="9"/>
    </row>
    <row r="824" spans="8:9">
      <c r="H824" s="9"/>
      <c r="I824" s="9"/>
    </row>
    <row r="825" spans="8:9">
      <c r="H825" s="9"/>
      <c r="I825" s="9"/>
    </row>
    <row r="826" spans="8:9">
      <c r="H826" s="9"/>
      <c r="I826" s="9"/>
    </row>
    <row r="827" spans="8:9">
      <c r="H827" s="9"/>
      <c r="I827" s="9"/>
    </row>
    <row r="828" spans="8:9">
      <c r="H828" s="9"/>
      <c r="I828" s="9"/>
    </row>
    <row r="829" spans="8:9">
      <c r="H829" s="9"/>
      <c r="I829" s="9"/>
    </row>
    <row r="830" spans="8:9">
      <c r="H830" s="9"/>
      <c r="I830" s="9"/>
    </row>
    <row r="831" spans="8:9">
      <c r="H831" s="9"/>
      <c r="I831" s="9"/>
    </row>
    <row r="832" spans="8:9">
      <c r="H832" s="9"/>
      <c r="I832" s="9"/>
    </row>
    <row r="833" spans="8:9">
      <c r="H833" s="9"/>
      <c r="I833" s="9"/>
    </row>
    <row r="834" spans="8:9">
      <c r="H834" s="9"/>
      <c r="I834" s="9"/>
    </row>
    <row r="835" spans="8:9">
      <c r="H835" s="9"/>
      <c r="I835" s="9"/>
    </row>
    <row r="836" spans="8:9">
      <c r="H836" s="9"/>
      <c r="I836" s="9"/>
    </row>
    <row r="837" spans="8:9">
      <c r="H837" s="9"/>
      <c r="I837" s="9"/>
    </row>
    <row r="838" spans="8:9">
      <c r="H838" s="9"/>
      <c r="I838" s="9"/>
    </row>
    <row r="839" spans="8:9">
      <c r="H839" s="9"/>
      <c r="I839" s="9"/>
    </row>
    <row r="840" spans="8:9">
      <c r="H840" s="9"/>
      <c r="I840" s="9"/>
    </row>
    <row r="841" spans="8:9">
      <c r="H841" s="9"/>
      <c r="I841" s="9"/>
    </row>
    <row r="842" spans="8:9">
      <c r="H842" s="9"/>
      <c r="I842" s="9"/>
    </row>
    <row r="843" spans="8:9">
      <c r="H843" s="9"/>
      <c r="I843" s="9"/>
    </row>
    <row r="844" spans="8:9">
      <c r="H844" s="9"/>
      <c r="I844" s="9"/>
    </row>
    <row r="845" spans="8:9">
      <c r="H845" s="9"/>
      <c r="I845" s="9"/>
    </row>
    <row r="846" spans="8:9">
      <c r="H846" s="9"/>
      <c r="I846" s="9"/>
    </row>
    <row r="847" spans="8:9">
      <c r="H847" s="9"/>
      <c r="I847" s="9"/>
    </row>
    <row r="848" spans="8:9">
      <c r="H848" s="9"/>
      <c r="I848" s="9"/>
    </row>
    <row r="849" spans="8:9">
      <c r="H849" s="9"/>
      <c r="I849" s="9"/>
    </row>
    <row r="850" spans="8:9">
      <c r="H850" s="9"/>
      <c r="I850" s="9"/>
    </row>
    <row r="851" spans="8:9">
      <c r="H851" s="9"/>
      <c r="I851" s="9"/>
    </row>
    <row r="852" spans="8:9">
      <c r="H852" s="9"/>
      <c r="I852" s="9"/>
    </row>
    <row r="853" spans="8:9">
      <c r="H853" s="9"/>
      <c r="I853" s="9"/>
    </row>
    <row r="854" spans="8:9">
      <c r="H854" s="9"/>
      <c r="I854" s="9"/>
    </row>
    <row r="855" spans="8:9">
      <c r="H855" s="9"/>
      <c r="I855" s="9"/>
    </row>
    <row r="856" spans="8:9">
      <c r="H856" s="9"/>
      <c r="I856" s="9"/>
    </row>
    <row r="857" spans="8:9">
      <c r="H857" s="9"/>
      <c r="I857" s="9"/>
    </row>
    <row r="858" spans="8:9">
      <c r="H858" s="9"/>
      <c r="I858" s="9"/>
    </row>
    <row r="859" spans="8:9">
      <c r="H859" s="9"/>
      <c r="I859" s="9"/>
    </row>
    <row r="860" spans="8:9">
      <c r="H860" s="9"/>
      <c r="I860" s="9"/>
    </row>
    <row r="861" spans="8:9">
      <c r="H861" s="9"/>
      <c r="I861" s="9"/>
    </row>
    <row r="862" spans="8:9">
      <c r="H862" s="9"/>
      <c r="I862" s="9"/>
    </row>
    <row r="863" spans="8:9">
      <c r="H863" s="9"/>
      <c r="I863" s="9"/>
    </row>
    <row r="864" spans="8:9">
      <c r="H864" s="9"/>
      <c r="I864" s="9"/>
    </row>
    <row r="865" spans="8:9">
      <c r="H865" s="9"/>
      <c r="I865" s="9"/>
    </row>
    <row r="866" spans="8:9">
      <c r="H866" s="9"/>
      <c r="I866" s="9"/>
    </row>
    <row r="867" spans="8:9">
      <c r="H867" s="9"/>
      <c r="I867" s="9"/>
    </row>
    <row r="868" spans="8:9">
      <c r="H868" s="9"/>
      <c r="I868" s="9"/>
    </row>
    <row r="869" spans="8:9">
      <c r="H869" s="9"/>
      <c r="I869" s="9"/>
    </row>
    <row r="870" spans="8:9">
      <c r="H870" s="9"/>
      <c r="I870" s="9"/>
    </row>
    <row r="871" spans="8:9">
      <c r="H871" s="9"/>
      <c r="I871" s="9"/>
    </row>
    <row r="872" spans="8:9">
      <c r="H872" s="9"/>
      <c r="I872" s="9"/>
    </row>
    <row r="873" spans="8:9">
      <c r="H873" s="9"/>
      <c r="I873" s="9"/>
    </row>
    <row r="874" spans="8:9">
      <c r="H874" s="9"/>
      <c r="I874" s="9"/>
    </row>
    <row r="875" spans="8:9">
      <c r="H875" s="9"/>
      <c r="I875" s="9"/>
    </row>
    <row r="876" spans="8:9">
      <c r="H876" s="9"/>
      <c r="I876" s="9"/>
    </row>
    <row r="877" spans="8:9">
      <c r="H877" s="9"/>
      <c r="I877" s="9"/>
    </row>
    <row r="878" spans="8:9">
      <c r="H878" s="9"/>
      <c r="I878" s="9"/>
    </row>
    <row r="879" spans="8:9">
      <c r="H879" s="9"/>
      <c r="I879" s="9"/>
    </row>
    <row r="880" spans="8:9">
      <c r="H880" s="9"/>
      <c r="I880" s="9"/>
    </row>
    <row r="881" spans="8:9">
      <c r="H881" s="9"/>
      <c r="I881" s="9"/>
    </row>
    <row r="882" spans="8:9">
      <c r="H882" s="9"/>
      <c r="I882" s="9"/>
    </row>
    <row r="883" spans="8:9">
      <c r="H883" s="9"/>
      <c r="I883" s="9"/>
    </row>
    <row r="884" spans="8:9">
      <c r="H884" s="9"/>
      <c r="I884" s="9"/>
    </row>
    <row r="885" spans="8:9">
      <c r="H885" s="9"/>
      <c r="I885" s="9"/>
    </row>
    <row r="886" spans="8:9">
      <c r="H886" s="9"/>
      <c r="I886" s="9"/>
    </row>
    <row r="887" spans="8:9">
      <c r="H887" s="9"/>
      <c r="I887" s="9"/>
    </row>
    <row r="888" spans="8:9">
      <c r="H888" s="9"/>
      <c r="I888" s="9"/>
    </row>
    <row r="889" spans="8:9">
      <c r="H889" s="9"/>
      <c r="I889" s="9"/>
    </row>
    <row r="890" spans="8:9">
      <c r="H890" s="9"/>
      <c r="I890" s="9"/>
    </row>
    <row r="891" spans="8:9">
      <c r="H891" s="9"/>
      <c r="I891" s="9"/>
    </row>
    <row r="892" spans="8:9">
      <c r="H892" s="9"/>
      <c r="I892" s="9"/>
    </row>
    <row r="893" spans="8:9">
      <c r="H893" s="9"/>
      <c r="I893" s="9"/>
    </row>
    <row r="894" spans="8:9">
      <c r="H894" s="9"/>
      <c r="I894" s="9"/>
    </row>
    <row r="895" spans="8:9">
      <c r="H895" s="9"/>
      <c r="I895" s="9"/>
    </row>
    <row r="896" spans="8:9">
      <c r="H896" s="9"/>
      <c r="I896" s="9"/>
    </row>
    <row r="897" spans="8:9">
      <c r="H897" s="9"/>
      <c r="I897" s="9"/>
    </row>
    <row r="898" spans="8:9">
      <c r="H898" s="9"/>
      <c r="I898" s="9"/>
    </row>
    <row r="899" spans="8:9">
      <c r="H899" s="9"/>
      <c r="I899" s="9"/>
    </row>
    <row r="900" spans="8:9">
      <c r="H900" s="9"/>
      <c r="I900" s="9"/>
    </row>
    <row r="901" spans="8:9">
      <c r="H901" s="9"/>
      <c r="I901" s="9"/>
    </row>
    <row r="902" spans="8:9">
      <c r="H902" s="9"/>
      <c r="I902" s="9"/>
    </row>
    <row r="903" spans="8:9">
      <c r="H903" s="9"/>
      <c r="I903" s="9"/>
    </row>
    <row r="904" spans="8:9">
      <c r="H904" s="9"/>
      <c r="I904" s="9"/>
    </row>
    <row r="905" spans="8:9">
      <c r="H905" s="9"/>
      <c r="I905" s="9"/>
    </row>
    <row r="906" spans="8:9">
      <c r="H906" s="9"/>
      <c r="I906" s="9"/>
    </row>
    <row r="907" spans="8:9">
      <c r="H907" s="9"/>
      <c r="I907" s="9"/>
    </row>
    <row r="908" spans="8:9">
      <c r="H908" s="9"/>
      <c r="I908" s="9"/>
    </row>
    <row r="909" spans="8:9">
      <c r="H909" s="9"/>
      <c r="I909" s="9"/>
    </row>
    <row r="910" spans="8:9">
      <c r="H910" s="9"/>
      <c r="I910" s="9"/>
    </row>
    <row r="911" spans="8:9">
      <c r="H911" s="9"/>
      <c r="I911" s="9"/>
    </row>
    <row r="912" spans="8:9">
      <c r="H912" s="9"/>
      <c r="I912" s="9"/>
    </row>
    <row r="913" spans="8:9">
      <c r="H913" s="9"/>
      <c r="I913" s="9"/>
    </row>
    <row r="914" spans="8:9">
      <c r="H914" s="9"/>
      <c r="I914" s="9"/>
    </row>
    <row r="915" spans="8:9">
      <c r="H915" s="9"/>
      <c r="I915" s="9"/>
    </row>
    <row r="916" spans="8:9">
      <c r="H916" s="9"/>
      <c r="I916" s="9"/>
    </row>
    <row r="917" spans="8:9">
      <c r="H917" s="9"/>
      <c r="I917" s="9"/>
    </row>
    <row r="918" spans="8:9">
      <c r="H918" s="9"/>
      <c r="I918" s="9"/>
    </row>
    <row r="919" spans="8:9">
      <c r="H919" s="9"/>
      <c r="I919" s="9"/>
    </row>
    <row r="920" spans="8:9">
      <c r="H920" s="9"/>
      <c r="I920" s="9"/>
    </row>
    <row r="921" spans="8:9">
      <c r="H921" s="9"/>
      <c r="I921" s="9"/>
    </row>
    <row r="922" spans="8:9">
      <c r="H922" s="9"/>
      <c r="I922" s="9"/>
    </row>
    <row r="923" spans="8:9">
      <c r="H923" s="9"/>
      <c r="I923" s="9"/>
    </row>
    <row r="924" spans="8:9">
      <c r="H924" s="9"/>
      <c r="I924" s="9"/>
    </row>
    <row r="925" spans="8:9">
      <c r="H925" s="9"/>
      <c r="I925" s="9"/>
    </row>
    <row r="926" spans="8:9">
      <c r="H926" s="9"/>
      <c r="I926" s="9"/>
    </row>
    <row r="927" spans="8:9">
      <c r="H927" s="9"/>
      <c r="I927" s="9"/>
    </row>
    <row r="928" spans="8:9">
      <c r="H928" s="9"/>
      <c r="I928" s="9"/>
    </row>
    <row r="929" spans="8:9">
      <c r="H929" s="9"/>
      <c r="I929" s="9"/>
    </row>
    <row r="930" spans="8:9">
      <c r="H930" s="9"/>
      <c r="I930" s="9"/>
    </row>
    <row r="931" spans="8:9">
      <c r="H931" s="9"/>
      <c r="I931" s="9"/>
    </row>
    <row r="932" spans="8:9">
      <c r="H932" s="9"/>
      <c r="I932" s="9"/>
    </row>
    <row r="933" spans="8:9">
      <c r="H933" s="9"/>
      <c r="I933" s="9"/>
    </row>
    <row r="934" spans="8:9">
      <c r="H934" s="9"/>
      <c r="I934" s="9"/>
    </row>
    <row r="935" spans="8:9">
      <c r="H935" s="9"/>
      <c r="I935" s="9"/>
    </row>
    <row r="936" spans="8:9">
      <c r="H936" s="9"/>
      <c r="I936" s="9"/>
    </row>
    <row r="937" spans="8:9">
      <c r="H937" s="9"/>
      <c r="I937" s="9"/>
    </row>
    <row r="938" spans="8:9">
      <c r="H938" s="9"/>
      <c r="I938" s="9"/>
    </row>
    <row r="939" spans="8:9">
      <c r="H939" s="9"/>
      <c r="I939" s="9"/>
    </row>
    <row r="940" spans="8:9">
      <c r="H940" s="9"/>
      <c r="I940" s="9"/>
    </row>
    <row r="941" spans="8:9">
      <c r="H941" s="9"/>
      <c r="I941" s="9"/>
    </row>
    <row r="942" spans="8:9">
      <c r="H942" s="9"/>
      <c r="I942" s="9"/>
    </row>
    <row r="943" spans="8:9">
      <c r="H943" s="9"/>
      <c r="I943" s="9"/>
    </row>
    <row r="944" spans="8:9">
      <c r="H944" s="9"/>
      <c r="I944" s="9"/>
    </row>
    <row r="945" spans="8:9">
      <c r="H945" s="9"/>
      <c r="I945" s="9"/>
    </row>
    <row r="946" spans="8:9">
      <c r="H946" s="9"/>
      <c r="I946" s="9"/>
    </row>
    <row r="947" spans="8:9">
      <c r="H947" s="9"/>
      <c r="I947" s="9"/>
    </row>
    <row r="948" spans="8:9">
      <c r="H948" s="9"/>
      <c r="I948" s="9"/>
    </row>
    <row r="949" spans="8:9">
      <c r="H949" s="9"/>
      <c r="I949" s="9"/>
    </row>
    <row r="950" spans="8:9">
      <c r="H950" s="9"/>
      <c r="I950" s="9"/>
    </row>
    <row r="951" spans="8:9">
      <c r="H951" s="9"/>
      <c r="I951" s="9"/>
    </row>
    <row r="952" spans="8:9">
      <c r="H952" s="9"/>
      <c r="I952" s="9"/>
    </row>
    <row r="953" spans="8:9">
      <c r="H953" s="9"/>
      <c r="I953" s="9"/>
    </row>
    <row r="954" spans="8:9">
      <c r="H954" s="9"/>
      <c r="I954" s="9"/>
    </row>
    <row r="955" spans="8:9">
      <c r="H955" s="9"/>
      <c r="I955" s="9"/>
    </row>
    <row r="956" spans="8:9">
      <c r="H956" s="9"/>
      <c r="I956" s="9"/>
    </row>
    <row r="957" spans="8:9">
      <c r="H957" s="9"/>
      <c r="I957" s="9"/>
    </row>
    <row r="958" spans="8:9">
      <c r="H958" s="9"/>
      <c r="I958" s="9"/>
    </row>
    <row r="959" spans="8:9">
      <c r="H959" s="9"/>
      <c r="I959" s="9"/>
    </row>
    <row r="960" spans="8:9">
      <c r="H960" s="9"/>
      <c r="I960" s="9"/>
    </row>
    <row r="961" spans="8:9">
      <c r="H961" s="9"/>
      <c r="I961" s="9"/>
    </row>
    <row r="962" spans="8:9">
      <c r="H962" s="9"/>
      <c r="I962" s="9"/>
    </row>
    <row r="963" spans="8:9">
      <c r="H963" s="9"/>
      <c r="I963" s="9"/>
    </row>
    <row r="964" spans="8:9">
      <c r="H964" s="9"/>
      <c r="I964" s="9"/>
    </row>
    <row r="965" spans="8:9">
      <c r="H965" s="9"/>
      <c r="I965" s="9"/>
    </row>
    <row r="966" spans="8:9">
      <c r="H966" s="9"/>
      <c r="I966" s="9"/>
    </row>
    <row r="967" spans="8:9">
      <c r="H967" s="9"/>
      <c r="I967" s="9"/>
    </row>
    <row r="968" spans="8:9">
      <c r="H968" s="9"/>
      <c r="I968" s="9"/>
    </row>
    <row r="969" spans="8:9">
      <c r="H969" s="9"/>
      <c r="I969" s="9"/>
    </row>
    <row r="970" spans="8:9">
      <c r="H970" s="9"/>
      <c r="I970" s="9"/>
    </row>
    <row r="971" spans="8:9">
      <c r="H971" s="9"/>
      <c r="I971" s="9"/>
    </row>
    <row r="972" spans="8:9">
      <c r="H972" s="9"/>
      <c r="I972" s="9"/>
    </row>
    <row r="973" spans="8:9">
      <c r="H973" s="9"/>
      <c r="I973" s="9"/>
    </row>
    <row r="974" spans="8:9">
      <c r="H974" s="9"/>
      <c r="I974" s="9"/>
    </row>
    <row r="975" spans="8:9">
      <c r="H975" s="9"/>
      <c r="I975" s="9"/>
    </row>
    <row r="976" spans="8:9">
      <c r="H976" s="9"/>
      <c r="I976" s="9"/>
    </row>
    <row r="977" spans="8:9">
      <c r="H977" s="9"/>
      <c r="I977" s="9"/>
    </row>
    <row r="978" spans="8:9">
      <c r="H978" s="9"/>
      <c r="I978" s="9"/>
    </row>
    <row r="979" spans="8:9">
      <c r="H979" s="9"/>
      <c r="I979" s="9"/>
    </row>
    <row r="980" spans="8:9">
      <c r="H980" s="9"/>
      <c r="I980" s="9"/>
    </row>
    <row r="981" spans="8:9">
      <c r="H981" s="9"/>
      <c r="I981" s="9"/>
    </row>
    <row r="982" spans="8:9">
      <c r="H982" s="9"/>
      <c r="I982" s="9"/>
    </row>
    <row r="983" spans="8:9">
      <c r="H983" s="9"/>
      <c r="I983" s="9"/>
    </row>
    <row r="984" spans="8:9">
      <c r="H984" s="9"/>
      <c r="I984" s="9"/>
    </row>
    <row r="985" spans="8:9">
      <c r="H985" s="9"/>
      <c r="I985" s="9"/>
    </row>
    <row r="986" spans="8:9">
      <c r="H986" s="9"/>
      <c r="I986" s="9"/>
    </row>
    <row r="987" spans="8:9">
      <c r="H987" s="9"/>
      <c r="I987" s="9"/>
    </row>
    <row r="988" spans="8:9">
      <c r="H988" s="9"/>
      <c r="I988" s="9"/>
    </row>
    <row r="989" spans="8:9">
      <c r="H989" s="9"/>
      <c r="I989" s="9"/>
    </row>
    <row r="990" spans="8:9">
      <c r="H990" s="9"/>
      <c r="I990" s="9"/>
    </row>
    <row r="991" spans="8:9">
      <c r="H991" s="9"/>
      <c r="I991" s="9"/>
    </row>
    <row r="992" spans="8:9">
      <c r="H992" s="9"/>
      <c r="I992" s="9"/>
    </row>
    <row r="993" spans="8:9">
      <c r="H993" s="9"/>
      <c r="I993" s="9"/>
    </row>
    <row r="994" spans="8:9">
      <c r="H994" s="9"/>
      <c r="I994" s="9"/>
    </row>
    <row r="995" spans="8:9">
      <c r="H995" s="9"/>
      <c r="I995" s="9"/>
    </row>
    <row r="996" spans="8:9">
      <c r="H996" s="9"/>
      <c r="I996" s="9"/>
    </row>
    <row r="997" spans="8:9">
      <c r="H997" s="9"/>
      <c r="I997" s="9"/>
    </row>
    <row r="998" spans="8:9">
      <c r="H998" s="9"/>
      <c r="I998" s="9"/>
    </row>
    <row r="999" spans="8:9">
      <c r="H999" s="9"/>
      <c r="I999" s="9"/>
    </row>
    <row r="1000" spans="8:9">
      <c r="H1000" s="9"/>
      <c r="I1000" s="9"/>
    </row>
    <row r="1001" spans="8:9">
      <c r="H1001" s="9"/>
      <c r="I1001" s="9"/>
    </row>
    <row r="1002" spans="8:9">
      <c r="H1002" s="9"/>
      <c r="I1002" s="9"/>
    </row>
    <row r="1003" spans="8:9">
      <c r="H1003" s="9"/>
      <c r="I1003" s="9"/>
    </row>
    <row r="1004" spans="8:9">
      <c r="H1004" s="9"/>
      <c r="I1004" s="9"/>
    </row>
    <row r="1005" spans="8:9">
      <c r="H1005" s="9"/>
      <c r="I1005" s="9"/>
    </row>
    <row r="1006" spans="8:9">
      <c r="H1006" s="9"/>
      <c r="I1006" s="9"/>
    </row>
    <row r="1007" spans="8:9">
      <c r="H1007" s="9"/>
      <c r="I1007" s="9"/>
    </row>
    <row r="1008" spans="8:9">
      <c r="H1008" s="9"/>
      <c r="I1008" s="9"/>
    </row>
    <row r="1009" spans="8:9">
      <c r="H1009" s="9"/>
      <c r="I1009" s="9"/>
    </row>
    <row r="1010" spans="8:9">
      <c r="H1010" s="9"/>
      <c r="I1010" s="9"/>
    </row>
    <row r="1011" spans="8:9">
      <c r="H1011" s="9"/>
      <c r="I1011" s="9"/>
    </row>
    <row r="1012" spans="8:9">
      <c r="H1012" s="9"/>
      <c r="I1012" s="9"/>
    </row>
    <row r="1013" spans="8:9">
      <c r="H1013" s="9"/>
      <c r="I1013" s="9"/>
    </row>
    <row r="1014" spans="8:9">
      <c r="H1014" s="9"/>
      <c r="I1014" s="9"/>
    </row>
    <row r="1015" spans="8:9">
      <c r="H1015" s="9"/>
      <c r="I1015" s="9"/>
    </row>
    <row r="1016" spans="8:9">
      <c r="H1016" s="9"/>
      <c r="I1016" s="9"/>
    </row>
    <row r="1017" spans="8:9">
      <c r="H1017" s="9"/>
      <c r="I1017" s="9"/>
    </row>
    <row r="1018" spans="8:9">
      <c r="H1018" s="9"/>
      <c r="I1018" s="9"/>
    </row>
    <row r="1019" spans="8:9">
      <c r="H1019" s="9"/>
      <c r="I1019" s="9"/>
    </row>
    <row r="1020" spans="8:9">
      <c r="H1020" s="9"/>
      <c r="I1020" s="9"/>
    </row>
    <row r="1021" spans="8:9">
      <c r="H1021" s="9"/>
      <c r="I1021" s="9"/>
    </row>
    <row r="1022" spans="8:9">
      <c r="H1022" s="9"/>
      <c r="I1022" s="9"/>
    </row>
    <row r="1023" spans="8:9">
      <c r="H1023" s="9"/>
      <c r="I1023" s="9"/>
    </row>
    <row r="1024" spans="8:9">
      <c r="H1024" s="9"/>
      <c r="I1024" s="9"/>
    </row>
    <row r="1025" spans="8:9">
      <c r="H1025" s="9"/>
      <c r="I1025" s="9"/>
    </row>
    <row r="1026" spans="8:9">
      <c r="H1026" s="9"/>
      <c r="I1026" s="9"/>
    </row>
    <row r="1027" spans="8:9">
      <c r="H1027" s="9"/>
      <c r="I1027" s="9"/>
    </row>
    <row r="1028" spans="8:9">
      <c r="H1028" s="9"/>
      <c r="I1028" s="9"/>
    </row>
    <row r="1029" spans="8:9">
      <c r="H1029" s="9"/>
      <c r="I1029" s="9"/>
    </row>
    <row r="1030" spans="8:9">
      <c r="H1030" s="9"/>
      <c r="I1030" s="9"/>
    </row>
    <row r="1031" spans="8:9">
      <c r="H1031" s="9"/>
      <c r="I1031" s="9"/>
    </row>
    <row r="1032" spans="8:9">
      <c r="H1032" s="9"/>
      <c r="I1032" s="9"/>
    </row>
    <row r="1033" spans="8:9">
      <c r="H1033" s="9"/>
      <c r="I1033" s="9"/>
    </row>
    <row r="1034" spans="8:9">
      <c r="H1034" s="9"/>
      <c r="I1034" s="9"/>
    </row>
    <row r="1035" spans="8:9">
      <c r="H1035" s="9"/>
      <c r="I1035" s="9"/>
    </row>
    <row r="1036" spans="8:9">
      <c r="H1036" s="9"/>
      <c r="I1036" s="9"/>
    </row>
    <row r="1037" spans="8:9">
      <c r="H1037" s="9"/>
      <c r="I1037" s="9"/>
    </row>
    <row r="1038" spans="8:9">
      <c r="H1038" s="9"/>
      <c r="I1038" s="9"/>
    </row>
    <row r="1039" spans="8:9">
      <c r="H1039" s="9"/>
      <c r="I1039" s="9"/>
    </row>
    <row r="1040" spans="8:9">
      <c r="H1040" s="9"/>
      <c r="I1040" s="9"/>
    </row>
    <row r="1041" spans="8:9">
      <c r="H1041" s="9"/>
      <c r="I1041" s="9"/>
    </row>
    <row r="1042" spans="8:9">
      <c r="H1042" s="9"/>
      <c r="I1042" s="9"/>
    </row>
    <row r="1043" spans="8:9">
      <c r="H1043" s="9"/>
      <c r="I1043" s="9"/>
    </row>
    <row r="1044" spans="8:9">
      <c r="H1044" s="9"/>
      <c r="I1044" s="9"/>
    </row>
    <row r="1045" spans="8:9">
      <c r="H1045" s="9"/>
      <c r="I1045" s="9"/>
    </row>
    <row r="1046" spans="8:9">
      <c r="H1046" s="9"/>
      <c r="I1046" s="9"/>
    </row>
    <row r="1047" spans="8:9">
      <c r="H1047" s="9"/>
      <c r="I1047" s="9"/>
    </row>
    <row r="1048" spans="8:9">
      <c r="H1048" s="9"/>
      <c r="I1048" s="9"/>
    </row>
    <row r="1049" spans="8:9">
      <c r="H1049" s="9"/>
      <c r="I1049" s="9"/>
    </row>
    <row r="1050" spans="8:9">
      <c r="H1050" s="9"/>
      <c r="I1050" s="9"/>
    </row>
    <row r="1051" spans="8:9">
      <c r="H1051" s="9"/>
      <c r="I1051" s="9"/>
    </row>
    <row r="1052" spans="8:9">
      <c r="H1052" s="9"/>
      <c r="I1052" s="9"/>
    </row>
    <row r="1053" spans="8:9">
      <c r="H1053" s="9"/>
      <c r="I1053" s="9"/>
    </row>
    <row r="1054" spans="8:9">
      <c r="H1054" s="9"/>
      <c r="I1054" s="9"/>
    </row>
    <row r="1055" spans="8:9">
      <c r="H1055" s="9"/>
      <c r="I1055" s="9"/>
    </row>
    <row r="1056" spans="8:9">
      <c r="H1056" s="9"/>
      <c r="I1056" s="9"/>
    </row>
    <row r="1057" spans="8:9">
      <c r="H1057" s="9"/>
      <c r="I1057" s="9"/>
    </row>
    <row r="1058" spans="8:9">
      <c r="H1058" s="9"/>
      <c r="I1058" s="9"/>
    </row>
    <row r="1059" spans="8:9">
      <c r="H1059" s="9"/>
      <c r="I1059" s="9"/>
    </row>
    <row r="1060" spans="8:9">
      <c r="H1060" s="9"/>
      <c r="I1060" s="9"/>
    </row>
    <row r="1061" spans="8:9">
      <c r="H1061" s="9"/>
      <c r="I1061" s="9"/>
    </row>
    <row r="1062" spans="8:9">
      <c r="H1062" s="9"/>
      <c r="I1062" s="9"/>
    </row>
    <row r="1063" spans="8:9">
      <c r="H1063" s="9"/>
      <c r="I1063" s="9"/>
    </row>
    <row r="1064" spans="8:9">
      <c r="H1064" s="9"/>
      <c r="I1064" s="9"/>
    </row>
    <row r="1065" spans="8:9">
      <c r="H1065" s="9"/>
      <c r="I1065" s="9"/>
    </row>
    <row r="1066" spans="8:9">
      <c r="H1066" s="9"/>
      <c r="I1066" s="9"/>
    </row>
    <row r="1067" spans="8:9">
      <c r="H1067" s="9"/>
      <c r="I1067" s="9"/>
    </row>
    <row r="1068" spans="8:9">
      <c r="H1068" s="9"/>
      <c r="I1068" s="9"/>
    </row>
    <row r="1069" spans="8:9">
      <c r="H1069" s="9"/>
      <c r="I1069" s="9"/>
    </row>
    <row r="1070" spans="8:9">
      <c r="H1070" s="9"/>
      <c r="I1070" s="9"/>
    </row>
    <row r="1071" spans="8:9">
      <c r="H1071" s="9"/>
      <c r="I1071" s="9"/>
    </row>
    <row r="1072" spans="8:9">
      <c r="H1072" s="9"/>
      <c r="I1072" s="9"/>
    </row>
    <row r="1073" spans="8:9">
      <c r="H1073" s="9"/>
      <c r="I1073" s="9"/>
    </row>
    <row r="1074" spans="8:9">
      <c r="H1074" s="9"/>
      <c r="I1074" s="9"/>
    </row>
    <row r="1075" spans="8:9">
      <c r="H1075" s="9"/>
      <c r="I1075" s="9"/>
    </row>
    <row r="1076" spans="8:9">
      <c r="H1076" s="9"/>
      <c r="I1076" s="9"/>
    </row>
    <row r="1077" spans="8:9">
      <c r="H1077" s="9"/>
      <c r="I1077" s="9"/>
    </row>
    <row r="1078" spans="8:9">
      <c r="H1078" s="9"/>
      <c r="I1078" s="9"/>
    </row>
    <row r="1079" spans="8:9">
      <c r="H1079" s="9"/>
      <c r="I1079" s="9"/>
    </row>
    <row r="1080" spans="8:9">
      <c r="H1080" s="9"/>
      <c r="I1080" s="9"/>
    </row>
    <row r="1081" spans="8:9">
      <c r="H1081" s="9"/>
      <c r="I1081" s="9"/>
    </row>
    <row r="1082" spans="8:9">
      <c r="H1082" s="9"/>
      <c r="I1082" s="9"/>
    </row>
    <row r="1083" spans="8:9">
      <c r="H1083" s="9"/>
      <c r="I1083" s="9"/>
    </row>
    <row r="1084" spans="8:9">
      <c r="H1084" s="9"/>
      <c r="I1084" s="9"/>
    </row>
    <row r="1085" spans="8:9">
      <c r="H1085" s="9"/>
      <c r="I1085" s="9"/>
    </row>
    <row r="1086" spans="8:9">
      <c r="H1086" s="9"/>
      <c r="I1086" s="9"/>
    </row>
    <row r="1087" spans="8:9">
      <c r="H1087" s="9"/>
      <c r="I1087" s="9"/>
    </row>
    <row r="1088" spans="8:9">
      <c r="H1088" s="9"/>
      <c r="I1088" s="9"/>
    </row>
    <row r="1089" spans="8:9">
      <c r="H1089" s="9"/>
      <c r="I1089" s="9"/>
    </row>
    <row r="1090" spans="8:9">
      <c r="H1090" s="9"/>
      <c r="I1090" s="9"/>
    </row>
    <row r="1091" spans="8:9">
      <c r="H1091" s="9"/>
      <c r="I1091" s="9"/>
    </row>
    <row r="1092" spans="8:9">
      <c r="H1092" s="9"/>
      <c r="I1092" s="9"/>
    </row>
    <row r="1093" spans="8:9">
      <c r="H1093" s="9"/>
      <c r="I1093" s="9"/>
    </row>
    <row r="1094" spans="8:9">
      <c r="H1094" s="9"/>
      <c r="I1094" s="9"/>
    </row>
    <row r="1095" spans="8:9">
      <c r="H1095" s="9"/>
      <c r="I1095" s="9"/>
    </row>
    <row r="1096" spans="8:9">
      <c r="H1096" s="9"/>
      <c r="I1096" s="9"/>
    </row>
    <row r="1097" spans="8:9">
      <c r="H1097" s="9"/>
      <c r="I1097" s="9"/>
    </row>
    <row r="1098" spans="8:9">
      <c r="H1098" s="9"/>
      <c r="I1098" s="9"/>
    </row>
    <row r="1099" spans="8:9">
      <c r="H1099" s="9"/>
      <c r="I1099" s="9"/>
    </row>
    <row r="1100" spans="8:9">
      <c r="H1100" s="9"/>
      <c r="I1100" s="9"/>
    </row>
    <row r="1101" spans="8:9">
      <c r="H1101" s="9"/>
      <c r="I1101" s="9"/>
    </row>
    <row r="1102" spans="8:9">
      <c r="H1102" s="9"/>
      <c r="I1102" s="9"/>
    </row>
    <row r="1103" spans="8:9">
      <c r="H1103" s="9"/>
      <c r="I1103" s="9"/>
    </row>
    <row r="1104" spans="8:9">
      <c r="H1104" s="9"/>
      <c r="I1104" s="9"/>
    </row>
    <row r="1105" spans="8:9">
      <c r="H1105" s="9"/>
      <c r="I1105" s="9"/>
    </row>
    <row r="1106" spans="8:9">
      <c r="H1106" s="9"/>
      <c r="I1106" s="9"/>
    </row>
    <row r="1107" spans="8:9">
      <c r="H1107" s="9"/>
      <c r="I1107" s="9"/>
    </row>
    <row r="1108" spans="8:9">
      <c r="H1108" s="9"/>
      <c r="I1108" s="9"/>
    </row>
    <row r="1109" spans="8:9">
      <c r="H1109" s="9"/>
      <c r="I1109" s="9"/>
    </row>
    <row r="1110" spans="8:9">
      <c r="H1110" s="9"/>
      <c r="I1110" s="9"/>
    </row>
    <row r="1111" spans="8:9">
      <c r="H1111" s="9"/>
      <c r="I1111" s="9"/>
    </row>
    <row r="1112" spans="8:9">
      <c r="H1112" s="9"/>
      <c r="I1112" s="9"/>
    </row>
    <row r="1113" spans="8:9">
      <c r="H1113" s="9"/>
      <c r="I1113" s="9"/>
    </row>
    <row r="1114" spans="8:9">
      <c r="H1114" s="9"/>
      <c r="I1114" s="9"/>
    </row>
    <row r="1115" spans="8:9">
      <c r="H1115" s="9"/>
      <c r="I1115" s="9"/>
    </row>
    <row r="1116" spans="8:9">
      <c r="H1116" s="9"/>
      <c r="I1116" s="9"/>
    </row>
    <row r="1117" spans="8:9">
      <c r="H1117" s="9"/>
      <c r="I1117" s="9"/>
    </row>
    <row r="1118" spans="8:9">
      <c r="H1118" s="9"/>
      <c r="I1118" s="9"/>
    </row>
    <row r="1119" spans="8:9">
      <c r="H1119" s="9"/>
      <c r="I1119" s="9"/>
    </row>
    <row r="1120" spans="8:9">
      <c r="H1120" s="9"/>
      <c r="I1120" s="9"/>
    </row>
    <row r="1121" spans="8:9">
      <c r="H1121" s="9"/>
      <c r="I1121" s="9"/>
    </row>
    <row r="1122" spans="8:9">
      <c r="H1122" s="9"/>
      <c r="I1122" s="9"/>
    </row>
    <row r="1123" spans="8:9">
      <c r="H1123" s="9"/>
      <c r="I1123" s="9"/>
    </row>
    <row r="1124" spans="8:9">
      <c r="H1124" s="9"/>
      <c r="I1124" s="9"/>
    </row>
    <row r="1125" spans="8:9">
      <c r="H1125" s="9"/>
      <c r="I1125" s="9"/>
    </row>
    <row r="1126" spans="8:9">
      <c r="H1126" s="9"/>
      <c r="I1126" s="9"/>
    </row>
    <row r="1127" spans="8:9">
      <c r="H1127" s="9"/>
      <c r="I1127" s="9"/>
    </row>
    <row r="1128" spans="8:9">
      <c r="H1128" s="9"/>
      <c r="I1128" s="9"/>
    </row>
    <row r="1129" spans="8:9">
      <c r="H1129" s="9"/>
      <c r="I1129" s="9"/>
    </row>
    <row r="1130" spans="8:9">
      <c r="H1130" s="9"/>
      <c r="I1130" s="9"/>
    </row>
    <row r="1131" spans="8:9">
      <c r="H1131" s="9"/>
      <c r="I1131" s="9"/>
    </row>
    <row r="1132" spans="8:9">
      <c r="H1132" s="9"/>
      <c r="I1132" s="9"/>
    </row>
    <row r="1133" spans="8:9">
      <c r="H1133" s="9"/>
      <c r="I1133" s="9"/>
    </row>
    <row r="1134" spans="8:9">
      <c r="H1134" s="9"/>
      <c r="I1134" s="9"/>
    </row>
    <row r="1135" spans="8:9">
      <c r="H1135" s="9"/>
      <c r="I1135" s="9"/>
    </row>
    <row r="1136" spans="8:9">
      <c r="H1136" s="9"/>
      <c r="I1136" s="9"/>
    </row>
    <row r="1137" spans="8:9">
      <c r="H1137" s="9"/>
      <c r="I1137" s="9"/>
    </row>
    <row r="1138" spans="8:9">
      <c r="H1138" s="9"/>
      <c r="I1138" s="9"/>
    </row>
    <row r="1139" spans="8:9">
      <c r="H1139" s="9"/>
      <c r="I1139" s="9"/>
    </row>
    <row r="1140" spans="8:9">
      <c r="H1140" s="9"/>
      <c r="I1140" s="9"/>
    </row>
    <row r="1141" spans="8:9">
      <c r="H1141" s="9"/>
      <c r="I1141" s="9"/>
    </row>
    <row r="1142" spans="8:9">
      <c r="H1142" s="9"/>
      <c r="I1142" s="9"/>
    </row>
    <row r="1143" spans="8:9">
      <c r="H1143" s="9"/>
      <c r="I1143" s="9"/>
    </row>
    <row r="1144" spans="8:9">
      <c r="H1144" s="9"/>
      <c r="I1144" s="9"/>
    </row>
    <row r="1145" spans="8:9">
      <c r="H1145" s="9"/>
      <c r="I1145" s="9"/>
    </row>
    <row r="1146" spans="8:9">
      <c r="H1146" s="9"/>
      <c r="I1146" s="9"/>
    </row>
    <row r="1147" spans="8:9">
      <c r="H1147" s="9"/>
      <c r="I1147" s="9"/>
    </row>
    <row r="1148" spans="8:9">
      <c r="H1148" s="9"/>
      <c r="I1148" s="9"/>
    </row>
    <row r="1149" spans="8:9">
      <c r="H1149" s="9"/>
      <c r="I1149" s="9"/>
    </row>
    <row r="1150" spans="8:9">
      <c r="H1150" s="9"/>
      <c r="I1150" s="9"/>
    </row>
    <row r="1151" spans="8:9">
      <c r="H1151" s="9"/>
      <c r="I1151" s="9"/>
    </row>
    <row r="1152" spans="8:9">
      <c r="H1152" s="9"/>
      <c r="I1152" s="9"/>
    </row>
    <row r="1153" spans="8:9">
      <c r="H1153" s="9"/>
      <c r="I1153" s="9"/>
    </row>
    <row r="1154" spans="8:9">
      <c r="H1154" s="9"/>
      <c r="I1154" s="9"/>
    </row>
    <row r="1155" spans="8:9">
      <c r="H1155" s="9"/>
      <c r="I1155" s="9"/>
    </row>
    <row r="1156" spans="8:9">
      <c r="H1156" s="9"/>
      <c r="I1156" s="9"/>
    </row>
    <row r="1157" spans="8:9">
      <c r="H1157" s="9"/>
      <c r="I1157" s="9"/>
    </row>
    <row r="1158" spans="8:9">
      <c r="H1158" s="9"/>
      <c r="I1158" s="9"/>
    </row>
    <row r="1159" spans="8:9">
      <c r="H1159" s="9"/>
      <c r="I1159" s="9"/>
    </row>
    <row r="1160" spans="8:9">
      <c r="H1160" s="9"/>
      <c r="I1160" s="9"/>
    </row>
    <row r="1161" spans="8:9">
      <c r="H1161" s="9"/>
      <c r="I1161" s="9"/>
    </row>
    <row r="1162" spans="8:9">
      <c r="H1162" s="9"/>
      <c r="I1162" s="9"/>
    </row>
    <row r="1163" spans="8:9">
      <c r="H1163" s="9"/>
      <c r="I1163" s="9"/>
    </row>
    <row r="1164" spans="8:9">
      <c r="H1164" s="9"/>
      <c r="I1164" s="9"/>
    </row>
    <row r="1165" spans="8:9">
      <c r="H1165" s="9"/>
      <c r="I1165" s="9"/>
    </row>
    <row r="1166" spans="8:9">
      <c r="H1166" s="9"/>
      <c r="I1166" s="9"/>
    </row>
    <row r="1167" spans="8:9">
      <c r="H1167" s="9"/>
      <c r="I1167" s="9"/>
    </row>
    <row r="1168" spans="8:9">
      <c r="H1168" s="9"/>
      <c r="I1168" s="9"/>
    </row>
    <row r="1169" spans="8:9">
      <c r="H1169" s="9"/>
      <c r="I1169" s="9"/>
    </row>
    <row r="1170" spans="8:9">
      <c r="H1170" s="9"/>
      <c r="I1170" s="9"/>
    </row>
    <row r="1171" spans="8:9">
      <c r="H1171" s="9"/>
      <c r="I1171" s="9"/>
    </row>
    <row r="1172" spans="8:9">
      <c r="H1172" s="9"/>
      <c r="I1172" s="9"/>
    </row>
    <row r="1173" spans="8:9">
      <c r="H1173" s="9"/>
      <c r="I1173" s="9"/>
    </row>
    <row r="1174" spans="8:9">
      <c r="H1174" s="9"/>
      <c r="I1174" s="9"/>
    </row>
    <row r="1175" spans="8:9">
      <c r="H1175" s="9"/>
      <c r="I1175" s="9"/>
    </row>
    <row r="1176" spans="8:9">
      <c r="H1176" s="9"/>
      <c r="I1176" s="9"/>
    </row>
    <row r="1177" spans="8:9">
      <c r="H1177" s="9"/>
      <c r="I1177" s="9"/>
    </row>
    <row r="1178" spans="8:9">
      <c r="H1178" s="9"/>
      <c r="I1178" s="9"/>
    </row>
    <row r="1179" spans="8:9">
      <c r="H1179" s="9"/>
      <c r="I1179" s="9"/>
    </row>
    <row r="1180" spans="8:9">
      <c r="H1180" s="9"/>
      <c r="I1180" s="9"/>
    </row>
    <row r="1181" spans="8:9">
      <c r="H1181" s="9"/>
      <c r="I1181" s="9"/>
    </row>
    <row r="1182" spans="8:9">
      <c r="H1182" s="9"/>
      <c r="I1182" s="9"/>
    </row>
    <row r="1183" spans="8:9">
      <c r="H1183" s="9"/>
      <c r="I1183" s="9"/>
    </row>
    <row r="1184" spans="8:9">
      <c r="H1184" s="9"/>
      <c r="I1184" s="9"/>
    </row>
    <row r="1185" spans="8:9">
      <c r="H1185" s="9"/>
      <c r="I1185" s="9"/>
    </row>
    <row r="1186" spans="8:9">
      <c r="H1186" s="9"/>
      <c r="I1186" s="9"/>
    </row>
    <row r="1187" spans="8:9">
      <c r="H1187" s="9"/>
      <c r="I1187" s="9"/>
    </row>
    <row r="1188" spans="8:9">
      <c r="H1188" s="9"/>
      <c r="I1188" s="9"/>
    </row>
    <row r="1189" spans="8:9">
      <c r="H1189" s="9"/>
      <c r="I1189" s="9"/>
    </row>
    <row r="1190" spans="8:9">
      <c r="H1190" s="9"/>
      <c r="I1190" s="9"/>
    </row>
    <row r="1191" spans="8:9">
      <c r="H1191" s="9"/>
      <c r="I1191" s="9"/>
    </row>
    <row r="1192" spans="8:9">
      <c r="H1192" s="9"/>
      <c r="I1192" s="9"/>
    </row>
    <row r="1193" spans="8:9">
      <c r="H1193" s="9"/>
      <c r="I1193" s="9"/>
    </row>
    <row r="1194" spans="8:9">
      <c r="H1194" s="9"/>
      <c r="I1194" s="9"/>
    </row>
    <row r="1195" spans="8:9">
      <c r="H1195" s="9"/>
      <c r="I1195" s="9"/>
    </row>
    <row r="1196" spans="8:9">
      <c r="H1196" s="9"/>
      <c r="I1196" s="9"/>
    </row>
    <row r="1197" spans="8:9">
      <c r="H1197" s="9"/>
      <c r="I1197" s="9"/>
    </row>
    <row r="1198" spans="8:9">
      <c r="H1198" s="9"/>
      <c r="I1198" s="9"/>
    </row>
  </sheetData>
  <mergeCells count="1">
    <mergeCell ref="H18:K18"/>
  </mergeCells>
  <phoneticPr fontId="0" type="noConversion"/>
  <conditionalFormatting sqref="C26">
    <cfRule type="cellIs" dxfId="0" priority="1" stopIfTrue="1" operator="notEqual">
      <formula>1</formula>
    </cfRule>
  </conditionalFormatting>
  <pageMargins left="0.75" right="0.75" top="1" bottom="1" header="0.5" footer="0.5"/>
  <pageSetup paperSize="9"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Sheet2"/>
  <dimension ref="A1:AD1269"/>
  <sheetViews>
    <sheetView zoomScale="85" workbookViewId="0">
      <pane ySplit="2" topLeftCell="A3" activePane="bottomLeft" state="frozenSplit"/>
      <selection activeCell="A75" sqref="A75"/>
      <selection pane="bottomLeft" activeCell="D27" sqref="D27"/>
    </sheetView>
  </sheetViews>
  <sheetFormatPr defaultRowHeight="12.75"/>
  <cols>
    <col min="1" max="1" width="6" style="993" customWidth="1"/>
    <col min="2" max="2" width="5.85546875" style="16" bestFit="1" customWidth="1"/>
    <col min="4" max="4" width="7" bestFit="1" customWidth="1"/>
    <col min="5" max="5" width="7.85546875" bestFit="1" customWidth="1"/>
    <col min="6" max="6" width="6.7109375" bestFit="1" customWidth="1"/>
    <col min="7" max="7" width="8.7109375" bestFit="1" customWidth="1"/>
    <col min="8" max="8" width="9.28515625" customWidth="1"/>
    <col min="9" max="9" width="11.42578125" bestFit="1" customWidth="1"/>
    <col min="10" max="10" width="9.7109375" customWidth="1"/>
    <col min="11" max="11" width="3.85546875" customWidth="1"/>
    <col min="12" max="12" width="7.85546875" bestFit="1" customWidth="1"/>
    <col min="13" max="13" width="9.42578125" bestFit="1" customWidth="1"/>
    <col min="14" max="14" width="11.85546875" bestFit="1" customWidth="1"/>
    <col min="15" max="15" width="6.5703125" bestFit="1" customWidth="1"/>
    <col min="16" max="16" width="6.7109375" bestFit="1" customWidth="1"/>
    <col min="17" max="17" width="5.7109375" bestFit="1" customWidth="1"/>
    <col min="18" max="18" width="7.85546875" bestFit="1" customWidth="1"/>
    <col min="19" max="19" width="10.42578125" bestFit="1" customWidth="1"/>
    <col min="20" max="20" width="4.28515625" customWidth="1"/>
    <col min="21" max="21" width="8.28515625" customWidth="1"/>
    <col min="22" max="22" width="8.7109375" style="53" bestFit="1" customWidth="1"/>
    <col min="23" max="23" width="11.28515625" customWidth="1"/>
    <col min="24" max="24" width="12" bestFit="1" customWidth="1"/>
    <col min="25" max="25" width="9" bestFit="1" customWidth="1"/>
    <col min="26" max="26" width="7.85546875" bestFit="1" customWidth="1"/>
    <col min="27" max="27" width="4.42578125" customWidth="1"/>
    <col min="28" max="28" width="6.85546875" bestFit="1" customWidth="1"/>
    <col min="29" max="29" width="8.140625" bestFit="1" customWidth="1"/>
  </cols>
  <sheetData>
    <row r="1" spans="1:30" s="34" customFormat="1">
      <c r="A1" s="985"/>
      <c r="B1" s="496"/>
      <c r="C1" s="1464" t="s">
        <v>23</v>
      </c>
      <c r="D1" s="1464"/>
      <c r="E1" s="1464"/>
      <c r="F1" s="1464"/>
      <c r="G1" s="1464"/>
      <c r="H1" s="1464"/>
      <c r="I1" s="1464"/>
      <c r="J1" s="446"/>
      <c r="L1" s="1464" t="s">
        <v>22</v>
      </c>
      <c r="M1" s="1464"/>
      <c r="N1" s="1464"/>
      <c r="O1" s="1464"/>
      <c r="P1" s="1464"/>
      <c r="Q1" s="1464"/>
      <c r="R1" s="1464"/>
      <c r="S1" s="1464"/>
      <c r="U1" s="1464" t="s">
        <v>176</v>
      </c>
      <c r="V1" s="1466"/>
      <c r="W1" s="1464" t="s">
        <v>180</v>
      </c>
      <c r="X1" s="1464"/>
      <c r="Y1" s="1464"/>
      <c r="Z1" s="1464"/>
      <c r="AA1" s="1464" t="s">
        <v>185</v>
      </c>
      <c r="AB1" s="1465"/>
      <c r="AC1" s="1465"/>
      <c r="AD1" s="1465"/>
    </row>
    <row r="2" spans="1:30" s="825" customFormat="1" ht="13.5" thickBot="1">
      <c r="A2" s="818" t="s">
        <v>0</v>
      </c>
      <c r="B2" s="825" t="s">
        <v>327</v>
      </c>
      <c r="C2" s="825" t="s">
        <v>21</v>
      </c>
      <c r="D2" s="825" t="s">
        <v>22</v>
      </c>
      <c r="E2" s="825" t="s">
        <v>24</v>
      </c>
      <c r="F2" s="825" t="s">
        <v>199</v>
      </c>
      <c r="G2" s="825" t="s">
        <v>200</v>
      </c>
      <c r="H2" s="825" t="s">
        <v>237</v>
      </c>
      <c r="I2" s="825" t="s">
        <v>278</v>
      </c>
      <c r="J2" s="825" t="s">
        <v>329</v>
      </c>
      <c r="L2" s="825" t="s">
        <v>24</v>
      </c>
      <c r="M2" s="825" t="str">
        <f>Overview!$A$22</f>
        <v>Spearman</v>
      </c>
      <c r="N2" s="825" t="str">
        <f ca="1">Overview!$A$23</f>
        <v>Archer</v>
      </c>
      <c r="O2" s="825" t="str">
        <f ca="1">Overview!$A$24</f>
        <v>Knight</v>
      </c>
      <c r="P2" s="825" t="str">
        <f ca="1">Overview!$A$25</f>
        <v>Cavalry</v>
      </c>
      <c r="Q2" s="825" t="s">
        <v>25</v>
      </c>
      <c r="R2" s="825" t="s">
        <v>26</v>
      </c>
      <c r="S2" s="825" t="s">
        <v>27</v>
      </c>
      <c r="U2" s="825" t="s">
        <v>239</v>
      </c>
      <c r="V2" s="1101" t="s">
        <v>187</v>
      </c>
      <c r="W2" s="825" t="s">
        <v>186</v>
      </c>
      <c r="X2" s="825" t="s">
        <v>247</v>
      </c>
      <c r="Y2" s="825" t="s">
        <v>238</v>
      </c>
      <c r="Z2" s="825" t="s">
        <v>24</v>
      </c>
      <c r="AB2" s="825" t="s">
        <v>180</v>
      </c>
      <c r="AC2" s="825" t="s">
        <v>184</v>
      </c>
    </row>
    <row r="3" spans="1:30" s="1011" customFormat="1">
      <c r="A3" s="1102">
        <f>Rezone!J3</f>
        <v>1</v>
      </c>
      <c r="B3" s="1081">
        <f>Imps!L3</f>
        <v>43692</v>
      </c>
      <c r="C3" s="1069">
        <f ca="1">start_peasants+Military!BE3+MIN(13,days_late)*days_late_peasants - IF(race="Demon",Military!G3*2,0)</f>
        <v>11025</v>
      </c>
      <c r="D3" s="1080">
        <f ca="1">Military!B3</f>
        <v>4725</v>
      </c>
      <c r="E3" s="1080">
        <f ca="1">Military!Z3</f>
        <v>4725</v>
      </c>
      <c r="F3" s="1080">
        <f ca="1">C3+D3</f>
        <v>15750</v>
      </c>
      <c r="G3" s="544">
        <f ca="1">D3/F3</f>
        <v>0.3</v>
      </c>
      <c r="H3" s="1103">
        <f ca="1">MIN(C3,J3)</f>
        <v>3600</v>
      </c>
      <c r="I3" s="544">
        <f ca="1">MIN(J4/C3,1)</f>
        <v>0.32653061224489793</v>
      </c>
      <c r="J3" s="1104">
        <f>SUM(Construction!AY3:BH3,Construction!BJ3:BP3,Construction!BW3:CF3,Construction!CH3:CN3)*building_employment</f>
        <v>3600</v>
      </c>
      <c r="K3" s="822"/>
      <c r="L3" s="1069">
        <f ca="1">Military!$Z3</f>
        <v>4725</v>
      </c>
      <c r="M3" s="1080">
        <f>Military!E3</f>
        <v>0</v>
      </c>
      <c r="N3" s="1080">
        <f>Military!F3</f>
        <v>0</v>
      </c>
      <c r="O3" s="1080">
        <f>Military!G3</f>
        <v>0</v>
      </c>
      <c r="P3" s="1080">
        <f>Military!H3</f>
        <v>0</v>
      </c>
      <c r="Q3" s="1080">
        <f>Military!I3</f>
        <v>0</v>
      </c>
      <c r="R3" s="1080">
        <f>Military!J3</f>
        <v>0</v>
      </c>
      <c r="S3" s="236">
        <f>Military!K3</f>
        <v>0</v>
      </c>
      <c r="T3" s="538"/>
      <c r="U3" s="1069">
        <f ca="1">ROUND($V3*(1+$AC3),0)+MIN(D3-E3-SUM(Military!AF3:AL3),barracks_size*Construction!BI3)</f>
        <v>7140</v>
      </c>
      <c r="V3" s="236">
        <f>(Construction!AX3+Construction!BV3)*pop_in_home+(SUM(Construction!AY3:BP3)+Construction!C3-Construction!BI3)*pop_in_building+(SUM(Construction!F3:L3)-Explore!S3*20)*pop_on_barren-(SUM(Construction!N3:AF3)-SUM(Construction!BW3:CN3))*(15-pop_on_barren)-pop_on_barren*Construction!BV3</f>
        <v>6800</v>
      </c>
      <c r="W3" s="1069">
        <f ca="1">MAX(-5%*C3-Z3,MIN(U4-C3-D3-Z3,X3-Z3))</f>
        <v>-661.25</v>
      </c>
      <c r="X3" s="1080">
        <f t="shared" ref="X3:X66" ca="1" si="0">ROUND($Y3*(1+$AB3),0)</f>
        <v>327</v>
      </c>
      <c r="Y3" s="1080">
        <f t="shared" ref="Y3:Y34" ca="1" si="1">($C3-Z3)*raw_pop_growth</f>
        <v>327.45</v>
      </c>
      <c r="Z3" s="236">
        <f ca="1">IF(G3&lt;Military!Y3, ROUND($C3*IF(Magic!AW3=0,Constants!$B$51,Constants!$B$51*2),0), 0)</f>
        <v>110</v>
      </c>
      <c r="AA3" s="1042"/>
      <c r="AB3" s="1105">
        <f ca="1">Overview!$O$16 + IF(Magic!AK3&gt;0,Constants!$F$75) + ROUND(6*(Construction!BL4+Construction!CJ3)/IF(Explore!S4&gt;0,Construction!E4-20,Construction!E4),4)</f>
        <v>0</v>
      </c>
      <c r="AC3" s="545">
        <f ca="1">(Overview!$O$15 + Imps!Z3+MAX(Constants!$M$38*Techs!AE3,Constants!$M$50*Techs!AQ3)) * (1 + Production!O3/100*prestige_pop_multiplier) + Production!O3/100*prestige_pop_multiplier</f>
        <v>0.05</v>
      </c>
    </row>
    <row r="4" spans="1:30" s="170" customFormat="1">
      <c r="A4" s="986">
        <f>Rezone!J4</f>
        <v>2</v>
      </c>
      <c r="B4" s="589">
        <f>Imps!L4</f>
        <v>43692.041666666664</v>
      </c>
      <c r="C4" s="152">
        <f ca="1">$C3+$W3+Military!BE4 - IF(race="Demon",Military!G3*2,0)</f>
        <v>10363.75</v>
      </c>
      <c r="D4" s="164">
        <f ca="1">Military!B4</f>
        <v>4835</v>
      </c>
      <c r="E4" s="164">
        <f ca="1">Military!Z4</f>
        <v>4835</v>
      </c>
      <c r="F4" s="164">
        <f t="shared" ref="F4:F67" ca="1" si="2">C4+D4</f>
        <v>15198.75</v>
      </c>
      <c r="G4" s="165">
        <f t="shared" ref="G4:G67" ca="1" si="3">D4/F4</f>
        <v>0.31811826630479478</v>
      </c>
      <c r="H4" s="593">
        <f t="shared" ref="H4:H67" ca="1" si="4">MIN(C4,J4)</f>
        <v>3600</v>
      </c>
      <c r="I4" s="165">
        <f t="shared" ref="I4:I67" ca="1" si="5">MIN(J5/C4,1)</f>
        <v>0.34736461223012904</v>
      </c>
      <c r="J4" s="676">
        <f>SUM(Construction!AY4:BH4,Construction!BJ4:BP4,Construction!BW4:CF4,Construction!CH4:CN4)*building_employment</f>
        <v>3600</v>
      </c>
      <c r="K4" s="634"/>
      <c r="L4" s="152">
        <f ca="1">Military!$Z4</f>
        <v>4835</v>
      </c>
      <c r="M4" s="164">
        <f>Military!E4</f>
        <v>0</v>
      </c>
      <c r="N4" s="164">
        <f>Military!F4</f>
        <v>0</v>
      </c>
      <c r="O4" s="164">
        <f>Military!G4</f>
        <v>0</v>
      </c>
      <c r="P4" s="164">
        <f>Military!H4</f>
        <v>0</v>
      </c>
      <c r="Q4" s="164">
        <f>Military!I4</f>
        <v>0</v>
      </c>
      <c r="R4" s="164">
        <f>Military!J4</f>
        <v>0</v>
      </c>
      <c r="S4" s="166">
        <f>Military!K4</f>
        <v>0</v>
      </c>
      <c r="T4" s="156"/>
      <c r="U4" s="152">
        <f ca="1">ROUND($V4*(1+$AC4),0)+MIN(D4-E4-SUM(Military!AF4:AL4),barracks_size*Construction!BI4)</f>
        <v>9240</v>
      </c>
      <c r="V4" s="166">
        <f>(Construction!AX4+Construction!BV4)*pop_in_home+(SUM(Construction!AY4:BP4)+Construction!C4-Construction!BI4)*pop_in_building+(SUM(Construction!F4:L4)-Explore!S4*20)*pop_on_barren-(SUM(Construction!N4:AF4)-SUM(Construction!BW4:CN4))*(15-pop_on_barren)-pop_on_barren*Construction!BV4</f>
        <v>8800</v>
      </c>
      <c r="W4" s="152">
        <f t="shared" ref="W4:W67" ca="1" si="6">MAX(-5%*C4-Z4,MIN(U5-C4-D4-Z4,X4-Z4))</f>
        <v>-622.1875</v>
      </c>
      <c r="X4" s="164">
        <f t="shared" ca="1" si="0"/>
        <v>308</v>
      </c>
      <c r="Y4" s="164">
        <f t="shared" ca="1" si="1"/>
        <v>307.79249999999996</v>
      </c>
      <c r="Z4" s="166">
        <f ca="1">IF(G4&lt;Military!Y4, ROUND($C4*IF(Magic!AW4=0,Constants!$B$51,Constants!$B$51*2),0), 0)</f>
        <v>104</v>
      </c>
      <c r="AA4" s="159"/>
      <c r="AB4" s="169">
        <f ca="1">Overview!$O$16 + IF(Magic!AK4&gt;0,Constants!$F$75) + ROUND(6*(Construction!BL5+Construction!CJ4)/IF(Explore!S5&gt;0,Construction!E5-20,Construction!E5),4)</f>
        <v>0</v>
      </c>
      <c r="AC4" s="540">
        <f ca="1">(Overview!$O$15 + Imps!Z4+MAX(Constants!$M$38*Techs!AE4,Constants!$M$50*Techs!AQ4)) * (1 + Production!O4/100*prestige_pop_multiplier) + Production!O4/100*prestige_pop_multiplier</f>
        <v>0.05</v>
      </c>
    </row>
    <row r="5" spans="1:30" s="170" customFormat="1">
      <c r="A5" s="986">
        <f>Rezone!J5</f>
        <v>3</v>
      </c>
      <c r="B5" s="589">
        <f>Imps!L5</f>
        <v>43692.083333333328</v>
      </c>
      <c r="C5" s="152">
        <f ca="1">$C4+$W4+Military!BE5 - IF(race="Demon",Military!G4*2,0)</f>
        <v>9741.5625</v>
      </c>
      <c r="D5" s="164">
        <f ca="1">Military!B5</f>
        <v>4939</v>
      </c>
      <c r="E5" s="164">
        <f ca="1">Military!Z5</f>
        <v>4939</v>
      </c>
      <c r="F5" s="164">
        <f t="shared" ca="1" si="2"/>
        <v>14680.5625</v>
      </c>
      <c r="G5" s="165">
        <f t="shared" ca="1" si="3"/>
        <v>0.33643125050555794</v>
      </c>
      <c r="H5" s="593">
        <f t="shared" ca="1" si="4"/>
        <v>3600</v>
      </c>
      <c r="I5" s="165">
        <f t="shared" ca="1" si="5"/>
        <v>0.36955057261091329</v>
      </c>
      <c r="J5" s="676">
        <f>SUM(Construction!AY5:BH5,Construction!BJ5:BP5,Construction!BW5:CF5,Construction!CH5:CN5)*building_employment</f>
        <v>3600</v>
      </c>
      <c r="K5" s="634"/>
      <c r="L5" s="152">
        <f ca="1">Military!$Z5</f>
        <v>4939</v>
      </c>
      <c r="M5" s="164">
        <f>Military!E5</f>
        <v>0</v>
      </c>
      <c r="N5" s="164">
        <f>Military!F5</f>
        <v>0</v>
      </c>
      <c r="O5" s="164">
        <f>Military!G5</f>
        <v>0</v>
      </c>
      <c r="P5" s="164">
        <f>Military!H5</f>
        <v>0</v>
      </c>
      <c r="Q5" s="164">
        <f>Military!I5</f>
        <v>0</v>
      </c>
      <c r="R5" s="164">
        <f>Military!J5</f>
        <v>0</v>
      </c>
      <c r="S5" s="166">
        <f>Military!K5</f>
        <v>0</v>
      </c>
      <c r="T5" s="156"/>
      <c r="U5" s="152">
        <f ca="1">ROUND($V5*(1+$AC5),0)+MIN(D5-E5-SUM(Military!AF5:AL5),barracks_size*Construction!BI5)</f>
        <v>9240</v>
      </c>
      <c r="V5" s="166">
        <f>(Construction!AX5+Construction!BV5)*pop_in_home+(SUM(Construction!AY5:BP5)+Construction!C5-Construction!BI5)*pop_in_building+(SUM(Construction!F5:L5)-Explore!S5*20)*pop_on_barren-(SUM(Construction!N5:AF5)-SUM(Construction!BW5:CN5))*(15-pop_on_barren)-pop_on_barren*Construction!BV5</f>
        <v>8800</v>
      </c>
      <c r="W5" s="152">
        <f t="shared" ca="1" si="6"/>
        <v>-584.078125</v>
      </c>
      <c r="X5" s="164">
        <f t="shared" ca="1" si="0"/>
        <v>289</v>
      </c>
      <c r="Y5" s="164">
        <f t="shared" ca="1" si="1"/>
        <v>289.33687499999996</v>
      </c>
      <c r="Z5" s="166">
        <f ca="1">IF(G5&lt;Military!Y5, ROUND($C5*IF(Magic!AW5=0,Constants!$B$51,Constants!$B$51*2),0), 0)</f>
        <v>97</v>
      </c>
      <c r="AA5" s="159"/>
      <c r="AB5" s="169">
        <f ca="1">Overview!$O$16 + IF(Magic!AK5&gt;0,Constants!$F$75) + ROUND(6*(Construction!BL6+Construction!CJ5)/IF(Explore!S6&gt;0,Construction!E6-20,Construction!E6),4)</f>
        <v>0</v>
      </c>
      <c r="AC5" s="540">
        <f ca="1">(Overview!$O$15 + Imps!Z5+MAX(Constants!$M$38*Techs!AE5,Constants!$M$50*Techs!AQ5)) * (1 + Production!O5/100*prestige_pop_multiplier) + Production!O5/100*prestige_pop_multiplier</f>
        <v>0.05</v>
      </c>
    </row>
    <row r="6" spans="1:30" s="16" customFormat="1">
      <c r="A6" s="987">
        <f>Rezone!J6</f>
        <v>4</v>
      </c>
      <c r="B6" s="589">
        <f>Imps!L6</f>
        <v>43692.124999999993</v>
      </c>
      <c r="C6" s="152">
        <f ca="1">$C5+$W5+Military!BE6 - IF(race="Demon",Military!G5*2,0)</f>
        <v>9157.484375</v>
      </c>
      <c r="D6" s="26">
        <f ca="1">Military!B6</f>
        <v>5036</v>
      </c>
      <c r="E6" s="26">
        <f ca="1">Military!Z6</f>
        <v>5036</v>
      </c>
      <c r="F6" s="26">
        <f t="shared" ca="1" si="2"/>
        <v>14193.484375</v>
      </c>
      <c r="G6" s="27">
        <f t="shared" ca="1" si="3"/>
        <v>0.35481069108514801</v>
      </c>
      <c r="H6" s="594">
        <f t="shared" ca="1" si="4"/>
        <v>3600</v>
      </c>
      <c r="I6" s="165">
        <f t="shared" ca="1" si="5"/>
        <v>0.39312106388387913</v>
      </c>
      <c r="J6" s="676">
        <f>SUM(Construction!AY6:BH6,Construction!BJ6:BP6,Construction!BW6:CF6,Construction!CH6:CN6)*building_employment</f>
        <v>3600</v>
      </c>
      <c r="K6" s="635"/>
      <c r="L6" s="56">
        <f ca="1">Military!$Z6</f>
        <v>5036</v>
      </c>
      <c r="M6" s="26">
        <f>Military!E6</f>
        <v>0</v>
      </c>
      <c r="N6" s="26">
        <f>Military!F6</f>
        <v>0</v>
      </c>
      <c r="O6" s="26">
        <f>Military!G6</f>
        <v>0</v>
      </c>
      <c r="P6" s="26">
        <f>Military!H6</f>
        <v>0</v>
      </c>
      <c r="Q6" s="26">
        <f>Military!I6</f>
        <v>0</v>
      </c>
      <c r="R6" s="26">
        <f>Military!J6</f>
        <v>0</v>
      </c>
      <c r="S6" s="57">
        <f>Military!K6</f>
        <v>0</v>
      </c>
      <c r="T6" s="52"/>
      <c r="U6" s="56">
        <f ca="1">ROUND($V6*(1+$AC6),0)+MIN(D6-E6-SUM(Military!AF6:AL6),barracks_size*Construction!BI6)</f>
        <v>9240</v>
      </c>
      <c r="V6" s="166">
        <f>(Construction!AX6+Construction!BV6)*pop_in_home+(SUM(Construction!AY6:BP6)+Construction!C6-Construction!BI6)*pop_in_building+(SUM(Construction!F6:L6)-Explore!S6*20)*pop_on_barren-(SUM(Construction!N6:AF6)-SUM(Construction!BW6:CN6))*(15-pop_on_barren)-pop_on_barren*Construction!BV6</f>
        <v>8800</v>
      </c>
      <c r="W6" s="152">
        <f t="shared" ca="1" si="6"/>
        <v>-549.87421874999995</v>
      </c>
      <c r="X6" s="26">
        <f t="shared" ca="1" si="0"/>
        <v>272</v>
      </c>
      <c r="Y6" s="164">
        <f t="shared" ca="1" si="1"/>
        <v>271.96453124999999</v>
      </c>
      <c r="Z6" s="57">
        <f ca="1">IF(G6&lt;Military!Y6, ROUND($C6*IF(Magic!AW6=0,Constants!$B$51,Constants!$B$51*2),0), 0)</f>
        <v>92</v>
      </c>
      <c r="AA6" s="63"/>
      <c r="AB6" s="169">
        <f ca="1">Overview!$O$16 + IF(Magic!AK6&gt;0,Constants!$F$75) + ROUND(6*(Construction!BL7+Construction!CJ6)/IF(Explore!S7&gt;0,Construction!E7-20,Construction!E7),4)</f>
        <v>0</v>
      </c>
      <c r="AC6" s="540">
        <f ca="1">(Overview!$O$15 + Imps!Z6+MAX(Constants!$M$38*Techs!AE6,Constants!$M$50*Techs!AQ6)) * (1 + Production!O6/100*prestige_pop_multiplier) + Production!O6/100*prestige_pop_multiplier</f>
        <v>0.05</v>
      </c>
    </row>
    <row r="7" spans="1:30" s="16" customFormat="1">
      <c r="A7" s="987">
        <f>Rezone!J7</f>
        <v>5</v>
      </c>
      <c r="B7" s="589">
        <f>Imps!L7</f>
        <v>43692.166666666657</v>
      </c>
      <c r="C7" s="152">
        <f ca="1">$C6+$W6+Military!BE7 - IF(race="Demon",Military!G6*2,0)</f>
        <v>8607.6101562500007</v>
      </c>
      <c r="D7" s="26">
        <f ca="1">Military!B7</f>
        <v>5128</v>
      </c>
      <c r="E7" s="26">
        <f ca="1">Military!Z7</f>
        <v>5128</v>
      </c>
      <c r="F7" s="26">
        <f t="shared" ca="1" si="2"/>
        <v>13735.610156250001</v>
      </c>
      <c r="G7" s="27">
        <f t="shared" ca="1" si="3"/>
        <v>0.37333616356799765</v>
      </c>
      <c r="H7" s="594">
        <f t="shared" ca="1" si="4"/>
        <v>3600</v>
      </c>
      <c r="I7" s="165">
        <f t="shared" ca="1" si="5"/>
        <v>0.41823455461514292</v>
      </c>
      <c r="J7" s="676">
        <f>SUM(Construction!AY7:BH7,Construction!BJ7:BP7,Construction!BW7:CF7,Construction!CH7:CN7)*building_employment</f>
        <v>3600</v>
      </c>
      <c r="K7" s="635"/>
      <c r="L7" s="56">
        <f ca="1">Military!$Z7</f>
        <v>5128</v>
      </c>
      <c r="M7" s="26">
        <f>Military!E7</f>
        <v>0</v>
      </c>
      <c r="N7" s="26">
        <f>Military!F7</f>
        <v>0</v>
      </c>
      <c r="O7" s="26">
        <f>Military!G7</f>
        <v>0</v>
      </c>
      <c r="P7" s="26">
        <f>Military!H7</f>
        <v>0</v>
      </c>
      <c r="Q7" s="26">
        <f>Military!I7</f>
        <v>0</v>
      </c>
      <c r="R7" s="26">
        <f>Military!J7</f>
        <v>0</v>
      </c>
      <c r="S7" s="57">
        <f>Military!K7</f>
        <v>0</v>
      </c>
      <c r="T7" s="52"/>
      <c r="U7" s="56">
        <f ca="1">ROUND($V7*(1+$AC7),0)+MIN(D7-E7-SUM(Military!AF7:AL7),barracks_size*Construction!BI7)</f>
        <v>9240</v>
      </c>
      <c r="V7" s="166">
        <f>(Construction!AX7+Construction!BV7)*pop_in_home+(SUM(Construction!AY7:BP7)+Construction!C7-Construction!BI7)*pop_in_building+(SUM(Construction!F7:L7)-Explore!S7*20)*pop_on_barren-(SUM(Construction!N7:AF7)-SUM(Construction!BW7:CN7))*(15-pop_on_barren)-pop_on_barren*Construction!BV7</f>
        <v>8800</v>
      </c>
      <c r="W7" s="152">
        <f t="shared" ca="1" si="6"/>
        <v>-516.38050781250013</v>
      </c>
      <c r="X7" s="26">
        <f t="shared" ca="1" si="0"/>
        <v>256</v>
      </c>
      <c r="Y7" s="164">
        <f t="shared" ca="1" si="1"/>
        <v>255.6483046875</v>
      </c>
      <c r="Z7" s="57">
        <f ca="1">IF(G7&lt;Military!Y7, ROUND($C7*IF(Magic!AW7=0,Constants!$B$51,Constants!$B$51*2),0), 0)</f>
        <v>86</v>
      </c>
      <c r="AA7" s="63"/>
      <c r="AB7" s="169">
        <f ca="1">Overview!$O$16 + IF(Magic!AK7&gt;0,Constants!$F$75) + ROUND(6*(Construction!BL8+Construction!CJ7)/IF(Explore!S8&gt;0,Construction!E8-20,Construction!E8),4)</f>
        <v>0</v>
      </c>
      <c r="AC7" s="540">
        <f ca="1">(Overview!$O$15 + Imps!Z7+MAX(Constants!$M$38*Techs!AE7,Constants!$M$50*Techs!AQ7)) * (1 + Production!O7/100*prestige_pop_multiplier) + Production!O7/100*prestige_pop_multiplier</f>
        <v>0.05</v>
      </c>
    </row>
    <row r="8" spans="1:30" s="16" customFormat="1">
      <c r="A8" s="987">
        <f>Rezone!J8</f>
        <v>6</v>
      </c>
      <c r="B8" s="589">
        <f>Imps!L8</f>
        <v>43692.208333333321</v>
      </c>
      <c r="C8" s="152">
        <f ca="1">$C7+$W7+Military!BE8 - IF(race="Demon",Military!G7*2,0)</f>
        <v>8091.2296484375001</v>
      </c>
      <c r="D8" s="26">
        <f ca="1">Military!B8</f>
        <v>5214</v>
      </c>
      <c r="E8" s="26">
        <f ca="1">Military!Z8</f>
        <v>5214</v>
      </c>
      <c r="F8" s="26">
        <f t="shared" ca="1" si="2"/>
        <v>13305.2296484375</v>
      </c>
      <c r="G8" s="27">
        <f t="shared" ca="1" si="3"/>
        <v>0.39187598694414916</v>
      </c>
      <c r="H8" s="594">
        <f t="shared" ca="1" si="4"/>
        <v>3600</v>
      </c>
      <c r="I8" s="165">
        <f t="shared" ca="1" si="5"/>
        <v>0.4449261924848712</v>
      </c>
      <c r="J8" s="676">
        <f>SUM(Construction!AY8:BH8,Construction!BJ8:BP8,Construction!BW8:CF8,Construction!CH8:CN8)*building_employment</f>
        <v>3600</v>
      </c>
      <c r="K8" s="635"/>
      <c r="L8" s="56">
        <f ca="1">Military!$Z8</f>
        <v>5214</v>
      </c>
      <c r="M8" s="26">
        <f>Military!E8</f>
        <v>0</v>
      </c>
      <c r="N8" s="26">
        <f>Military!F8</f>
        <v>0</v>
      </c>
      <c r="O8" s="26">
        <f>Military!G8</f>
        <v>0</v>
      </c>
      <c r="P8" s="26">
        <f>Military!H8</f>
        <v>0</v>
      </c>
      <c r="Q8" s="26">
        <f>Military!I8</f>
        <v>0</v>
      </c>
      <c r="R8" s="26">
        <f>Military!J8</f>
        <v>0</v>
      </c>
      <c r="S8" s="57">
        <f>Military!K8</f>
        <v>0</v>
      </c>
      <c r="T8" s="52"/>
      <c r="U8" s="56">
        <f ca="1">ROUND($V8*(1+$AC8),0)+MIN(D8-E8-SUM(Military!AF8:AL8),barracks_size*Construction!BI8)</f>
        <v>9240</v>
      </c>
      <c r="V8" s="166">
        <f>(Construction!AX8+Construction!BV8)*pop_in_home+(SUM(Construction!AY8:BP8)+Construction!C8-Construction!BI8)*pop_in_building+(SUM(Construction!F8:L8)-Explore!S8*20)*pop_on_barren-(SUM(Construction!N8:AF8)-SUM(Construction!BW8:CN8))*(15-pop_on_barren)-pop_on_barren*Construction!BV8</f>
        <v>8800</v>
      </c>
      <c r="W8" s="152">
        <f t="shared" ca="1" si="6"/>
        <v>-485.56148242187504</v>
      </c>
      <c r="X8" s="26">
        <f t="shared" ca="1" si="0"/>
        <v>240</v>
      </c>
      <c r="Y8" s="164">
        <f t="shared" ca="1" si="1"/>
        <v>240.306889453125</v>
      </c>
      <c r="Z8" s="57">
        <f ca="1">IF(G8&lt;Military!Y8, ROUND($C8*IF(Magic!AW8=0,Constants!$B$51,Constants!$B$51*2),0), 0)</f>
        <v>81</v>
      </c>
      <c r="AA8" s="63"/>
      <c r="AB8" s="169">
        <f ca="1">Overview!$O$16 + IF(Magic!AK8&gt;0,Constants!$F$75) + ROUND(6*(Construction!BL9+Construction!CJ8)/IF(Explore!S9&gt;0,Construction!E9-20,Construction!E9),4)</f>
        <v>0</v>
      </c>
      <c r="AC8" s="540">
        <f ca="1">(Overview!$O$15 + Imps!Z8+MAX(Constants!$M$38*Techs!AE8,Constants!$M$50*Techs!AQ8)) * (1 + Production!O8/100*prestige_pop_multiplier) + Production!O8/100*prestige_pop_multiplier</f>
        <v>0.05</v>
      </c>
    </row>
    <row r="9" spans="1:30" s="16" customFormat="1">
      <c r="A9" s="987">
        <f>Rezone!J9</f>
        <v>7</v>
      </c>
      <c r="B9" s="589">
        <f>Imps!L9</f>
        <v>43692.249999999985</v>
      </c>
      <c r="C9" s="152">
        <f ca="1">$C8+$W8+Military!BE9 - IF(race="Demon",Military!G8*2,0)</f>
        <v>7605.6681660156255</v>
      </c>
      <c r="D9" s="26">
        <f ca="1">Military!B9</f>
        <v>5295</v>
      </c>
      <c r="E9" s="26">
        <f ca="1">Military!Z9</f>
        <v>5295</v>
      </c>
      <c r="F9" s="26">
        <f t="shared" ca="1" si="2"/>
        <v>12900.668166015625</v>
      </c>
      <c r="G9" s="27">
        <f t="shared" ca="1" si="3"/>
        <v>0.41044385700491687</v>
      </c>
      <c r="H9" s="594">
        <f t="shared" ca="1" si="4"/>
        <v>3600</v>
      </c>
      <c r="I9" s="165">
        <f t="shared" ca="1" si="5"/>
        <v>0.47333119476417135</v>
      </c>
      <c r="J9" s="676">
        <f>SUM(Construction!AY9:BH9,Construction!BJ9:BP9,Construction!BW9:CF9,Construction!CH9:CN9)*building_employment</f>
        <v>3600</v>
      </c>
      <c r="K9" s="635"/>
      <c r="L9" s="56">
        <f ca="1">Military!$Z9</f>
        <v>5295</v>
      </c>
      <c r="M9" s="26">
        <f>Military!E9</f>
        <v>0</v>
      </c>
      <c r="N9" s="26">
        <f>Military!F9</f>
        <v>0</v>
      </c>
      <c r="O9" s="26">
        <f>Military!G9</f>
        <v>0</v>
      </c>
      <c r="P9" s="26">
        <f>Military!H9</f>
        <v>0</v>
      </c>
      <c r="Q9" s="26">
        <f>Military!I9</f>
        <v>0</v>
      </c>
      <c r="R9" s="26">
        <f>Military!J9</f>
        <v>0</v>
      </c>
      <c r="S9" s="57">
        <f>Military!K9</f>
        <v>0</v>
      </c>
      <c r="T9" s="52"/>
      <c r="U9" s="56">
        <f ca="1">ROUND($V9*(1+$AC9),0)+MIN(D9-E9-SUM(Military!AF9:AL9),barracks_size*Construction!BI9)</f>
        <v>9240</v>
      </c>
      <c r="V9" s="166">
        <f>(Construction!AX9+Construction!BV9)*pop_in_home+(SUM(Construction!AY9:BP9)+Construction!C9-Construction!BI9)*pop_in_building+(SUM(Construction!F9:L9)-Explore!S9*20)*pop_on_barren-(SUM(Construction!N9:AF9)-SUM(Construction!BW9:CN9))*(15-pop_on_barren)-pop_on_barren*Construction!BV9</f>
        <v>8800</v>
      </c>
      <c r="W9" s="152">
        <f t="shared" ca="1" si="6"/>
        <v>-380.28340830078128</v>
      </c>
      <c r="X9" s="26">
        <f t="shared" ca="1" si="0"/>
        <v>228</v>
      </c>
      <c r="Y9" s="164">
        <f t="shared" ca="1" si="1"/>
        <v>228.17004498046876</v>
      </c>
      <c r="Z9" s="57">
        <f ca="1">IF(G9&lt;Military!Y9, ROUND($C9*IF(Magic!AW9=0,Constants!$B$51,Constants!$B$51*2),0), 0)</f>
        <v>0</v>
      </c>
      <c r="AA9" s="63"/>
      <c r="AB9" s="169">
        <f ca="1">Overview!$O$16 + IF(Magic!AK9&gt;0,Constants!$F$75) + ROUND(6*(Construction!BL10+Construction!CJ9)/IF(Explore!S10&gt;0,Construction!E10-20,Construction!E10),4)</f>
        <v>0</v>
      </c>
      <c r="AC9" s="540">
        <f ca="1">(Overview!$O$15 + Imps!Z9+MAX(Constants!$M$38*Techs!AE9,Constants!$M$50*Techs!AQ9)) * (1 + Production!O9/100*prestige_pop_multiplier) + Production!O9/100*prestige_pop_multiplier</f>
        <v>0.05</v>
      </c>
    </row>
    <row r="10" spans="1:30" s="16" customFormat="1">
      <c r="A10" s="987">
        <f>Rezone!J10</f>
        <v>8</v>
      </c>
      <c r="B10" s="589">
        <f>Imps!L10</f>
        <v>43692.29166666665</v>
      </c>
      <c r="C10" s="152">
        <f ca="1">$C9+$W9+Military!BE10 - IF(race="Demon",Military!G9*2,0)</f>
        <v>7225.3847577148445</v>
      </c>
      <c r="D10" s="26">
        <f ca="1">Military!B10</f>
        <v>5295</v>
      </c>
      <c r="E10" s="26">
        <f ca="1">Military!Z10</f>
        <v>5295</v>
      </c>
      <c r="F10" s="26">
        <f t="shared" ca="1" si="2"/>
        <v>12520.384757714844</v>
      </c>
      <c r="G10" s="27">
        <f t="shared" ca="1" si="3"/>
        <v>0.42291032603748957</v>
      </c>
      <c r="H10" s="594">
        <f t="shared" ca="1" si="4"/>
        <v>3600</v>
      </c>
      <c r="I10" s="165">
        <f t="shared" ca="1" si="5"/>
        <v>0.49824336290965404</v>
      </c>
      <c r="J10" s="676">
        <f>SUM(Construction!AY10:BH10,Construction!BJ10:BP10,Construction!BW10:CF10,Construction!CH10:CN10)*building_employment</f>
        <v>3600</v>
      </c>
      <c r="K10" s="635"/>
      <c r="L10" s="56">
        <f ca="1">Military!$Z10</f>
        <v>5295</v>
      </c>
      <c r="M10" s="26">
        <f>Military!E10</f>
        <v>0</v>
      </c>
      <c r="N10" s="26">
        <f>Military!F10</f>
        <v>0</v>
      </c>
      <c r="O10" s="26">
        <f>Military!G10</f>
        <v>0</v>
      </c>
      <c r="P10" s="26">
        <f>Military!H10</f>
        <v>0</v>
      </c>
      <c r="Q10" s="26">
        <f>Military!I10</f>
        <v>0</v>
      </c>
      <c r="R10" s="26">
        <f>Military!J10</f>
        <v>0</v>
      </c>
      <c r="S10" s="57">
        <f>Military!K10</f>
        <v>0</v>
      </c>
      <c r="T10" s="52"/>
      <c r="U10" s="56">
        <f ca="1">ROUND($V10*(1+$AC10),0)+MIN(D10-E10-SUM(Military!AF10:AL10),barracks_size*Construction!BI10)</f>
        <v>9240</v>
      </c>
      <c r="V10" s="166">
        <f>(Construction!AX10+Construction!BV10)*pop_in_home+(SUM(Construction!AY10:BP10)+Construction!C10-Construction!BI10)*pop_in_building+(SUM(Construction!F10:L10)-Explore!S10*20)*pop_on_barren-(SUM(Construction!N10:AF10)-SUM(Construction!BW10:CN10))*(15-pop_on_barren)-pop_on_barren*Construction!BV10</f>
        <v>8800</v>
      </c>
      <c r="W10" s="152">
        <f t="shared" ca="1" si="6"/>
        <v>-361.26923788574226</v>
      </c>
      <c r="X10" s="26">
        <f t="shared" ca="1" si="0"/>
        <v>217</v>
      </c>
      <c r="Y10" s="164">
        <f t="shared" ca="1" si="1"/>
        <v>216.76154273144533</v>
      </c>
      <c r="Z10" s="57">
        <f ca="1">IF(G10&lt;Military!Y10, ROUND($C10*IF(Magic!AW10=0,Constants!$B$51,Constants!$B$51*2),0), 0)</f>
        <v>0</v>
      </c>
      <c r="AA10" s="63"/>
      <c r="AB10" s="169">
        <f ca="1">Overview!$O$16 + IF(Magic!AK10&gt;0,Constants!$F$75) + ROUND(6*(Construction!BL11+Construction!CJ10)/IF(Explore!S11&gt;0,Construction!E11-20,Construction!E11),4)</f>
        <v>0</v>
      </c>
      <c r="AC10" s="540">
        <f ca="1">(Overview!$O$15 + Imps!Z10+MAX(Constants!$M$38*Techs!AE10,Constants!$M$50*Techs!AQ10)) * (1 + Production!O10/100*prestige_pop_multiplier) + Production!O10/100*prestige_pop_multiplier</f>
        <v>0.05</v>
      </c>
    </row>
    <row r="11" spans="1:30" s="16" customFormat="1">
      <c r="A11" s="987">
        <f>Rezone!J11</f>
        <v>9</v>
      </c>
      <c r="B11" s="589">
        <f>Imps!L11</f>
        <v>43692.333333333314</v>
      </c>
      <c r="C11" s="152">
        <f ca="1">$C10+$W10+Military!BE11 - IF(race="Demon",Military!G10*2,0)</f>
        <v>6864.1155198291026</v>
      </c>
      <c r="D11" s="26">
        <f ca="1">Military!B11</f>
        <v>5295</v>
      </c>
      <c r="E11" s="26">
        <f ca="1">Military!Z11</f>
        <v>5295</v>
      </c>
      <c r="F11" s="26">
        <f t="shared" ca="1" si="2"/>
        <v>12159.115519829102</v>
      </c>
      <c r="G11" s="27">
        <f t="shared" ca="1" si="3"/>
        <v>0.43547575408465417</v>
      </c>
      <c r="H11" s="594">
        <f t="shared" ca="1" si="4"/>
        <v>3600</v>
      </c>
      <c r="I11" s="165">
        <f t="shared" ca="1" si="5"/>
        <v>0.52446669779963584</v>
      </c>
      <c r="J11" s="676">
        <f>SUM(Construction!AY11:BH11,Construction!BJ11:BP11,Construction!BW11:CF11,Construction!CH11:CN11)*building_employment</f>
        <v>3600</v>
      </c>
      <c r="K11" s="635"/>
      <c r="L11" s="56">
        <f ca="1">Military!$Z11</f>
        <v>5295</v>
      </c>
      <c r="M11" s="26">
        <f>Military!E11</f>
        <v>0</v>
      </c>
      <c r="N11" s="26">
        <f>Military!F11</f>
        <v>0</v>
      </c>
      <c r="O11" s="26">
        <f>Military!G11</f>
        <v>0</v>
      </c>
      <c r="P11" s="26">
        <f>Military!H11</f>
        <v>0</v>
      </c>
      <c r="Q11" s="26">
        <f>Military!I11</f>
        <v>0</v>
      </c>
      <c r="R11" s="26">
        <f>Military!J11</f>
        <v>0</v>
      </c>
      <c r="S11" s="57">
        <f>Military!K11</f>
        <v>0</v>
      </c>
      <c r="T11" s="52"/>
      <c r="U11" s="56">
        <f ca="1">ROUND($V11*(1+$AC11),0)+MIN(D11-E11-SUM(Military!AF11:AL11),barracks_size*Construction!BI11)</f>
        <v>9240</v>
      </c>
      <c r="V11" s="166">
        <f>(Construction!AX11+Construction!BV11)*pop_in_home+(SUM(Construction!AY11:BP11)+Construction!C11-Construction!BI11)*pop_in_building+(SUM(Construction!F11:L11)-Explore!S11*20)*pop_on_barren-(SUM(Construction!N11:AF11)-SUM(Construction!BW11:CN11))*(15-pop_on_barren)-pop_on_barren*Construction!BV11</f>
        <v>8800</v>
      </c>
      <c r="W11" s="152">
        <f t="shared" ca="1" si="6"/>
        <v>-343.20577599145514</v>
      </c>
      <c r="X11" s="26">
        <f t="shared" ca="1" si="0"/>
        <v>206</v>
      </c>
      <c r="Y11" s="164">
        <f t="shared" ca="1" si="1"/>
        <v>205.92346559487308</v>
      </c>
      <c r="Z11" s="57">
        <f ca="1">IF(G11&lt;Military!Y11, ROUND($C11*IF(Magic!AW11=0,Constants!$B$51,Constants!$B$51*2),0), 0)</f>
        <v>0</v>
      </c>
      <c r="AA11" s="63"/>
      <c r="AB11" s="169">
        <f ca="1">Overview!$O$16 + IF(Magic!AK11&gt;0,Constants!$F$75) + ROUND(6*(Construction!BL12+Construction!CJ11)/IF(Explore!S12&gt;0,Construction!E12-20,Construction!E12),4)</f>
        <v>0</v>
      </c>
      <c r="AC11" s="540">
        <f ca="1">(Overview!$O$15 + Imps!Z11+MAX(Constants!$M$38*Techs!AE11,Constants!$M$50*Techs!AQ11)) * (1 + Production!O11/100*prestige_pop_multiplier) + Production!O11/100*prestige_pop_multiplier</f>
        <v>0.05</v>
      </c>
    </row>
    <row r="12" spans="1:30" s="16" customFormat="1">
      <c r="A12" s="987">
        <f>Rezone!J12</f>
        <v>10</v>
      </c>
      <c r="B12" s="589">
        <f>Imps!L12</f>
        <v>43692.374999999978</v>
      </c>
      <c r="C12" s="152">
        <f ca="1">$C11+$W11+Military!BE12 - IF(race="Demon",Military!G11*2,0)</f>
        <v>6520.9097438376475</v>
      </c>
      <c r="D12" s="26">
        <f ca="1">Military!B12</f>
        <v>5295</v>
      </c>
      <c r="E12" s="26">
        <f ca="1">Military!Z12</f>
        <v>5295</v>
      </c>
      <c r="F12" s="26">
        <f t="shared" ca="1" si="2"/>
        <v>11815.909743837648</v>
      </c>
      <c r="G12" s="27">
        <f t="shared" ca="1" si="3"/>
        <v>0.44812461459106029</v>
      </c>
      <c r="H12" s="594">
        <f t="shared" ca="1" si="4"/>
        <v>3600</v>
      </c>
      <c r="I12" s="165">
        <f t="shared" ca="1" si="5"/>
        <v>0.55207020821014297</v>
      </c>
      <c r="J12" s="676">
        <f>SUM(Construction!AY12:BH12,Construction!BJ12:BP12,Construction!BW12:CF12,Construction!CH12:CN12)*building_employment</f>
        <v>3600</v>
      </c>
      <c r="K12" s="635"/>
      <c r="L12" s="56">
        <f ca="1">Military!$Z12</f>
        <v>5295</v>
      </c>
      <c r="M12" s="26">
        <f>Military!E12</f>
        <v>0</v>
      </c>
      <c r="N12" s="26">
        <f>Military!F12</f>
        <v>0</v>
      </c>
      <c r="O12" s="26">
        <f>Military!G12</f>
        <v>0</v>
      </c>
      <c r="P12" s="26">
        <f>Military!H12</f>
        <v>0</v>
      </c>
      <c r="Q12" s="26">
        <f>Military!I12</f>
        <v>0</v>
      </c>
      <c r="R12" s="26">
        <f>Military!J12</f>
        <v>0</v>
      </c>
      <c r="S12" s="57">
        <f>Military!K12</f>
        <v>0</v>
      </c>
      <c r="T12" s="52"/>
      <c r="U12" s="56">
        <f ca="1">ROUND($V12*(1+$AC12),0)+MIN(D12-E12-SUM(Military!AF12:AL12),barracks_size*Construction!BI12)</f>
        <v>9240</v>
      </c>
      <c r="V12" s="166">
        <f>(Construction!AX12+Construction!BV12)*pop_in_home+(SUM(Construction!AY12:BP12)+Construction!C12-Construction!BI12)*pop_in_building+(SUM(Construction!F12:L12)-Explore!S12*20)*pop_on_barren-(SUM(Construction!N12:AF12)-SUM(Construction!BW12:CN12))*(15-pop_on_barren)-pop_on_barren*Construction!BV12</f>
        <v>8800</v>
      </c>
      <c r="W12" s="152">
        <f t="shared" ca="1" si="6"/>
        <v>-326.04548719188239</v>
      </c>
      <c r="X12" s="26">
        <f t="shared" ca="1" si="0"/>
        <v>196</v>
      </c>
      <c r="Y12" s="164">
        <f t="shared" ca="1" si="1"/>
        <v>195.62729231512941</v>
      </c>
      <c r="Z12" s="57">
        <f ca="1">IF(G12&lt;Military!Y12, ROUND($C12*IF(Magic!AW12=0,Constants!$B$51,Constants!$B$51*2),0), 0)</f>
        <v>0</v>
      </c>
      <c r="AA12" s="63"/>
      <c r="AB12" s="169">
        <f ca="1">Overview!$O$16 + IF(Magic!AK12&gt;0,Constants!$F$75) + ROUND(6*(Construction!BL13+Construction!CJ12)/IF(Explore!S13&gt;0,Construction!E13-20,Construction!E13),4)</f>
        <v>0</v>
      </c>
      <c r="AC12" s="540">
        <f ca="1">(Overview!$O$15 + Imps!Z12+MAX(Constants!$M$38*Techs!AE12,Constants!$M$50*Techs!AQ12)) * (1 + Production!O12/100*prestige_pop_multiplier) + Production!O12/100*prestige_pop_multiplier</f>
        <v>0.05</v>
      </c>
    </row>
    <row r="13" spans="1:30" s="16" customFormat="1">
      <c r="A13" s="987">
        <f>Rezone!J13</f>
        <v>11</v>
      </c>
      <c r="B13" s="589">
        <f>Imps!L13</f>
        <v>43692.416666666642</v>
      </c>
      <c r="C13" s="152">
        <f ca="1">$C12+$W12+Military!BE13 - IF(race="Demon",Military!G12*2,0)</f>
        <v>6194.8642566457647</v>
      </c>
      <c r="D13" s="26">
        <f ca="1">Military!B13</f>
        <v>5295</v>
      </c>
      <c r="E13" s="26">
        <f ca="1">Military!Z13</f>
        <v>5295</v>
      </c>
      <c r="F13" s="26">
        <f t="shared" ca="1" si="2"/>
        <v>11489.864256645764</v>
      </c>
      <c r="G13" s="27">
        <f t="shared" ca="1" si="3"/>
        <v>0.46084095353322907</v>
      </c>
      <c r="H13" s="594">
        <f t="shared" ca="1" si="4"/>
        <v>3600</v>
      </c>
      <c r="I13" s="165">
        <f t="shared" ca="1" si="5"/>
        <v>0.58112653495804523</v>
      </c>
      <c r="J13" s="676">
        <f>SUM(Construction!AY13:BH13,Construction!BJ13:BP13,Construction!BW13:CF13,Construction!CH13:CN13)*building_employment</f>
        <v>3600</v>
      </c>
      <c r="K13" s="635"/>
      <c r="L13" s="56">
        <f ca="1">Military!$Z13</f>
        <v>5295</v>
      </c>
      <c r="M13" s="26">
        <f>Military!E13</f>
        <v>0</v>
      </c>
      <c r="N13" s="26">
        <f>Military!F13</f>
        <v>0</v>
      </c>
      <c r="O13" s="26">
        <f>Military!G13</f>
        <v>0</v>
      </c>
      <c r="P13" s="26">
        <f>Military!H13</f>
        <v>0</v>
      </c>
      <c r="Q13" s="26">
        <f>Military!I13</f>
        <v>0</v>
      </c>
      <c r="R13" s="26">
        <f>Military!J13</f>
        <v>0</v>
      </c>
      <c r="S13" s="57">
        <f>Military!K13</f>
        <v>0</v>
      </c>
      <c r="T13" s="52"/>
      <c r="U13" s="56">
        <f ca="1">ROUND($V13*(1+$AC13),0)+MIN(D13-E13-SUM(Military!AF13:AL13),barracks_size*Construction!BI13)</f>
        <v>9240</v>
      </c>
      <c r="V13" s="166">
        <f>(Construction!AX13+Construction!BV13)*pop_in_home+(SUM(Construction!AY13:BP13)+Construction!C13-Construction!BI13)*pop_in_building+(SUM(Construction!F13:L13)-Explore!S13*20)*pop_on_barren-(SUM(Construction!N13:AF13)-SUM(Construction!BW13:CN13))*(15-pop_on_barren)-pop_on_barren*Construction!BV13</f>
        <v>8800</v>
      </c>
      <c r="W13" s="152">
        <f t="shared" ca="1" si="6"/>
        <v>-309.74321283228824</v>
      </c>
      <c r="X13" s="26">
        <f t="shared" ca="1" si="0"/>
        <v>186</v>
      </c>
      <c r="Y13" s="164">
        <f t="shared" ca="1" si="1"/>
        <v>185.84592769937294</v>
      </c>
      <c r="Z13" s="57">
        <f ca="1">IF(G13&lt;Military!Y13, ROUND($C13*IF(Magic!AW13=0,Constants!$B$51,Constants!$B$51*2),0), 0)</f>
        <v>0</v>
      </c>
      <c r="AA13" s="63"/>
      <c r="AB13" s="169">
        <f ca="1">Overview!$O$16 + IF(Magic!AK13&gt;0,Constants!$F$75) + ROUND(6*(Construction!BL14+Construction!CJ13)/IF(Explore!S14&gt;0,Construction!E14-20,Construction!E14),4)</f>
        <v>0</v>
      </c>
      <c r="AC13" s="540">
        <f ca="1">(Overview!$O$15 + Imps!Z13+MAX(Constants!$M$38*Techs!AE13,Constants!$M$50*Techs!AQ13)) * (1 + Production!O13/100*prestige_pop_multiplier) + Production!O13/100*prestige_pop_multiplier</f>
        <v>0.05</v>
      </c>
    </row>
    <row r="14" spans="1:30" s="170" customFormat="1">
      <c r="A14" s="986">
        <f>Rezone!J14</f>
        <v>12</v>
      </c>
      <c r="B14" s="589">
        <f>Imps!L14</f>
        <v>43692.458333333307</v>
      </c>
      <c r="C14" s="152">
        <f ca="1">$C13+$W13+Military!BE14 - IF(race="Demon",Military!G13*2,0)</f>
        <v>5885.1210438134767</v>
      </c>
      <c r="D14" s="164">
        <f ca="1">Military!B14</f>
        <v>5295</v>
      </c>
      <c r="E14" s="164">
        <f ca="1">Military!Z14</f>
        <v>5295</v>
      </c>
      <c r="F14" s="164">
        <f t="shared" ca="1" si="2"/>
        <v>11180.121043813477</v>
      </c>
      <c r="G14" s="165">
        <f t="shared" ca="1" si="3"/>
        <v>0.47360846803443063</v>
      </c>
      <c r="H14" s="593">
        <f t="shared" ca="1" si="4"/>
        <v>3600</v>
      </c>
      <c r="I14" s="165">
        <f t="shared" ca="1" si="5"/>
        <v>1</v>
      </c>
      <c r="J14" s="676">
        <f>SUM(Construction!AY14:BH14,Construction!BJ14:BP14,Construction!BW14:CF14,Construction!CH14:CN14)*building_employment</f>
        <v>3600</v>
      </c>
      <c r="K14" s="634"/>
      <c r="L14" s="152">
        <f ca="1">Military!$Z14</f>
        <v>5295</v>
      </c>
      <c r="M14" s="164">
        <f>Military!E14</f>
        <v>0</v>
      </c>
      <c r="N14" s="164">
        <f>Military!F14</f>
        <v>0</v>
      </c>
      <c r="O14" s="164">
        <f>Military!G14</f>
        <v>0</v>
      </c>
      <c r="P14" s="164">
        <f>Military!H14</f>
        <v>0</v>
      </c>
      <c r="Q14" s="164">
        <f>Military!I14</f>
        <v>0</v>
      </c>
      <c r="R14" s="164">
        <f>Military!J14</f>
        <v>0</v>
      </c>
      <c r="S14" s="166">
        <f>Military!K14</f>
        <v>0</v>
      </c>
      <c r="T14" s="156"/>
      <c r="U14" s="152">
        <f ca="1">ROUND($V14*(1+$AC14),0)+MIN(D14-E14-SUM(Military!AF14:AL14),barracks_size*Construction!BI14)</f>
        <v>9240</v>
      </c>
      <c r="V14" s="166">
        <f>(Construction!AX14+Construction!BV14)*pop_in_home+(SUM(Construction!AY14:BP14)+Construction!C14-Construction!BI14)*pop_in_building+(SUM(Construction!F14:L14)-Explore!S14*20)*pop_on_barren-(SUM(Construction!N14:AF14)-SUM(Construction!BW14:CN14))*(15-pop_on_barren)-pop_on_barren*Construction!BV14</f>
        <v>8800</v>
      </c>
      <c r="W14" s="152">
        <f t="shared" ca="1" si="6"/>
        <v>-294.25605219067387</v>
      </c>
      <c r="X14" s="164">
        <f t="shared" ca="1" si="0"/>
        <v>177</v>
      </c>
      <c r="Y14" s="164">
        <f t="shared" ca="1" si="1"/>
        <v>176.5536313144043</v>
      </c>
      <c r="Z14" s="166">
        <f ca="1">IF(G14&lt;Military!Y14, ROUND($C14*IF(Magic!AW14=0,Constants!$B$51,Constants!$B$51*2),0), 0)</f>
        <v>0</v>
      </c>
      <c r="AA14" s="159"/>
      <c r="AB14" s="169">
        <f ca="1">Overview!$O$16 + IF(Magic!AK14&gt;0,Constants!$F$75) + ROUND(6*(Construction!BL15+Construction!CJ14)/IF(Explore!S15&gt;0,Construction!E15-20,Construction!E15),4)</f>
        <v>0</v>
      </c>
      <c r="AC14" s="540">
        <f ca="1">(Overview!$O$15 + Imps!Z14+MAX(Constants!$M$38*Techs!AE14,Constants!$M$50*Techs!AQ14)) * (1 + Production!O14/100*prestige_pop_multiplier) + Production!O14/100*prestige_pop_multiplier</f>
        <v>0.05</v>
      </c>
    </row>
    <row r="15" spans="1:30" s="163" customFormat="1">
      <c r="A15" s="988">
        <f>Rezone!J15</f>
        <v>13</v>
      </c>
      <c r="B15" s="588">
        <f>Imps!L15</f>
        <v>43692.499999999971</v>
      </c>
      <c r="C15" s="151">
        <f ca="1">$C14+$W14+Military!BE15 - IF(race="Demon",Military!G14*2,0)</f>
        <v>5590.8649916228032</v>
      </c>
      <c r="D15" s="153">
        <f ca="1">Military!B15</f>
        <v>5295</v>
      </c>
      <c r="E15" s="153">
        <f ca="1">Military!Z15</f>
        <v>3695</v>
      </c>
      <c r="F15" s="153">
        <f t="shared" ca="1" si="2"/>
        <v>10885.864991622802</v>
      </c>
      <c r="G15" s="154">
        <f t="shared" ca="1" si="3"/>
        <v>0.48641058878414878</v>
      </c>
      <c r="H15" s="592">
        <f t="shared" ca="1" si="4"/>
        <v>5590.8649916228032</v>
      </c>
      <c r="I15" s="154">
        <f t="shared" ca="1" si="5"/>
        <v>1</v>
      </c>
      <c r="J15" s="1055">
        <f>SUM(Construction!AY15:BH15,Construction!BJ15:BP15,Construction!BW15:CF15,Construction!CH15:CN15)*building_employment</f>
        <v>7600</v>
      </c>
      <c r="K15" s="318"/>
      <c r="L15" s="151">
        <f ca="1">Military!$Z15</f>
        <v>3695</v>
      </c>
      <c r="M15" s="153">
        <f>Military!E15</f>
        <v>0</v>
      </c>
      <c r="N15" s="153">
        <f>Military!F15</f>
        <v>0</v>
      </c>
      <c r="O15" s="153">
        <f>Military!G15</f>
        <v>0</v>
      </c>
      <c r="P15" s="153">
        <f>Military!H15</f>
        <v>0</v>
      </c>
      <c r="Q15" s="153">
        <f>Military!I15</f>
        <v>0</v>
      </c>
      <c r="R15" s="153">
        <f>Military!J15</f>
        <v>0</v>
      </c>
      <c r="S15" s="158">
        <f>Military!K15</f>
        <v>0</v>
      </c>
      <c r="T15" s="184"/>
      <c r="U15" s="151">
        <f ca="1">ROUND($V15*(1+$AC15),0)+MIN(D15-E15-SUM(Military!AF15:AL15),barracks_size*Construction!BI15)</f>
        <v>9240</v>
      </c>
      <c r="V15" s="158">
        <f>(Construction!AX15+Construction!BV15)*pop_in_home+(SUM(Construction!AY15:BP15)+Construction!C15-Construction!BI15)*pop_in_building+(SUM(Construction!F15:L15)-Explore!S15*20)*pop_on_barren-(SUM(Construction!N15:AF15)-SUM(Construction!BW15:CN15))*(15-pop_on_barren)-pop_on_barren*Construction!BV15</f>
        <v>8800</v>
      </c>
      <c r="W15" s="151">
        <f t="shared" ca="1" si="6"/>
        <v>-279.54324958114017</v>
      </c>
      <c r="X15" s="153">
        <f t="shared" ca="1" si="0"/>
        <v>168</v>
      </c>
      <c r="Y15" s="153">
        <f t="shared" ca="1" si="1"/>
        <v>167.72594974868409</v>
      </c>
      <c r="Z15" s="158">
        <f ca="1">IF(G15&lt;Military!Y15, ROUND($C15*IF(Magic!AW15=0,Constants!$B$51,Constants!$B$51*2),0), 0)</f>
        <v>0</v>
      </c>
      <c r="AA15" s="287"/>
      <c r="AB15" s="161">
        <f ca="1">Overview!$O$16 + IF(Magic!AK15&gt;0,Constants!$F$75) + ROUND(6*(Construction!BL16+Construction!CJ15)/IF(Explore!S16&gt;0,Construction!E16-20,Construction!E16),4)</f>
        <v>0</v>
      </c>
      <c r="AC15" s="155">
        <f ca="1">(Overview!$O$15 + Imps!Z15+MAX(Constants!$M$38*Techs!AE15,Constants!$M$50*Techs!AQ15)) * (1 + Production!O15/100*prestige_pop_multiplier) + Production!O15/100*prestige_pop_multiplier</f>
        <v>0.05</v>
      </c>
    </row>
    <row r="16" spans="1:30" s="170" customFormat="1">
      <c r="A16" s="986">
        <f>Rezone!J16</f>
        <v>14</v>
      </c>
      <c r="B16" s="589">
        <f>Imps!L16</f>
        <v>43692.541666666635</v>
      </c>
      <c r="C16" s="152">
        <f ca="1">$C15+$W15+Military!BE16 - IF(race="Demon",Military!G15*2,0)</f>
        <v>5311.3217420416631</v>
      </c>
      <c r="D16" s="164">
        <f ca="1">Military!B16</f>
        <v>5295</v>
      </c>
      <c r="E16" s="164">
        <f ca="1">Military!Z16</f>
        <v>3695</v>
      </c>
      <c r="F16" s="164">
        <f t="shared" ca="1" si="2"/>
        <v>10606.321742041662</v>
      </c>
      <c r="G16" s="165">
        <f t="shared" ca="1" si="3"/>
        <v>0.49923056539115884</v>
      </c>
      <c r="H16" s="593">
        <f t="shared" ca="1" si="4"/>
        <v>5311.3217420416631</v>
      </c>
      <c r="I16" s="165">
        <f t="shared" ca="1" si="5"/>
        <v>1</v>
      </c>
      <c r="J16" s="676">
        <f>SUM(Construction!AY16:BH16,Construction!BJ16:BP16,Construction!BW16:CF16,Construction!CH16:CN16)*building_employment</f>
        <v>7600</v>
      </c>
      <c r="K16" s="634"/>
      <c r="L16" s="152">
        <f ca="1">Military!$Z16</f>
        <v>3695</v>
      </c>
      <c r="M16" s="164">
        <f>Military!E16</f>
        <v>0</v>
      </c>
      <c r="N16" s="164">
        <f>Military!F16</f>
        <v>0</v>
      </c>
      <c r="O16" s="164">
        <f>Military!G16</f>
        <v>0</v>
      </c>
      <c r="P16" s="164">
        <f>Military!H16</f>
        <v>0</v>
      </c>
      <c r="Q16" s="164">
        <f>Military!I16</f>
        <v>0</v>
      </c>
      <c r="R16" s="164">
        <f>Military!J16</f>
        <v>0</v>
      </c>
      <c r="S16" s="166">
        <f>Military!K16</f>
        <v>0</v>
      </c>
      <c r="T16" s="156"/>
      <c r="U16" s="152">
        <f ca="1">ROUND($V16*(1+$AC16),0)+MIN(D16-E16-SUM(Military!AF16:AL16),barracks_size*Construction!BI16)</f>
        <v>9240</v>
      </c>
      <c r="V16" s="166">
        <f>(Construction!AX16+Construction!BV16)*pop_in_home+(SUM(Construction!AY16:BP16)+Construction!C16-Construction!BI16)*pop_in_building+(SUM(Construction!F16:L16)-Explore!S16*20)*pop_on_barren-(SUM(Construction!N16:AF16)-SUM(Construction!BW16:CN16))*(15-pop_on_barren)-pop_on_barren*Construction!BV16</f>
        <v>8800</v>
      </c>
      <c r="W16" s="152">
        <f t="shared" ca="1" si="6"/>
        <v>-265.56608710208315</v>
      </c>
      <c r="X16" s="164">
        <f t="shared" ca="1" si="0"/>
        <v>159</v>
      </c>
      <c r="Y16" s="164">
        <f t="shared" ca="1" si="1"/>
        <v>159.33965226124988</v>
      </c>
      <c r="Z16" s="166">
        <f ca="1">IF(G16&lt;Military!Y16, ROUND($C16*IF(Magic!AW16=0,Constants!$B$51,Constants!$B$51*2),0), 0)</f>
        <v>0</v>
      </c>
      <c r="AA16" s="159"/>
      <c r="AB16" s="169">
        <f ca="1">Overview!$O$16 + IF(Magic!AK16&gt;0,Constants!$F$75) + ROUND(6*(Construction!BL17+Construction!CJ16)/IF(Explore!S17&gt;0,Construction!E17-20,Construction!E17),4)</f>
        <v>0</v>
      </c>
      <c r="AC16" s="540">
        <f ca="1">(Overview!$O$15 + Imps!Z16+MAX(Constants!$M$38*Techs!AE16,Constants!$M$50*Techs!AQ16)) * (1 + Production!O16/100*prestige_pop_multiplier) + Production!O16/100*prestige_pop_multiplier</f>
        <v>0.05</v>
      </c>
    </row>
    <row r="17" spans="1:29" s="170" customFormat="1">
      <c r="A17" s="986">
        <f>Rezone!J17</f>
        <v>15</v>
      </c>
      <c r="B17" s="589">
        <f>Imps!L17</f>
        <v>43692.583333333299</v>
      </c>
      <c r="C17" s="152">
        <f ca="1">$C16+$W16+Military!BE17 - IF(race="Demon",Military!G16*2,0)</f>
        <v>5045.7556549395804</v>
      </c>
      <c r="D17" s="164">
        <f ca="1">Military!B17</f>
        <v>5295</v>
      </c>
      <c r="E17" s="164">
        <f ca="1">Military!Z17</f>
        <v>3695</v>
      </c>
      <c r="F17" s="164">
        <f t="shared" ca="1" si="2"/>
        <v>10340.755654939581</v>
      </c>
      <c r="G17" s="165">
        <f t="shared" ca="1" si="3"/>
        <v>0.5120515537441096</v>
      </c>
      <c r="H17" s="593">
        <f t="shared" ca="1" si="4"/>
        <v>5045.7556549395804</v>
      </c>
      <c r="I17" s="165">
        <f t="shared" ca="1" si="5"/>
        <v>1</v>
      </c>
      <c r="J17" s="676">
        <f>SUM(Construction!AY17:BH17,Construction!BJ17:BP17,Construction!BW17:CF17,Construction!CH17:CN17)*building_employment</f>
        <v>7600</v>
      </c>
      <c r="K17" s="634"/>
      <c r="L17" s="152">
        <f ca="1">Military!$Z17</f>
        <v>3695</v>
      </c>
      <c r="M17" s="164">
        <f>Military!E17</f>
        <v>0</v>
      </c>
      <c r="N17" s="164">
        <f>Military!F17</f>
        <v>0</v>
      </c>
      <c r="O17" s="164">
        <f>Military!G17</f>
        <v>0</v>
      </c>
      <c r="P17" s="164">
        <f>Military!H17</f>
        <v>0</v>
      </c>
      <c r="Q17" s="164">
        <f>Military!I17</f>
        <v>0</v>
      </c>
      <c r="R17" s="164">
        <f>Military!J17</f>
        <v>0</v>
      </c>
      <c r="S17" s="166">
        <f>Military!K17</f>
        <v>0</v>
      </c>
      <c r="T17" s="156"/>
      <c r="U17" s="152">
        <f ca="1">ROUND($V17*(1+$AC17),0)+MIN(D17-E17-SUM(Military!AF17:AL17),barracks_size*Construction!BI17)</f>
        <v>9240</v>
      </c>
      <c r="V17" s="166">
        <f>(Construction!AX17+Construction!BV17)*pop_in_home+(SUM(Construction!AY17:BP17)+Construction!C17-Construction!BI17)*pop_in_building+(SUM(Construction!F17:L17)-Explore!S17*20)*pop_on_barren-(SUM(Construction!N17:AF17)-SUM(Construction!BW17:CN17))*(15-pop_on_barren)-pop_on_barren*Construction!BV17</f>
        <v>8800</v>
      </c>
      <c r="W17" s="152">
        <f t="shared" ca="1" si="6"/>
        <v>-252.28778274697902</v>
      </c>
      <c r="X17" s="164">
        <f t="shared" ca="1" si="0"/>
        <v>151</v>
      </c>
      <c r="Y17" s="164">
        <f t="shared" ca="1" si="1"/>
        <v>151.37266964818741</v>
      </c>
      <c r="Z17" s="166">
        <f ca="1">IF(G17&lt;Military!Y17, ROUND($C17*IF(Magic!AW17=0,Constants!$B$51,Constants!$B$51*2),0), 0)</f>
        <v>0</v>
      </c>
      <c r="AA17" s="159"/>
      <c r="AB17" s="169">
        <f ca="1">Overview!$O$16 + IF(Magic!AK17&gt;0,Constants!$F$75) + ROUND(6*(Construction!BL18+Construction!CJ17)/IF(Explore!S18&gt;0,Construction!E18-20,Construction!E18),4)</f>
        <v>0</v>
      </c>
      <c r="AC17" s="540">
        <f ca="1">(Overview!$O$15 + Imps!Z17+MAX(Constants!$M$38*Techs!AE17,Constants!$M$50*Techs!AQ17)) * (1 + Production!O17/100*prestige_pop_multiplier) + Production!O17/100*prestige_pop_multiplier</f>
        <v>0.05</v>
      </c>
    </row>
    <row r="18" spans="1:29" s="16" customFormat="1">
      <c r="A18" s="987">
        <f>Rezone!J18</f>
        <v>16</v>
      </c>
      <c r="B18" s="589">
        <f>Imps!L18</f>
        <v>43692.624999999964</v>
      </c>
      <c r="C18" s="152">
        <f ca="1">$C17+$W17+Military!BE18 - IF(race="Demon",Military!G17*2,0)</f>
        <v>4793.4678721926011</v>
      </c>
      <c r="D18" s="26">
        <f ca="1">Military!B18</f>
        <v>5295</v>
      </c>
      <c r="E18" s="26">
        <f ca="1">Military!Z18</f>
        <v>3695</v>
      </c>
      <c r="F18" s="26">
        <f t="shared" ca="1" si="2"/>
        <v>10088.467872192601</v>
      </c>
      <c r="G18" s="27">
        <f t="shared" ca="1" si="3"/>
        <v>0.52485670441543453</v>
      </c>
      <c r="H18" s="594">
        <f t="shared" ca="1" si="4"/>
        <v>4793.4678721926011</v>
      </c>
      <c r="I18" s="165">
        <f t="shared" ca="1" si="5"/>
        <v>1</v>
      </c>
      <c r="J18" s="676">
        <f>SUM(Construction!AY18:BH18,Construction!BJ18:BP18,Construction!BW18:CF18,Construction!CH18:CN18)*building_employment</f>
        <v>7600</v>
      </c>
      <c r="K18" s="635"/>
      <c r="L18" s="56">
        <f ca="1">Military!$Z18</f>
        <v>3695</v>
      </c>
      <c r="M18" s="26">
        <f>Military!E18</f>
        <v>0</v>
      </c>
      <c r="N18" s="26">
        <f>Military!F18</f>
        <v>0</v>
      </c>
      <c r="O18" s="26">
        <f>Military!G18</f>
        <v>0</v>
      </c>
      <c r="P18" s="26">
        <f>Military!H18</f>
        <v>0</v>
      </c>
      <c r="Q18" s="26">
        <f>Military!I18</f>
        <v>0</v>
      </c>
      <c r="R18" s="26">
        <f>Military!J18</f>
        <v>0</v>
      </c>
      <c r="S18" s="57">
        <f>Military!K18</f>
        <v>0</v>
      </c>
      <c r="T18" s="52"/>
      <c r="U18" s="56">
        <f ca="1">ROUND($V18*(1+$AC18),0)+MIN(D18-E18-SUM(Military!AF18:AL18),barracks_size*Construction!BI18)</f>
        <v>9240</v>
      </c>
      <c r="V18" s="166">
        <f>(Construction!AX18+Construction!BV18)*pop_in_home+(SUM(Construction!AY18:BP18)+Construction!C18-Construction!BI18)*pop_in_building+(SUM(Construction!F18:L18)-Explore!S18*20)*pop_on_barren-(SUM(Construction!N18:AF18)-SUM(Construction!BW18:CN18))*(15-pop_on_barren)-pop_on_barren*Construction!BV18</f>
        <v>8800</v>
      </c>
      <c r="W18" s="152">
        <f t="shared" ca="1" si="6"/>
        <v>-239.67339360963007</v>
      </c>
      <c r="X18" s="26">
        <f t="shared" ca="1" si="0"/>
        <v>144</v>
      </c>
      <c r="Y18" s="164">
        <f t="shared" ca="1" si="1"/>
        <v>143.80403616577803</v>
      </c>
      <c r="Z18" s="57">
        <f ca="1">IF(G18&lt;Military!Y18, ROUND($C18*IF(Magic!AW18=0,Constants!$B$51,Constants!$B$51*2),0), 0)</f>
        <v>0</v>
      </c>
      <c r="AA18" s="63"/>
      <c r="AB18" s="169">
        <f ca="1">Overview!$O$16 + IF(Magic!AK18&gt;0,Constants!$F$75) + ROUND(6*(Construction!BL19+Construction!CJ18)/IF(Explore!S19&gt;0,Construction!E19-20,Construction!E19),4)</f>
        <v>0</v>
      </c>
      <c r="AC18" s="540">
        <f ca="1">(Overview!$O$15 + Imps!Z18+MAX(Constants!$M$38*Techs!AE18,Constants!$M$50*Techs!AQ18)) * (1 + Production!O18/100*prestige_pop_multiplier) + Production!O18/100*prestige_pop_multiplier</f>
        <v>0.05</v>
      </c>
    </row>
    <row r="19" spans="1:29" s="16" customFormat="1">
      <c r="A19" s="987">
        <f>Rezone!J19</f>
        <v>17</v>
      </c>
      <c r="B19" s="589">
        <f>Imps!L19</f>
        <v>43692.666666666628</v>
      </c>
      <c r="C19" s="152">
        <f ca="1">$C18+$W18+Military!BE19 - IF(race="Demon",Military!G18*2,0)</f>
        <v>4553.7944785829714</v>
      </c>
      <c r="D19" s="26">
        <f ca="1">Military!B19</f>
        <v>5295</v>
      </c>
      <c r="E19" s="26">
        <f ca="1">Military!Z19</f>
        <v>3695</v>
      </c>
      <c r="F19" s="26">
        <f t="shared" ca="1" si="2"/>
        <v>9848.7944785829714</v>
      </c>
      <c r="G19" s="27">
        <f t="shared" ca="1" si="3"/>
        <v>0.53762925112453319</v>
      </c>
      <c r="H19" s="594">
        <f t="shared" ca="1" si="4"/>
        <v>4553.7944785829714</v>
      </c>
      <c r="I19" s="165">
        <f t="shared" ca="1" si="5"/>
        <v>1</v>
      </c>
      <c r="J19" s="676">
        <f>SUM(Construction!AY19:BH19,Construction!BJ19:BP19,Construction!BW19:CF19,Construction!CH19:CN19)*building_employment</f>
        <v>7600</v>
      </c>
      <c r="K19" s="635"/>
      <c r="L19" s="56">
        <f ca="1">Military!$Z19</f>
        <v>3695</v>
      </c>
      <c r="M19" s="26">
        <f>Military!E19</f>
        <v>0</v>
      </c>
      <c r="N19" s="26">
        <f>Military!F19</f>
        <v>0</v>
      </c>
      <c r="O19" s="26">
        <f>Military!G19</f>
        <v>0</v>
      </c>
      <c r="P19" s="26">
        <f>Military!H19</f>
        <v>0</v>
      </c>
      <c r="Q19" s="26">
        <f>Military!I19</f>
        <v>0</v>
      </c>
      <c r="R19" s="26">
        <f>Military!J19</f>
        <v>0</v>
      </c>
      <c r="S19" s="57">
        <f>Military!K19</f>
        <v>0</v>
      </c>
      <c r="T19" s="52"/>
      <c r="U19" s="56">
        <f ca="1">ROUND($V19*(1+$AC19),0)+MIN(D19-E19-SUM(Military!AF19:AL19),barracks_size*Construction!BI19)</f>
        <v>9240</v>
      </c>
      <c r="V19" s="166">
        <f>(Construction!AX19+Construction!BV19)*pop_in_home+(SUM(Construction!AY19:BP19)+Construction!C19-Construction!BI19)*pop_in_building+(SUM(Construction!F19:L19)-Explore!S19*20)*pop_on_barren-(SUM(Construction!N19:AF19)-SUM(Construction!BW19:CN19))*(15-pop_on_barren)-pop_on_barren*Construction!BV19</f>
        <v>8800</v>
      </c>
      <c r="W19" s="152">
        <f t="shared" ca="1" si="6"/>
        <v>-227.68972392914858</v>
      </c>
      <c r="X19" s="26">
        <f t="shared" ca="1" si="0"/>
        <v>137</v>
      </c>
      <c r="Y19" s="164">
        <f t="shared" ca="1" si="1"/>
        <v>136.61383435748914</v>
      </c>
      <c r="Z19" s="57">
        <f ca="1">IF(G19&lt;Military!Y19, ROUND($C19*IF(Magic!AW19=0,Constants!$B$51,Constants!$B$51*2),0), 0)</f>
        <v>0</v>
      </c>
      <c r="AA19" s="63"/>
      <c r="AB19" s="169">
        <f ca="1">Overview!$O$16 + IF(Magic!AK19&gt;0,Constants!$F$75) + ROUND(6*(Construction!BL20+Construction!CJ19)/IF(Explore!S20&gt;0,Construction!E20-20,Construction!E20),4)</f>
        <v>0</v>
      </c>
      <c r="AC19" s="540">
        <f ca="1">(Overview!$O$15 + Imps!Z19+MAX(Constants!$M$38*Techs!AE19,Constants!$M$50*Techs!AQ19)) * (1 + Production!O19/100*prestige_pop_multiplier) + Production!O19/100*prestige_pop_multiplier</f>
        <v>0.05</v>
      </c>
    </row>
    <row r="20" spans="1:29" s="16" customFormat="1">
      <c r="A20" s="987">
        <f>Rezone!J20</f>
        <v>18</v>
      </c>
      <c r="B20" s="589">
        <f>Imps!L20</f>
        <v>43692.708333333292</v>
      </c>
      <c r="C20" s="152">
        <f ca="1">$C19+$W19+Military!BE20 - IF(race="Demon",Military!G19*2,0)</f>
        <v>4326.104754653823</v>
      </c>
      <c r="D20" s="26">
        <f ca="1">Military!B20</f>
        <v>5295</v>
      </c>
      <c r="E20" s="26">
        <f ca="1">Military!Z20</f>
        <v>3695</v>
      </c>
      <c r="F20" s="26">
        <f t="shared" ca="1" si="2"/>
        <v>9621.104754653823</v>
      </c>
      <c r="G20" s="27">
        <f t="shared" ca="1" si="3"/>
        <v>0.55035259827503247</v>
      </c>
      <c r="H20" s="594">
        <f t="shared" ca="1" si="4"/>
        <v>4326.104754653823</v>
      </c>
      <c r="I20" s="165">
        <f t="shared" ca="1" si="5"/>
        <v>1</v>
      </c>
      <c r="J20" s="676">
        <f>SUM(Construction!AY20:BH20,Construction!BJ20:BP20,Construction!BW20:CF20,Construction!CH20:CN20)*building_employment</f>
        <v>7600</v>
      </c>
      <c r="K20" s="635"/>
      <c r="L20" s="56">
        <f ca="1">Military!$Z20</f>
        <v>3695</v>
      </c>
      <c r="M20" s="26">
        <f>Military!E20</f>
        <v>0</v>
      </c>
      <c r="N20" s="26">
        <f>Military!F20</f>
        <v>0</v>
      </c>
      <c r="O20" s="26">
        <f>Military!G20</f>
        <v>0</v>
      </c>
      <c r="P20" s="26">
        <f>Military!H20</f>
        <v>0</v>
      </c>
      <c r="Q20" s="26">
        <f>Military!I20</f>
        <v>0</v>
      </c>
      <c r="R20" s="26">
        <f>Military!J20</f>
        <v>0</v>
      </c>
      <c r="S20" s="57">
        <f>Military!K20</f>
        <v>0</v>
      </c>
      <c r="T20" s="52"/>
      <c r="U20" s="56">
        <f ca="1">ROUND($V20*(1+$AC20),0)+MIN(D20-E20-SUM(Military!AF20:AL20),barracks_size*Construction!BI20)</f>
        <v>9240</v>
      </c>
      <c r="V20" s="166">
        <f>(Construction!AX20+Construction!BV20)*pop_in_home+(SUM(Construction!AY20:BP20)+Construction!C20-Construction!BI20)*pop_in_building+(SUM(Construction!F20:L20)-Explore!S20*20)*pop_on_barren-(SUM(Construction!N20:AF20)-SUM(Construction!BW20:CN20))*(15-pop_on_barren)-pop_on_barren*Construction!BV20</f>
        <v>8800</v>
      </c>
      <c r="W20" s="152">
        <f t="shared" ca="1" si="6"/>
        <v>-216.30523773269115</v>
      </c>
      <c r="X20" s="26">
        <f t="shared" ca="1" si="0"/>
        <v>130</v>
      </c>
      <c r="Y20" s="164">
        <f t="shared" ca="1" si="1"/>
        <v>129.78314263961468</v>
      </c>
      <c r="Z20" s="57">
        <f ca="1">IF(G20&lt;Military!Y20, ROUND($C20*IF(Magic!AW20=0,Constants!$B$51,Constants!$B$51*2),0), 0)</f>
        <v>0</v>
      </c>
      <c r="AA20" s="63"/>
      <c r="AB20" s="169">
        <f ca="1">Overview!$O$16 + IF(Magic!AK20&gt;0,Constants!$F$75) + ROUND(6*(Construction!BL21+Construction!CJ20)/IF(Explore!S21&gt;0,Construction!E21-20,Construction!E21),4)</f>
        <v>0</v>
      </c>
      <c r="AC20" s="540">
        <f ca="1">(Overview!$O$15 + Imps!Z20+MAX(Constants!$M$38*Techs!AE20,Constants!$M$50*Techs!AQ20)) * (1 + Production!O20/100*prestige_pop_multiplier) + Production!O20/100*prestige_pop_multiplier</f>
        <v>0.05</v>
      </c>
    </row>
    <row r="21" spans="1:29" s="16" customFormat="1">
      <c r="A21" s="987">
        <f>Rezone!J21</f>
        <v>19</v>
      </c>
      <c r="B21" s="589">
        <f>Imps!L21</f>
        <v>43692.749999999956</v>
      </c>
      <c r="C21" s="152">
        <f ca="1">$C20+$W20+Military!BE21 - IF(race="Demon",Military!G20*2,0)</f>
        <v>4109.7995169211317</v>
      </c>
      <c r="D21" s="26">
        <f ca="1">Military!B21</f>
        <v>5295</v>
      </c>
      <c r="E21" s="26">
        <f ca="1">Military!Z21</f>
        <v>3695</v>
      </c>
      <c r="F21" s="26">
        <f t="shared" ca="1" si="2"/>
        <v>9404.7995169211317</v>
      </c>
      <c r="G21" s="27">
        <f t="shared" ca="1" si="3"/>
        <v>0.56301040659859114</v>
      </c>
      <c r="H21" s="594">
        <f t="shared" ca="1" si="4"/>
        <v>4109.7995169211317</v>
      </c>
      <c r="I21" s="165">
        <f t="shared" ca="1" si="5"/>
        <v>1</v>
      </c>
      <c r="J21" s="676">
        <f>SUM(Construction!AY21:BH21,Construction!BJ21:BP21,Construction!BW21:CF21,Construction!CH21:CN21)*building_employment</f>
        <v>7600</v>
      </c>
      <c r="K21" s="635"/>
      <c r="L21" s="56">
        <f ca="1">Military!$Z21</f>
        <v>3695</v>
      </c>
      <c r="M21" s="26">
        <f>Military!E21</f>
        <v>0</v>
      </c>
      <c r="N21" s="26">
        <f>Military!F21</f>
        <v>0</v>
      </c>
      <c r="O21" s="26">
        <f>Military!G21</f>
        <v>0</v>
      </c>
      <c r="P21" s="26">
        <f>Military!H21</f>
        <v>0</v>
      </c>
      <c r="Q21" s="26">
        <f>Military!I21</f>
        <v>0</v>
      </c>
      <c r="R21" s="26">
        <f>Military!J21</f>
        <v>0</v>
      </c>
      <c r="S21" s="57">
        <f>Military!K21</f>
        <v>0</v>
      </c>
      <c r="T21" s="52"/>
      <c r="U21" s="56">
        <f ca="1">ROUND($V21*(1+$AC21),0)+MIN(D21-E21-SUM(Military!AF21:AL21),barracks_size*Construction!BI21)</f>
        <v>9240</v>
      </c>
      <c r="V21" s="166">
        <f>(Construction!AX21+Construction!BV21)*pop_in_home+(SUM(Construction!AY21:BP21)+Construction!C21-Construction!BI21)*pop_in_building+(SUM(Construction!F21:L21)-Explore!S21*20)*pop_on_barren-(SUM(Construction!N21:AF21)-SUM(Construction!BW21:CN21))*(15-pop_on_barren)-pop_on_barren*Construction!BV21</f>
        <v>8800</v>
      </c>
      <c r="W21" s="152">
        <f t="shared" ca="1" si="6"/>
        <v>-164.79951692113173</v>
      </c>
      <c r="X21" s="26">
        <f t="shared" ca="1" si="0"/>
        <v>123</v>
      </c>
      <c r="Y21" s="164">
        <f t="shared" ca="1" si="1"/>
        <v>123.29398550763395</v>
      </c>
      <c r="Z21" s="57">
        <f ca="1">IF(G21&lt;Military!Y21, ROUND($C21*IF(Magic!AW21=0,Constants!$B$51,Constants!$B$51*2),0), 0)</f>
        <v>0</v>
      </c>
      <c r="AA21" s="63"/>
      <c r="AB21" s="169">
        <f ca="1">Overview!$O$16 + IF(Magic!AK21&gt;0,Constants!$F$75) + ROUND(6*(Construction!BL22+Construction!CJ21)/IF(Explore!S22&gt;0,Construction!E22-20,Construction!E22),4)</f>
        <v>0</v>
      </c>
      <c r="AC21" s="540">
        <f ca="1">(Overview!$O$15 + Imps!Z21+MAX(Constants!$M$38*Techs!AE21,Constants!$M$50*Techs!AQ21)) * (1 + Production!O21/100*prestige_pop_multiplier) + Production!O21/100*prestige_pop_multiplier</f>
        <v>0.05</v>
      </c>
    </row>
    <row r="22" spans="1:29" s="16" customFormat="1">
      <c r="A22" s="987">
        <f>Rezone!J22</f>
        <v>20</v>
      </c>
      <c r="B22" s="589">
        <f>Imps!L22</f>
        <v>43692.791666666621</v>
      </c>
      <c r="C22" s="152">
        <f ca="1">$C21+$W21+Military!BE22 - IF(race="Demon",Military!G21*2,0)</f>
        <v>3945</v>
      </c>
      <c r="D22" s="26">
        <f ca="1">Military!B22</f>
        <v>5295</v>
      </c>
      <c r="E22" s="26">
        <f ca="1">Military!Z22</f>
        <v>3695</v>
      </c>
      <c r="F22" s="26">
        <f t="shared" ca="1" si="2"/>
        <v>9240</v>
      </c>
      <c r="G22" s="27">
        <f t="shared" ca="1" si="3"/>
        <v>0.57305194805194803</v>
      </c>
      <c r="H22" s="594">
        <f t="shared" ca="1" si="4"/>
        <v>3945</v>
      </c>
      <c r="I22" s="165">
        <f t="shared" ca="1" si="5"/>
        <v>1</v>
      </c>
      <c r="J22" s="676">
        <f>SUM(Construction!AY22:BH22,Construction!BJ22:BP22,Construction!BW22:CF22,Construction!CH22:CN22)*building_employment</f>
        <v>7600</v>
      </c>
      <c r="K22" s="635"/>
      <c r="L22" s="56">
        <f ca="1">Military!$Z22</f>
        <v>3695</v>
      </c>
      <c r="M22" s="26">
        <f>Military!E22</f>
        <v>0</v>
      </c>
      <c r="N22" s="26">
        <f>Military!F22</f>
        <v>0</v>
      </c>
      <c r="O22" s="26">
        <f>Military!G22</f>
        <v>0</v>
      </c>
      <c r="P22" s="26">
        <f>Military!H22</f>
        <v>0</v>
      </c>
      <c r="Q22" s="26">
        <f>Military!I22</f>
        <v>0</v>
      </c>
      <c r="R22" s="26">
        <f>Military!J22</f>
        <v>0</v>
      </c>
      <c r="S22" s="57">
        <f>Military!K22</f>
        <v>0</v>
      </c>
      <c r="T22" s="52"/>
      <c r="U22" s="56">
        <f ca="1">ROUND($V22*(1+$AC22),0)+MIN(D22-E22-SUM(Military!AF22:AL22),barracks_size*Construction!BI22)</f>
        <v>9240</v>
      </c>
      <c r="V22" s="166">
        <f>(Construction!AX22+Construction!BV22)*pop_in_home+(SUM(Construction!AY22:BP22)+Construction!C22-Construction!BI22)*pop_in_building+(SUM(Construction!F22:L22)-Explore!S22*20)*pop_on_barren-(SUM(Construction!N22:AF22)-SUM(Construction!BW22:CN22))*(15-pop_on_barren)-pop_on_barren*Construction!BV22</f>
        <v>8800</v>
      </c>
      <c r="W22" s="152">
        <f t="shared" ca="1" si="6"/>
        <v>0</v>
      </c>
      <c r="X22" s="26">
        <f t="shared" ca="1" si="0"/>
        <v>118</v>
      </c>
      <c r="Y22" s="164">
        <f t="shared" ca="1" si="1"/>
        <v>118.35</v>
      </c>
      <c r="Z22" s="57">
        <f ca="1">IF(G22&lt;Military!Y22, ROUND($C22*IF(Magic!AW22=0,Constants!$B$51,Constants!$B$51*2),0), 0)</f>
        <v>0</v>
      </c>
      <c r="AA22" s="63"/>
      <c r="AB22" s="169">
        <f ca="1">Overview!$O$16 + IF(Magic!AK22&gt;0,Constants!$F$75) + ROUND(6*(Construction!BL23+Construction!CJ22)/IF(Explore!S23&gt;0,Construction!E23-20,Construction!E23),4)</f>
        <v>0</v>
      </c>
      <c r="AC22" s="540">
        <f ca="1">(Overview!$O$15 + Imps!Z22+MAX(Constants!$M$38*Techs!AE22,Constants!$M$50*Techs!AQ22)) * (1 + Production!O22/100*prestige_pop_multiplier) + Production!O22/100*prestige_pop_multiplier</f>
        <v>0.05</v>
      </c>
    </row>
    <row r="23" spans="1:29" s="16" customFormat="1">
      <c r="A23" s="987">
        <f>Rezone!J23</f>
        <v>21</v>
      </c>
      <c r="B23" s="589">
        <f>Imps!L23</f>
        <v>43692.833333333285</v>
      </c>
      <c r="C23" s="152">
        <f ca="1">$C22+$W22+Military!BE23 - IF(race="Demon",Military!G22*2,0)</f>
        <v>3945</v>
      </c>
      <c r="D23" s="26">
        <f ca="1">Military!B23</f>
        <v>5295</v>
      </c>
      <c r="E23" s="26">
        <f ca="1">Military!Z23</f>
        <v>3695</v>
      </c>
      <c r="F23" s="26">
        <f t="shared" ca="1" si="2"/>
        <v>9240</v>
      </c>
      <c r="G23" s="27">
        <f t="shared" ca="1" si="3"/>
        <v>0.57305194805194803</v>
      </c>
      <c r="H23" s="594">
        <f t="shared" ca="1" si="4"/>
        <v>3945</v>
      </c>
      <c r="I23" s="165">
        <f t="shared" ca="1" si="5"/>
        <v>1</v>
      </c>
      <c r="J23" s="676">
        <f>SUM(Construction!AY23:BH23,Construction!BJ23:BP23,Construction!BW23:CF23,Construction!CH23:CN23)*building_employment</f>
        <v>7600</v>
      </c>
      <c r="K23" s="635"/>
      <c r="L23" s="56">
        <f ca="1">Military!$Z23</f>
        <v>3695</v>
      </c>
      <c r="M23" s="26">
        <f>Military!E23</f>
        <v>0</v>
      </c>
      <c r="N23" s="26">
        <f>Military!F23</f>
        <v>0</v>
      </c>
      <c r="O23" s="26">
        <f>Military!G23</f>
        <v>0</v>
      </c>
      <c r="P23" s="26">
        <f>Military!H23</f>
        <v>0</v>
      </c>
      <c r="Q23" s="26">
        <f>Military!I23</f>
        <v>0</v>
      </c>
      <c r="R23" s="26">
        <f>Military!J23</f>
        <v>0</v>
      </c>
      <c r="S23" s="57">
        <f>Military!K23</f>
        <v>0</v>
      </c>
      <c r="T23" s="52"/>
      <c r="U23" s="56">
        <f ca="1">ROUND($V23*(1+$AC23),0)+MIN(D23-E23-SUM(Military!AF23:AL23),barracks_size*Construction!BI23)</f>
        <v>9240</v>
      </c>
      <c r="V23" s="166">
        <f>(Construction!AX23+Construction!BV23)*pop_in_home+(SUM(Construction!AY23:BP23)+Construction!C23-Construction!BI23)*pop_in_building+(SUM(Construction!F23:L23)-Explore!S23*20)*pop_on_barren-(SUM(Construction!N23:AF23)-SUM(Construction!BW23:CN23))*(15-pop_on_barren)-pop_on_barren*Construction!BV23</f>
        <v>8800</v>
      </c>
      <c r="W23" s="152">
        <f t="shared" ca="1" si="6"/>
        <v>0</v>
      </c>
      <c r="X23" s="26">
        <f t="shared" ca="1" si="0"/>
        <v>118</v>
      </c>
      <c r="Y23" s="164">
        <f t="shared" ca="1" si="1"/>
        <v>118.35</v>
      </c>
      <c r="Z23" s="57">
        <f ca="1">IF(G23&lt;Military!Y23, ROUND($C23*IF(Magic!AW23=0,Constants!$B$51,Constants!$B$51*2),0), 0)</f>
        <v>0</v>
      </c>
      <c r="AA23" s="63"/>
      <c r="AB23" s="169">
        <f ca="1">Overview!$O$16 + IF(Magic!AK23&gt;0,Constants!$F$75) + ROUND(6*(Construction!BL24+Construction!CJ23)/IF(Explore!S24&gt;0,Construction!E24-20,Construction!E24),4)</f>
        <v>0</v>
      </c>
      <c r="AC23" s="540">
        <f ca="1">(Overview!$O$15 + Imps!Z23+MAX(Constants!$M$38*Techs!AE23,Constants!$M$50*Techs!AQ23)) * (1 + Production!O23/100*prestige_pop_multiplier) + Production!O23/100*prestige_pop_multiplier</f>
        <v>0.05</v>
      </c>
    </row>
    <row r="24" spans="1:29" s="16" customFormat="1">
      <c r="A24" s="987">
        <f>Rezone!J24</f>
        <v>22</v>
      </c>
      <c r="B24" s="589">
        <f>Imps!L24</f>
        <v>43692.874999999949</v>
      </c>
      <c r="C24" s="152">
        <f ca="1">$C23+$W23+Military!BE24 - IF(race="Demon",Military!G23*2,0)</f>
        <v>3945</v>
      </c>
      <c r="D24" s="26">
        <f ca="1">Military!B24</f>
        <v>5295</v>
      </c>
      <c r="E24" s="26">
        <f ca="1">Military!Z24</f>
        <v>3695</v>
      </c>
      <c r="F24" s="26">
        <f t="shared" ca="1" si="2"/>
        <v>9240</v>
      </c>
      <c r="G24" s="27">
        <f t="shared" ca="1" si="3"/>
        <v>0.57305194805194803</v>
      </c>
      <c r="H24" s="594">
        <f t="shared" ca="1" si="4"/>
        <v>3945</v>
      </c>
      <c r="I24" s="165">
        <f t="shared" ca="1" si="5"/>
        <v>1</v>
      </c>
      <c r="J24" s="676">
        <f>SUM(Construction!AY24:BH24,Construction!BJ24:BP24,Construction!BW24:CF24,Construction!CH24:CN24)*building_employment</f>
        <v>7600</v>
      </c>
      <c r="K24" s="635"/>
      <c r="L24" s="56">
        <f ca="1">Military!$Z24</f>
        <v>3695</v>
      </c>
      <c r="M24" s="26">
        <f>Military!E24</f>
        <v>0</v>
      </c>
      <c r="N24" s="26">
        <f>Military!F24</f>
        <v>0</v>
      </c>
      <c r="O24" s="26">
        <f>Military!G24</f>
        <v>0</v>
      </c>
      <c r="P24" s="26">
        <f>Military!H24</f>
        <v>0</v>
      </c>
      <c r="Q24" s="26">
        <f>Military!I24</f>
        <v>0</v>
      </c>
      <c r="R24" s="26">
        <f>Military!J24</f>
        <v>0</v>
      </c>
      <c r="S24" s="57">
        <f>Military!K24</f>
        <v>0</v>
      </c>
      <c r="T24" s="52"/>
      <c r="U24" s="56">
        <f ca="1">ROUND($V24*(1+$AC24),0)+MIN(D24-E24-SUM(Military!AF24:AL24),barracks_size*Construction!BI24)</f>
        <v>9240</v>
      </c>
      <c r="V24" s="166">
        <f>(Construction!AX24+Construction!BV24)*pop_in_home+(SUM(Construction!AY24:BP24)+Construction!C24-Construction!BI24)*pop_in_building+(SUM(Construction!F24:L24)-Explore!S24*20)*pop_on_barren-(SUM(Construction!N24:AF24)-SUM(Construction!BW24:CN24))*(15-pop_on_barren)-pop_on_barren*Construction!BV24</f>
        <v>8800</v>
      </c>
      <c r="W24" s="152">
        <f t="shared" ca="1" si="6"/>
        <v>0</v>
      </c>
      <c r="X24" s="26">
        <f t="shared" ca="1" si="0"/>
        <v>118</v>
      </c>
      <c r="Y24" s="164">
        <f t="shared" ca="1" si="1"/>
        <v>118.35</v>
      </c>
      <c r="Z24" s="57">
        <f ca="1">IF(G24&lt;Military!Y24, ROUND($C24*IF(Magic!AW24=0,Constants!$B$51,Constants!$B$51*2),0), 0)</f>
        <v>0</v>
      </c>
      <c r="AA24" s="63"/>
      <c r="AB24" s="169">
        <f ca="1">Overview!$O$16 + IF(Magic!AK24&gt;0,Constants!$F$75) + ROUND(6*(Construction!BL25+Construction!CJ24)/IF(Explore!S25&gt;0,Construction!E25-20,Construction!E25),4)</f>
        <v>0</v>
      </c>
      <c r="AC24" s="540">
        <f ca="1">(Overview!$O$15 + Imps!Z24+MAX(Constants!$M$38*Techs!AE24,Constants!$M$50*Techs!AQ24)) * (1 + Production!O24/100*prestige_pop_multiplier) + Production!O24/100*prestige_pop_multiplier</f>
        <v>0.05</v>
      </c>
    </row>
    <row r="25" spans="1:29" s="16" customFormat="1">
      <c r="A25" s="987">
        <f>Rezone!J25</f>
        <v>23</v>
      </c>
      <c r="B25" s="589">
        <f>Imps!L25</f>
        <v>43692.916666666613</v>
      </c>
      <c r="C25" s="152">
        <f ca="1">$C24+$W24+Military!BE25 - IF(race="Demon",Military!G24*2,0)</f>
        <v>3945</v>
      </c>
      <c r="D25" s="26">
        <f ca="1">Military!B25</f>
        <v>5295</v>
      </c>
      <c r="E25" s="26">
        <f ca="1">Military!Z25</f>
        <v>3695</v>
      </c>
      <c r="F25" s="26">
        <f t="shared" ca="1" si="2"/>
        <v>9240</v>
      </c>
      <c r="G25" s="27">
        <f t="shared" ca="1" si="3"/>
        <v>0.57305194805194803</v>
      </c>
      <c r="H25" s="594">
        <f t="shared" ca="1" si="4"/>
        <v>3945</v>
      </c>
      <c r="I25" s="165">
        <f t="shared" ca="1" si="5"/>
        <v>1</v>
      </c>
      <c r="J25" s="676">
        <f>SUM(Construction!AY25:BH25,Construction!BJ25:BP25,Construction!BW25:CF25,Construction!CH25:CN25)*building_employment</f>
        <v>7600</v>
      </c>
      <c r="K25" s="635"/>
      <c r="L25" s="56">
        <f ca="1">Military!$Z25</f>
        <v>3695</v>
      </c>
      <c r="M25" s="26">
        <f>Military!E25</f>
        <v>0</v>
      </c>
      <c r="N25" s="26">
        <f>Military!F25</f>
        <v>0</v>
      </c>
      <c r="O25" s="26">
        <f>Military!G25</f>
        <v>0</v>
      </c>
      <c r="P25" s="26">
        <f>Military!H25</f>
        <v>0</v>
      </c>
      <c r="Q25" s="26">
        <f>Military!I25</f>
        <v>0</v>
      </c>
      <c r="R25" s="26">
        <f>Military!J25</f>
        <v>0</v>
      </c>
      <c r="S25" s="57">
        <f>Military!K25</f>
        <v>0</v>
      </c>
      <c r="T25" s="52"/>
      <c r="U25" s="56">
        <f ca="1">ROUND($V25*(1+$AC25),0)+MIN(D25-E25-SUM(Military!AF25:AL25),barracks_size*Construction!BI25)</f>
        <v>9240</v>
      </c>
      <c r="V25" s="166">
        <f>(Construction!AX25+Construction!BV25)*pop_in_home+(SUM(Construction!AY25:BP25)+Construction!C25-Construction!BI25)*pop_in_building+(SUM(Construction!F25:L25)-Explore!S25*20)*pop_on_barren-(SUM(Construction!N25:AF25)-SUM(Construction!BW25:CN25))*(15-pop_on_barren)-pop_on_barren*Construction!BV25</f>
        <v>8800</v>
      </c>
      <c r="W25" s="152">
        <f t="shared" ca="1" si="6"/>
        <v>0</v>
      </c>
      <c r="X25" s="26">
        <f t="shared" ca="1" si="0"/>
        <v>118</v>
      </c>
      <c r="Y25" s="164">
        <f t="shared" ca="1" si="1"/>
        <v>118.35</v>
      </c>
      <c r="Z25" s="57">
        <f ca="1">IF(G25&lt;Military!Y25, ROUND($C25*IF(Magic!AW25=0,Constants!$B$51,Constants!$B$51*2),0), 0)</f>
        <v>0</v>
      </c>
      <c r="AA25" s="63"/>
      <c r="AB25" s="169">
        <f ca="1">Overview!$O$16 + IF(Magic!AK25&gt;0,Constants!$F$75) + ROUND(6*(Construction!BL26+Construction!CJ25)/IF(Explore!S26&gt;0,Construction!E26-20,Construction!E26),4)</f>
        <v>0</v>
      </c>
      <c r="AC25" s="540">
        <f ca="1">(Overview!$O$15 + Imps!Z25+MAX(Constants!$M$38*Techs!AE25,Constants!$M$50*Techs!AQ25)) * (1 + Production!O25/100*prestige_pop_multiplier) + Production!O25/100*prestige_pop_multiplier</f>
        <v>0.05</v>
      </c>
    </row>
    <row r="26" spans="1:29" s="170" customFormat="1" ht="13.5" thickBot="1">
      <c r="A26" s="986">
        <f>Rezone!J26</f>
        <v>24</v>
      </c>
      <c r="B26" s="589">
        <f>Imps!L26</f>
        <v>43692.958333333278</v>
      </c>
      <c r="C26" s="152">
        <f ca="1">$C25+$W25+Military!BE26 - IF(race="Demon",Military!G25*2,0)</f>
        <v>3945</v>
      </c>
      <c r="D26" s="164">
        <f ca="1">Military!B26</f>
        <v>5295</v>
      </c>
      <c r="E26" s="164">
        <f ca="1">Military!Z26</f>
        <v>3695</v>
      </c>
      <c r="F26" s="164">
        <f t="shared" ca="1" si="2"/>
        <v>9240</v>
      </c>
      <c r="G26" s="165">
        <f t="shared" ca="1" si="3"/>
        <v>0.57305194805194803</v>
      </c>
      <c r="H26" s="593">
        <f t="shared" ca="1" si="4"/>
        <v>3945</v>
      </c>
      <c r="I26" s="165">
        <f t="shared" ca="1" si="5"/>
        <v>1</v>
      </c>
      <c r="J26" s="676">
        <f>SUM(Construction!AY26:BH26,Construction!BJ26:BP26,Construction!BW26:CF26,Construction!CH26:CN26)*building_employment</f>
        <v>7600</v>
      </c>
      <c r="K26" s="634"/>
      <c r="L26" s="152">
        <f ca="1">Military!$Z26</f>
        <v>3695</v>
      </c>
      <c r="M26" s="164">
        <f>Military!E26</f>
        <v>0</v>
      </c>
      <c r="N26" s="164">
        <f>Military!F26</f>
        <v>0</v>
      </c>
      <c r="O26" s="164">
        <f>Military!G26</f>
        <v>0</v>
      </c>
      <c r="P26" s="164">
        <f>Military!H26</f>
        <v>0</v>
      </c>
      <c r="Q26" s="164">
        <f>Military!I26</f>
        <v>0</v>
      </c>
      <c r="R26" s="164">
        <f>Military!J26</f>
        <v>0</v>
      </c>
      <c r="S26" s="166">
        <f>Military!K26</f>
        <v>0</v>
      </c>
      <c r="T26" s="156"/>
      <c r="U26" s="152">
        <f ca="1">ROUND($V26*(1+$AC26),0)+MIN(D26-E26-SUM(Military!AF26:AL26),barracks_size*Construction!BI26)</f>
        <v>9240</v>
      </c>
      <c r="V26" s="166">
        <f>(Construction!AX26+Construction!BV26)*pop_in_home+(SUM(Construction!AY26:BP26)+Construction!C26-Construction!BI26)*pop_in_building+(SUM(Construction!F26:L26)-Explore!S26*20)*pop_on_barren-(SUM(Construction!N26:AF26)-SUM(Construction!BW26:CN26))*(15-pop_on_barren)-pop_on_barren*Construction!BV26</f>
        <v>8800</v>
      </c>
      <c r="W26" s="152">
        <f t="shared" ca="1" si="6"/>
        <v>0</v>
      </c>
      <c r="X26" s="164">
        <f t="shared" ca="1" si="0"/>
        <v>118</v>
      </c>
      <c r="Y26" s="164">
        <f t="shared" ca="1" si="1"/>
        <v>118.35</v>
      </c>
      <c r="Z26" s="166">
        <f ca="1">IF(G26&lt;Military!Y26, ROUND($C26*IF(Magic!AW26=0,Constants!$B$51,Constants!$B$51*2),0), 0)</f>
        <v>0</v>
      </c>
      <c r="AA26" s="159"/>
      <c r="AB26" s="169">
        <f ca="1">Overview!$O$16 + IF(Magic!AK26&gt;0,Constants!$F$75) + ROUND(6*(Construction!BL27+Construction!CJ26)/IF(Explore!S27&gt;0,Construction!E27-20,Construction!E27),4)</f>
        <v>0</v>
      </c>
      <c r="AC26" s="540">
        <f ca="1">(Overview!$O$15 + Imps!Z26+MAX(Constants!$M$38*Techs!AE26,Constants!$M$50*Techs!AQ26)) * (1 + Production!O26/100*prestige_pop_multiplier) + Production!O26/100*prestige_pop_multiplier</f>
        <v>0.05</v>
      </c>
    </row>
    <row r="27" spans="1:29" s="1210" customFormat="1" ht="14.25" thickTop="1" thickBot="1">
      <c r="A27" s="1197">
        <f>Rezone!J27</f>
        <v>25</v>
      </c>
      <c r="B27" s="1198">
        <f>Imps!L27</f>
        <v>43692.999999999942</v>
      </c>
      <c r="C27" s="1199">
        <f ca="1">$C26+$W26+Military!BE27 - IF(race="Demon",Military!G26*2,0)</f>
        <v>3945</v>
      </c>
      <c r="D27" s="1200">
        <f ca="1">Military!B27</f>
        <v>5295</v>
      </c>
      <c r="E27" s="1200">
        <f ca="1">Military!Z27</f>
        <v>3695</v>
      </c>
      <c r="F27" s="1200">
        <f ca="1">C27+D27</f>
        <v>9240</v>
      </c>
      <c r="G27" s="1201">
        <f t="shared" ca="1" si="3"/>
        <v>0.57305194805194803</v>
      </c>
      <c r="H27" s="1202">
        <f t="shared" ca="1" si="4"/>
        <v>3945</v>
      </c>
      <c r="I27" s="1201">
        <f t="shared" ca="1" si="5"/>
        <v>1</v>
      </c>
      <c r="J27" s="1203">
        <f>SUM(Construction!AY27:BH27,Construction!BJ27:BP27,Construction!BW27:CF27,Construction!CH27:CN27)*building_employment</f>
        <v>7600</v>
      </c>
      <c r="K27" s="1204"/>
      <c r="L27" s="1199">
        <f ca="1">Military!$Z27</f>
        <v>3695</v>
      </c>
      <c r="M27" s="1200">
        <f>Military!E27</f>
        <v>0</v>
      </c>
      <c r="N27" s="1200">
        <f>Military!F27</f>
        <v>0</v>
      </c>
      <c r="O27" s="1200">
        <f>Military!G27</f>
        <v>1000</v>
      </c>
      <c r="P27" s="1200">
        <f>Military!H27</f>
        <v>400</v>
      </c>
      <c r="Q27" s="1200">
        <f>Military!I27</f>
        <v>100</v>
      </c>
      <c r="R27" s="1200">
        <f>Military!J27</f>
        <v>100</v>
      </c>
      <c r="S27" s="1205">
        <f>Military!K27</f>
        <v>0</v>
      </c>
      <c r="T27" s="1206"/>
      <c r="U27" s="1199">
        <f ca="1">ROUND($V27*(1+$AC27),0)+MIN(D27-E27-SUM(Military!AF27:AL27),barracks_size*Construction!BI27)</f>
        <v>9240</v>
      </c>
      <c r="V27" s="1205">
        <f>(Construction!AX27+Construction!BV27)*pop_in_home+(SUM(Construction!AY27:BP27)+Construction!C27-Construction!BI27)*pop_in_building+(SUM(Construction!F27:L27)-Explore!S27*20)*pop_on_barren-(SUM(Construction!N27:AF27)-SUM(Construction!BW27:CN27))*(15-pop_on_barren)-pop_on_barren*Construction!BV27</f>
        <v>8800</v>
      </c>
      <c r="W27" s="1199">
        <f t="shared" ca="1" si="6"/>
        <v>0</v>
      </c>
      <c r="X27" s="1200">
        <f t="shared" ca="1" si="0"/>
        <v>118</v>
      </c>
      <c r="Y27" s="1200">
        <f t="shared" ca="1" si="1"/>
        <v>118.35</v>
      </c>
      <c r="Z27" s="1205">
        <f ca="1">IF(G27&lt;Military!Y27, ROUND($C27*IF(Magic!AW27=0,Constants!$B$51,Constants!$B$51*2),0), 0)</f>
        <v>0</v>
      </c>
      <c r="AA27" s="1207"/>
      <c r="AB27" s="1208">
        <f ca="1">Overview!$O$16 + IF(Magic!AK27&gt;0,Constants!$F$75) + ROUND(6*(Construction!BL28+Construction!CJ27)/IF(Explore!S28&gt;0,Construction!E28-20,Construction!E28),4)</f>
        <v>0</v>
      </c>
      <c r="AC27" s="1209">
        <f ca="1">(Overview!$O$15 + Imps!Z27+MAX(Constants!$M$38*Techs!AE27,Constants!$M$50*Techs!AQ27)) * (1 + Production!O27/100*prestige_pop_multiplier) + Production!O27/100*prestige_pop_multiplier</f>
        <v>0.05</v>
      </c>
    </row>
    <row r="28" spans="1:29" s="170" customFormat="1" ht="13.5" thickTop="1">
      <c r="A28" s="986">
        <f>Rezone!J28</f>
        <v>26</v>
      </c>
      <c r="B28" s="589">
        <f>Imps!L28</f>
        <v>43693.041666666606</v>
      </c>
      <c r="C28" s="152">
        <f ca="1">$C27+$W27+Military!BE28 - IF(race="Demon",Military!G27*2,0)</f>
        <v>3945</v>
      </c>
      <c r="D28" s="164">
        <f ca="1">Military!B28</f>
        <v>5295</v>
      </c>
      <c r="E28" s="164">
        <f ca="1">Military!Z28</f>
        <v>3695</v>
      </c>
      <c r="F28" s="164">
        <f t="shared" ca="1" si="2"/>
        <v>9240</v>
      </c>
      <c r="G28" s="165">
        <f t="shared" ca="1" si="3"/>
        <v>0.57305194805194803</v>
      </c>
      <c r="H28" s="593">
        <f t="shared" ca="1" si="4"/>
        <v>3945</v>
      </c>
      <c r="I28" s="165">
        <f t="shared" ca="1" si="5"/>
        <v>1</v>
      </c>
      <c r="J28" s="676">
        <f>SUM(Construction!AY28:BH28,Construction!BJ28:BP28,Construction!BW28:CF28,Construction!CH28:CN28)*building_employment</f>
        <v>7600</v>
      </c>
      <c r="K28" s="634"/>
      <c r="L28" s="152">
        <f ca="1">Military!$Z28</f>
        <v>3695</v>
      </c>
      <c r="M28" s="164">
        <f>Military!E28</f>
        <v>0</v>
      </c>
      <c r="N28" s="164">
        <f>Military!F28</f>
        <v>0</v>
      </c>
      <c r="O28" s="164">
        <f>Military!G28</f>
        <v>1000</v>
      </c>
      <c r="P28" s="164">
        <f>Military!H28</f>
        <v>400</v>
      </c>
      <c r="Q28" s="164">
        <f>Military!I28</f>
        <v>100</v>
      </c>
      <c r="R28" s="164">
        <f>Military!J28</f>
        <v>100</v>
      </c>
      <c r="S28" s="166">
        <f>Military!K28</f>
        <v>0</v>
      </c>
      <c r="T28" s="156"/>
      <c r="U28" s="152">
        <f ca="1">ROUND($V28*(1+$AC28),0)+MIN(D28-E28-SUM(Military!AF28:AL28),barracks_size*Construction!BI28)</f>
        <v>9240</v>
      </c>
      <c r="V28" s="166">
        <f>(Construction!AX28+Construction!BV28)*pop_in_home+(SUM(Construction!AY28:BP28)+Construction!C28-Construction!BI28)*pop_in_building+(SUM(Construction!F28:L28)-Explore!S28*20)*pop_on_barren-(SUM(Construction!N28:AF28)-SUM(Construction!BW28:CN28))*(15-pop_on_barren)-pop_on_barren*Construction!BV28</f>
        <v>8800</v>
      </c>
      <c r="W28" s="152">
        <f t="shared" ca="1" si="6"/>
        <v>0</v>
      </c>
      <c r="X28" s="164">
        <f t="shared" ca="1" si="0"/>
        <v>118</v>
      </c>
      <c r="Y28" s="164">
        <f t="shared" ca="1" si="1"/>
        <v>118.35</v>
      </c>
      <c r="Z28" s="166">
        <f ca="1">IF(G28&lt;Military!Y28, ROUND($C28*IF(Magic!AW28=0,Constants!$B$51,Constants!$B$51*2),0), 0)</f>
        <v>0</v>
      </c>
      <c r="AA28" s="159"/>
      <c r="AB28" s="169">
        <f ca="1">Overview!$O$16 + IF(Magic!AK28&gt;0,Constants!$F$75) + ROUND(6*(Construction!BL29+Construction!CJ28)/IF(Explore!S29&gt;0,Construction!E29-20,Construction!E29),4)</f>
        <v>0</v>
      </c>
      <c r="AC28" s="540">
        <f ca="1">(Overview!$O$15 + Imps!Z28+MAX(Constants!$M$38*Techs!AE28,Constants!$M$50*Techs!AQ28)) * (1 + Production!O28/100*prestige_pop_multiplier) + Production!O28/100*prestige_pop_multiplier</f>
        <v>0.05</v>
      </c>
    </row>
    <row r="29" spans="1:29" s="170" customFormat="1">
      <c r="A29" s="986">
        <f>Rezone!J29</f>
        <v>27</v>
      </c>
      <c r="B29" s="589">
        <f>Imps!L29</f>
        <v>43693.08333333327</v>
      </c>
      <c r="C29" s="152">
        <f ca="1">$C28+$W28+Military!BE29 - IF(race="Demon",Military!G28*2,0)</f>
        <v>3945</v>
      </c>
      <c r="D29" s="164">
        <f ca="1">Military!B29</f>
        <v>5295</v>
      </c>
      <c r="E29" s="164">
        <f ca="1">Military!Z29</f>
        <v>3695</v>
      </c>
      <c r="F29" s="164">
        <f t="shared" ca="1" si="2"/>
        <v>9240</v>
      </c>
      <c r="G29" s="165">
        <f t="shared" ca="1" si="3"/>
        <v>0.57305194805194803</v>
      </c>
      <c r="H29" s="593">
        <f t="shared" ca="1" si="4"/>
        <v>3945</v>
      </c>
      <c r="I29" s="165">
        <f t="shared" ca="1" si="5"/>
        <v>1</v>
      </c>
      <c r="J29" s="676">
        <f>SUM(Construction!AY29:BH29,Construction!BJ29:BP29,Construction!BW29:CF29,Construction!CH29:CN29)*building_employment</f>
        <v>7600</v>
      </c>
      <c r="K29" s="634"/>
      <c r="L29" s="152">
        <f ca="1">Military!$Z29</f>
        <v>3695</v>
      </c>
      <c r="M29" s="164">
        <f>Military!E29</f>
        <v>0</v>
      </c>
      <c r="N29" s="164">
        <f>Military!F29</f>
        <v>0</v>
      </c>
      <c r="O29" s="164">
        <f>Military!G29</f>
        <v>1000</v>
      </c>
      <c r="P29" s="164">
        <f>Military!H29</f>
        <v>400</v>
      </c>
      <c r="Q29" s="164">
        <f>Military!I29</f>
        <v>100</v>
      </c>
      <c r="R29" s="164">
        <f>Military!J29</f>
        <v>100</v>
      </c>
      <c r="S29" s="166">
        <f>Military!K29</f>
        <v>0</v>
      </c>
      <c r="T29" s="156"/>
      <c r="U29" s="152">
        <f ca="1">ROUND($V29*(1+$AC29),0)+MIN(D29-E29-SUM(Military!AF29:AL29),barracks_size*Construction!BI29)</f>
        <v>9240</v>
      </c>
      <c r="V29" s="166">
        <f>(Construction!AX29+Construction!BV29)*pop_in_home+(SUM(Construction!AY29:BP29)+Construction!C29-Construction!BI29)*pop_in_building+(SUM(Construction!F29:L29)-Explore!S29*20)*pop_on_barren-(SUM(Construction!N29:AF29)-SUM(Construction!BW29:CN29))*(15-pop_on_barren)-pop_on_barren*Construction!BV29</f>
        <v>8800</v>
      </c>
      <c r="W29" s="152">
        <f t="shared" ca="1" si="6"/>
        <v>0</v>
      </c>
      <c r="X29" s="164">
        <f t="shared" ca="1" si="0"/>
        <v>118</v>
      </c>
      <c r="Y29" s="164">
        <f t="shared" ca="1" si="1"/>
        <v>118.35</v>
      </c>
      <c r="Z29" s="166">
        <f ca="1">IF(G29&lt;Military!Y29, ROUND($C29*IF(Magic!AW29=0,Constants!$B$51,Constants!$B$51*2),0), 0)</f>
        <v>0</v>
      </c>
      <c r="AA29" s="159"/>
      <c r="AB29" s="169">
        <f ca="1">Overview!$O$16 + IF(Magic!AK29&gt;0,Constants!$F$75) + ROUND(6*(Construction!BL30+Construction!CJ29)/IF(Explore!S30&gt;0,Construction!E30-20,Construction!E30),4)</f>
        <v>0</v>
      </c>
      <c r="AC29" s="540">
        <f ca="1">(Overview!$O$15 + Imps!Z29+MAX(Constants!$M$38*Techs!AE29,Constants!$M$50*Techs!AQ29)) * (1 + Production!O29/100*prestige_pop_multiplier) + Production!O29/100*prestige_pop_multiplier</f>
        <v>0.05</v>
      </c>
    </row>
    <row r="30" spans="1:29" s="16" customFormat="1">
      <c r="A30" s="987">
        <f>Rezone!J30</f>
        <v>28</v>
      </c>
      <c r="B30" s="589">
        <f>Imps!L30</f>
        <v>43693.124999999935</v>
      </c>
      <c r="C30" s="152">
        <f ca="1">$C29+$W29+Military!BE30 - IF(race="Demon",Military!G29*2,0)</f>
        <v>3945</v>
      </c>
      <c r="D30" s="26">
        <f ca="1">Military!B30</f>
        <v>5295</v>
      </c>
      <c r="E30" s="26">
        <f ca="1">Military!Z30</f>
        <v>3695</v>
      </c>
      <c r="F30" s="26">
        <f t="shared" ca="1" si="2"/>
        <v>9240</v>
      </c>
      <c r="G30" s="27">
        <f t="shared" ca="1" si="3"/>
        <v>0.57305194805194803</v>
      </c>
      <c r="H30" s="594">
        <f t="shared" ca="1" si="4"/>
        <v>3945</v>
      </c>
      <c r="I30" s="165">
        <f t="shared" ca="1" si="5"/>
        <v>1</v>
      </c>
      <c r="J30" s="676">
        <f>SUM(Construction!AY30:BH30,Construction!BJ30:BP30,Construction!BW30:CF30,Construction!CH30:CN30)*building_employment</f>
        <v>7600</v>
      </c>
      <c r="K30" s="635"/>
      <c r="L30" s="56">
        <f ca="1">Military!$Z30</f>
        <v>3695</v>
      </c>
      <c r="M30" s="26">
        <f>Military!E30</f>
        <v>0</v>
      </c>
      <c r="N30" s="26">
        <f>Military!F30</f>
        <v>0</v>
      </c>
      <c r="O30" s="26">
        <f>Military!G30</f>
        <v>1000</v>
      </c>
      <c r="P30" s="26">
        <f>Military!H30</f>
        <v>400</v>
      </c>
      <c r="Q30" s="26">
        <f>Military!I30</f>
        <v>100</v>
      </c>
      <c r="R30" s="26">
        <f>Military!J30</f>
        <v>100</v>
      </c>
      <c r="S30" s="57">
        <f>Military!K30</f>
        <v>0</v>
      </c>
      <c r="T30" s="52"/>
      <c r="U30" s="56">
        <f ca="1">ROUND($V30*(1+$AC30),0)+MIN(D30-E30-SUM(Military!AF30:AL30),barracks_size*Construction!BI30)</f>
        <v>9240</v>
      </c>
      <c r="V30" s="166">
        <f>(Construction!AX30+Construction!BV30)*pop_in_home+(SUM(Construction!AY30:BP30)+Construction!C30-Construction!BI30)*pop_in_building+(SUM(Construction!F30:L30)-Explore!S30*20)*pop_on_barren-(SUM(Construction!N30:AF30)-SUM(Construction!BW30:CN30))*(15-pop_on_barren)-pop_on_barren*Construction!BV30</f>
        <v>8800</v>
      </c>
      <c r="W30" s="152">
        <f t="shared" ca="1" si="6"/>
        <v>0</v>
      </c>
      <c r="X30" s="26">
        <f t="shared" ca="1" si="0"/>
        <v>118</v>
      </c>
      <c r="Y30" s="164">
        <f t="shared" ca="1" si="1"/>
        <v>118.35</v>
      </c>
      <c r="Z30" s="57">
        <f ca="1">IF(G30&lt;Military!Y30, ROUND($C30*IF(Magic!AW30=0,Constants!$B$51,Constants!$B$51*2),0), 0)</f>
        <v>0</v>
      </c>
      <c r="AA30" s="63"/>
      <c r="AB30" s="169">
        <f ca="1">Overview!$O$16 + IF(Magic!AK30&gt;0,Constants!$F$75) + ROUND(6*(Construction!BL31+Construction!CJ30)/IF(Explore!S31&gt;0,Construction!E31-20,Construction!E31),4)</f>
        <v>0</v>
      </c>
      <c r="AC30" s="540">
        <f ca="1">(Overview!$O$15 + Imps!Z30+MAX(Constants!$M$38*Techs!AE30,Constants!$M$50*Techs!AQ30)) * (1 + Production!O30/100*prestige_pop_multiplier) + Production!O30/100*prestige_pop_multiplier</f>
        <v>0.05</v>
      </c>
    </row>
    <row r="31" spans="1:29" s="16" customFormat="1">
      <c r="A31" s="987">
        <f>Rezone!J31</f>
        <v>29</v>
      </c>
      <c r="B31" s="589">
        <f>Imps!L31</f>
        <v>43693.166666666599</v>
      </c>
      <c r="C31" s="152">
        <f ca="1">$C30+$W30+Military!BE31 - IF(race="Demon",Military!G30*2,0)</f>
        <v>3945</v>
      </c>
      <c r="D31" s="26">
        <f ca="1">Military!B31</f>
        <v>5295</v>
      </c>
      <c r="E31" s="26">
        <f ca="1">Military!Z31</f>
        <v>3695</v>
      </c>
      <c r="F31" s="26">
        <f t="shared" ca="1" si="2"/>
        <v>9240</v>
      </c>
      <c r="G31" s="27">
        <f t="shared" ca="1" si="3"/>
        <v>0.57305194805194803</v>
      </c>
      <c r="H31" s="594">
        <f t="shared" ca="1" si="4"/>
        <v>3945</v>
      </c>
      <c r="I31" s="165">
        <f t="shared" ca="1" si="5"/>
        <v>1</v>
      </c>
      <c r="J31" s="676">
        <f>SUM(Construction!AY31:BH31,Construction!BJ31:BP31,Construction!BW31:CF31,Construction!CH31:CN31)*building_employment</f>
        <v>7600</v>
      </c>
      <c r="K31" s="635"/>
      <c r="L31" s="56">
        <f ca="1">Military!$Z31</f>
        <v>3695</v>
      </c>
      <c r="M31" s="26">
        <f>Military!E31</f>
        <v>0</v>
      </c>
      <c r="N31" s="26">
        <f>Military!F31</f>
        <v>0</v>
      </c>
      <c r="O31" s="26">
        <f>Military!G31</f>
        <v>1000</v>
      </c>
      <c r="P31" s="26">
        <f>Military!H31</f>
        <v>400</v>
      </c>
      <c r="Q31" s="26">
        <f>Military!I31</f>
        <v>100</v>
      </c>
      <c r="R31" s="26">
        <f>Military!J31</f>
        <v>100</v>
      </c>
      <c r="S31" s="57">
        <f>Military!K31</f>
        <v>0</v>
      </c>
      <c r="T31" s="52"/>
      <c r="U31" s="56">
        <f ca="1">ROUND($V31*(1+$AC31),0)+MIN(D31-E31-SUM(Military!AF31:AL31),barracks_size*Construction!BI31)</f>
        <v>9240</v>
      </c>
      <c r="V31" s="166">
        <f>(Construction!AX31+Construction!BV31)*pop_in_home+(SUM(Construction!AY31:BP31)+Construction!C31-Construction!BI31)*pop_in_building+(SUM(Construction!F31:L31)-Explore!S31*20)*pop_on_barren-(SUM(Construction!N31:AF31)-SUM(Construction!BW31:CN31))*(15-pop_on_barren)-pop_on_barren*Construction!BV31</f>
        <v>8800</v>
      </c>
      <c r="W31" s="152">
        <f t="shared" ca="1" si="6"/>
        <v>0</v>
      </c>
      <c r="X31" s="26">
        <f t="shared" ca="1" si="0"/>
        <v>118</v>
      </c>
      <c r="Y31" s="164">
        <f t="shared" ca="1" si="1"/>
        <v>118.35</v>
      </c>
      <c r="Z31" s="57">
        <f ca="1">IF(G31&lt;Military!Y31, ROUND($C31*IF(Magic!AW31=0,Constants!$B$51,Constants!$B$51*2),0), 0)</f>
        <v>0</v>
      </c>
      <c r="AA31" s="63"/>
      <c r="AB31" s="169">
        <f ca="1">Overview!$O$16 + IF(Magic!AK31&gt;0,Constants!$F$75) + ROUND(6*(Construction!BL32+Construction!CJ31)/IF(Explore!S32&gt;0,Construction!E32-20,Construction!E32),4)</f>
        <v>0</v>
      </c>
      <c r="AC31" s="540">
        <f ca="1">(Overview!$O$15 + Imps!Z31+MAX(Constants!$M$38*Techs!AE31,Constants!$M$50*Techs!AQ31)) * (1 + Production!O31/100*prestige_pop_multiplier) + Production!O31/100*prestige_pop_multiplier</f>
        <v>0.05</v>
      </c>
    </row>
    <row r="32" spans="1:29" s="16" customFormat="1">
      <c r="A32" s="987">
        <f>Rezone!J32</f>
        <v>30</v>
      </c>
      <c r="B32" s="589">
        <f>Imps!L32</f>
        <v>43693.208333333263</v>
      </c>
      <c r="C32" s="152">
        <f ca="1">$C31+$W31+Military!BE32 - IF(race="Demon",Military!G31*2,0)</f>
        <v>3945</v>
      </c>
      <c r="D32" s="26">
        <f ca="1">Military!B32</f>
        <v>5295</v>
      </c>
      <c r="E32" s="26">
        <f ca="1">Military!Z32</f>
        <v>3695</v>
      </c>
      <c r="F32" s="26">
        <f t="shared" ca="1" si="2"/>
        <v>9240</v>
      </c>
      <c r="G32" s="27">
        <f t="shared" ca="1" si="3"/>
        <v>0.57305194805194803</v>
      </c>
      <c r="H32" s="594">
        <f t="shared" ca="1" si="4"/>
        <v>3945</v>
      </c>
      <c r="I32" s="165">
        <f t="shared" ca="1" si="5"/>
        <v>1</v>
      </c>
      <c r="J32" s="676">
        <f>SUM(Construction!AY32:BH32,Construction!BJ32:BP32,Construction!BW32:CF32,Construction!CH32:CN32)*building_employment</f>
        <v>7600</v>
      </c>
      <c r="K32" s="635"/>
      <c r="L32" s="56">
        <f ca="1">Military!$Z32</f>
        <v>3695</v>
      </c>
      <c r="M32" s="26">
        <f>Military!E32</f>
        <v>0</v>
      </c>
      <c r="N32" s="26">
        <f>Military!F32</f>
        <v>0</v>
      </c>
      <c r="O32" s="26">
        <f>Military!G32</f>
        <v>1000</v>
      </c>
      <c r="P32" s="26">
        <f>Military!H32</f>
        <v>400</v>
      </c>
      <c r="Q32" s="26">
        <f>Military!I32</f>
        <v>100</v>
      </c>
      <c r="R32" s="26">
        <f>Military!J32</f>
        <v>100</v>
      </c>
      <c r="S32" s="57">
        <f>Military!K32</f>
        <v>0</v>
      </c>
      <c r="T32" s="52"/>
      <c r="U32" s="56">
        <f ca="1">ROUND($V32*(1+$AC32),0)+MIN(D32-E32-SUM(Military!AF32:AL32),barracks_size*Construction!BI32)</f>
        <v>9240</v>
      </c>
      <c r="V32" s="166">
        <f>(Construction!AX32+Construction!BV32)*pop_in_home+(SUM(Construction!AY32:BP32)+Construction!C32-Construction!BI32)*pop_in_building+(SUM(Construction!F32:L32)-Explore!S32*20)*pop_on_barren-(SUM(Construction!N32:AF32)-SUM(Construction!BW32:CN32))*(15-pop_on_barren)-pop_on_barren*Construction!BV32</f>
        <v>8800</v>
      </c>
      <c r="W32" s="152">
        <f t="shared" ca="1" si="6"/>
        <v>0</v>
      </c>
      <c r="X32" s="26">
        <f t="shared" ca="1" si="0"/>
        <v>118</v>
      </c>
      <c r="Y32" s="164">
        <f t="shared" ca="1" si="1"/>
        <v>118.35</v>
      </c>
      <c r="Z32" s="57">
        <f ca="1">IF(G32&lt;Military!Y32, ROUND($C32*IF(Magic!AW32=0,Constants!$B$51,Constants!$B$51*2),0), 0)</f>
        <v>0</v>
      </c>
      <c r="AA32" s="63"/>
      <c r="AB32" s="169">
        <f ca="1">Overview!$O$16 + IF(Magic!AK32&gt;0,Constants!$F$75) + ROUND(6*(Construction!BL33+Construction!CJ32)/IF(Explore!S33&gt;0,Construction!E33-20,Construction!E33),4)</f>
        <v>0</v>
      </c>
      <c r="AC32" s="540">
        <f ca="1">(Overview!$O$15 + Imps!Z32+MAX(Constants!$M$38*Techs!AE32,Constants!$M$50*Techs!AQ32)) * (1 + Production!O32/100*prestige_pop_multiplier) + Production!O32/100*prestige_pop_multiplier</f>
        <v>0.05</v>
      </c>
    </row>
    <row r="33" spans="1:29" s="16" customFormat="1">
      <c r="A33" s="987">
        <f>Rezone!J33</f>
        <v>31</v>
      </c>
      <c r="B33" s="589">
        <f>Imps!L33</f>
        <v>43693.249999999927</v>
      </c>
      <c r="C33" s="152">
        <f ca="1">$C32+$W32+Military!BE33 - IF(race="Demon",Military!G32*2,0)</f>
        <v>3945</v>
      </c>
      <c r="D33" s="26">
        <f ca="1">Military!B33</f>
        <v>5295</v>
      </c>
      <c r="E33" s="26">
        <f ca="1">Military!Z33</f>
        <v>3695</v>
      </c>
      <c r="F33" s="26">
        <f t="shared" ca="1" si="2"/>
        <v>9240</v>
      </c>
      <c r="G33" s="27">
        <f t="shared" ca="1" si="3"/>
        <v>0.57305194805194803</v>
      </c>
      <c r="H33" s="594">
        <f t="shared" ca="1" si="4"/>
        <v>3945</v>
      </c>
      <c r="I33" s="165">
        <f t="shared" ca="1" si="5"/>
        <v>1</v>
      </c>
      <c r="J33" s="676">
        <f>SUM(Construction!AY33:BH33,Construction!BJ33:BP33,Construction!BW33:CF33,Construction!CH33:CN33)*building_employment</f>
        <v>7600</v>
      </c>
      <c r="K33" s="635"/>
      <c r="L33" s="56">
        <f ca="1">Military!$Z33</f>
        <v>3695</v>
      </c>
      <c r="M33" s="26">
        <f>Military!E33</f>
        <v>0</v>
      </c>
      <c r="N33" s="26">
        <f>Military!F33</f>
        <v>0</v>
      </c>
      <c r="O33" s="26">
        <f>Military!G33</f>
        <v>1000</v>
      </c>
      <c r="P33" s="26">
        <f>Military!H33</f>
        <v>400</v>
      </c>
      <c r="Q33" s="26">
        <f>Military!I33</f>
        <v>100</v>
      </c>
      <c r="R33" s="26">
        <f>Military!J33</f>
        <v>100</v>
      </c>
      <c r="S33" s="57">
        <f>Military!K33</f>
        <v>0</v>
      </c>
      <c r="T33" s="52"/>
      <c r="U33" s="56">
        <f ca="1">ROUND($V33*(1+$AC33),0)+MIN(D33-E33-SUM(Military!AF33:AL33),barracks_size*Construction!BI33)</f>
        <v>9240</v>
      </c>
      <c r="V33" s="166">
        <f>(Construction!AX33+Construction!BV33)*pop_in_home+(SUM(Construction!AY33:BP33)+Construction!C33-Construction!BI33)*pop_in_building+(SUM(Construction!F33:L33)-Explore!S33*20)*pop_on_barren-(SUM(Construction!N33:AF33)-SUM(Construction!BW33:CN33))*(15-pop_on_barren)-pop_on_barren*Construction!BV33</f>
        <v>8800</v>
      </c>
      <c r="W33" s="152">
        <f t="shared" ca="1" si="6"/>
        <v>0</v>
      </c>
      <c r="X33" s="26">
        <f t="shared" ca="1" si="0"/>
        <v>118</v>
      </c>
      <c r="Y33" s="164">
        <f t="shared" ca="1" si="1"/>
        <v>118.35</v>
      </c>
      <c r="Z33" s="57">
        <f ca="1">IF(G33&lt;Military!Y33, ROUND($C33*IF(Magic!AW33=0,Constants!$B$51,Constants!$B$51*2),0), 0)</f>
        <v>0</v>
      </c>
      <c r="AA33" s="63"/>
      <c r="AB33" s="169">
        <f ca="1">Overview!$O$16 + IF(Magic!AK33&gt;0,Constants!$F$75) + ROUND(6*(Construction!BL34+Construction!CJ33)/IF(Explore!S34&gt;0,Construction!E34-20,Construction!E34),4)</f>
        <v>0</v>
      </c>
      <c r="AC33" s="540">
        <f ca="1">(Overview!$O$15 + Imps!Z33+MAX(Constants!$M$38*Techs!AE33,Constants!$M$50*Techs!AQ33)) * (1 + Production!O33/100*prestige_pop_multiplier) + Production!O33/100*prestige_pop_multiplier</f>
        <v>0.05</v>
      </c>
    </row>
    <row r="34" spans="1:29" s="16" customFormat="1">
      <c r="A34" s="987">
        <f>Rezone!J34</f>
        <v>32</v>
      </c>
      <c r="B34" s="589">
        <f>Imps!L34</f>
        <v>43693.291666666591</v>
      </c>
      <c r="C34" s="152">
        <f ca="1">$C33+$W33+Military!BE34 - IF(race="Demon",Military!G33*2,0)</f>
        <v>3945</v>
      </c>
      <c r="D34" s="26">
        <f ca="1">Military!B34</f>
        <v>5295</v>
      </c>
      <c r="E34" s="26">
        <f ca="1">Military!Z34</f>
        <v>3695</v>
      </c>
      <c r="F34" s="26">
        <f t="shared" ca="1" si="2"/>
        <v>9240</v>
      </c>
      <c r="G34" s="27">
        <f t="shared" ca="1" si="3"/>
        <v>0.57305194805194803</v>
      </c>
      <c r="H34" s="594">
        <f t="shared" ca="1" si="4"/>
        <v>3945</v>
      </c>
      <c r="I34" s="165">
        <f t="shared" ca="1" si="5"/>
        <v>1</v>
      </c>
      <c r="J34" s="676">
        <f>SUM(Construction!AY34:BH34,Construction!BJ34:BP34,Construction!BW34:CF34,Construction!CH34:CN34)*building_employment</f>
        <v>7600</v>
      </c>
      <c r="K34" s="635"/>
      <c r="L34" s="56">
        <f ca="1">Military!$Z34</f>
        <v>3695</v>
      </c>
      <c r="M34" s="26">
        <f>Military!E34</f>
        <v>0</v>
      </c>
      <c r="N34" s="26">
        <f>Military!F34</f>
        <v>0</v>
      </c>
      <c r="O34" s="26">
        <f>Military!G34</f>
        <v>1000</v>
      </c>
      <c r="P34" s="26">
        <f>Military!H34</f>
        <v>400</v>
      </c>
      <c r="Q34" s="26">
        <f>Military!I34</f>
        <v>100</v>
      </c>
      <c r="R34" s="26">
        <f>Military!J34</f>
        <v>100</v>
      </c>
      <c r="S34" s="57">
        <f>Military!K34</f>
        <v>0</v>
      </c>
      <c r="T34" s="52"/>
      <c r="U34" s="56">
        <f ca="1">ROUND($V34*(1+$AC34),0)+MIN(D34-E34-SUM(Military!AF34:AL34),barracks_size*Construction!BI34)</f>
        <v>9240</v>
      </c>
      <c r="V34" s="166">
        <f>(Construction!AX34+Construction!BV34)*pop_in_home+(SUM(Construction!AY34:BP34)+Construction!C34-Construction!BI34)*pop_in_building+(SUM(Construction!F34:L34)-Explore!S34*20)*pop_on_barren-(SUM(Construction!N34:AF34)-SUM(Construction!BW34:CN34))*(15-pop_on_barren)-pop_on_barren*Construction!BV34</f>
        <v>8800</v>
      </c>
      <c r="W34" s="152">
        <f t="shared" ca="1" si="6"/>
        <v>0</v>
      </c>
      <c r="X34" s="26">
        <f t="shared" ca="1" si="0"/>
        <v>118</v>
      </c>
      <c r="Y34" s="164">
        <f t="shared" ca="1" si="1"/>
        <v>118.35</v>
      </c>
      <c r="Z34" s="57">
        <f ca="1">IF(G34&lt;Military!Y34, ROUND($C34*IF(Magic!AW34=0,Constants!$B$51,Constants!$B$51*2),0), 0)</f>
        <v>0</v>
      </c>
      <c r="AA34" s="63"/>
      <c r="AB34" s="169">
        <f ca="1">Overview!$O$16 + IF(Magic!AK34&gt;0,Constants!$F$75) + ROUND(6*(Construction!BL35+Construction!CJ34)/IF(Explore!S35&gt;0,Construction!E35-20,Construction!E35),4)</f>
        <v>0</v>
      </c>
      <c r="AC34" s="540">
        <f ca="1">(Overview!$O$15 + Imps!Z34+MAX(Constants!$M$38*Techs!AE34,Constants!$M$50*Techs!AQ34)) * (1 + Production!O34/100*prestige_pop_multiplier) + Production!O34/100*prestige_pop_multiplier</f>
        <v>0.05</v>
      </c>
    </row>
    <row r="35" spans="1:29" s="16" customFormat="1">
      <c r="A35" s="987">
        <f>Rezone!J35</f>
        <v>33</v>
      </c>
      <c r="B35" s="589">
        <f>Imps!L35</f>
        <v>43693.333333333256</v>
      </c>
      <c r="C35" s="152">
        <f ca="1">$C34+$W34+Military!BE35 - IF(race="Demon",Military!G34*2,0)</f>
        <v>3945</v>
      </c>
      <c r="D35" s="26">
        <f ca="1">Military!B35</f>
        <v>5295</v>
      </c>
      <c r="E35" s="26">
        <f ca="1">Military!Z35</f>
        <v>3695</v>
      </c>
      <c r="F35" s="26">
        <f t="shared" ca="1" si="2"/>
        <v>9240</v>
      </c>
      <c r="G35" s="27">
        <f t="shared" ca="1" si="3"/>
        <v>0.57305194805194803</v>
      </c>
      <c r="H35" s="594">
        <f t="shared" ca="1" si="4"/>
        <v>3945</v>
      </c>
      <c r="I35" s="165">
        <f t="shared" ca="1" si="5"/>
        <v>1</v>
      </c>
      <c r="J35" s="676">
        <f>SUM(Construction!AY35:BH35,Construction!BJ35:BP35,Construction!BW35:CF35,Construction!CH35:CN35)*building_employment</f>
        <v>7600</v>
      </c>
      <c r="K35" s="635"/>
      <c r="L35" s="56">
        <f ca="1">Military!$Z35</f>
        <v>3695</v>
      </c>
      <c r="M35" s="26">
        <f>Military!E35</f>
        <v>0</v>
      </c>
      <c r="N35" s="26">
        <f>Military!F35</f>
        <v>0</v>
      </c>
      <c r="O35" s="26">
        <f>Military!G35</f>
        <v>1000</v>
      </c>
      <c r="P35" s="26">
        <f>Military!H35</f>
        <v>400</v>
      </c>
      <c r="Q35" s="26">
        <f>Military!I35</f>
        <v>100</v>
      </c>
      <c r="R35" s="26">
        <f>Military!J35</f>
        <v>100</v>
      </c>
      <c r="S35" s="57">
        <f>Military!K35</f>
        <v>0</v>
      </c>
      <c r="T35" s="52"/>
      <c r="U35" s="56">
        <f ca="1">ROUND($V35*(1+$AC35),0)+MIN(D35-E35-SUM(Military!AF35:AL35),barracks_size*Construction!BI35)</f>
        <v>9240</v>
      </c>
      <c r="V35" s="166">
        <f>(Construction!AX35+Construction!BV35)*pop_in_home+(SUM(Construction!AY35:BP35)+Construction!C35-Construction!BI35)*pop_in_building+(SUM(Construction!F35:L35)-Explore!S35*20)*pop_on_barren-(SUM(Construction!N35:AF35)-SUM(Construction!BW35:CN35))*(15-pop_on_barren)-pop_on_barren*Construction!BV35</f>
        <v>8800</v>
      </c>
      <c r="W35" s="152">
        <f t="shared" ca="1" si="6"/>
        <v>0</v>
      </c>
      <c r="X35" s="26">
        <f t="shared" ca="1" si="0"/>
        <v>118</v>
      </c>
      <c r="Y35" s="164">
        <f t="shared" ref="Y35:Y66" ca="1" si="7">($C35-Z35)*raw_pop_growth</f>
        <v>118.35</v>
      </c>
      <c r="Z35" s="57">
        <f ca="1">IF(G35&lt;Military!Y35, ROUND($C35*IF(Magic!AW35=0,Constants!$B$51,Constants!$B$51*2),0), 0)</f>
        <v>0</v>
      </c>
      <c r="AA35" s="63"/>
      <c r="AB35" s="169">
        <f ca="1">Overview!$O$16 + IF(Magic!AK35&gt;0,Constants!$F$75) + ROUND(6*(Construction!BL36+Construction!CJ35)/IF(Explore!S36&gt;0,Construction!E36-20,Construction!E36),4)</f>
        <v>0</v>
      </c>
      <c r="AC35" s="540">
        <f ca="1">(Overview!$O$15 + Imps!Z35+MAX(Constants!$M$38*Techs!AE35,Constants!$M$50*Techs!AQ35)) * (1 + Production!O35/100*prestige_pop_multiplier) + Production!O35/100*prestige_pop_multiplier</f>
        <v>0.05</v>
      </c>
    </row>
    <row r="36" spans="1:29" s="16" customFormat="1">
      <c r="A36" s="987">
        <f>Rezone!J36</f>
        <v>34</v>
      </c>
      <c r="B36" s="589">
        <f>Imps!L36</f>
        <v>43693.37499999992</v>
      </c>
      <c r="C36" s="152">
        <f ca="1">$C35+$W35+Military!BE36 - IF(race="Demon",Military!G35*2,0)</f>
        <v>3945</v>
      </c>
      <c r="D36" s="26">
        <f ca="1">Military!B36</f>
        <v>5295</v>
      </c>
      <c r="E36" s="26">
        <f ca="1">Military!Z36</f>
        <v>3695</v>
      </c>
      <c r="F36" s="26">
        <f t="shared" ca="1" si="2"/>
        <v>9240</v>
      </c>
      <c r="G36" s="27">
        <f t="shared" ca="1" si="3"/>
        <v>0.57305194805194803</v>
      </c>
      <c r="H36" s="594">
        <f t="shared" ca="1" si="4"/>
        <v>3945</v>
      </c>
      <c r="I36" s="165">
        <f t="shared" ca="1" si="5"/>
        <v>1</v>
      </c>
      <c r="J36" s="676">
        <f>SUM(Construction!AY36:BH36,Construction!BJ36:BP36,Construction!BW36:CF36,Construction!CH36:CN36)*building_employment</f>
        <v>7600</v>
      </c>
      <c r="K36" s="635"/>
      <c r="L36" s="56">
        <f ca="1">Military!$Z36</f>
        <v>3695</v>
      </c>
      <c r="M36" s="26">
        <f>Military!E36</f>
        <v>0</v>
      </c>
      <c r="N36" s="26">
        <f>Military!F36</f>
        <v>0</v>
      </c>
      <c r="O36" s="26">
        <f>Military!G36</f>
        <v>1000</v>
      </c>
      <c r="P36" s="26">
        <f>Military!H36</f>
        <v>400</v>
      </c>
      <c r="Q36" s="26">
        <f>Military!I36</f>
        <v>100</v>
      </c>
      <c r="R36" s="26">
        <f>Military!J36</f>
        <v>100</v>
      </c>
      <c r="S36" s="57">
        <f>Military!K36</f>
        <v>0</v>
      </c>
      <c r="T36" s="52"/>
      <c r="U36" s="56">
        <f ca="1">ROUND($V36*(1+$AC36),0)+MIN(D36-E36-SUM(Military!AF36:AL36),barracks_size*Construction!BI36)</f>
        <v>9240</v>
      </c>
      <c r="V36" s="166">
        <f>(Construction!AX36+Construction!BV36)*pop_in_home+(SUM(Construction!AY36:BP36)+Construction!C36-Construction!BI36)*pop_in_building+(SUM(Construction!F36:L36)-Explore!S36*20)*pop_on_barren-(SUM(Construction!N36:AF36)-SUM(Construction!BW36:CN36))*(15-pop_on_barren)-pop_on_barren*Construction!BV36</f>
        <v>8800</v>
      </c>
      <c r="W36" s="152">
        <f t="shared" ca="1" si="6"/>
        <v>0</v>
      </c>
      <c r="X36" s="26">
        <f t="shared" ca="1" si="0"/>
        <v>118</v>
      </c>
      <c r="Y36" s="164">
        <f t="shared" ca="1" si="7"/>
        <v>118.35</v>
      </c>
      <c r="Z36" s="57">
        <f ca="1">IF(G36&lt;Military!Y36, ROUND($C36*IF(Magic!AW36=0,Constants!$B$51,Constants!$B$51*2),0), 0)</f>
        <v>0</v>
      </c>
      <c r="AA36" s="63"/>
      <c r="AB36" s="169">
        <f ca="1">Overview!$O$16 + IF(Magic!AK36&gt;0,Constants!$F$75) + ROUND(6*(Construction!BL37+Construction!CJ36)/IF(Explore!S37&gt;0,Construction!E37-20,Construction!E37),4)</f>
        <v>0</v>
      </c>
      <c r="AC36" s="540">
        <f ca="1">(Overview!$O$15 + Imps!Z36+MAX(Constants!$M$38*Techs!AE36,Constants!$M$50*Techs!AQ36)) * (1 + Production!O36/100*prestige_pop_multiplier) + Production!O36/100*prestige_pop_multiplier</f>
        <v>0.05</v>
      </c>
    </row>
    <row r="37" spans="1:29" s="16" customFormat="1">
      <c r="A37" s="987">
        <f>Rezone!J37</f>
        <v>35</v>
      </c>
      <c r="B37" s="589">
        <f>Imps!L37</f>
        <v>43693.416666666584</v>
      </c>
      <c r="C37" s="152">
        <f ca="1">$C36+$W36+Military!BE37 - IF(race="Demon",Military!G36*2,0)</f>
        <v>3945</v>
      </c>
      <c r="D37" s="26">
        <f ca="1">Military!B37</f>
        <v>5295</v>
      </c>
      <c r="E37" s="26">
        <f ca="1">Military!Z37</f>
        <v>3695</v>
      </c>
      <c r="F37" s="26">
        <f t="shared" ca="1" si="2"/>
        <v>9240</v>
      </c>
      <c r="G37" s="27">
        <f t="shared" ca="1" si="3"/>
        <v>0.57305194805194803</v>
      </c>
      <c r="H37" s="594">
        <f t="shared" ca="1" si="4"/>
        <v>3945</v>
      </c>
      <c r="I37" s="165">
        <f t="shared" ca="1" si="5"/>
        <v>1</v>
      </c>
      <c r="J37" s="676">
        <f>SUM(Construction!AY37:BH37,Construction!BJ37:BP37,Construction!BW37:CF37,Construction!CH37:CN37)*building_employment</f>
        <v>7600</v>
      </c>
      <c r="K37" s="635"/>
      <c r="L37" s="56">
        <f ca="1">Military!$Z37</f>
        <v>3695</v>
      </c>
      <c r="M37" s="26">
        <f>Military!E37</f>
        <v>0</v>
      </c>
      <c r="N37" s="26">
        <f>Military!F37</f>
        <v>0</v>
      </c>
      <c r="O37" s="26">
        <f>Military!G37</f>
        <v>1000</v>
      </c>
      <c r="P37" s="26">
        <f>Military!H37</f>
        <v>400</v>
      </c>
      <c r="Q37" s="26">
        <f>Military!I37</f>
        <v>100</v>
      </c>
      <c r="R37" s="26">
        <f>Military!J37</f>
        <v>100</v>
      </c>
      <c r="S37" s="57">
        <f>Military!K37</f>
        <v>0</v>
      </c>
      <c r="T37" s="52"/>
      <c r="U37" s="56">
        <f ca="1">ROUND($V37*(1+$AC37),0)+MIN(D37-E37-SUM(Military!AF37:AL37),barracks_size*Construction!BI37)</f>
        <v>9240</v>
      </c>
      <c r="V37" s="166">
        <f>(Construction!AX37+Construction!BV37)*pop_in_home+(SUM(Construction!AY37:BP37)+Construction!C37-Construction!BI37)*pop_in_building+(SUM(Construction!F37:L37)-Explore!S37*20)*pop_on_barren-(SUM(Construction!N37:AF37)-SUM(Construction!BW37:CN37))*(15-pop_on_barren)-pop_on_barren*Construction!BV37</f>
        <v>8800</v>
      </c>
      <c r="W37" s="152">
        <f t="shared" ca="1" si="6"/>
        <v>0</v>
      </c>
      <c r="X37" s="26">
        <f t="shared" ca="1" si="0"/>
        <v>118</v>
      </c>
      <c r="Y37" s="164">
        <f t="shared" ca="1" si="7"/>
        <v>118.35</v>
      </c>
      <c r="Z37" s="57">
        <f ca="1">IF(G37&lt;Military!Y37, ROUND($C37*IF(Magic!AW37=0,Constants!$B$51,Constants!$B$51*2),0), 0)</f>
        <v>0</v>
      </c>
      <c r="AA37" s="63"/>
      <c r="AB37" s="169">
        <f ca="1">Overview!$O$16 + IF(Magic!AK37&gt;0,Constants!$F$75) + ROUND(6*(Construction!BL38+Construction!CJ37)/IF(Explore!S38&gt;0,Construction!E38-20,Construction!E38),4)</f>
        <v>0</v>
      </c>
      <c r="AC37" s="540">
        <f ca="1">(Overview!$O$15 + Imps!Z37+MAX(Constants!$M$38*Techs!AE37,Constants!$M$50*Techs!AQ37)) * (1 + Production!O37/100*prestige_pop_multiplier) + Production!O37/100*prestige_pop_multiplier</f>
        <v>0.05</v>
      </c>
    </row>
    <row r="38" spans="1:29" s="16" customFormat="1" ht="13.5" customHeight="1">
      <c r="A38" s="987">
        <f>Rezone!J38</f>
        <v>36</v>
      </c>
      <c r="B38" s="589">
        <f>Imps!L38</f>
        <v>43693.458333333248</v>
      </c>
      <c r="C38" s="152">
        <f ca="1">$C37+$W37+Military!BE38 - IF(race="Demon",Military!G37*2,0)</f>
        <v>3945</v>
      </c>
      <c r="D38" s="26">
        <f ca="1">Military!B38</f>
        <v>5295</v>
      </c>
      <c r="E38" s="26">
        <f ca="1">Military!Z38</f>
        <v>3695</v>
      </c>
      <c r="F38" s="26">
        <f t="shared" ca="1" si="2"/>
        <v>9240</v>
      </c>
      <c r="G38" s="27">
        <f t="shared" ca="1" si="3"/>
        <v>0.57305194805194803</v>
      </c>
      <c r="H38" s="594">
        <f t="shared" ca="1" si="4"/>
        <v>3945</v>
      </c>
      <c r="I38" s="165">
        <f t="shared" ca="1" si="5"/>
        <v>1</v>
      </c>
      <c r="J38" s="676">
        <f>SUM(Construction!AY38:BH38,Construction!BJ38:BP38,Construction!BW38:CF38,Construction!CH38:CN38)*building_employment</f>
        <v>7600</v>
      </c>
      <c r="K38" s="635"/>
      <c r="L38" s="56">
        <f ca="1">Military!$Z38</f>
        <v>3695</v>
      </c>
      <c r="M38" s="26">
        <f>Military!E38</f>
        <v>0</v>
      </c>
      <c r="N38" s="26">
        <f>Military!F38</f>
        <v>0</v>
      </c>
      <c r="O38" s="26">
        <f>Military!G38</f>
        <v>1000</v>
      </c>
      <c r="P38" s="26">
        <f>Military!H38</f>
        <v>400</v>
      </c>
      <c r="Q38" s="26">
        <f>Military!I38</f>
        <v>100</v>
      </c>
      <c r="R38" s="26">
        <f>Military!J38</f>
        <v>100</v>
      </c>
      <c r="S38" s="57">
        <f>Military!K38</f>
        <v>0</v>
      </c>
      <c r="T38" s="52"/>
      <c r="U38" s="56">
        <f ca="1">ROUND($V38*(1+$AC38),0)+MIN(D38-E38-SUM(Military!AF38:AL38),barracks_size*Construction!BI38)</f>
        <v>9240</v>
      </c>
      <c r="V38" s="166">
        <f>(Construction!AX38+Construction!BV38)*pop_in_home+(SUM(Construction!AY38:BP38)+Construction!C38-Construction!BI38)*pop_in_building+(SUM(Construction!F38:L38)-Explore!S38*20)*pop_on_barren-(SUM(Construction!N38:AF38)-SUM(Construction!BW38:CN38))*(15-pop_on_barren)-pop_on_barren*Construction!BV38</f>
        <v>8800</v>
      </c>
      <c r="W38" s="152">
        <f t="shared" ca="1" si="6"/>
        <v>0</v>
      </c>
      <c r="X38" s="26">
        <f t="shared" ca="1" si="0"/>
        <v>118</v>
      </c>
      <c r="Y38" s="164">
        <f t="shared" ca="1" si="7"/>
        <v>118.35</v>
      </c>
      <c r="Z38" s="57">
        <f ca="1">IF(G38&lt;Military!Y38, ROUND($C38*IF(Magic!AW38=0,Constants!$B$51,Constants!$B$51*2),0), 0)</f>
        <v>0</v>
      </c>
      <c r="AA38" s="63"/>
      <c r="AB38" s="169">
        <f ca="1">Overview!$O$16 + IF(Magic!AK38&gt;0,Constants!$F$75) + ROUND(6*(Construction!BL39+Construction!CJ38)/IF(Explore!S39&gt;0,Construction!E39-20,Construction!E39),4)</f>
        <v>0</v>
      </c>
      <c r="AC38" s="540">
        <f ca="1">(Overview!$O$15 + Imps!Z38+MAX(Constants!$M$38*Techs!AE38,Constants!$M$50*Techs!AQ38)) * (1 + Production!O38/100*prestige_pop_multiplier) + Production!O38/100*prestige_pop_multiplier</f>
        <v>0.05</v>
      </c>
    </row>
    <row r="39" spans="1:29" s="12" customFormat="1">
      <c r="A39" s="990">
        <f>Rezone!J39</f>
        <v>37</v>
      </c>
      <c r="B39" s="588">
        <f>Imps!L39</f>
        <v>43693.499999999913</v>
      </c>
      <c r="C39" s="151">
        <f ca="1">$C38+$W38+Military!BE39 - IF(race="Demon",Military!G38*2,0)</f>
        <v>3945</v>
      </c>
      <c r="D39" s="13">
        <f ca="1">Military!B39</f>
        <v>5295</v>
      </c>
      <c r="E39" s="13">
        <f ca="1">Military!Z39</f>
        <v>3695</v>
      </c>
      <c r="F39" s="13">
        <f t="shared" ca="1" si="2"/>
        <v>9240</v>
      </c>
      <c r="G39" s="14">
        <f t="shared" ca="1" si="3"/>
        <v>0.57305194805194803</v>
      </c>
      <c r="H39" s="596">
        <f t="shared" ca="1" si="4"/>
        <v>3945</v>
      </c>
      <c r="I39" s="154">
        <f t="shared" ca="1" si="5"/>
        <v>1</v>
      </c>
      <c r="J39" s="1055">
        <f>SUM(Construction!AY39:BH39,Construction!BJ39:BP39,Construction!BW39:CF39,Construction!CH39:CN39)*building_employment</f>
        <v>7600</v>
      </c>
      <c r="K39" s="755"/>
      <c r="L39" s="54">
        <f ca="1">Military!$Z39</f>
        <v>3695</v>
      </c>
      <c r="M39" s="13">
        <f>Military!E39</f>
        <v>0</v>
      </c>
      <c r="N39" s="13">
        <f>Military!F39</f>
        <v>0</v>
      </c>
      <c r="O39" s="13">
        <f>Military!G39</f>
        <v>1000</v>
      </c>
      <c r="P39" s="13">
        <f>Military!H39</f>
        <v>400</v>
      </c>
      <c r="Q39" s="13">
        <f>Military!I39</f>
        <v>100</v>
      </c>
      <c r="R39" s="13">
        <f>Military!J39</f>
        <v>100</v>
      </c>
      <c r="S39" s="55">
        <f>Military!K39</f>
        <v>0</v>
      </c>
      <c r="T39" s="50"/>
      <c r="U39" s="54">
        <f ca="1">ROUND($V39*(1+$AC39),0)+MIN(D39-E39-SUM(Military!AF39:AL39),barracks_size*Construction!BI39)</f>
        <v>9240</v>
      </c>
      <c r="V39" s="158">
        <f>(Construction!AX39+Construction!BV39)*pop_in_home+(SUM(Construction!AY39:BP39)+Construction!C39-Construction!BI39)*pop_in_building+(SUM(Construction!F39:L39)-Explore!S39*20)*pop_on_barren-(SUM(Construction!N39:AF39)-SUM(Construction!BW39:CN39))*(15-pop_on_barren)-pop_on_barren*Construction!BV39</f>
        <v>8800</v>
      </c>
      <c r="W39" s="151">
        <f t="shared" ca="1" si="6"/>
        <v>0</v>
      </c>
      <c r="X39" s="13">
        <f t="shared" ca="1" si="0"/>
        <v>118</v>
      </c>
      <c r="Y39" s="153">
        <f t="shared" ca="1" si="7"/>
        <v>118.35</v>
      </c>
      <c r="Z39" s="55">
        <f ca="1">IF(G39&lt;Military!Y39, ROUND($C39*IF(Magic!AW39=0,Constants!$B$51,Constants!$B$51*2),0), 0)</f>
        <v>0</v>
      </c>
      <c r="AA39" s="286"/>
      <c r="AB39" s="161">
        <f ca="1">Overview!$O$16 + IF(Magic!AK39&gt;0,Constants!$F$75) + ROUND(6*(Construction!BL40+Construction!CJ39)/IF(Explore!S40&gt;0,Construction!E40-20,Construction!E40),4)</f>
        <v>0</v>
      </c>
      <c r="AC39" s="155">
        <f ca="1">(Overview!$O$15 + Imps!Z39+MAX(Constants!$M$38*Techs!AE39,Constants!$M$50*Techs!AQ39)) * (1 + Production!O39/100*prestige_pop_multiplier) + Production!O39/100*prestige_pop_multiplier</f>
        <v>0.05</v>
      </c>
    </row>
    <row r="40" spans="1:29" s="16" customFormat="1">
      <c r="A40" s="987">
        <f>Rezone!J40</f>
        <v>38</v>
      </c>
      <c r="B40" s="589">
        <f>Imps!L40</f>
        <v>43693.541666666577</v>
      </c>
      <c r="C40" s="152">
        <f ca="1">$C39+$W39+Military!BE40 - IF(race="Demon",Military!G39*2,0)</f>
        <v>3945</v>
      </c>
      <c r="D40" s="26">
        <f ca="1">Military!B40</f>
        <v>5295</v>
      </c>
      <c r="E40" s="26">
        <f ca="1">Military!Z40</f>
        <v>3695</v>
      </c>
      <c r="F40" s="26">
        <f t="shared" ca="1" si="2"/>
        <v>9240</v>
      </c>
      <c r="G40" s="27">
        <f t="shared" ca="1" si="3"/>
        <v>0.57305194805194803</v>
      </c>
      <c r="H40" s="594">
        <f t="shared" ca="1" si="4"/>
        <v>3945</v>
      </c>
      <c r="I40" s="165">
        <f t="shared" ca="1" si="5"/>
        <v>1</v>
      </c>
      <c r="J40" s="676">
        <f>SUM(Construction!AY40:BH40,Construction!BJ40:BP40,Construction!BW40:CF40,Construction!CH40:CN40)*building_employment</f>
        <v>7600</v>
      </c>
      <c r="K40" s="635"/>
      <c r="L40" s="56">
        <f ca="1">Military!$Z40</f>
        <v>3695</v>
      </c>
      <c r="M40" s="26">
        <f>Military!E40</f>
        <v>0</v>
      </c>
      <c r="N40" s="26">
        <f>Military!F40</f>
        <v>0</v>
      </c>
      <c r="O40" s="26">
        <f>Military!G40</f>
        <v>1000</v>
      </c>
      <c r="P40" s="26">
        <f>Military!H40</f>
        <v>400</v>
      </c>
      <c r="Q40" s="26">
        <f>Military!I40</f>
        <v>100</v>
      </c>
      <c r="R40" s="26">
        <f>Military!J40</f>
        <v>100</v>
      </c>
      <c r="S40" s="57">
        <f>Military!K40</f>
        <v>0</v>
      </c>
      <c r="T40" s="52"/>
      <c r="U40" s="56">
        <f ca="1">ROUND($V40*(1+$AC40),0)+MIN(D40-E40-SUM(Military!AF40:AL40),barracks_size*Construction!BI40)</f>
        <v>9240</v>
      </c>
      <c r="V40" s="166">
        <f>(Construction!AX40+Construction!BV40)*pop_in_home+(SUM(Construction!AY40:BP40)+Construction!C40-Construction!BI40)*pop_in_building+(SUM(Construction!F40:L40)-Explore!S40*20)*pop_on_barren-(SUM(Construction!N40:AF40)-SUM(Construction!BW40:CN40))*(15-pop_on_barren)-pop_on_barren*Construction!BV40</f>
        <v>8800</v>
      </c>
      <c r="W40" s="152">
        <f t="shared" ca="1" si="6"/>
        <v>0</v>
      </c>
      <c r="X40" s="26">
        <f t="shared" ca="1" si="0"/>
        <v>118</v>
      </c>
      <c r="Y40" s="164">
        <f t="shared" ca="1" si="7"/>
        <v>118.35</v>
      </c>
      <c r="Z40" s="57">
        <f ca="1">IF(G40&lt;Military!Y40, ROUND($C40*IF(Magic!AW40=0,Constants!$B$51,Constants!$B$51*2),0), 0)</f>
        <v>0</v>
      </c>
      <c r="AA40" s="63"/>
      <c r="AB40" s="169">
        <f ca="1">Overview!$O$16 + IF(Magic!AK40&gt;0,Constants!$F$75) + ROUND(6*(Construction!BL41+Construction!CJ40)/IF(Explore!S41&gt;0,Construction!E41-20,Construction!E41),4)</f>
        <v>0</v>
      </c>
      <c r="AC40" s="540">
        <f ca="1">(Overview!$O$15 + Imps!Z40+MAX(Constants!$M$38*Techs!AE40,Constants!$M$50*Techs!AQ40)) * (1 + Production!O40/100*prestige_pop_multiplier) + Production!O40/100*prestige_pop_multiplier</f>
        <v>0.05</v>
      </c>
    </row>
    <row r="41" spans="1:29" s="16" customFormat="1">
      <c r="A41" s="987">
        <f>Rezone!J41</f>
        <v>39</v>
      </c>
      <c r="B41" s="589">
        <f>Imps!L41</f>
        <v>43693.583333333241</v>
      </c>
      <c r="C41" s="152">
        <f ca="1">$C40+$W40+Military!BE41 - IF(race="Demon",Military!G40*2,0)</f>
        <v>3945</v>
      </c>
      <c r="D41" s="26">
        <f ca="1">Military!B41</f>
        <v>5295</v>
      </c>
      <c r="E41" s="26">
        <f ca="1">Military!Z41</f>
        <v>3695</v>
      </c>
      <c r="F41" s="26">
        <f t="shared" ca="1" si="2"/>
        <v>9240</v>
      </c>
      <c r="G41" s="27">
        <f t="shared" ca="1" si="3"/>
        <v>0.57305194805194803</v>
      </c>
      <c r="H41" s="594">
        <f t="shared" ca="1" si="4"/>
        <v>3945</v>
      </c>
      <c r="I41" s="165">
        <f t="shared" ca="1" si="5"/>
        <v>1</v>
      </c>
      <c r="J41" s="676">
        <f>SUM(Construction!AY41:BH41,Construction!BJ41:BP41,Construction!BW41:CF41,Construction!CH41:CN41)*building_employment</f>
        <v>7600</v>
      </c>
      <c r="K41" s="635"/>
      <c r="L41" s="56">
        <f ca="1">Military!$Z41</f>
        <v>3695</v>
      </c>
      <c r="M41" s="26">
        <f>Military!E41</f>
        <v>0</v>
      </c>
      <c r="N41" s="26">
        <f>Military!F41</f>
        <v>0</v>
      </c>
      <c r="O41" s="26">
        <f>Military!G41</f>
        <v>1000</v>
      </c>
      <c r="P41" s="26">
        <f>Military!H41</f>
        <v>400</v>
      </c>
      <c r="Q41" s="26">
        <f>Military!I41</f>
        <v>100</v>
      </c>
      <c r="R41" s="26">
        <f>Military!J41</f>
        <v>100</v>
      </c>
      <c r="S41" s="57">
        <f>Military!K41</f>
        <v>0</v>
      </c>
      <c r="T41" s="52"/>
      <c r="U41" s="56">
        <f ca="1">ROUND($V41*(1+$AC41),0)+MIN(D41-E41-SUM(Military!AF41:AL41),barracks_size*Construction!BI41)</f>
        <v>9240</v>
      </c>
      <c r="V41" s="166">
        <f>(Construction!AX41+Construction!BV41)*pop_in_home+(SUM(Construction!AY41:BP41)+Construction!C41-Construction!BI41)*pop_in_building+(SUM(Construction!F41:L41)-Explore!S41*20)*pop_on_barren-(SUM(Construction!N41:AF41)-SUM(Construction!BW41:CN41))*(15-pop_on_barren)-pop_on_barren*Construction!BV41</f>
        <v>8800</v>
      </c>
      <c r="W41" s="152">
        <f t="shared" ca="1" si="6"/>
        <v>0</v>
      </c>
      <c r="X41" s="26">
        <f t="shared" ca="1" si="0"/>
        <v>118</v>
      </c>
      <c r="Y41" s="164">
        <f t="shared" ca="1" si="7"/>
        <v>118.35</v>
      </c>
      <c r="Z41" s="57">
        <f ca="1">IF(G41&lt;Military!Y41, ROUND($C41*IF(Magic!AW41=0,Constants!$B$51,Constants!$B$51*2),0), 0)</f>
        <v>0</v>
      </c>
      <c r="AA41" s="63"/>
      <c r="AB41" s="169">
        <f ca="1">Overview!$O$16 + IF(Magic!AK41&gt;0,Constants!$F$75) + ROUND(6*(Construction!BL42+Construction!CJ41)/IF(Explore!S42&gt;0,Construction!E42-20,Construction!E42),4)</f>
        <v>0</v>
      </c>
      <c r="AC41" s="540">
        <f ca="1">(Overview!$O$15 + Imps!Z41+MAX(Constants!$M$38*Techs!AE41,Constants!$M$50*Techs!AQ41)) * (1 + Production!O41/100*prestige_pop_multiplier) + Production!O41/100*prestige_pop_multiplier</f>
        <v>0.05</v>
      </c>
    </row>
    <row r="42" spans="1:29" s="16" customFormat="1">
      <c r="A42" s="987">
        <f>Rezone!J42</f>
        <v>40</v>
      </c>
      <c r="B42" s="589">
        <f>Imps!L42</f>
        <v>43693.624999999905</v>
      </c>
      <c r="C42" s="152">
        <f ca="1">$C41+$W41+Military!BE42 - IF(race="Demon",Military!G41*2,0)</f>
        <v>3945</v>
      </c>
      <c r="D42" s="26">
        <f ca="1">Military!B42</f>
        <v>5295</v>
      </c>
      <c r="E42" s="26">
        <f ca="1">Military!Z42</f>
        <v>3695</v>
      </c>
      <c r="F42" s="26">
        <f t="shared" ca="1" si="2"/>
        <v>9240</v>
      </c>
      <c r="G42" s="27">
        <f t="shared" ca="1" si="3"/>
        <v>0.57305194805194803</v>
      </c>
      <c r="H42" s="594">
        <f t="shared" ca="1" si="4"/>
        <v>3945</v>
      </c>
      <c r="I42" s="165">
        <f t="shared" ca="1" si="5"/>
        <v>1</v>
      </c>
      <c r="J42" s="676">
        <f>SUM(Construction!AY42:BH42,Construction!BJ42:BP42,Construction!BW42:CF42,Construction!CH42:CN42)*building_employment</f>
        <v>7600</v>
      </c>
      <c r="K42" s="635"/>
      <c r="L42" s="56">
        <f ca="1">Military!$Z42</f>
        <v>3695</v>
      </c>
      <c r="M42" s="26">
        <f>Military!E42</f>
        <v>0</v>
      </c>
      <c r="N42" s="26">
        <f>Military!F42</f>
        <v>0</v>
      </c>
      <c r="O42" s="26">
        <f>Military!G42</f>
        <v>1000</v>
      </c>
      <c r="P42" s="26">
        <f>Military!H42</f>
        <v>400</v>
      </c>
      <c r="Q42" s="26">
        <f>Military!I42</f>
        <v>100</v>
      </c>
      <c r="R42" s="26">
        <f>Military!J42</f>
        <v>100</v>
      </c>
      <c r="S42" s="57">
        <f>Military!K42</f>
        <v>0</v>
      </c>
      <c r="T42" s="52"/>
      <c r="U42" s="56">
        <f ca="1">ROUND($V42*(1+$AC42),0)+MIN(D42-E42-SUM(Military!AF42:AL42),barracks_size*Construction!BI42)</f>
        <v>9240</v>
      </c>
      <c r="V42" s="166">
        <f>(Construction!AX42+Construction!BV42)*pop_in_home+(SUM(Construction!AY42:BP42)+Construction!C42-Construction!BI42)*pop_in_building+(SUM(Construction!F42:L42)-Explore!S42*20)*pop_on_barren-(SUM(Construction!N42:AF42)-SUM(Construction!BW42:CN42))*(15-pop_on_barren)-pop_on_barren*Construction!BV42</f>
        <v>8800</v>
      </c>
      <c r="W42" s="152">
        <f t="shared" ca="1" si="6"/>
        <v>0</v>
      </c>
      <c r="X42" s="26">
        <f t="shared" ca="1" si="0"/>
        <v>118</v>
      </c>
      <c r="Y42" s="164">
        <f t="shared" ca="1" si="7"/>
        <v>118.35</v>
      </c>
      <c r="Z42" s="57">
        <f ca="1">IF(G42&lt;Military!Y42, ROUND($C42*IF(Magic!AW42=0,Constants!$B$51,Constants!$B$51*2),0), 0)</f>
        <v>0</v>
      </c>
      <c r="AA42" s="63"/>
      <c r="AB42" s="169">
        <f ca="1">Overview!$O$16 + IF(Magic!AK42&gt;0,Constants!$F$75) + ROUND(6*(Construction!BL43+Construction!CJ42)/IF(Explore!S43&gt;0,Construction!E43-20,Construction!E43),4)</f>
        <v>0</v>
      </c>
      <c r="AC42" s="540">
        <f ca="1">(Overview!$O$15 + Imps!Z42+MAX(Constants!$M$38*Techs!AE42,Constants!$M$50*Techs!AQ42)) * (1 + Production!O42/100*prestige_pop_multiplier) + Production!O42/100*prestige_pop_multiplier</f>
        <v>0.05</v>
      </c>
    </row>
    <row r="43" spans="1:29" s="16" customFormat="1">
      <c r="A43" s="987">
        <f>Rezone!J43</f>
        <v>41</v>
      </c>
      <c r="B43" s="589">
        <f>Imps!L43</f>
        <v>43693.66666666657</v>
      </c>
      <c r="C43" s="152">
        <f ca="1">$C42+$W42+Military!BE43 - IF(race="Demon",Military!G42*2,0)</f>
        <v>3945</v>
      </c>
      <c r="D43" s="26">
        <f ca="1">Military!B43</f>
        <v>5295</v>
      </c>
      <c r="E43" s="26">
        <f ca="1">Military!Z43</f>
        <v>3695</v>
      </c>
      <c r="F43" s="26">
        <f t="shared" ca="1" si="2"/>
        <v>9240</v>
      </c>
      <c r="G43" s="27">
        <f t="shared" ca="1" si="3"/>
        <v>0.57305194805194803</v>
      </c>
      <c r="H43" s="594">
        <f t="shared" ca="1" si="4"/>
        <v>3945</v>
      </c>
      <c r="I43" s="165">
        <f t="shared" ca="1" si="5"/>
        <v>1</v>
      </c>
      <c r="J43" s="676">
        <f>SUM(Construction!AY43:BH43,Construction!BJ43:BP43,Construction!BW43:CF43,Construction!CH43:CN43)*building_employment</f>
        <v>7600</v>
      </c>
      <c r="K43" s="635"/>
      <c r="L43" s="56">
        <f ca="1">Military!$Z43</f>
        <v>3695</v>
      </c>
      <c r="M43" s="26">
        <f>Military!E43</f>
        <v>0</v>
      </c>
      <c r="N43" s="26">
        <f>Military!F43</f>
        <v>0</v>
      </c>
      <c r="O43" s="26">
        <f>Military!G43</f>
        <v>1000</v>
      </c>
      <c r="P43" s="26">
        <f>Military!H43</f>
        <v>400</v>
      </c>
      <c r="Q43" s="26">
        <f>Military!I43</f>
        <v>100</v>
      </c>
      <c r="R43" s="26">
        <f>Military!J43</f>
        <v>100</v>
      </c>
      <c r="S43" s="57">
        <f>Military!K43</f>
        <v>0</v>
      </c>
      <c r="T43" s="52"/>
      <c r="U43" s="56">
        <f ca="1">ROUND($V43*(1+$AC43),0)+MIN(D43-E43-SUM(Military!AF43:AL43),barracks_size*Construction!BI43)</f>
        <v>9240</v>
      </c>
      <c r="V43" s="166">
        <f>(Construction!AX43+Construction!BV43)*pop_in_home+(SUM(Construction!AY43:BP43)+Construction!C43-Construction!BI43)*pop_in_building+(SUM(Construction!F43:L43)-Explore!S43*20)*pop_on_barren-(SUM(Construction!N43:AF43)-SUM(Construction!BW43:CN43))*(15-pop_on_barren)-pop_on_barren*Construction!BV43</f>
        <v>8800</v>
      </c>
      <c r="W43" s="152">
        <f t="shared" ca="1" si="6"/>
        <v>0</v>
      </c>
      <c r="X43" s="26">
        <f t="shared" ca="1" si="0"/>
        <v>118</v>
      </c>
      <c r="Y43" s="164">
        <f t="shared" ca="1" si="7"/>
        <v>118.35</v>
      </c>
      <c r="Z43" s="57">
        <f ca="1">IF(G43&lt;Military!Y43, ROUND($C43*IF(Magic!AW43=0,Constants!$B$51,Constants!$B$51*2),0), 0)</f>
        <v>0</v>
      </c>
      <c r="AA43" s="63"/>
      <c r="AB43" s="169">
        <f ca="1">Overview!$O$16 + IF(Magic!AK43&gt;0,Constants!$F$75) + ROUND(6*(Construction!BL44+Construction!CJ43)/IF(Explore!S44&gt;0,Construction!E44-20,Construction!E44),4)</f>
        <v>0</v>
      </c>
      <c r="AC43" s="540">
        <f ca="1">(Overview!$O$15 + Imps!Z43+MAX(Constants!$M$38*Techs!AE43,Constants!$M$50*Techs!AQ43)) * (1 + Production!O43/100*prestige_pop_multiplier) + Production!O43/100*prestige_pop_multiplier</f>
        <v>0.05</v>
      </c>
    </row>
    <row r="44" spans="1:29" s="16" customFormat="1">
      <c r="A44" s="987">
        <f>Rezone!J44</f>
        <v>42</v>
      </c>
      <c r="B44" s="589">
        <f>Imps!L44</f>
        <v>43693.708333333234</v>
      </c>
      <c r="C44" s="152">
        <f ca="1">$C43+$W43+Military!BE44 - IF(race="Demon",Military!G43*2,0)</f>
        <v>3945</v>
      </c>
      <c r="D44" s="26">
        <f ca="1">Military!B44</f>
        <v>5295</v>
      </c>
      <c r="E44" s="26">
        <f ca="1">Military!Z44</f>
        <v>3695</v>
      </c>
      <c r="F44" s="26">
        <f t="shared" ca="1" si="2"/>
        <v>9240</v>
      </c>
      <c r="G44" s="27">
        <f t="shared" ca="1" si="3"/>
        <v>0.57305194805194803</v>
      </c>
      <c r="H44" s="594">
        <f t="shared" ca="1" si="4"/>
        <v>3945</v>
      </c>
      <c r="I44" s="165">
        <f t="shared" ca="1" si="5"/>
        <v>1</v>
      </c>
      <c r="J44" s="676">
        <f>SUM(Construction!AY44:BH44,Construction!BJ44:BP44,Construction!BW44:CF44,Construction!CH44:CN44)*building_employment</f>
        <v>7600</v>
      </c>
      <c r="K44" s="635"/>
      <c r="L44" s="56">
        <f ca="1">Military!$Z44</f>
        <v>3695</v>
      </c>
      <c r="M44" s="26">
        <f>Military!E44</f>
        <v>0</v>
      </c>
      <c r="N44" s="26">
        <f>Military!F44</f>
        <v>0</v>
      </c>
      <c r="O44" s="26">
        <f>Military!G44</f>
        <v>1000</v>
      </c>
      <c r="P44" s="26">
        <f>Military!H44</f>
        <v>400</v>
      </c>
      <c r="Q44" s="26">
        <f>Military!I44</f>
        <v>100</v>
      </c>
      <c r="R44" s="26">
        <f>Military!J44</f>
        <v>100</v>
      </c>
      <c r="S44" s="57">
        <f>Military!K44</f>
        <v>0</v>
      </c>
      <c r="T44" s="52"/>
      <c r="U44" s="56">
        <f ca="1">ROUND($V44*(1+$AC44),0)+MIN(D44-E44-SUM(Military!AF44:AL44),barracks_size*Construction!BI44)</f>
        <v>9240</v>
      </c>
      <c r="V44" s="166">
        <f>(Construction!AX44+Construction!BV44)*pop_in_home+(SUM(Construction!AY44:BP44)+Construction!C44-Construction!BI44)*pop_in_building+(SUM(Construction!F44:L44)-Explore!S44*20)*pop_on_barren-(SUM(Construction!N44:AF44)-SUM(Construction!BW44:CN44))*(15-pop_on_barren)-pop_on_barren*Construction!BV44</f>
        <v>8800</v>
      </c>
      <c r="W44" s="152">
        <f t="shared" ca="1" si="6"/>
        <v>0</v>
      </c>
      <c r="X44" s="26">
        <f t="shared" ca="1" si="0"/>
        <v>118</v>
      </c>
      <c r="Y44" s="164">
        <f t="shared" ca="1" si="7"/>
        <v>118.35</v>
      </c>
      <c r="Z44" s="57">
        <f ca="1">IF(G44&lt;Military!Y44, ROUND($C44*IF(Magic!AW44=0,Constants!$B$51,Constants!$B$51*2),0), 0)</f>
        <v>0</v>
      </c>
      <c r="AA44" s="63"/>
      <c r="AB44" s="169">
        <f ca="1">Overview!$O$16 + IF(Magic!AK44&gt;0,Constants!$F$75) + ROUND(6*(Construction!BL45+Construction!CJ44)/IF(Explore!S45&gt;0,Construction!E45-20,Construction!E45),4)</f>
        <v>0</v>
      </c>
      <c r="AC44" s="540">
        <f ca="1">(Overview!$O$15 + Imps!Z44+MAX(Constants!$M$38*Techs!AE44,Constants!$M$50*Techs!AQ44)) * (1 + Production!O44/100*prestige_pop_multiplier) + Production!O44/100*prestige_pop_multiplier</f>
        <v>0.05</v>
      </c>
    </row>
    <row r="45" spans="1:29" s="16" customFormat="1">
      <c r="A45" s="987">
        <f>Rezone!J45</f>
        <v>43</v>
      </c>
      <c r="B45" s="589">
        <f>Imps!L45</f>
        <v>43693.749999999898</v>
      </c>
      <c r="C45" s="152">
        <f ca="1">$C44+$W44+Military!BE45 - IF(race="Demon",Military!G44*2,0)</f>
        <v>3945</v>
      </c>
      <c r="D45" s="26">
        <f ca="1">Military!B45</f>
        <v>5295</v>
      </c>
      <c r="E45" s="26">
        <f ca="1">Military!Z45</f>
        <v>3695</v>
      </c>
      <c r="F45" s="26">
        <f t="shared" ca="1" si="2"/>
        <v>9240</v>
      </c>
      <c r="G45" s="27">
        <f t="shared" ca="1" si="3"/>
        <v>0.57305194805194803</v>
      </c>
      <c r="H45" s="594">
        <f t="shared" ca="1" si="4"/>
        <v>3945</v>
      </c>
      <c r="I45" s="165">
        <f t="shared" ca="1" si="5"/>
        <v>1</v>
      </c>
      <c r="J45" s="676">
        <f>SUM(Construction!AY45:BH45,Construction!BJ45:BP45,Construction!BW45:CF45,Construction!CH45:CN45)*building_employment</f>
        <v>7600</v>
      </c>
      <c r="K45" s="635"/>
      <c r="L45" s="56">
        <f ca="1">Military!$Z45</f>
        <v>3695</v>
      </c>
      <c r="M45" s="26">
        <f>Military!E45</f>
        <v>0</v>
      </c>
      <c r="N45" s="26">
        <f>Military!F45</f>
        <v>0</v>
      </c>
      <c r="O45" s="26">
        <f>Military!G45</f>
        <v>1000</v>
      </c>
      <c r="P45" s="26">
        <f>Military!H45</f>
        <v>400</v>
      </c>
      <c r="Q45" s="26">
        <f>Military!I45</f>
        <v>100</v>
      </c>
      <c r="R45" s="26">
        <f>Military!J45</f>
        <v>100</v>
      </c>
      <c r="S45" s="57">
        <f>Military!K45</f>
        <v>0</v>
      </c>
      <c r="T45" s="52"/>
      <c r="U45" s="56">
        <f ca="1">ROUND($V45*(1+$AC45),0)+MIN(D45-E45-SUM(Military!AF45:AL45),barracks_size*Construction!BI45)</f>
        <v>9240</v>
      </c>
      <c r="V45" s="166">
        <f>(Construction!AX45+Construction!BV45)*pop_in_home+(SUM(Construction!AY45:BP45)+Construction!C45-Construction!BI45)*pop_in_building+(SUM(Construction!F45:L45)-Explore!S45*20)*pop_on_barren-(SUM(Construction!N45:AF45)-SUM(Construction!BW45:CN45))*(15-pop_on_barren)-pop_on_barren*Construction!BV45</f>
        <v>8800</v>
      </c>
      <c r="W45" s="152">
        <f t="shared" ca="1" si="6"/>
        <v>0</v>
      </c>
      <c r="X45" s="26">
        <f t="shared" ca="1" si="0"/>
        <v>118</v>
      </c>
      <c r="Y45" s="164">
        <f t="shared" ca="1" si="7"/>
        <v>118.35</v>
      </c>
      <c r="Z45" s="57">
        <f ca="1">IF(G45&lt;Military!Y45, ROUND($C45*IF(Magic!AW45=0,Constants!$B$51,Constants!$B$51*2),0), 0)</f>
        <v>0</v>
      </c>
      <c r="AA45" s="63"/>
      <c r="AB45" s="169">
        <f ca="1">Overview!$O$16 + IF(Magic!AK45&gt;0,Constants!$F$75) + ROUND(6*(Construction!BL46+Construction!CJ45)/IF(Explore!S46&gt;0,Construction!E46-20,Construction!E46),4)</f>
        <v>0</v>
      </c>
      <c r="AC45" s="540">
        <f ca="1">(Overview!$O$15 + Imps!Z45+MAX(Constants!$M$38*Techs!AE45,Constants!$M$50*Techs!AQ45)) * (1 + Production!O45/100*prestige_pop_multiplier) + Production!O45/100*prestige_pop_multiplier</f>
        <v>0.05</v>
      </c>
    </row>
    <row r="46" spans="1:29" s="16" customFormat="1">
      <c r="A46" s="987">
        <f>Rezone!J46</f>
        <v>44</v>
      </c>
      <c r="B46" s="589">
        <f>Imps!L46</f>
        <v>43693.791666666562</v>
      </c>
      <c r="C46" s="152">
        <f ca="1">$C45+$W45+Military!BE46 - IF(race="Demon",Military!G45*2,0)</f>
        <v>3945</v>
      </c>
      <c r="D46" s="26">
        <f ca="1">Military!B46</f>
        <v>5295</v>
      </c>
      <c r="E46" s="26">
        <f ca="1">Military!Z46</f>
        <v>3695</v>
      </c>
      <c r="F46" s="26">
        <f t="shared" ca="1" si="2"/>
        <v>9240</v>
      </c>
      <c r="G46" s="27">
        <f t="shared" ca="1" si="3"/>
        <v>0.57305194805194803</v>
      </c>
      <c r="H46" s="594">
        <f t="shared" ca="1" si="4"/>
        <v>3945</v>
      </c>
      <c r="I46" s="165">
        <f t="shared" ca="1" si="5"/>
        <v>1</v>
      </c>
      <c r="J46" s="676">
        <f>SUM(Construction!AY46:BH46,Construction!BJ46:BP46,Construction!BW46:CF46,Construction!CH46:CN46)*building_employment</f>
        <v>7600</v>
      </c>
      <c r="K46" s="635"/>
      <c r="L46" s="56">
        <f ca="1">Military!$Z46</f>
        <v>3695</v>
      </c>
      <c r="M46" s="26">
        <f>Military!E46</f>
        <v>0</v>
      </c>
      <c r="N46" s="26">
        <f>Military!F46</f>
        <v>0</v>
      </c>
      <c r="O46" s="26">
        <f>Military!G46</f>
        <v>1000</v>
      </c>
      <c r="P46" s="26">
        <f>Military!H46</f>
        <v>400</v>
      </c>
      <c r="Q46" s="26">
        <f>Military!I46</f>
        <v>100</v>
      </c>
      <c r="R46" s="26">
        <f>Military!J46</f>
        <v>100</v>
      </c>
      <c r="S46" s="57">
        <f>Military!K46</f>
        <v>0</v>
      </c>
      <c r="T46" s="52"/>
      <c r="U46" s="56">
        <f ca="1">ROUND($V46*(1+$AC46),0)+MIN(D46-E46-SUM(Military!AF46:AL46),barracks_size*Construction!BI46)</f>
        <v>9240</v>
      </c>
      <c r="V46" s="166">
        <f>(Construction!AX46+Construction!BV46)*pop_in_home+(SUM(Construction!AY46:BP46)+Construction!C46-Construction!BI46)*pop_in_building+(SUM(Construction!F46:L46)-Explore!S46*20)*pop_on_barren-(SUM(Construction!N46:AF46)-SUM(Construction!BW46:CN46))*(15-pop_on_barren)-pop_on_barren*Construction!BV46</f>
        <v>8800</v>
      </c>
      <c r="W46" s="152">
        <f t="shared" ca="1" si="6"/>
        <v>0</v>
      </c>
      <c r="X46" s="26">
        <f t="shared" ca="1" si="0"/>
        <v>118</v>
      </c>
      <c r="Y46" s="164">
        <f t="shared" ca="1" si="7"/>
        <v>118.35</v>
      </c>
      <c r="Z46" s="57">
        <f ca="1">IF(G46&lt;Military!Y46, ROUND($C46*IF(Magic!AW46=0,Constants!$B$51,Constants!$B$51*2),0), 0)</f>
        <v>0</v>
      </c>
      <c r="AA46" s="63"/>
      <c r="AB46" s="169">
        <f ca="1">Overview!$O$16 + IF(Magic!AK46&gt;0,Constants!$F$75) + ROUND(6*(Construction!BL47+Construction!CJ46)/IF(Explore!S47&gt;0,Construction!E47-20,Construction!E47),4)</f>
        <v>0</v>
      </c>
      <c r="AC46" s="540">
        <f ca="1">(Overview!$O$15 + Imps!Z46+MAX(Constants!$M$38*Techs!AE46,Constants!$M$50*Techs!AQ46)) * (1 + Production!O46/100*prestige_pop_multiplier) + Production!O46/100*prestige_pop_multiplier</f>
        <v>0.05</v>
      </c>
    </row>
    <row r="47" spans="1:29" s="16" customFormat="1">
      <c r="A47" s="987">
        <f>Rezone!J47</f>
        <v>45</v>
      </c>
      <c r="B47" s="589">
        <f>Imps!L47</f>
        <v>43693.833333333227</v>
      </c>
      <c r="C47" s="152">
        <f ca="1">$C46+$W46+Military!BE47 - IF(race="Demon",Military!G46*2,0)</f>
        <v>3945</v>
      </c>
      <c r="D47" s="26">
        <f ca="1">Military!B47</f>
        <v>5295</v>
      </c>
      <c r="E47" s="26">
        <f ca="1">Military!Z47</f>
        <v>3695</v>
      </c>
      <c r="F47" s="26">
        <f t="shared" ca="1" si="2"/>
        <v>9240</v>
      </c>
      <c r="G47" s="27">
        <f t="shared" ca="1" si="3"/>
        <v>0.57305194805194803</v>
      </c>
      <c r="H47" s="594">
        <f t="shared" ca="1" si="4"/>
        <v>3945</v>
      </c>
      <c r="I47" s="165">
        <f t="shared" ca="1" si="5"/>
        <v>1</v>
      </c>
      <c r="J47" s="676">
        <f>SUM(Construction!AY47:BH47,Construction!BJ47:BP47,Construction!BW47:CF47,Construction!CH47:CN47)*building_employment</f>
        <v>7600</v>
      </c>
      <c r="K47" s="635"/>
      <c r="L47" s="56">
        <f ca="1">Military!$Z47</f>
        <v>3695</v>
      </c>
      <c r="M47" s="26">
        <f>Military!E47</f>
        <v>0</v>
      </c>
      <c r="N47" s="26">
        <f>Military!F47</f>
        <v>0</v>
      </c>
      <c r="O47" s="26">
        <f>Military!G47</f>
        <v>1000</v>
      </c>
      <c r="P47" s="26">
        <f>Military!H47</f>
        <v>400</v>
      </c>
      <c r="Q47" s="26">
        <f>Military!I47</f>
        <v>100</v>
      </c>
      <c r="R47" s="26">
        <f>Military!J47</f>
        <v>100</v>
      </c>
      <c r="S47" s="57">
        <f>Military!K47</f>
        <v>0</v>
      </c>
      <c r="T47" s="52"/>
      <c r="U47" s="56">
        <f ca="1">ROUND($V47*(1+$AC47),0)+MIN(D47-E47-SUM(Military!AF47:AL47),barracks_size*Construction!BI47)</f>
        <v>9240</v>
      </c>
      <c r="V47" s="166">
        <f>(Construction!AX47+Construction!BV47)*pop_in_home+(SUM(Construction!AY47:BP47)+Construction!C47-Construction!BI47)*pop_in_building+(SUM(Construction!F47:L47)-Explore!S47*20)*pop_on_barren-(SUM(Construction!N47:AF47)-SUM(Construction!BW47:CN47))*(15-pop_on_barren)-pop_on_barren*Construction!BV47</f>
        <v>8800</v>
      </c>
      <c r="W47" s="152">
        <f t="shared" ca="1" si="6"/>
        <v>0</v>
      </c>
      <c r="X47" s="26">
        <f t="shared" ca="1" si="0"/>
        <v>118</v>
      </c>
      <c r="Y47" s="164">
        <f t="shared" ca="1" si="7"/>
        <v>118.35</v>
      </c>
      <c r="Z47" s="57">
        <f ca="1">IF(G47&lt;Military!Y47, ROUND($C47*IF(Magic!AW47=0,Constants!$B$51,Constants!$B$51*2),0), 0)</f>
        <v>0</v>
      </c>
      <c r="AA47" s="63"/>
      <c r="AB47" s="169">
        <f ca="1">Overview!$O$16 + IF(Magic!AK47&gt;0,Constants!$F$75) + ROUND(6*(Construction!BL48+Construction!CJ47)/IF(Explore!S48&gt;0,Construction!E48-20,Construction!E48),4)</f>
        <v>0</v>
      </c>
      <c r="AC47" s="540">
        <f ca="1">(Overview!$O$15 + Imps!Z47+MAX(Constants!$M$38*Techs!AE47,Constants!$M$50*Techs!AQ47)) * (1 + Production!O47/100*prestige_pop_multiplier) + Production!O47/100*prestige_pop_multiplier</f>
        <v>0.05</v>
      </c>
    </row>
    <row r="48" spans="1:29" s="16" customFormat="1">
      <c r="A48" s="987">
        <f>Rezone!J48</f>
        <v>46</v>
      </c>
      <c r="B48" s="589">
        <f>Imps!L48</f>
        <v>43693.874999999891</v>
      </c>
      <c r="C48" s="152">
        <f ca="1">$C47+$W47+Military!BE48 - IF(race="Demon",Military!G47*2,0)</f>
        <v>3945</v>
      </c>
      <c r="D48" s="26">
        <f ca="1">Military!B48</f>
        <v>5295</v>
      </c>
      <c r="E48" s="26">
        <f ca="1">Military!Z48</f>
        <v>3695</v>
      </c>
      <c r="F48" s="26">
        <f t="shared" ca="1" si="2"/>
        <v>9240</v>
      </c>
      <c r="G48" s="27">
        <f t="shared" ca="1" si="3"/>
        <v>0.57305194805194803</v>
      </c>
      <c r="H48" s="594">
        <f t="shared" ca="1" si="4"/>
        <v>3945</v>
      </c>
      <c r="I48" s="165">
        <f t="shared" ca="1" si="5"/>
        <v>1</v>
      </c>
      <c r="J48" s="676">
        <f>SUM(Construction!AY48:BH48,Construction!BJ48:BP48,Construction!BW48:CF48,Construction!CH48:CN48)*building_employment</f>
        <v>7600</v>
      </c>
      <c r="K48" s="635"/>
      <c r="L48" s="56">
        <f ca="1">Military!$Z48</f>
        <v>3695</v>
      </c>
      <c r="M48" s="26">
        <f>Military!E48</f>
        <v>0</v>
      </c>
      <c r="N48" s="26">
        <f>Military!F48</f>
        <v>0</v>
      </c>
      <c r="O48" s="26">
        <f>Military!G48</f>
        <v>1000</v>
      </c>
      <c r="P48" s="26">
        <f>Military!H48</f>
        <v>400</v>
      </c>
      <c r="Q48" s="26">
        <f>Military!I48</f>
        <v>100</v>
      </c>
      <c r="R48" s="26">
        <f>Military!J48</f>
        <v>100</v>
      </c>
      <c r="S48" s="57">
        <f>Military!K48</f>
        <v>0</v>
      </c>
      <c r="T48" s="52"/>
      <c r="U48" s="56">
        <f ca="1">ROUND($V48*(1+$AC48),0)+MIN(D48-E48-SUM(Military!AF48:AL48),barracks_size*Construction!BI48)</f>
        <v>9240</v>
      </c>
      <c r="V48" s="166">
        <f>(Construction!AX48+Construction!BV48)*pop_in_home+(SUM(Construction!AY48:BP48)+Construction!C48-Construction!BI48)*pop_in_building+(SUM(Construction!F48:L48)-Explore!S48*20)*pop_on_barren-(SUM(Construction!N48:AF48)-SUM(Construction!BW48:CN48))*(15-pop_on_barren)-pop_on_barren*Construction!BV48</f>
        <v>8800</v>
      </c>
      <c r="W48" s="152">
        <f t="shared" ca="1" si="6"/>
        <v>0</v>
      </c>
      <c r="X48" s="26">
        <f t="shared" ca="1" si="0"/>
        <v>118</v>
      </c>
      <c r="Y48" s="164">
        <f t="shared" ca="1" si="7"/>
        <v>118.35</v>
      </c>
      <c r="Z48" s="57">
        <f ca="1">IF(G48&lt;Military!Y48, ROUND($C48*IF(Magic!AW48=0,Constants!$B$51,Constants!$B$51*2),0), 0)</f>
        <v>0</v>
      </c>
      <c r="AA48" s="63"/>
      <c r="AB48" s="169">
        <f ca="1">Overview!$O$16 + IF(Magic!AK48&gt;0,Constants!$F$75) + ROUND(6*(Construction!BL49+Construction!CJ48)/IF(Explore!S49&gt;0,Construction!E49-20,Construction!E49),4)</f>
        <v>0</v>
      </c>
      <c r="AC48" s="540">
        <f ca="1">(Overview!$O$15 + Imps!Z48+MAX(Constants!$M$38*Techs!AE48,Constants!$M$50*Techs!AQ48)) * (1 + Production!O48/100*prestige_pop_multiplier) + Production!O48/100*prestige_pop_multiplier</f>
        <v>0.05</v>
      </c>
    </row>
    <row r="49" spans="1:29" s="16" customFormat="1">
      <c r="A49" s="987">
        <f>Rezone!J49</f>
        <v>47</v>
      </c>
      <c r="B49" s="589">
        <f>Imps!L49</f>
        <v>43693.916666666555</v>
      </c>
      <c r="C49" s="152">
        <f ca="1">$C48+$W48+Military!BE49 - IF(race="Demon",Military!G48*2,0)</f>
        <v>3945</v>
      </c>
      <c r="D49" s="26">
        <f ca="1">Military!B49</f>
        <v>5295</v>
      </c>
      <c r="E49" s="26">
        <f ca="1">Military!Z49</f>
        <v>3695</v>
      </c>
      <c r="F49" s="26">
        <f t="shared" ca="1" si="2"/>
        <v>9240</v>
      </c>
      <c r="G49" s="27">
        <f t="shared" ca="1" si="3"/>
        <v>0.57305194805194803</v>
      </c>
      <c r="H49" s="594">
        <f t="shared" ca="1" si="4"/>
        <v>3945</v>
      </c>
      <c r="I49" s="165">
        <f t="shared" ca="1" si="5"/>
        <v>1</v>
      </c>
      <c r="J49" s="676">
        <f>SUM(Construction!AY49:BH49,Construction!BJ49:BP49,Construction!BW49:CF49,Construction!CH49:CN49)*building_employment</f>
        <v>7600</v>
      </c>
      <c r="K49" s="635"/>
      <c r="L49" s="56">
        <f ca="1">Military!$Z49</f>
        <v>3695</v>
      </c>
      <c r="M49" s="26">
        <f>Military!E49</f>
        <v>0</v>
      </c>
      <c r="N49" s="26">
        <f>Military!F49</f>
        <v>0</v>
      </c>
      <c r="O49" s="26">
        <f>Military!G49</f>
        <v>1000</v>
      </c>
      <c r="P49" s="26">
        <f>Military!H49</f>
        <v>400</v>
      </c>
      <c r="Q49" s="26">
        <f>Military!I49</f>
        <v>100</v>
      </c>
      <c r="R49" s="26">
        <f>Military!J49</f>
        <v>100</v>
      </c>
      <c r="S49" s="57">
        <f>Military!K49</f>
        <v>0</v>
      </c>
      <c r="T49" s="52"/>
      <c r="U49" s="56">
        <f ca="1">ROUND($V49*(1+$AC49),0)+MIN(D49-E49-SUM(Military!AF49:AL49),barracks_size*Construction!BI49)</f>
        <v>9240</v>
      </c>
      <c r="V49" s="166">
        <f>(Construction!AX49+Construction!BV49)*pop_in_home+(SUM(Construction!AY49:BP49)+Construction!C49-Construction!BI49)*pop_in_building+(SUM(Construction!F49:L49)-Explore!S49*20)*pop_on_barren-(SUM(Construction!N49:AF49)-SUM(Construction!BW49:CN49))*(15-pop_on_barren)-pop_on_barren*Construction!BV49</f>
        <v>8800</v>
      </c>
      <c r="W49" s="152">
        <f t="shared" ca="1" si="6"/>
        <v>0</v>
      </c>
      <c r="X49" s="26">
        <f t="shared" ca="1" si="0"/>
        <v>118</v>
      </c>
      <c r="Y49" s="164">
        <f t="shared" ca="1" si="7"/>
        <v>118.35</v>
      </c>
      <c r="Z49" s="57">
        <f ca="1">IF(G49&lt;Military!Y49, ROUND($C49*IF(Magic!AW49=0,Constants!$B$51,Constants!$B$51*2),0), 0)</f>
        <v>0</v>
      </c>
      <c r="AA49" s="63"/>
      <c r="AB49" s="169">
        <f ca="1">Overview!$O$16 + IF(Magic!AK49&gt;0,Constants!$F$75) + ROUND(6*(Construction!BL50+Construction!CJ49)/IF(Explore!S50&gt;0,Construction!E50-20,Construction!E50),4)</f>
        <v>0</v>
      </c>
      <c r="AC49" s="540">
        <f ca="1">(Overview!$O$15 + Imps!Z49+MAX(Constants!$M$38*Techs!AE49,Constants!$M$50*Techs!AQ49)) * (1 + Production!O49/100*prestige_pop_multiplier) + Production!O49/100*prestige_pop_multiplier</f>
        <v>0.05</v>
      </c>
    </row>
    <row r="50" spans="1:29" s="16" customFormat="1" ht="13.5" thickBot="1">
      <c r="A50" s="987">
        <f>Rezone!J50</f>
        <v>48</v>
      </c>
      <c r="B50" s="589">
        <f>Imps!L50</f>
        <v>43693.958333333219</v>
      </c>
      <c r="C50" s="152">
        <f ca="1">$C49+$W49+Military!BE50 - IF(race="Demon",Military!G49*2,0)</f>
        <v>3945</v>
      </c>
      <c r="D50" s="26">
        <f ca="1">Military!B50</f>
        <v>5295</v>
      </c>
      <c r="E50" s="26">
        <f ca="1">Military!Z50</f>
        <v>3695</v>
      </c>
      <c r="F50" s="26">
        <f t="shared" ca="1" si="2"/>
        <v>9240</v>
      </c>
      <c r="G50" s="27">
        <f t="shared" ca="1" si="3"/>
        <v>0.57305194805194803</v>
      </c>
      <c r="H50" s="594">
        <f t="shared" ca="1" si="4"/>
        <v>3945</v>
      </c>
      <c r="I50" s="165">
        <f t="shared" ca="1" si="5"/>
        <v>1</v>
      </c>
      <c r="J50" s="676">
        <f>SUM(Construction!AY50:BH50,Construction!BJ50:BP50,Construction!BW50:CF50,Construction!CH50:CN50)*building_employment</f>
        <v>7600</v>
      </c>
      <c r="K50" s="635"/>
      <c r="L50" s="56">
        <f ca="1">Military!$Z50</f>
        <v>3695</v>
      </c>
      <c r="M50" s="26">
        <f>Military!E50</f>
        <v>0</v>
      </c>
      <c r="N50" s="26">
        <f>Military!F50</f>
        <v>0</v>
      </c>
      <c r="O50" s="26">
        <f>Military!G50</f>
        <v>1000</v>
      </c>
      <c r="P50" s="26">
        <f>Military!H50</f>
        <v>400</v>
      </c>
      <c r="Q50" s="26">
        <f>Military!I50</f>
        <v>100</v>
      </c>
      <c r="R50" s="26">
        <f>Military!J50</f>
        <v>100</v>
      </c>
      <c r="S50" s="57">
        <f>Military!K50</f>
        <v>0</v>
      </c>
      <c r="T50" s="52"/>
      <c r="U50" s="56">
        <f ca="1">ROUND($V50*(1+$AC50),0)+MIN(D50-E50-SUM(Military!AF50:AL50),barracks_size*Construction!BI50)</f>
        <v>9240</v>
      </c>
      <c r="V50" s="166">
        <f>(Construction!AX50+Construction!BV50)*pop_in_home+(SUM(Construction!AY50:BP50)+Construction!C50-Construction!BI50)*pop_in_building+(SUM(Construction!F50:L50)-Explore!S50*20)*pop_on_barren-(SUM(Construction!N50:AF50)-SUM(Construction!BW50:CN50))*(15-pop_on_barren)-pop_on_barren*Construction!BV50</f>
        <v>8800</v>
      </c>
      <c r="W50" s="152">
        <f t="shared" ca="1" si="6"/>
        <v>0</v>
      </c>
      <c r="X50" s="26">
        <f t="shared" ca="1" si="0"/>
        <v>118</v>
      </c>
      <c r="Y50" s="164">
        <f t="shared" ca="1" si="7"/>
        <v>118.35</v>
      </c>
      <c r="Z50" s="57">
        <f ca="1">IF(G50&lt;Military!Y50, ROUND($C50*IF(Magic!AW50=0,Constants!$B$51,Constants!$B$51*2),0), 0)</f>
        <v>0</v>
      </c>
      <c r="AA50" s="63"/>
      <c r="AB50" s="169">
        <f ca="1">Overview!$O$16 + IF(Magic!AK50&gt;0,Constants!$F$75) + ROUND(6*(Construction!BL51+Construction!CJ50)/IF(Explore!S51&gt;0,Construction!E51-20,Construction!E51),4)</f>
        <v>0</v>
      </c>
      <c r="AC50" s="540">
        <f ca="1">(Overview!$O$15 + Imps!Z50+MAX(Constants!$M$38*Techs!AE50,Constants!$M$50*Techs!AQ50)) * (1 + Production!O50/100*prestige_pop_multiplier) + Production!O50/100*prestige_pop_multiplier</f>
        <v>0.05</v>
      </c>
    </row>
    <row r="51" spans="1:29" s="111" customFormat="1" ht="14.25" thickTop="1" thickBot="1">
      <c r="A51" s="991">
        <f>Rezone!J51</f>
        <v>49</v>
      </c>
      <c r="B51" s="591">
        <f>Imps!L51</f>
        <v>43693.999999999884</v>
      </c>
      <c r="C51" s="273">
        <f ca="1">$C50+$W50+Military!BE51 - IF(race="Demon",Military!G50*2,0)</f>
        <v>3945</v>
      </c>
      <c r="D51" s="108">
        <f ca="1">Military!B51</f>
        <v>5295</v>
      </c>
      <c r="E51" s="108">
        <f ca="1">Military!Z51</f>
        <v>3695</v>
      </c>
      <c r="F51" s="108">
        <f t="shared" ca="1" si="2"/>
        <v>9240</v>
      </c>
      <c r="G51" s="114">
        <f t="shared" ca="1" si="3"/>
        <v>0.57305194805194803</v>
      </c>
      <c r="H51" s="597">
        <f t="shared" ca="1" si="4"/>
        <v>3945</v>
      </c>
      <c r="I51" s="542">
        <f t="shared" ca="1" si="5"/>
        <v>1</v>
      </c>
      <c r="J51" s="1057">
        <f>SUM(Construction!AY51:BH51,Construction!BJ51:BP51,Construction!BW51:CF51,Construction!CH51:CN51)*building_employment</f>
        <v>7600</v>
      </c>
      <c r="K51" s="637"/>
      <c r="L51" s="110">
        <f ca="1">Military!$Z51</f>
        <v>3695</v>
      </c>
      <c r="M51" s="108">
        <f>Military!E51</f>
        <v>0</v>
      </c>
      <c r="N51" s="108">
        <f>Military!F51</f>
        <v>0</v>
      </c>
      <c r="O51" s="108">
        <f>Military!G51</f>
        <v>1000</v>
      </c>
      <c r="P51" s="108">
        <f>Military!H51</f>
        <v>400</v>
      </c>
      <c r="Q51" s="108">
        <f>Military!I51</f>
        <v>100</v>
      </c>
      <c r="R51" s="108">
        <f>Military!J51</f>
        <v>100</v>
      </c>
      <c r="S51" s="109">
        <f>Military!K51</f>
        <v>0</v>
      </c>
      <c r="T51" s="113"/>
      <c r="U51" s="110">
        <f ca="1">ROUND($V51*(1+$AC51),0)+MIN(D51-E51-SUM(Military!AF51:AL51),barracks_size*Construction!BI51)</f>
        <v>9240</v>
      </c>
      <c r="V51" s="274">
        <f>(Construction!AX51+Construction!BV51)*pop_in_home+(SUM(Construction!AY51:BP51)+Construction!C51-Construction!BI51)*pop_in_building+(SUM(Construction!F51:L51)-Explore!S51*20)*pop_on_barren-(SUM(Construction!N51:AF51)-SUM(Construction!BW51:CN51))*(15-pop_on_barren)-pop_on_barren*Construction!BV51</f>
        <v>8800</v>
      </c>
      <c r="W51" s="273">
        <f t="shared" ca="1" si="6"/>
        <v>0</v>
      </c>
      <c r="X51" s="108">
        <f t="shared" ca="1" si="0"/>
        <v>118</v>
      </c>
      <c r="Y51" s="277">
        <f t="shared" ca="1" si="7"/>
        <v>118.35</v>
      </c>
      <c r="Z51" s="109">
        <f ca="1">IF(G51&lt;Military!Y51, ROUND($C51*IF(Magic!AW51=0,Constants!$B$51,Constants!$B$51*2),0), 0)</f>
        <v>0</v>
      </c>
      <c r="AA51" s="116"/>
      <c r="AB51" s="1177">
        <f ca="1">Overview!$O$16 + IF(Magic!AK51&gt;0,Constants!$F$75) + ROUND(6*(Construction!BL52+Construction!CJ51)/IF(Explore!S52&gt;0,Construction!E52-20,Construction!E52),4)</f>
        <v>0</v>
      </c>
      <c r="AC51" s="543">
        <f ca="1">(Overview!$O$15 + Imps!Z51+MAX(Constants!$M$38*Techs!AE51,Constants!$M$50*Techs!AQ51)) * (1 + Production!O51/100*prestige_pop_multiplier) + Production!O51/100*prestige_pop_multiplier</f>
        <v>0.05</v>
      </c>
    </row>
    <row r="52" spans="1:29" s="16" customFormat="1" ht="13.5" thickTop="1">
      <c r="A52" s="987">
        <f>Rezone!J52</f>
        <v>50</v>
      </c>
      <c r="B52" s="589">
        <f>Imps!L52</f>
        <v>43694.041666666548</v>
      </c>
      <c r="C52" s="152">
        <f ca="1">$C51+$W51+Military!BE52 - IF(race="Demon",Military!G51*2,0)</f>
        <v>3945</v>
      </c>
      <c r="D52" s="26">
        <f ca="1">Military!B52</f>
        <v>5295</v>
      </c>
      <c r="E52" s="26">
        <f ca="1">Military!Z52</f>
        <v>3695</v>
      </c>
      <c r="F52" s="26">
        <f t="shared" ca="1" si="2"/>
        <v>9240</v>
      </c>
      <c r="G52" s="27">
        <f t="shared" ca="1" si="3"/>
        <v>0.57305194805194803</v>
      </c>
      <c r="H52" s="594">
        <f t="shared" ca="1" si="4"/>
        <v>3945</v>
      </c>
      <c r="I52" s="165">
        <f t="shared" ca="1" si="5"/>
        <v>1</v>
      </c>
      <c r="J52" s="676">
        <f>SUM(Construction!AY52:BH52,Construction!BJ52:BP52,Construction!BW52:CF52,Construction!CH52:CN52)*building_employment</f>
        <v>7600</v>
      </c>
      <c r="K52" s="635"/>
      <c r="L52" s="56">
        <f ca="1">Military!$Z52</f>
        <v>3695</v>
      </c>
      <c r="M52" s="26">
        <f>Military!E52</f>
        <v>0</v>
      </c>
      <c r="N52" s="26">
        <f>Military!F52</f>
        <v>0</v>
      </c>
      <c r="O52" s="26">
        <f>Military!G52</f>
        <v>1000</v>
      </c>
      <c r="P52" s="26">
        <f>Military!H52</f>
        <v>400</v>
      </c>
      <c r="Q52" s="26">
        <f>Military!I52</f>
        <v>100</v>
      </c>
      <c r="R52" s="26">
        <f>Military!J52</f>
        <v>100</v>
      </c>
      <c r="S52" s="57">
        <f>Military!K52</f>
        <v>0</v>
      </c>
      <c r="T52" s="52"/>
      <c r="U52" s="56">
        <f ca="1">ROUND($V52*(1+$AC52),0)+MIN(D52-E52-SUM(Military!AF52:AL52),barracks_size*Construction!BI52)</f>
        <v>9240</v>
      </c>
      <c r="V52" s="166">
        <f>(Construction!AX52+Construction!BV52)*pop_in_home+(SUM(Construction!AY52:BP52)+Construction!C52-Construction!BI52)*pop_in_building+(SUM(Construction!F52:L52)-Explore!S52*20)*pop_on_barren-(SUM(Construction!N52:AF52)-SUM(Construction!BW52:CN52))*(15-pop_on_barren)-pop_on_barren*Construction!BV52</f>
        <v>8800</v>
      </c>
      <c r="W52" s="152">
        <f t="shared" ca="1" si="6"/>
        <v>0</v>
      </c>
      <c r="X52" s="26">
        <f t="shared" ca="1" si="0"/>
        <v>118</v>
      </c>
      <c r="Y52" s="164">
        <f t="shared" ca="1" si="7"/>
        <v>118.35</v>
      </c>
      <c r="Z52" s="57">
        <f ca="1">IF(G52&lt;Military!Y52, ROUND($C52*IF(Magic!AW52=0,Constants!$B$51,Constants!$B$51*2),0), 0)</f>
        <v>0</v>
      </c>
      <c r="AA52" s="63"/>
      <c r="AB52" s="169">
        <f ca="1">Overview!$O$16 + IF(Magic!AK52&gt;0,Constants!$F$75) + ROUND(6*(Construction!BL53+Construction!CJ52)/IF(Explore!S53&gt;0,Construction!E53-20,Construction!E53),4)</f>
        <v>0</v>
      </c>
      <c r="AC52" s="540">
        <f ca="1">(Overview!$O$15 + Imps!Z52+MAX(Constants!$M$38*Techs!AE52,Constants!$M$50*Techs!AQ52)) * (1 + Production!O52/100*prestige_pop_multiplier) + Production!O52/100*prestige_pop_multiplier</f>
        <v>0.05</v>
      </c>
    </row>
    <row r="53" spans="1:29" s="16" customFormat="1">
      <c r="A53" s="987">
        <f>Rezone!J53</f>
        <v>51</v>
      </c>
      <c r="B53" s="589">
        <f>Imps!L53</f>
        <v>43694.083333333212</v>
      </c>
      <c r="C53" s="152">
        <f ca="1">$C52+$W52+Military!BE53 - IF(race="Demon",Military!G52*2,0)</f>
        <v>3945</v>
      </c>
      <c r="D53" s="26">
        <f ca="1">Military!B53</f>
        <v>5295</v>
      </c>
      <c r="E53" s="26">
        <f ca="1">Military!Z53</f>
        <v>3695</v>
      </c>
      <c r="F53" s="26">
        <f t="shared" ca="1" si="2"/>
        <v>9240</v>
      </c>
      <c r="G53" s="27">
        <f t="shared" ca="1" si="3"/>
        <v>0.57305194805194803</v>
      </c>
      <c r="H53" s="594">
        <f t="shared" ca="1" si="4"/>
        <v>3945</v>
      </c>
      <c r="I53" s="165">
        <f t="shared" ca="1" si="5"/>
        <v>1</v>
      </c>
      <c r="J53" s="676">
        <f>SUM(Construction!AY53:BH53,Construction!BJ53:BP53,Construction!BW53:CF53,Construction!CH53:CN53)*building_employment</f>
        <v>7600</v>
      </c>
      <c r="K53" s="635"/>
      <c r="L53" s="56">
        <f ca="1">Military!$Z53</f>
        <v>3695</v>
      </c>
      <c r="M53" s="26">
        <f>Military!E53</f>
        <v>0</v>
      </c>
      <c r="N53" s="26">
        <f>Military!F53</f>
        <v>0</v>
      </c>
      <c r="O53" s="26">
        <f>Military!G53</f>
        <v>1000</v>
      </c>
      <c r="P53" s="26">
        <f>Military!H53</f>
        <v>400</v>
      </c>
      <c r="Q53" s="26">
        <f>Military!I53</f>
        <v>100</v>
      </c>
      <c r="R53" s="26">
        <f>Military!J53</f>
        <v>100</v>
      </c>
      <c r="S53" s="57">
        <f>Military!K53</f>
        <v>0</v>
      </c>
      <c r="T53" s="52"/>
      <c r="U53" s="56">
        <f ca="1">ROUND($V53*(1+$AC53),0)+MIN(D53-E53-SUM(Military!AF53:AL53),barracks_size*Construction!BI53)</f>
        <v>9240</v>
      </c>
      <c r="V53" s="166">
        <f>(Construction!AX53+Construction!BV53)*pop_in_home+(SUM(Construction!AY53:BP53)+Construction!C53-Construction!BI53)*pop_in_building+(SUM(Construction!F53:L53)-Explore!S53*20)*pop_on_barren-(SUM(Construction!N53:AF53)-SUM(Construction!BW53:CN53))*(15-pop_on_barren)-pop_on_barren*Construction!BV53</f>
        <v>8800</v>
      </c>
      <c r="W53" s="152">
        <f t="shared" ca="1" si="6"/>
        <v>0</v>
      </c>
      <c r="X53" s="26">
        <f t="shared" ca="1" si="0"/>
        <v>118</v>
      </c>
      <c r="Y53" s="164">
        <f t="shared" ca="1" si="7"/>
        <v>118.35</v>
      </c>
      <c r="Z53" s="57">
        <f ca="1">IF(G53&lt;Military!Y53, ROUND($C53*IF(Magic!AW53=0,Constants!$B$51,Constants!$B$51*2),0), 0)</f>
        <v>0</v>
      </c>
      <c r="AA53" s="63"/>
      <c r="AB53" s="169">
        <f ca="1">Overview!$O$16 + IF(Magic!AK53&gt;0,Constants!$F$75) + ROUND(6*(Construction!BL54+Construction!CJ53)/IF(Explore!S54&gt;0,Construction!E54-20,Construction!E54),4)</f>
        <v>0</v>
      </c>
      <c r="AC53" s="540">
        <f ca="1">(Overview!$O$15 + Imps!Z53+MAX(Constants!$M$38*Techs!AE53,Constants!$M$50*Techs!AQ53)) * (1 + Production!O53/100*prestige_pop_multiplier) + Production!O53/100*prestige_pop_multiplier</f>
        <v>0.05</v>
      </c>
    </row>
    <row r="54" spans="1:29" s="16" customFormat="1">
      <c r="A54" s="987">
        <f>Rezone!J54</f>
        <v>52</v>
      </c>
      <c r="B54" s="589">
        <f>Imps!L54</f>
        <v>43694.124999999876</v>
      </c>
      <c r="C54" s="152">
        <f ca="1">$C53+$W53+Military!BE54 - IF(race="Demon",Military!G53*2,0)</f>
        <v>3945</v>
      </c>
      <c r="D54" s="26">
        <f ca="1">Military!B54</f>
        <v>5295</v>
      </c>
      <c r="E54" s="26">
        <f ca="1">Military!Z54</f>
        <v>3695</v>
      </c>
      <c r="F54" s="26">
        <f t="shared" ca="1" si="2"/>
        <v>9240</v>
      </c>
      <c r="G54" s="27">
        <f t="shared" ca="1" si="3"/>
        <v>0.57305194805194803</v>
      </c>
      <c r="H54" s="594">
        <f t="shared" ca="1" si="4"/>
        <v>3945</v>
      </c>
      <c r="I54" s="165">
        <f t="shared" ca="1" si="5"/>
        <v>1</v>
      </c>
      <c r="J54" s="676">
        <f>SUM(Construction!AY54:BH54,Construction!BJ54:BP54,Construction!BW54:CF54,Construction!CH54:CN54)*building_employment</f>
        <v>7600</v>
      </c>
      <c r="K54" s="635"/>
      <c r="L54" s="56">
        <f ca="1">Military!$Z54</f>
        <v>3695</v>
      </c>
      <c r="M54" s="26">
        <f>Military!E54</f>
        <v>0</v>
      </c>
      <c r="N54" s="26">
        <f>Military!F54</f>
        <v>0</v>
      </c>
      <c r="O54" s="26">
        <f>Military!G54</f>
        <v>1000</v>
      </c>
      <c r="P54" s="26">
        <f>Military!H54</f>
        <v>400</v>
      </c>
      <c r="Q54" s="26">
        <f>Military!I54</f>
        <v>100</v>
      </c>
      <c r="R54" s="26">
        <f>Military!J54</f>
        <v>100</v>
      </c>
      <c r="S54" s="57">
        <f>Military!K54</f>
        <v>0</v>
      </c>
      <c r="T54" s="52"/>
      <c r="U54" s="56">
        <f ca="1">ROUND($V54*(1+$AC54),0)+MIN(D54-E54-SUM(Military!AF54:AL54),barracks_size*Construction!BI54)</f>
        <v>9240</v>
      </c>
      <c r="V54" s="166">
        <f>(Construction!AX54+Construction!BV54)*pop_in_home+(SUM(Construction!AY54:BP54)+Construction!C54-Construction!BI54)*pop_in_building+(SUM(Construction!F54:L54)-Explore!S54*20)*pop_on_barren-(SUM(Construction!N54:AF54)-SUM(Construction!BW54:CN54))*(15-pop_on_barren)-pop_on_barren*Construction!BV54</f>
        <v>8800</v>
      </c>
      <c r="W54" s="152">
        <f t="shared" ca="1" si="6"/>
        <v>0</v>
      </c>
      <c r="X54" s="26">
        <f t="shared" ca="1" si="0"/>
        <v>118</v>
      </c>
      <c r="Y54" s="164">
        <f t="shared" ca="1" si="7"/>
        <v>118.35</v>
      </c>
      <c r="Z54" s="57">
        <f ca="1">IF(G54&lt;Military!Y54, ROUND($C54*IF(Magic!AW54=0,Constants!$B$51,Constants!$B$51*2),0), 0)</f>
        <v>0</v>
      </c>
      <c r="AA54" s="63"/>
      <c r="AB54" s="169">
        <f ca="1">Overview!$O$16 + IF(Magic!AK54&gt;0,Constants!$F$75) + ROUND(6*(Construction!BL55+Construction!CJ54)/IF(Explore!S55&gt;0,Construction!E55-20,Construction!E55),4)</f>
        <v>0</v>
      </c>
      <c r="AC54" s="540">
        <f ca="1">(Overview!$O$15 + Imps!Z54+MAX(Constants!$M$38*Techs!AE54,Constants!$M$50*Techs!AQ54)) * (1 + Production!O54/100*prestige_pop_multiplier) + Production!O54/100*prestige_pop_multiplier</f>
        <v>0.05</v>
      </c>
    </row>
    <row r="55" spans="1:29" s="16" customFormat="1">
      <c r="A55" s="987">
        <f>Rezone!J55</f>
        <v>53</v>
      </c>
      <c r="B55" s="589">
        <f>Imps!L55</f>
        <v>43694.166666666541</v>
      </c>
      <c r="C55" s="152">
        <f ca="1">$C54+$W54+Military!BE55 - IF(race="Demon",Military!G54*2,0)</f>
        <v>3945</v>
      </c>
      <c r="D55" s="26">
        <f ca="1">Military!B55</f>
        <v>5295</v>
      </c>
      <c r="E55" s="26">
        <f ca="1">Military!Z55</f>
        <v>3695</v>
      </c>
      <c r="F55" s="26">
        <f t="shared" ca="1" si="2"/>
        <v>9240</v>
      </c>
      <c r="G55" s="27">
        <f t="shared" ca="1" si="3"/>
        <v>0.57305194805194803</v>
      </c>
      <c r="H55" s="594">
        <f t="shared" ca="1" si="4"/>
        <v>3945</v>
      </c>
      <c r="I55" s="165">
        <f t="shared" ca="1" si="5"/>
        <v>1</v>
      </c>
      <c r="J55" s="676">
        <f>SUM(Construction!AY55:BH55,Construction!BJ55:BP55,Construction!BW55:CF55,Construction!CH55:CN55)*building_employment</f>
        <v>7600</v>
      </c>
      <c r="K55" s="635"/>
      <c r="L55" s="56">
        <f ca="1">Military!$Z55</f>
        <v>3695</v>
      </c>
      <c r="M55" s="26">
        <f>Military!E55</f>
        <v>0</v>
      </c>
      <c r="N55" s="26">
        <f>Military!F55</f>
        <v>0</v>
      </c>
      <c r="O55" s="26">
        <f>Military!G55</f>
        <v>1000</v>
      </c>
      <c r="P55" s="26">
        <f>Military!H55</f>
        <v>400</v>
      </c>
      <c r="Q55" s="26">
        <f>Military!I55</f>
        <v>100</v>
      </c>
      <c r="R55" s="26">
        <f>Military!J55</f>
        <v>100</v>
      </c>
      <c r="S55" s="57">
        <f>Military!K55</f>
        <v>0</v>
      </c>
      <c r="T55" s="52"/>
      <c r="U55" s="56">
        <f ca="1">ROUND($V55*(1+$AC55),0)+MIN(D55-E55-SUM(Military!AF55:AL55),barracks_size*Construction!BI55)</f>
        <v>9240</v>
      </c>
      <c r="V55" s="166">
        <f>(Construction!AX55+Construction!BV55)*pop_in_home+(SUM(Construction!AY55:BP55)+Construction!C55-Construction!BI55)*pop_in_building+(SUM(Construction!F55:L55)-Explore!S55*20)*pop_on_barren-(SUM(Construction!N55:AF55)-SUM(Construction!BW55:CN55))*(15-pop_on_barren)-pop_on_barren*Construction!BV55</f>
        <v>8800</v>
      </c>
      <c r="W55" s="152">
        <f t="shared" ca="1" si="6"/>
        <v>0</v>
      </c>
      <c r="X55" s="26">
        <f t="shared" ca="1" si="0"/>
        <v>118</v>
      </c>
      <c r="Y55" s="164">
        <f t="shared" ca="1" si="7"/>
        <v>118.35</v>
      </c>
      <c r="Z55" s="57">
        <f ca="1">IF(G55&lt;Military!Y55, ROUND($C55*IF(Magic!AW55=0,Constants!$B$51,Constants!$B$51*2),0), 0)</f>
        <v>0</v>
      </c>
      <c r="AA55" s="63"/>
      <c r="AB55" s="169">
        <f ca="1">Overview!$O$16 + IF(Magic!AK55&gt;0,Constants!$F$75) + ROUND(6*(Construction!BL56+Construction!CJ55)/IF(Explore!S56&gt;0,Construction!E56-20,Construction!E56),4)</f>
        <v>0</v>
      </c>
      <c r="AC55" s="540">
        <f ca="1">(Overview!$O$15 + Imps!Z55+MAX(Constants!$M$38*Techs!AE55,Constants!$M$50*Techs!AQ55)) * (1 + Production!O55/100*prestige_pop_multiplier) + Production!O55/100*prestige_pop_multiplier</f>
        <v>0.05</v>
      </c>
    </row>
    <row r="56" spans="1:29" s="16" customFormat="1">
      <c r="A56" s="987">
        <f>Rezone!J56</f>
        <v>54</v>
      </c>
      <c r="B56" s="589">
        <f>Imps!L56</f>
        <v>43694.208333333205</v>
      </c>
      <c r="C56" s="152">
        <f ca="1">$C55+$W55+Military!BE56 - IF(race="Demon",Military!G55*2,0)</f>
        <v>3945</v>
      </c>
      <c r="D56" s="26">
        <f ca="1">Military!B56</f>
        <v>5295</v>
      </c>
      <c r="E56" s="26">
        <f ca="1">Military!Z56</f>
        <v>3695</v>
      </c>
      <c r="F56" s="26">
        <f t="shared" ca="1" si="2"/>
        <v>9240</v>
      </c>
      <c r="G56" s="27">
        <f t="shared" ca="1" si="3"/>
        <v>0.57305194805194803</v>
      </c>
      <c r="H56" s="594">
        <f t="shared" ca="1" si="4"/>
        <v>3945</v>
      </c>
      <c r="I56" s="165">
        <f t="shared" ca="1" si="5"/>
        <v>1</v>
      </c>
      <c r="J56" s="676">
        <f>SUM(Construction!AY56:BH56,Construction!BJ56:BP56,Construction!BW56:CF56,Construction!CH56:CN56)*building_employment</f>
        <v>7600</v>
      </c>
      <c r="K56" s="635"/>
      <c r="L56" s="56">
        <f ca="1">Military!$Z56</f>
        <v>3695</v>
      </c>
      <c r="M56" s="26">
        <f>Military!E56</f>
        <v>0</v>
      </c>
      <c r="N56" s="26">
        <f>Military!F56</f>
        <v>0</v>
      </c>
      <c r="O56" s="26">
        <f>Military!G56</f>
        <v>1000</v>
      </c>
      <c r="P56" s="26">
        <f>Military!H56</f>
        <v>400</v>
      </c>
      <c r="Q56" s="26">
        <f>Military!I56</f>
        <v>100</v>
      </c>
      <c r="R56" s="26">
        <f>Military!J56</f>
        <v>100</v>
      </c>
      <c r="S56" s="57">
        <f>Military!K56</f>
        <v>0</v>
      </c>
      <c r="T56" s="52"/>
      <c r="U56" s="56">
        <f ca="1">ROUND($V56*(1+$AC56),0)+MIN(D56-E56-SUM(Military!AF56:AL56),barracks_size*Construction!BI56)</f>
        <v>9240</v>
      </c>
      <c r="V56" s="166">
        <f>(Construction!AX56+Construction!BV56)*pop_in_home+(SUM(Construction!AY56:BP56)+Construction!C56-Construction!BI56)*pop_in_building+(SUM(Construction!F56:L56)-Explore!S56*20)*pop_on_barren-(SUM(Construction!N56:AF56)-SUM(Construction!BW56:CN56))*(15-pop_on_barren)-pop_on_barren*Construction!BV56</f>
        <v>8800</v>
      </c>
      <c r="W56" s="152">
        <f t="shared" ca="1" si="6"/>
        <v>0</v>
      </c>
      <c r="X56" s="26">
        <f t="shared" ca="1" si="0"/>
        <v>118</v>
      </c>
      <c r="Y56" s="164">
        <f t="shared" ca="1" si="7"/>
        <v>118.35</v>
      </c>
      <c r="Z56" s="57">
        <f ca="1">IF(G56&lt;Military!Y56, ROUND($C56*IF(Magic!AW56=0,Constants!$B$51,Constants!$B$51*2),0), 0)</f>
        <v>0</v>
      </c>
      <c r="AA56" s="63"/>
      <c r="AB56" s="169">
        <f ca="1">Overview!$O$16 + IF(Magic!AK56&gt;0,Constants!$F$75) + ROUND(6*(Construction!BL57+Construction!CJ56)/IF(Explore!S57&gt;0,Construction!E57-20,Construction!E57),4)</f>
        <v>0</v>
      </c>
      <c r="AC56" s="540">
        <f ca="1">(Overview!$O$15 + Imps!Z56+MAX(Constants!$M$38*Techs!AE56,Constants!$M$50*Techs!AQ56)) * (1 + Production!O56/100*prestige_pop_multiplier) + Production!O56/100*prestige_pop_multiplier</f>
        <v>0.05</v>
      </c>
    </row>
    <row r="57" spans="1:29" s="16" customFormat="1">
      <c r="A57" s="987">
        <f>Rezone!J57</f>
        <v>55</v>
      </c>
      <c r="B57" s="589">
        <f>Imps!L57</f>
        <v>43694.249999999869</v>
      </c>
      <c r="C57" s="152">
        <f ca="1">$C56+$W56+Military!BE57 - IF(race="Demon",Military!G56*2,0)</f>
        <v>3945</v>
      </c>
      <c r="D57" s="26">
        <f ca="1">Military!B57</f>
        <v>5295</v>
      </c>
      <c r="E57" s="26">
        <f ca="1">Military!Z57</f>
        <v>3695</v>
      </c>
      <c r="F57" s="26">
        <f t="shared" ca="1" si="2"/>
        <v>9240</v>
      </c>
      <c r="G57" s="27">
        <f t="shared" ca="1" si="3"/>
        <v>0.57305194805194803</v>
      </c>
      <c r="H57" s="594">
        <f t="shared" ca="1" si="4"/>
        <v>3945</v>
      </c>
      <c r="I57" s="165">
        <f t="shared" ca="1" si="5"/>
        <v>1</v>
      </c>
      <c r="J57" s="676">
        <f>SUM(Construction!AY57:BH57,Construction!BJ57:BP57,Construction!BW57:CF57,Construction!CH57:CN57)*building_employment</f>
        <v>7600</v>
      </c>
      <c r="K57" s="635"/>
      <c r="L57" s="56">
        <f ca="1">Military!$Z57</f>
        <v>3695</v>
      </c>
      <c r="M57" s="26">
        <f>Military!E57</f>
        <v>0</v>
      </c>
      <c r="N57" s="26">
        <f>Military!F57</f>
        <v>0</v>
      </c>
      <c r="O57" s="26">
        <f>Military!G57</f>
        <v>1000</v>
      </c>
      <c r="P57" s="26">
        <f>Military!H57</f>
        <v>400</v>
      </c>
      <c r="Q57" s="26">
        <f>Military!I57</f>
        <v>100</v>
      </c>
      <c r="R57" s="26">
        <f>Military!J57</f>
        <v>100</v>
      </c>
      <c r="S57" s="57">
        <f>Military!K57</f>
        <v>0</v>
      </c>
      <c r="T57" s="52"/>
      <c r="U57" s="56">
        <f ca="1">ROUND($V57*(1+$AC57),0)+MIN(D57-E57-SUM(Military!AF57:AL57),barracks_size*Construction!BI57)</f>
        <v>9240</v>
      </c>
      <c r="V57" s="166">
        <f>(Construction!AX57+Construction!BV57)*pop_in_home+(SUM(Construction!AY57:BP57)+Construction!C57-Construction!BI57)*pop_in_building+(SUM(Construction!F57:L57)-Explore!S57*20)*pop_on_barren-(SUM(Construction!N57:AF57)-SUM(Construction!BW57:CN57))*(15-pop_on_barren)-pop_on_barren*Construction!BV57</f>
        <v>8800</v>
      </c>
      <c r="W57" s="152">
        <f t="shared" ca="1" si="6"/>
        <v>0</v>
      </c>
      <c r="X57" s="26">
        <f t="shared" ca="1" si="0"/>
        <v>118</v>
      </c>
      <c r="Y57" s="164">
        <f t="shared" ca="1" si="7"/>
        <v>118.35</v>
      </c>
      <c r="Z57" s="57">
        <f ca="1">IF(G57&lt;Military!Y57, ROUND($C57*IF(Magic!AW57=0,Constants!$B$51,Constants!$B$51*2),0), 0)</f>
        <v>0</v>
      </c>
      <c r="AA57" s="63"/>
      <c r="AB57" s="169">
        <f ca="1">Overview!$O$16 + IF(Magic!AK57&gt;0,Constants!$F$75) + ROUND(6*(Construction!BL58+Construction!CJ57)/IF(Explore!S58&gt;0,Construction!E58-20,Construction!E58),4)</f>
        <v>0</v>
      </c>
      <c r="AC57" s="540">
        <f ca="1">(Overview!$O$15 + Imps!Z57+MAX(Constants!$M$38*Techs!AE57,Constants!$M$50*Techs!AQ57)) * (1 + Production!O57/100*prestige_pop_multiplier) + Production!O57/100*prestige_pop_multiplier</f>
        <v>0.05</v>
      </c>
    </row>
    <row r="58" spans="1:29" s="16" customFormat="1">
      <c r="A58" s="987">
        <f>Rezone!J58</f>
        <v>56</v>
      </c>
      <c r="B58" s="589">
        <f>Imps!L58</f>
        <v>43694.291666666533</v>
      </c>
      <c r="C58" s="152">
        <f ca="1">$C57+$W57+Military!BE58 - IF(race="Demon",Military!G57*2,0)</f>
        <v>3945</v>
      </c>
      <c r="D58" s="26">
        <f ca="1">Military!B58</f>
        <v>5295</v>
      </c>
      <c r="E58" s="26">
        <f ca="1">Military!Z58</f>
        <v>3695</v>
      </c>
      <c r="F58" s="26">
        <f t="shared" ca="1" si="2"/>
        <v>9240</v>
      </c>
      <c r="G58" s="27">
        <f t="shared" ca="1" si="3"/>
        <v>0.57305194805194803</v>
      </c>
      <c r="H58" s="594">
        <f t="shared" ca="1" si="4"/>
        <v>3945</v>
      </c>
      <c r="I58" s="165">
        <f t="shared" ca="1" si="5"/>
        <v>1</v>
      </c>
      <c r="J58" s="676">
        <f>SUM(Construction!AY58:BH58,Construction!BJ58:BP58,Construction!BW58:CF58,Construction!CH58:CN58)*building_employment</f>
        <v>7600</v>
      </c>
      <c r="K58" s="635"/>
      <c r="L58" s="56">
        <f ca="1">Military!$Z58</f>
        <v>3695</v>
      </c>
      <c r="M58" s="26">
        <f>Military!E58</f>
        <v>0</v>
      </c>
      <c r="N58" s="26">
        <f>Military!F58</f>
        <v>0</v>
      </c>
      <c r="O58" s="26">
        <f>Military!G58</f>
        <v>1000</v>
      </c>
      <c r="P58" s="26">
        <f>Military!H58</f>
        <v>400</v>
      </c>
      <c r="Q58" s="26">
        <f>Military!I58</f>
        <v>100</v>
      </c>
      <c r="R58" s="26">
        <f>Military!J58</f>
        <v>100</v>
      </c>
      <c r="S58" s="57">
        <f>Military!K58</f>
        <v>0</v>
      </c>
      <c r="T58" s="52"/>
      <c r="U58" s="56">
        <f ca="1">ROUND($V58*(1+$AC58),0)+MIN(D58-E58-SUM(Military!AF58:AL58),barracks_size*Construction!BI58)</f>
        <v>9240</v>
      </c>
      <c r="V58" s="166">
        <f>(Construction!AX58+Construction!BV58)*pop_in_home+(SUM(Construction!AY58:BP58)+Construction!C58-Construction!BI58)*pop_in_building+(SUM(Construction!F58:L58)-Explore!S58*20)*pop_on_barren-(SUM(Construction!N58:AF58)-SUM(Construction!BW58:CN58))*(15-pop_on_barren)-pop_on_barren*Construction!BV58</f>
        <v>8800</v>
      </c>
      <c r="W58" s="152">
        <f t="shared" ca="1" si="6"/>
        <v>0</v>
      </c>
      <c r="X58" s="26">
        <f t="shared" ca="1" si="0"/>
        <v>118</v>
      </c>
      <c r="Y58" s="164">
        <f t="shared" ca="1" si="7"/>
        <v>118.35</v>
      </c>
      <c r="Z58" s="57">
        <f ca="1">IF(G58&lt;Military!Y58, ROUND($C58*IF(Magic!AW58=0,Constants!$B$51,Constants!$B$51*2),0), 0)</f>
        <v>0</v>
      </c>
      <c r="AA58" s="63"/>
      <c r="AB58" s="169">
        <f ca="1">Overview!$O$16 + IF(Magic!AK58&gt;0,Constants!$F$75) + ROUND(6*(Construction!BL59+Construction!CJ58)/IF(Explore!S59&gt;0,Construction!E59-20,Construction!E59),4)</f>
        <v>0</v>
      </c>
      <c r="AC58" s="540">
        <f ca="1">(Overview!$O$15 + Imps!Z58+MAX(Constants!$M$38*Techs!AE58,Constants!$M$50*Techs!AQ58)) * (1 + Production!O58/100*prestige_pop_multiplier) + Production!O58/100*prestige_pop_multiplier</f>
        <v>0.05</v>
      </c>
    </row>
    <row r="59" spans="1:29" s="16" customFormat="1">
      <c r="A59" s="987">
        <f>Rezone!J59</f>
        <v>57</v>
      </c>
      <c r="B59" s="589">
        <f>Imps!L59</f>
        <v>43694.333333333198</v>
      </c>
      <c r="C59" s="152">
        <f ca="1">$C58+$W58+Military!BE59 - IF(race="Demon",Military!G58*2,0)</f>
        <v>3945</v>
      </c>
      <c r="D59" s="26">
        <f ca="1">Military!B59</f>
        <v>5295</v>
      </c>
      <c r="E59" s="26">
        <f ca="1">Military!Z59</f>
        <v>3695</v>
      </c>
      <c r="F59" s="26">
        <f t="shared" ca="1" si="2"/>
        <v>9240</v>
      </c>
      <c r="G59" s="27">
        <f t="shared" ca="1" si="3"/>
        <v>0.57305194805194803</v>
      </c>
      <c r="H59" s="594">
        <f t="shared" ca="1" si="4"/>
        <v>3945</v>
      </c>
      <c r="I59" s="165">
        <f t="shared" ca="1" si="5"/>
        <v>1</v>
      </c>
      <c r="J59" s="676">
        <f>SUM(Construction!AY59:BH59,Construction!BJ59:BP59,Construction!BW59:CF59,Construction!CH59:CN59)*building_employment</f>
        <v>7600</v>
      </c>
      <c r="K59" s="635"/>
      <c r="L59" s="56">
        <f ca="1">Military!$Z59</f>
        <v>3695</v>
      </c>
      <c r="M59" s="26">
        <f>Military!E59</f>
        <v>0</v>
      </c>
      <c r="N59" s="26">
        <f>Military!F59</f>
        <v>0</v>
      </c>
      <c r="O59" s="26">
        <f>Military!G59</f>
        <v>1000</v>
      </c>
      <c r="P59" s="26">
        <f>Military!H59</f>
        <v>400</v>
      </c>
      <c r="Q59" s="26">
        <f>Military!I59</f>
        <v>100</v>
      </c>
      <c r="R59" s="26">
        <f>Military!J59</f>
        <v>100</v>
      </c>
      <c r="S59" s="57">
        <f>Military!K59</f>
        <v>0</v>
      </c>
      <c r="T59" s="52"/>
      <c r="U59" s="56">
        <f ca="1">ROUND($V59*(1+$AC59),0)+MIN(D59-E59-SUM(Military!AF59:AL59),barracks_size*Construction!BI59)</f>
        <v>9240</v>
      </c>
      <c r="V59" s="166">
        <f>(Construction!AX59+Construction!BV59)*pop_in_home+(SUM(Construction!AY59:BP59)+Construction!C59-Construction!BI59)*pop_in_building+(SUM(Construction!F59:L59)-Explore!S59*20)*pop_on_barren-(SUM(Construction!N59:AF59)-SUM(Construction!BW59:CN59))*(15-pop_on_barren)-pop_on_barren*Construction!BV59</f>
        <v>8800</v>
      </c>
      <c r="W59" s="152">
        <f t="shared" ca="1" si="6"/>
        <v>0</v>
      </c>
      <c r="X59" s="26">
        <f t="shared" ca="1" si="0"/>
        <v>118</v>
      </c>
      <c r="Y59" s="164">
        <f t="shared" ca="1" si="7"/>
        <v>118.35</v>
      </c>
      <c r="Z59" s="57">
        <f ca="1">IF(G59&lt;Military!Y59, ROUND($C59*IF(Magic!AW59=0,Constants!$B$51,Constants!$B$51*2),0), 0)</f>
        <v>0</v>
      </c>
      <c r="AA59" s="63"/>
      <c r="AB59" s="169">
        <f ca="1">Overview!$O$16 + IF(Magic!AK59&gt;0,Constants!$F$75) + ROUND(6*(Construction!BL60+Construction!CJ59)/IF(Explore!S60&gt;0,Construction!E60-20,Construction!E60),4)</f>
        <v>0</v>
      </c>
      <c r="AC59" s="540">
        <f ca="1">(Overview!$O$15 + Imps!Z59+MAX(Constants!$M$38*Techs!AE59,Constants!$M$50*Techs!AQ59)) * (1 + Production!O59/100*prestige_pop_multiplier) + Production!O59/100*prestige_pop_multiplier</f>
        <v>0.05</v>
      </c>
    </row>
    <row r="60" spans="1:29" s="16" customFormat="1">
      <c r="A60" s="987">
        <f>Rezone!J60</f>
        <v>58</v>
      </c>
      <c r="B60" s="589">
        <f>Imps!L60</f>
        <v>43694.374999999862</v>
      </c>
      <c r="C60" s="152">
        <f ca="1">$C59+$W59+Military!BE60 - IF(race="Demon",Military!G59*2,0)</f>
        <v>3945</v>
      </c>
      <c r="D60" s="26">
        <f ca="1">Military!B60</f>
        <v>5295</v>
      </c>
      <c r="E60" s="26">
        <f ca="1">Military!Z60</f>
        <v>3695</v>
      </c>
      <c r="F60" s="26">
        <f t="shared" ca="1" si="2"/>
        <v>9240</v>
      </c>
      <c r="G60" s="27">
        <f t="shared" ca="1" si="3"/>
        <v>0.57305194805194803</v>
      </c>
      <c r="H60" s="594">
        <f t="shared" ca="1" si="4"/>
        <v>3945</v>
      </c>
      <c r="I60" s="165">
        <f t="shared" ca="1" si="5"/>
        <v>1</v>
      </c>
      <c r="J60" s="676">
        <f>SUM(Construction!AY60:BH60,Construction!BJ60:BP60,Construction!BW60:CF60,Construction!CH60:CN60)*building_employment</f>
        <v>7600</v>
      </c>
      <c r="K60" s="635"/>
      <c r="L60" s="56">
        <f ca="1">Military!$Z60</f>
        <v>3695</v>
      </c>
      <c r="M60" s="26">
        <f>Military!E60</f>
        <v>0</v>
      </c>
      <c r="N60" s="26">
        <f>Military!F60</f>
        <v>0</v>
      </c>
      <c r="O60" s="26">
        <f>Military!G60</f>
        <v>1000</v>
      </c>
      <c r="P60" s="26">
        <f>Military!H60</f>
        <v>400</v>
      </c>
      <c r="Q60" s="26">
        <f>Military!I60</f>
        <v>100</v>
      </c>
      <c r="R60" s="26">
        <f>Military!J60</f>
        <v>100</v>
      </c>
      <c r="S60" s="57">
        <f>Military!K60</f>
        <v>0</v>
      </c>
      <c r="T60" s="52"/>
      <c r="U60" s="56">
        <f ca="1">ROUND($V60*(1+$AC60),0)+MIN(D60-E60-SUM(Military!AF60:AL60),barracks_size*Construction!BI60)</f>
        <v>9240</v>
      </c>
      <c r="V60" s="166">
        <f>(Construction!AX60+Construction!BV60)*pop_in_home+(SUM(Construction!AY60:BP60)+Construction!C60-Construction!BI60)*pop_in_building+(SUM(Construction!F60:L60)-Explore!S60*20)*pop_on_barren-(SUM(Construction!N60:AF60)-SUM(Construction!BW60:CN60))*(15-pop_on_barren)-pop_on_barren*Construction!BV60</f>
        <v>8800</v>
      </c>
      <c r="W60" s="152">
        <f t="shared" ca="1" si="6"/>
        <v>0</v>
      </c>
      <c r="X60" s="26">
        <f t="shared" ca="1" si="0"/>
        <v>118</v>
      </c>
      <c r="Y60" s="164">
        <f t="shared" ca="1" si="7"/>
        <v>118.35</v>
      </c>
      <c r="Z60" s="57">
        <f ca="1">IF(G60&lt;Military!Y60, ROUND($C60*IF(Magic!AW60=0,Constants!$B$51,Constants!$B$51*2),0), 0)</f>
        <v>0</v>
      </c>
      <c r="AA60" s="63"/>
      <c r="AB60" s="169">
        <f ca="1">Overview!$O$16 + IF(Magic!AK60&gt;0,Constants!$F$75) + ROUND(6*(Construction!BL61+Construction!CJ60)/IF(Explore!S61&gt;0,Construction!E61-20,Construction!E61),4)</f>
        <v>0</v>
      </c>
      <c r="AC60" s="540">
        <f ca="1">(Overview!$O$15 + Imps!Z60+MAX(Constants!$M$38*Techs!AE60,Constants!$M$50*Techs!AQ60)) * (1 + Production!O60/100*prestige_pop_multiplier) + Production!O60/100*prestige_pop_multiplier</f>
        <v>0.05</v>
      </c>
    </row>
    <row r="61" spans="1:29" s="16" customFormat="1">
      <c r="A61" s="987">
        <f>Rezone!J61</f>
        <v>59</v>
      </c>
      <c r="B61" s="589">
        <f>Imps!L61</f>
        <v>43694.416666666526</v>
      </c>
      <c r="C61" s="152">
        <f ca="1">$C60+$W60+Military!BE61 - IF(race="Demon",Military!G60*2,0)</f>
        <v>3945</v>
      </c>
      <c r="D61" s="26">
        <f ca="1">Military!B61</f>
        <v>5295</v>
      </c>
      <c r="E61" s="26">
        <f ca="1">Military!Z61</f>
        <v>3695</v>
      </c>
      <c r="F61" s="26">
        <f t="shared" ca="1" si="2"/>
        <v>9240</v>
      </c>
      <c r="G61" s="27">
        <f t="shared" ca="1" si="3"/>
        <v>0.57305194805194803</v>
      </c>
      <c r="H61" s="594">
        <f t="shared" ca="1" si="4"/>
        <v>3945</v>
      </c>
      <c r="I61" s="165">
        <f t="shared" ca="1" si="5"/>
        <v>1</v>
      </c>
      <c r="J61" s="676">
        <f>SUM(Construction!AY61:BH61,Construction!BJ61:BP61,Construction!BW61:CF61,Construction!CH61:CN61)*building_employment</f>
        <v>7600</v>
      </c>
      <c r="K61" s="635"/>
      <c r="L61" s="56">
        <f ca="1">Military!$Z61</f>
        <v>3695</v>
      </c>
      <c r="M61" s="26">
        <f>Military!E61</f>
        <v>0</v>
      </c>
      <c r="N61" s="26">
        <f>Military!F61</f>
        <v>0</v>
      </c>
      <c r="O61" s="26">
        <f>Military!G61</f>
        <v>1000</v>
      </c>
      <c r="P61" s="26">
        <f>Military!H61</f>
        <v>400</v>
      </c>
      <c r="Q61" s="26">
        <f>Military!I61</f>
        <v>100</v>
      </c>
      <c r="R61" s="26">
        <f>Military!J61</f>
        <v>100</v>
      </c>
      <c r="S61" s="57">
        <f>Military!K61</f>
        <v>0</v>
      </c>
      <c r="T61" s="52"/>
      <c r="U61" s="56">
        <f ca="1">ROUND($V61*(1+$AC61),0)+MIN(D61-E61-SUM(Military!AF61:AL61),barracks_size*Construction!BI61)</f>
        <v>9240</v>
      </c>
      <c r="V61" s="166">
        <f>(Construction!AX61+Construction!BV61)*pop_in_home+(SUM(Construction!AY61:BP61)+Construction!C61-Construction!BI61)*pop_in_building+(SUM(Construction!F61:L61)-Explore!S61*20)*pop_on_barren-(SUM(Construction!N61:AF61)-SUM(Construction!BW61:CN61))*(15-pop_on_barren)-pop_on_barren*Construction!BV61</f>
        <v>8800</v>
      </c>
      <c r="W61" s="152">
        <f t="shared" ca="1" si="6"/>
        <v>0</v>
      </c>
      <c r="X61" s="26">
        <f t="shared" ca="1" si="0"/>
        <v>118</v>
      </c>
      <c r="Y61" s="164">
        <f t="shared" ca="1" si="7"/>
        <v>118.35</v>
      </c>
      <c r="Z61" s="57">
        <f ca="1">IF(G61&lt;Military!Y61, ROUND($C61*IF(Magic!AW61=0,Constants!$B$51,Constants!$B$51*2),0), 0)</f>
        <v>0</v>
      </c>
      <c r="AA61" s="63"/>
      <c r="AB61" s="169">
        <f ca="1">Overview!$O$16 + IF(Magic!AK61&gt;0,Constants!$F$75) + ROUND(6*(Construction!BL62+Construction!CJ61)/IF(Explore!S62&gt;0,Construction!E62-20,Construction!E62),4)</f>
        <v>0</v>
      </c>
      <c r="AC61" s="540">
        <f ca="1">(Overview!$O$15 + Imps!Z61+MAX(Constants!$M$38*Techs!AE61,Constants!$M$50*Techs!AQ61)) * (1 + Production!O61/100*prestige_pop_multiplier) + Production!O61/100*prestige_pop_multiplier</f>
        <v>0.05</v>
      </c>
    </row>
    <row r="62" spans="1:29" s="16" customFormat="1">
      <c r="A62" s="987">
        <f>Rezone!J62</f>
        <v>60</v>
      </c>
      <c r="B62" s="589">
        <f>Imps!L62</f>
        <v>43694.45833333319</v>
      </c>
      <c r="C62" s="152">
        <f ca="1">$C61+$W61+Military!BE62 - IF(race="Demon",Military!G61*2,0)</f>
        <v>3945</v>
      </c>
      <c r="D62" s="26">
        <f ca="1">Military!B62</f>
        <v>5295</v>
      </c>
      <c r="E62" s="26">
        <f ca="1">Military!Z62</f>
        <v>3695</v>
      </c>
      <c r="F62" s="26">
        <f t="shared" ca="1" si="2"/>
        <v>9240</v>
      </c>
      <c r="G62" s="27">
        <f t="shared" ca="1" si="3"/>
        <v>0.57305194805194803</v>
      </c>
      <c r="H62" s="594">
        <f t="shared" ca="1" si="4"/>
        <v>3945</v>
      </c>
      <c r="I62" s="165">
        <f t="shared" ca="1" si="5"/>
        <v>1</v>
      </c>
      <c r="J62" s="676">
        <f>SUM(Construction!AY62:BH62,Construction!BJ62:BP62,Construction!BW62:CF62,Construction!CH62:CN62)*building_employment</f>
        <v>7600</v>
      </c>
      <c r="K62" s="635"/>
      <c r="L62" s="56">
        <f ca="1">Military!$Z62</f>
        <v>3695</v>
      </c>
      <c r="M62" s="26">
        <f>Military!E62</f>
        <v>0</v>
      </c>
      <c r="N62" s="26">
        <f>Military!F62</f>
        <v>0</v>
      </c>
      <c r="O62" s="26">
        <f>Military!G62</f>
        <v>1000</v>
      </c>
      <c r="P62" s="26">
        <f>Military!H62</f>
        <v>400</v>
      </c>
      <c r="Q62" s="26">
        <f>Military!I62</f>
        <v>100</v>
      </c>
      <c r="R62" s="26">
        <f>Military!J62</f>
        <v>100</v>
      </c>
      <c r="S62" s="57">
        <f>Military!K62</f>
        <v>0</v>
      </c>
      <c r="T62" s="52"/>
      <c r="U62" s="56">
        <f ca="1">ROUND($V62*(1+$AC62),0)+MIN(D62-E62-SUM(Military!AF62:AL62),barracks_size*Construction!BI62)</f>
        <v>9240</v>
      </c>
      <c r="V62" s="166">
        <f>(Construction!AX62+Construction!BV62)*pop_in_home+(SUM(Construction!AY62:BP62)+Construction!C62-Construction!BI62)*pop_in_building+(SUM(Construction!F62:L62)-Explore!S62*20)*pop_on_barren-(SUM(Construction!N62:AF62)-SUM(Construction!BW62:CN62))*(15-pop_on_barren)-pop_on_barren*Construction!BV62</f>
        <v>8800</v>
      </c>
      <c r="W62" s="152">
        <f t="shared" ca="1" si="6"/>
        <v>0</v>
      </c>
      <c r="X62" s="26">
        <f t="shared" ca="1" si="0"/>
        <v>118</v>
      </c>
      <c r="Y62" s="164">
        <f t="shared" ca="1" si="7"/>
        <v>118.35</v>
      </c>
      <c r="Z62" s="57">
        <f ca="1">IF(G62&lt;Military!Y62, ROUND($C62*IF(Magic!AW62=0,Constants!$B$51,Constants!$B$51*2),0), 0)</f>
        <v>0</v>
      </c>
      <c r="AA62" s="63"/>
      <c r="AB62" s="169">
        <f ca="1">Overview!$O$16 + IF(Magic!AK62&gt;0,Constants!$F$75) + ROUND(6*(Construction!BL63+Construction!CJ62)/IF(Explore!S63&gt;0,Construction!E63-20,Construction!E63),4)</f>
        <v>0</v>
      </c>
      <c r="AC62" s="540">
        <f ca="1">(Overview!$O$15 + Imps!Z62+MAX(Constants!$M$38*Techs!AE62,Constants!$M$50*Techs!AQ62)) * (1 + Production!O62/100*prestige_pop_multiplier) + Production!O62/100*prestige_pop_multiplier</f>
        <v>0.05</v>
      </c>
    </row>
    <row r="63" spans="1:29" s="12" customFormat="1">
      <c r="A63" s="990">
        <f>Rezone!J63</f>
        <v>61</v>
      </c>
      <c r="B63" s="588">
        <f>Imps!L63</f>
        <v>43694.499999999854</v>
      </c>
      <c r="C63" s="151">
        <f ca="1">$C62+$W62+Military!BE63 - IF(race="Demon",Military!G62*2,0)</f>
        <v>3945</v>
      </c>
      <c r="D63" s="13">
        <f ca="1">Military!B63</f>
        <v>5295</v>
      </c>
      <c r="E63" s="13">
        <f ca="1">Military!Z63</f>
        <v>3695</v>
      </c>
      <c r="F63" s="13">
        <f t="shared" ca="1" si="2"/>
        <v>9240</v>
      </c>
      <c r="G63" s="14">
        <f t="shared" ca="1" si="3"/>
        <v>0.57305194805194803</v>
      </c>
      <c r="H63" s="596">
        <f t="shared" ca="1" si="4"/>
        <v>3945</v>
      </c>
      <c r="I63" s="154">
        <f t="shared" ca="1" si="5"/>
        <v>1</v>
      </c>
      <c r="J63" s="1055">
        <f>SUM(Construction!AY63:BH63,Construction!BJ63:BP63,Construction!BW63:CF63,Construction!CH63:CN63)*building_employment</f>
        <v>7600</v>
      </c>
      <c r="K63" s="755"/>
      <c r="L63" s="54">
        <f ca="1">Military!$Z63</f>
        <v>3695</v>
      </c>
      <c r="M63" s="13">
        <f>Military!E63</f>
        <v>0</v>
      </c>
      <c r="N63" s="13">
        <f>Military!F63</f>
        <v>0</v>
      </c>
      <c r="O63" s="13">
        <f>Military!G63</f>
        <v>1000</v>
      </c>
      <c r="P63" s="13">
        <f>Military!H63</f>
        <v>400</v>
      </c>
      <c r="Q63" s="13">
        <f>Military!I63</f>
        <v>100</v>
      </c>
      <c r="R63" s="13">
        <f>Military!J63</f>
        <v>100</v>
      </c>
      <c r="S63" s="55">
        <f>Military!K63</f>
        <v>0</v>
      </c>
      <c r="T63" s="50"/>
      <c r="U63" s="54">
        <f ca="1">ROUND($V63*(1+$AC63),0)+MIN(D63-E63-SUM(Military!AF63:AL63),barracks_size*Construction!BI63)</f>
        <v>9240</v>
      </c>
      <c r="V63" s="158">
        <f>(Construction!AX63+Construction!BV63)*pop_in_home+(SUM(Construction!AY63:BP63)+Construction!C63-Construction!BI63)*pop_in_building+(SUM(Construction!F63:L63)-Explore!S63*20)*pop_on_barren-(SUM(Construction!N63:AF63)-SUM(Construction!BW63:CN63))*(15-pop_on_barren)-pop_on_barren*Construction!BV63</f>
        <v>8800</v>
      </c>
      <c r="W63" s="151">
        <f t="shared" ca="1" si="6"/>
        <v>0</v>
      </c>
      <c r="X63" s="13">
        <f t="shared" ca="1" si="0"/>
        <v>118</v>
      </c>
      <c r="Y63" s="153">
        <f t="shared" ca="1" si="7"/>
        <v>118.35</v>
      </c>
      <c r="Z63" s="55">
        <f ca="1">IF(G63&lt;Military!Y63, ROUND($C63*IF(Magic!AW63=0,Constants!$B$51,Constants!$B$51*2),0), 0)</f>
        <v>0</v>
      </c>
      <c r="AA63" s="286"/>
      <c r="AB63" s="161">
        <f ca="1">Overview!$O$16 + IF(Magic!AK63&gt;0,Constants!$F$75) + ROUND(6*(Construction!BL64+Construction!CJ63)/IF(Explore!S64&gt;0,Construction!E64-20,Construction!E64),4)</f>
        <v>0</v>
      </c>
      <c r="AC63" s="155">
        <f ca="1">(Overview!$O$15 + Imps!Z63+MAX(Constants!$M$38*Techs!AE63,Constants!$M$50*Techs!AQ63)) * (1 + Production!O63/100*prestige_pop_multiplier) + Production!O63/100*prestige_pop_multiplier</f>
        <v>0.05</v>
      </c>
    </row>
    <row r="64" spans="1:29" s="16" customFormat="1">
      <c r="A64" s="987">
        <f>Rezone!J64</f>
        <v>62</v>
      </c>
      <c r="B64" s="589">
        <f>Imps!L64</f>
        <v>43694.541666666519</v>
      </c>
      <c r="C64" s="152">
        <f ca="1">$C63+$W63+Military!BE64 - IF(race="Demon",Military!G63*2,0)</f>
        <v>3945</v>
      </c>
      <c r="D64" s="26">
        <f ca="1">Military!B64</f>
        <v>5295</v>
      </c>
      <c r="E64" s="26">
        <f ca="1">Military!Z64</f>
        <v>3695</v>
      </c>
      <c r="F64" s="26">
        <f t="shared" ca="1" si="2"/>
        <v>9240</v>
      </c>
      <c r="G64" s="27">
        <f t="shared" ca="1" si="3"/>
        <v>0.57305194805194803</v>
      </c>
      <c r="H64" s="594">
        <f t="shared" ca="1" si="4"/>
        <v>3945</v>
      </c>
      <c r="I64" s="165">
        <f t="shared" ca="1" si="5"/>
        <v>1</v>
      </c>
      <c r="J64" s="676">
        <f>SUM(Construction!AY64:BH64,Construction!BJ64:BP64,Construction!BW64:CF64,Construction!CH64:CN64)*building_employment</f>
        <v>7600</v>
      </c>
      <c r="K64" s="635"/>
      <c r="L64" s="56">
        <f ca="1">Military!$Z64</f>
        <v>3695</v>
      </c>
      <c r="M64" s="26">
        <f>Military!E64</f>
        <v>0</v>
      </c>
      <c r="N64" s="26">
        <f>Military!F64</f>
        <v>0</v>
      </c>
      <c r="O64" s="26">
        <f>Military!G64</f>
        <v>1000</v>
      </c>
      <c r="P64" s="26">
        <f>Military!H64</f>
        <v>400</v>
      </c>
      <c r="Q64" s="26">
        <f>Military!I64</f>
        <v>100</v>
      </c>
      <c r="R64" s="26">
        <f>Military!J64</f>
        <v>100</v>
      </c>
      <c r="S64" s="57">
        <f>Military!K64</f>
        <v>0</v>
      </c>
      <c r="T64" s="52"/>
      <c r="U64" s="56">
        <f ca="1">ROUND($V64*(1+$AC64),0)+MIN(D64-E64-SUM(Military!AF64:AL64),barracks_size*Construction!BI64)</f>
        <v>9240</v>
      </c>
      <c r="V64" s="166">
        <f>(Construction!AX64+Construction!BV64)*pop_in_home+(SUM(Construction!AY64:BP64)+Construction!C64-Construction!BI64)*pop_in_building+(SUM(Construction!F64:L64)-Explore!S64*20)*pop_on_barren-(SUM(Construction!N64:AF64)-SUM(Construction!BW64:CN64))*(15-pop_on_barren)-pop_on_barren*Construction!BV64</f>
        <v>8800</v>
      </c>
      <c r="W64" s="152">
        <f t="shared" ca="1" si="6"/>
        <v>0</v>
      </c>
      <c r="X64" s="26">
        <f t="shared" ca="1" si="0"/>
        <v>118</v>
      </c>
      <c r="Y64" s="164">
        <f t="shared" ca="1" si="7"/>
        <v>118.35</v>
      </c>
      <c r="Z64" s="57">
        <f ca="1">IF(G64&lt;Military!Y64, ROUND($C64*IF(Magic!AW64=0,Constants!$B$51,Constants!$B$51*2),0), 0)</f>
        <v>0</v>
      </c>
      <c r="AA64" s="63"/>
      <c r="AB64" s="169">
        <f ca="1">Overview!$O$16 + IF(Magic!AK64&gt;0,Constants!$F$75) + ROUND(6*(Construction!BL65+Construction!CJ64)/IF(Explore!S65&gt;0,Construction!E65-20,Construction!E65),4)</f>
        <v>0</v>
      </c>
      <c r="AC64" s="540">
        <f ca="1">(Overview!$O$15 + Imps!Z64+MAX(Constants!$M$38*Techs!AE64,Constants!$M$50*Techs!AQ64)) * (1 + Production!O64/100*prestige_pop_multiplier) + Production!O64/100*prestige_pop_multiplier</f>
        <v>0.05</v>
      </c>
    </row>
    <row r="65" spans="1:29" s="16" customFormat="1">
      <c r="A65" s="987">
        <f>Rezone!J65</f>
        <v>63</v>
      </c>
      <c r="B65" s="589">
        <f>Imps!L65</f>
        <v>43694.583333333183</v>
      </c>
      <c r="C65" s="152">
        <f ca="1">$C64+$W64+Military!BE65 - IF(race="Demon",Military!G64*2,0)</f>
        <v>3945</v>
      </c>
      <c r="D65" s="26">
        <f ca="1">Military!B65</f>
        <v>5295</v>
      </c>
      <c r="E65" s="26">
        <f ca="1">Military!Z65</f>
        <v>3695</v>
      </c>
      <c r="F65" s="26">
        <f t="shared" ca="1" si="2"/>
        <v>9240</v>
      </c>
      <c r="G65" s="27">
        <f t="shared" ca="1" si="3"/>
        <v>0.57305194805194803</v>
      </c>
      <c r="H65" s="594">
        <f t="shared" ca="1" si="4"/>
        <v>3945</v>
      </c>
      <c r="I65" s="165">
        <f t="shared" ca="1" si="5"/>
        <v>1</v>
      </c>
      <c r="J65" s="676">
        <f>SUM(Construction!AY65:BH65,Construction!BJ65:BP65,Construction!BW65:CF65,Construction!CH65:CN65)*building_employment</f>
        <v>7600</v>
      </c>
      <c r="K65" s="635"/>
      <c r="L65" s="56">
        <f ca="1">Military!$Z65</f>
        <v>3695</v>
      </c>
      <c r="M65" s="26">
        <f>Military!E65</f>
        <v>0</v>
      </c>
      <c r="N65" s="26">
        <f>Military!F65</f>
        <v>0</v>
      </c>
      <c r="O65" s="26">
        <f>Military!G65</f>
        <v>1000</v>
      </c>
      <c r="P65" s="26">
        <f>Military!H65</f>
        <v>400</v>
      </c>
      <c r="Q65" s="26">
        <f>Military!I65</f>
        <v>100</v>
      </c>
      <c r="R65" s="26">
        <f>Military!J65</f>
        <v>100</v>
      </c>
      <c r="S65" s="57">
        <f>Military!K65</f>
        <v>0</v>
      </c>
      <c r="T65" s="52"/>
      <c r="U65" s="56">
        <f ca="1">ROUND($V65*(1+$AC65),0)+MIN(D65-E65-SUM(Military!AF65:AL65),barracks_size*Construction!BI65)</f>
        <v>9240</v>
      </c>
      <c r="V65" s="166">
        <f>(Construction!AX65+Construction!BV65)*pop_in_home+(SUM(Construction!AY65:BP65)+Construction!C65-Construction!BI65)*pop_in_building+(SUM(Construction!F65:L65)-Explore!S65*20)*pop_on_barren-(SUM(Construction!N65:AF65)-SUM(Construction!BW65:CN65))*(15-pop_on_barren)-pop_on_barren*Construction!BV65</f>
        <v>8800</v>
      </c>
      <c r="W65" s="152">
        <f t="shared" ca="1" si="6"/>
        <v>0</v>
      </c>
      <c r="X65" s="26">
        <f t="shared" ca="1" si="0"/>
        <v>118</v>
      </c>
      <c r="Y65" s="164">
        <f t="shared" ca="1" si="7"/>
        <v>118.35</v>
      </c>
      <c r="Z65" s="57">
        <f ca="1">IF(G65&lt;Military!Y65, ROUND($C65*IF(Magic!AW65=0,Constants!$B$51,Constants!$B$51*2),0), 0)</f>
        <v>0</v>
      </c>
      <c r="AA65" s="63"/>
      <c r="AB65" s="169">
        <f ca="1">Overview!$O$16 + IF(Magic!AK65&gt;0,Constants!$F$75) + ROUND(6*(Construction!BL66+Construction!CJ65)/IF(Explore!S66&gt;0,Construction!E66-20,Construction!E66),4)</f>
        <v>0</v>
      </c>
      <c r="AC65" s="540">
        <f ca="1">(Overview!$O$15 + Imps!Z65+MAX(Constants!$M$38*Techs!AE65,Constants!$M$50*Techs!AQ65)) * (1 + Production!O65/100*prestige_pop_multiplier) + Production!O65/100*prestige_pop_multiplier</f>
        <v>0.05</v>
      </c>
    </row>
    <row r="66" spans="1:29" s="16" customFormat="1">
      <c r="A66" s="987">
        <f>Rezone!J66</f>
        <v>64</v>
      </c>
      <c r="B66" s="589">
        <f>Imps!L66</f>
        <v>43694.624999999847</v>
      </c>
      <c r="C66" s="152">
        <f ca="1">$C65+$W65+Military!BE66 - IF(race="Demon",Military!G65*2,0)</f>
        <v>3945</v>
      </c>
      <c r="D66" s="26">
        <f ca="1">Military!B66</f>
        <v>5295</v>
      </c>
      <c r="E66" s="26">
        <f ca="1">Military!Z66</f>
        <v>3695</v>
      </c>
      <c r="F66" s="26">
        <f t="shared" ca="1" si="2"/>
        <v>9240</v>
      </c>
      <c r="G66" s="27">
        <f t="shared" ca="1" si="3"/>
        <v>0.57305194805194803</v>
      </c>
      <c r="H66" s="594">
        <f t="shared" ca="1" si="4"/>
        <v>3945</v>
      </c>
      <c r="I66" s="165">
        <f t="shared" ca="1" si="5"/>
        <v>1</v>
      </c>
      <c r="J66" s="676">
        <f>SUM(Construction!AY66:BH66,Construction!BJ66:BP66,Construction!BW66:CF66,Construction!CH66:CN66)*building_employment</f>
        <v>7600</v>
      </c>
      <c r="K66" s="635"/>
      <c r="L66" s="56">
        <f ca="1">Military!$Z66</f>
        <v>3695</v>
      </c>
      <c r="M66" s="26">
        <f>Military!E66</f>
        <v>0</v>
      </c>
      <c r="N66" s="26">
        <f>Military!F66</f>
        <v>0</v>
      </c>
      <c r="O66" s="26">
        <f>Military!G66</f>
        <v>1000</v>
      </c>
      <c r="P66" s="26">
        <f>Military!H66</f>
        <v>400</v>
      </c>
      <c r="Q66" s="26">
        <f>Military!I66</f>
        <v>100</v>
      </c>
      <c r="R66" s="26">
        <f>Military!J66</f>
        <v>100</v>
      </c>
      <c r="S66" s="57">
        <f>Military!K66</f>
        <v>0</v>
      </c>
      <c r="T66" s="52"/>
      <c r="U66" s="56">
        <f ca="1">ROUND($V66*(1+$AC66),0)+MIN(D66-E66-SUM(Military!AF66:AL66),barracks_size*Construction!BI66)</f>
        <v>9240</v>
      </c>
      <c r="V66" s="166">
        <f>(Construction!AX66+Construction!BV66)*pop_in_home+(SUM(Construction!AY66:BP66)+Construction!C66-Construction!BI66)*pop_in_building+(SUM(Construction!F66:L66)-Explore!S66*20)*pop_on_barren-(SUM(Construction!N66:AF66)-SUM(Construction!BW66:CN66))*(15-pop_on_barren)-pop_on_barren*Construction!BV66</f>
        <v>8800</v>
      </c>
      <c r="W66" s="152">
        <f t="shared" ca="1" si="6"/>
        <v>0</v>
      </c>
      <c r="X66" s="26">
        <f t="shared" ca="1" si="0"/>
        <v>118</v>
      </c>
      <c r="Y66" s="164">
        <f t="shared" ca="1" si="7"/>
        <v>118.35</v>
      </c>
      <c r="Z66" s="57">
        <f ca="1">IF(G66&lt;Military!Y66, ROUND($C66*IF(Magic!AW66=0,Constants!$B$51,Constants!$B$51*2),0), 0)</f>
        <v>0</v>
      </c>
      <c r="AA66" s="63"/>
      <c r="AB66" s="169">
        <f ca="1">Overview!$O$16 + IF(Magic!AK66&gt;0,Constants!$F$75) + ROUND(6*(Construction!BL67+Construction!CJ66)/IF(Explore!S67&gt;0,Construction!E67-20,Construction!E67),4)</f>
        <v>0</v>
      </c>
      <c r="AC66" s="540">
        <f ca="1">(Overview!$O$15 + Imps!Z66+MAX(Constants!$M$38*Techs!AE66,Constants!$M$50*Techs!AQ66)) * (1 + Production!O66/100*prestige_pop_multiplier) + Production!O66/100*prestige_pop_multiplier</f>
        <v>0.05</v>
      </c>
    </row>
    <row r="67" spans="1:29" s="16" customFormat="1">
      <c r="A67" s="987">
        <f>Rezone!J67</f>
        <v>65</v>
      </c>
      <c r="B67" s="589">
        <f>Imps!L67</f>
        <v>43694.666666666511</v>
      </c>
      <c r="C67" s="152">
        <f ca="1">$C66+$W66+Military!BE67 - IF(race="Demon",Military!G66*2,0)</f>
        <v>3945</v>
      </c>
      <c r="D67" s="26">
        <f ca="1">Military!B67</f>
        <v>5295</v>
      </c>
      <c r="E67" s="26">
        <f ca="1">Military!Z67</f>
        <v>3695</v>
      </c>
      <c r="F67" s="26">
        <f t="shared" ca="1" si="2"/>
        <v>9240</v>
      </c>
      <c r="G67" s="27">
        <f t="shared" ca="1" si="3"/>
        <v>0.57305194805194803</v>
      </c>
      <c r="H67" s="594">
        <f t="shared" ca="1" si="4"/>
        <v>3945</v>
      </c>
      <c r="I67" s="165">
        <f t="shared" ca="1" si="5"/>
        <v>1</v>
      </c>
      <c r="J67" s="676">
        <f>SUM(Construction!AY67:BH67,Construction!BJ67:BP67,Construction!BW67:CF67,Construction!CH67:CN67)*building_employment</f>
        <v>7600</v>
      </c>
      <c r="K67" s="635"/>
      <c r="L67" s="56">
        <f ca="1">Military!$Z67</f>
        <v>3695</v>
      </c>
      <c r="M67" s="26">
        <f>Military!E67</f>
        <v>0</v>
      </c>
      <c r="N67" s="26">
        <f>Military!F67</f>
        <v>0</v>
      </c>
      <c r="O67" s="26">
        <f>Military!G67</f>
        <v>1000</v>
      </c>
      <c r="P67" s="26">
        <f>Military!H67</f>
        <v>400</v>
      </c>
      <c r="Q67" s="26">
        <f>Military!I67</f>
        <v>100</v>
      </c>
      <c r="R67" s="26">
        <f>Military!J67</f>
        <v>100</v>
      </c>
      <c r="S67" s="57">
        <f>Military!K67</f>
        <v>0</v>
      </c>
      <c r="T67" s="52"/>
      <c r="U67" s="56">
        <f ca="1">ROUND($V67*(1+$AC67),0)+MIN(D67-E67-SUM(Military!AF67:AL67),barracks_size*Construction!BI67)</f>
        <v>9240</v>
      </c>
      <c r="V67" s="166">
        <f>(Construction!AX67+Construction!BV67)*pop_in_home+(SUM(Construction!AY67:BP67)+Construction!C67-Construction!BI67)*pop_in_building+(SUM(Construction!F67:L67)-Explore!S67*20)*pop_on_barren-(SUM(Construction!N67:AF67)-SUM(Construction!BW67:CN67))*(15-pop_on_barren)-pop_on_barren*Construction!BV67</f>
        <v>8800</v>
      </c>
      <c r="W67" s="152">
        <f t="shared" ca="1" si="6"/>
        <v>0</v>
      </c>
      <c r="X67" s="26">
        <f t="shared" ref="X67:X130" ca="1" si="8">ROUND($Y67*(1+$AB67),0)</f>
        <v>118</v>
      </c>
      <c r="Y67" s="164">
        <f t="shared" ref="Y67:Y98" ca="1" si="9">($C67-Z67)*raw_pop_growth</f>
        <v>118.35</v>
      </c>
      <c r="Z67" s="57">
        <f ca="1">IF(G67&lt;Military!Y67, ROUND($C67*IF(Magic!AW67=0,Constants!$B$51,Constants!$B$51*2),0), 0)</f>
        <v>0</v>
      </c>
      <c r="AA67" s="63"/>
      <c r="AB67" s="169">
        <f ca="1">Overview!$O$16 + IF(Magic!AK67&gt;0,Constants!$F$75) + ROUND(6*(Construction!BL68+Construction!CJ67)/IF(Explore!S68&gt;0,Construction!E68-20,Construction!E68),4)</f>
        <v>0</v>
      </c>
      <c r="AC67" s="540">
        <f ca="1">(Overview!$O$15 + Imps!Z67+MAX(Constants!$M$38*Techs!AE67,Constants!$M$50*Techs!AQ67)) * (1 + Production!O67/100*prestige_pop_multiplier) + Production!O67/100*prestige_pop_multiplier</f>
        <v>0.05</v>
      </c>
    </row>
    <row r="68" spans="1:29" s="16" customFormat="1">
      <c r="A68" s="987">
        <f>Rezone!J68</f>
        <v>66</v>
      </c>
      <c r="B68" s="589">
        <f>Imps!L68</f>
        <v>43694.708333333176</v>
      </c>
      <c r="C68" s="152">
        <f ca="1">$C67+$W67+Military!BE68 - IF(race="Demon",Military!G67*2,0)</f>
        <v>3945</v>
      </c>
      <c r="D68" s="26">
        <f ca="1">Military!B68</f>
        <v>5295</v>
      </c>
      <c r="E68" s="26">
        <f ca="1">Military!Z68</f>
        <v>3695</v>
      </c>
      <c r="F68" s="26">
        <f t="shared" ref="F68:F131" ca="1" si="10">C68+D68</f>
        <v>9240</v>
      </c>
      <c r="G68" s="27">
        <f t="shared" ref="G68:G131" ca="1" si="11">D68/F68</f>
        <v>0.57305194805194803</v>
      </c>
      <c r="H68" s="594">
        <f t="shared" ref="H68:H131" ca="1" si="12">MIN(C68,J68)</f>
        <v>3945</v>
      </c>
      <c r="I68" s="165">
        <f t="shared" ref="I68:I131" ca="1" si="13">MIN(J69/C68,1)</f>
        <v>1</v>
      </c>
      <c r="J68" s="676">
        <f>SUM(Construction!AY68:BH68,Construction!BJ68:BP68,Construction!BW68:CF68,Construction!CH68:CN68)*building_employment</f>
        <v>7600</v>
      </c>
      <c r="K68" s="635"/>
      <c r="L68" s="56">
        <f ca="1">Military!$Z68</f>
        <v>3695</v>
      </c>
      <c r="M68" s="26">
        <f>Military!E68</f>
        <v>0</v>
      </c>
      <c r="N68" s="26">
        <f>Military!F68</f>
        <v>0</v>
      </c>
      <c r="O68" s="26">
        <f>Military!G68</f>
        <v>1000</v>
      </c>
      <c r="P68" s="26">
        <f>Military!H68</f>
        <v>400</v>
      </c>
      <c r="Q68" s="26">
        <f>Military!I68</f>
        <v>100</v>
      </c>
      <c r="R68" s="26">
        <f>Military!J68</f>
        <v>100</v>
      </c>
      <c r="S68" s="57">
        <f>Military!K68</f>
        <v>0</v>
      </c>
      <c r="T68" s="52"/>
      <c r="U68" s="56">
        <f ca="1">ROUND($V68*(1+$AC68),0)+MIN(D68-E68-SUM(Military!AF68:AL68),barracks_size*Construction!BI68)</f>
        <v>9240</v>
      </c>
      <c r="V68" s="166">
        <f>(Construction!AX68+Construction!BV68)*pop_in_home+(SUM(Construction!AY68:BP68)+Construction!C68-Construction!BI68)*pop_in_building+(SUM(Construction!F68:L68)-Explore!S68*20)*pop_on_barren-(SUM(Construction!N68:AF68)-SUM(Construction!BW68:CN68))*(15-pop_on_barren)-pop_on_barren*Construction!BV68</f>
        <v>8800</v>
      </c>
      <c r="W68" s="152">
        <f t="shared" ref="W68:W131" ca="1" si="14">MAX(-5%*C68-Z68,MIN(U69-C68-D68-Z68,X68-Z68))</f>
        <v>0</v>
      </c>
      <c r="X68" s="26">
        <f t="shared" ca="1" si="8"/>
        <v>118</v>
      </c>
      <c r="Y68" s="164">
        <f t="shared" ca="1" si="9"/>
        <v>118.35</v>
      </c>
      <c r="Z68" s="57">
        <f ca="1">IF(G68&lt;Military!Y68, ROUND($C68*IF(Magic!AW68=0,Constants!$B$51,Constants!$B$51*2),0), 0)</f>
        <v>0</v>
      </c>
      <c r="AA68" s="63"/>
      <c r="AB68" s="169">
        <f ca="1">Overview!$O$16 + IF(Magic!AK68&gt;0,Constants!$F$75) + ROUND(6*(Construction!BL69+Construction!CJ68)/IF(Explore!S69&gt;0,Construction!E69-20,Construction!E69),4)</f>
        <v>0</v>
      </c>
      <c r="AC68" s="540">
        <f ca="1">(Overview!$O$15 + Imps!Z68+MAX(Constants!$M$38*Techs!AE68,Constants!$M$50*Techs!AQ68)) * (1 + Production!O68/100*prestige_pop_multiplier) + Production!O68/100*prestige_pop_multiplier</f>
        <v>0.05</v>
      </c>
    </row>
    <row r="69" spans="1:29" s="16" customFormat="1">
      <c r="A69" s="987">
        <f>Rezone!J69</f>
        <v>67</v>
      </c>
      <c r="B69" s="589">
        <f>Imps!L69</f>
        <v>43694.74999999984</v>
      </c>
      <c r="C69" s="152">
        <f ca="1">$C68+$W68+Military!BE69 - IF(race="Demon",Military!G68*2,0)</f>
        <v>3945</v>
      </c>
      <c r="D69" s="26">
        <f ca="1">Military!B69</f>
        <v>5295</v>
      </c>
      <c r="E69" s="26">
        <f ca="1">Military!Z69</f>
        <v>3695</v>
      </c>
      <c r="F69" s="26">
        <f t="shared" ca="1" si="10"/>
        <v>9240</v>
      </c>
      <c r="G69" s="27">
        <f t="shared" ca="1" si="11"/>
        <v>0.57305194805194803</v>
      </c>
      <c r="H69" s="594">
        <f t="shared" ca="1" si="12"/>
        <v>3945</v>
      </c>
      <c r="I69" s="165">
        <f t="shared" ca="1" si="13"/>
        <v>1</v>
      </c>
      <c r="J69" s="676">
        <f>SUM(Construction!AY69:BH69,Construction!BJ69:BP69,Construction!BW69:CF69,Construction!CH69:CN69)*building_employment</f>
        <v>7600</v>
      </c>
      <c r="K69" s="635"/>
      <c r="L69" s="56">
        <f ca="1">Military!$Z69</f>
        <v>3695</v>
      </c>
      <c r="M69" s="26">
        <f>Military!E69</f>
        <v>0</v>
      </c>
      <c r="N69" s="26">
        <f>Military!F69</f>
        <v>0</v>
      </c>
      <c r="O69" s="26">
        <f>Military!G69</f>
        <v>1000</v>
      </c>
      <c r="P69" s="26">
        <f>Military!H69</f>
        <v>400</v>
      </c>
      <c r="Q69" s="26">
        <f>Military!I69</f>
        <v>100</v>
      </c>
      <c r="R69" s="26">
        <f>Military!J69</f>
        <v>100</v>
      </c>
      <c r="S69" s="57">
        <f>Military!K69</f>
        <v>0</v>
      </c>
      <c r="T69" s="52"/>
      <c r="U69" s="56">
        <f ca="1">ROUND($V69*(1+$AC69),0)+MIN(D69-E69-SUM(Military!AF69:AL69),barracks_size*Construction!BI69)</f>
        <v>9240</v>
      </c>
      <c r="V69" s="166">
        <f>(Construction!AX69+Construction!BV69)*pop_in_home+(SUM(Construction!AY69:BP69)+Construction!C69-Construction!BI69)*pop_in_building+(SUM(Construction!F69:L69)-Explore!S69*20)*pop_on_barren-(SUM(Construction!N69:AF69)-SUM(Construction!BW69:CN69))*(15-pop_on_barren)-pop_on_barren*Construction!BV69</f>
        <v>8800</v>
      </c>
      <c r="W69" s="152">
        <f t="shared" ca="1" si="14"/>
        <v>0</v>
      </c>
      <c r="X69" s="26">
        <f t="shared" ca="1" si="8"/>
        <v>118</v>
      </c>
      <c r="Y69" s="164">
        <f t="shared" ca="1" si="9"/>
        <v>118.35</v>
      </c>
      <c r="Z69" s="57">
        <f ca="1">IF(G69&lt;Military!Y69, ROUND($C69*IF(Magic!AW69=0,Constants!$B$51,Constants!$B$51*2),0), 0)</f>
        <v>0</v>
      </c>
      <c r="AA69" s="63"/>
      <c r="AB69" s="169">
        <f ca="1">Overview!$O$16 + IF(Magic!AK69&gt;0,Constants!$F$75) + ROUND(6*(Construction!BL70+Construction!CJ69)/IF(Explore!S70&gt;0,Construction!E70-20,Construction!E70),4)</f>
        <v>0</v>
      </c>
      <c r="AC69" s="540">
        <f ca="1">(Overview!$O$15 + Imps!Z69+MAX(Constants!$M$38*Techs!AE69,Constants!$M$50*Techs!AQ69)) * (1 + Production!O69/100*prestige_pop_multiplier) + Production!O69/100*prestige_pop_multiplier</f>
        <v>0.05</v>
      </c>
    </row>
    <row r="70" spans="1:29" s="16" customFormat="1">
      <c r="A70" s="987">
        <f>Rezone!J70</f>
        <v>68</v>
      </c>
      <c r="B70" s="589">
        <f>Imps!L70</f>
        <v>43694.791666666504</v>
      </c>
      <c r="C70" s="152">
        <f ca="1">$C69+$W69+Military!BE70 - IF(race="Demon",Military!G69*2,0)</f>
        <v>3945</v>
      </c>
      <c r="D70" s="26">
        <f ca="1">Military!B70</f>
        <v>5295</v>
      </c>
      <c r="E70" s="26">
        <f ca="1">Military!Z70</f>
        <v>3695</v>
      </c>
      <c r="F70" s="26">
        <f t="shared" ca="1" si="10"/>
        <v>9240</v>
      </c>
      <c r="G70" s="27">
        <f t="shared" ca="1" si="11"/>
        <v>0.57305194805194803</v>
      </c>
      <c r="H70" s="594">
        <f t="shared" ca="1" si="12"/>
        <v>3945</v>
      </c>
      <c r="I70" s="165">
        <f t="shared" ca="1" si="13"/>
        <v>1</v>
      </c>
      <c r="J70" s="676">
        <f>SUM(Construction!AY70:BH70,Construction!BJ70:BP70,Construction!BW70:CF70,Construction!CH70:CN70)*building_employment</f>
        <v>7600</v>
      </c>
      <c r="K70" s="635"/>
      <c r="L70" s="56">
        <f ca="1">Military!$Z70</f>
        <v>3695</v>
      </c>
      <c r="M70" s="26">
        <f>Military!E70</f>
        <v>0</v>
      </c>
      <c r="N70" s="26">
        <f>Military!F70</f>
        <v>0</v>
      </c>
      <c r="O70" s="26">
        <f>Military!G70</f>
        <v>1000</v>
      </c>
      <c r="P70" s="26">
        <f>Military!H70</f>
        <v>400</v>
      </c>
      <c r="Q70" s="26">
        <f>Military!I70</f>
        <v>100</v>
      </c>
      <c r="R70" s="26">
        <f>Military!J70</f>
        <v>100</v>
      </c>
      <c r="S70" s="57">
        <f>Military!K70</f>
        <v>0</v>
      </c>
      <c r="T70" s="52"/>
      <c r="U70" s="56">
        <f ca="1">ROUND($V70*(1+$AC70),0)+MIN(D70-E70-SUM(Military!AF70:AL70),barracks_size*Construction!BI70)</f>
        <v>9240</v>
      </c>
      <c r="V70" s="166">
        <f>(Construction!AX70+Construction!BV70)*pop_in_home+(SUM(Construction!AY70:BP70)+Construction!C70-Construction!BI70)*pop_in_building+(SUM(Construction!F70:L70)-Explore!S70*20)*pop_on_barren-(SUM(Construction!N70:AF70)-SUM(Construction!BW70:CN70))*(15-pop_on_barren)-pop_on_barren*Construction!BV70</f>
        <v>8800</v>
      </c>
      <c r="W70" s="152">
        <f t="shared" ca="1" si="14"/>
        <v>0</v>
      </c>
      <c r="X70" s="26">
        <f t="shared" ca="1" si="8"/>
        <v>118</v>
      </c>
      <c r="Y70" s="164">
        <f t="shared" ca="1" si="9"/>
        <v>118.35</v>
      </c>
      <c r="Z70" s="57">
        <f ca="1">IF(G70&lt;Military!Y70, ROUND($C70*IF(Magic!AW70=0,Constants!$B$51,Constants!$B$51*2),0), 0)</f>
        <v>0</v>
      </c>
      <c r="AA70" s="63"/>
      <c r="AB70" s="169">
        <f ca="1">Overview!$O$16 + IF(Magic!AK70&gt;0,Constants!$F$75) + ROUND(6*(Construction!BL71+Construction!CJ70)/IF(Explore!S71&gt;0,Construction!E71-20,Construction!E71),4)</f>
        <v>0</v>
      </c>
      <c r="AC70" s="540">
        <f ca="1">(Overview!$O$15 + Imps!Z70+MAX(Constants!$M$38*Techs!AE70,Constants!$M$50*Techs!AQ70)) * (1 + Production!O70/100*prestige_pop_multiplier) + Production!O70/100*prestige_pop_multiplier</f>
        <v>0.05</v>
      </c>
    </row>
    <row r="71" spans="1:29" s="16" customFormat="1">
      <c r="A71" s="987">
        <f>Rezone!J71</f>
        <v>69</v>
      </c>
      <c r="B71" s="589">
        <f>Imps!L71</f>
        <v>43694.833333333168</v>
      </c>
      <c r="C71" s="152">
        <f ca="1">$C70+$W70+Military!BE71 - IF(race="Demon",Military!G70*2,0)</f>
        <v>3945</v>
      </c>
      <c r="D71" s="26">
        <f ca="1">Military!B71</f>
        <v>5295</v>
      </c>
      <c r="E71" s="26">
        <f ca="1">Military!Z71</f>
        <v>3695</v>
      </c>
      <c r="F71" s="26">
        <f t="shared" ca="1" si="10"/>
        <v>9240</v>
      </c>
      <c r="G71" s="27">
        <f t="shared" ca="1" si="11"/>
        <v>0.57305194805194803</v>
      </c>
      <c r="H71" s="594">
        <f t="shared" ca="1" si="12"/>
        <v>3945</v>
      </c>
      <c r="I71" s="165">
        <f t="shared" ca="1" si="13"/>
        <v>1</v>
      </c>
      <c r="J71" s="676">
        <f>SUM(Construction!AY71:BH71,Construction!BJ71:BP71,Construction!BW71:CF71,Construction!CH71:CN71)*building_employment</f>
        <v>7600</v>
      </c>
      <c r="K71" s="635"/>
      <c r="L71" s="56">
        <f ca="1">Military!$Z71</f>
        <v>3695</v>
      </c>
      <c r="M71" s="26">
        <f>Military!E71</f>
        <v>0</v>
      </c>
      <c r="N71" s="26">
        <f>Military!F71</f>
        <v>0</v>
      </c>
      <c r="O71" s="26">
        <f>Military!G71</f>
        <v>1000</v>
      </c>
      <c r="P71" s="26">
        <f>Military!H71</f>
        <v>400</v>
      </c>
      <c r="Q71" s="26">
        <f>Military!I71</f>
        <v>100</v>
      </c>
      <c r="R71" s="26">
        <f>Military!J71</f>
        <v>100</v>
      </c>
      <c r="S71" s="57">
        <f>Military!K71</f>
        <v>0</v>
      </c>
      <c r="T71" s="52"/>
      <c r="U71" s="56">
        <f ca="1">ROUND($V71*(1+$AC71),0)+MIN(D71-E71-SUM(Military!AF71:AL71),barracks_size*Construction!BI71)</f>
        <v>9240</v>
      </c>
      <c r="V71" s="166">
        <f>(Construction!AX71+Construction!BV71)*pop_in_home+(SUM(Construction!AY71:BP71)+Construction!C71-Construction!BI71)*pop_in_building+(SUM(Construction!F71:L71)-Explore!S71*20)*pop_on_barren-(SUM(Construction!N71:AF71)-SUM(Construction!BW71:CN71))*(15-pop_on_barren)-pop_on_barren*Construction!BV71</f>
        <v>8800</v>
      </c>
      <c r="W71" s="152">
        <f t="shared" ca="1" si="14"/>
        <v>0</v>
      </c>
      <c r="X71" s="26">
        <f t="shared" ca="1" si="8"/>
        <v>118</v>
      </c>
      <c r="Y71" s="164">
        <f t="shared" ca="1" si="9"/>
        <v>118.35</v>
      </c>
      <c r="Z71" s="57">
        <f ca="1">IF(G71&lt;Military!Y71, ROUND($C71*IF(Magic!AW71=0,Constants!$B$51,Constants!$B$51*2),0), 0)</f>
        <v>0</v>
      </c>
      <c r="AA71" s="63"/>
      <c r="AB71" s="169">
        <f ca="1">Overview!$O$16 + IF(Magic!AK71&gt;0,Constants!$F$75) + ROUND(6*(Construction!BL72+Construction!CJ71)/IF(Explore!S72&gt;0,Construction!E72-20,Construction!E72),4)</f>
        <v>0</v>
      </c>
      <c r="AC71" s="540">
        <f ca="1">(Overview!$O$15 + Imps!Z71+MAX(Constants!$M$38*Techs!AE71,Constants!$M$50*Techs!AQ71)) * (1 + Production!O71/100*prestige_pop_multiplier) + Production!O71/100*prestige_pop_multiplier</f>
        <v>0.05</v>
      </c>
    </row>
    <row r="72" spans="1:29" s="16" customFormat="1">
      <c r="A72" s="987">
        <f>Rezone!J72</f>
        <v>70</v>
      </c>
      <c r="B72" s="589">
        <f>Imps!L72</f>
        <v>43694.874999999833</v>
      </c>
      <c r="C72" s="152">
        <f ca="1">$C71+$W71+Military!BE72 - IF(race="Demon",Military!G71*2,0)</f>
        <v>3945</v>
      </c>
      <c r="D72" s="26">
        <f ca="1">Military!B72</f>
        <v>5295</v>
      </c>
      <c r="E72" s="26">
        <f ca="1">Military!Z72</f>
        <v>3695</v>
      </c>
      <c r="F72" s="26">
        <f t="shared" ca="1" si="10"/>
        <v>9240</v>
      </c>
      <c r="G72" s="27">
        <f t="shared" ca="1" si="11"/>
        <v>0.57305194805194803</v>
      </c>
      <c r="H72" s="594">
        <f t="shared" ca="1" si="12"/>
        <v>3945</v>
      </c>
      <c r="I72" s="165">
        <f t="shared" ca="1" si="13"/>
        <v>1</v>
      </c>
      <c r="J72" s="676">
        <f>SUM(Construction!AY72:BH72,Construction!BJ72:BP72,Construction!BW72:CF72,Construction!CH72:CN72)*building_employment</f>
        <v>7600</v>
      </c>
      <c r="K72" s="635"/>
      <c r="L72" s="56">
        <f ca="1">Military!$Z72</f>
        <v>3695</v>
      </c>
      <c r="M72" s="26">
        <f>Military!E72</f>
        <v>0</v>
      </c>
      <c r="N72" s="26">
        <f>Military!F72</f>
        <v>0</v>
      </c>
      <c r="O72" s="26">
        <f>Military!G72</f>
        <v>1000</v>
      </c>
      <c r="P72" s="26">
        <f>Military!H72</f>
        <v>400</v>
      </c>
      <c r="Q72" s="26">
        <f>Military!I72</f>
        <v>100</v>
      </c>
      <c r="R72" s="26">
        <f>Military!J72</f>
        <v>100</v>
      </c>
      <c r="S72" s="57">
        <f>Military!K72</f>
        <v>0</v>
      </c>
      <c r="T72" s="52"/>
      <c r="U72" s="56">
        <f ca="1">ROUND($V72*(1+$AC72),0)+MIN(D72-E72-SUM(Military!AF72:AL72),barracks_size*Construction!BI72)</f>
        <v>9240</v>
      </c>
      <c r="V72" s="166">
        <f>(Construction!AX72+Construction!BV72)*pop_in_home+(SUM(Construction!AY72:BP72)+Construction!C72-Construction!BI72)*pop_in_building+(SUM(Construction!F72:L72)-Explore!S72*20)*pop_on_barren-(SUM(Construction!N72:AF72)-SUM(Construction!BW72:CN72))*(15-pop_on_barren)-pop_on_barren*Construction!BV72</f>
        <v>8800</v>
      </c>
      <c r="W72" s="152">
        <f t="shared" ca="1" si="14"/>
        <v>0</v>
      </c>
      <c r="X72" s="26">
        <f t="shared" ca="1" si="8"/>
        <v>118</v>
      </c>
      <c r="Y72" s="164">
        <f t="shared" ca="1" si="9"/>
        <v>118.35</v>
      </c>
      <c r="Z72" s="57">
        <f ca="1">IF(G72&lt;Military!Y72, ROUND($C72*IF(Magic!AW72=0,Constants!$B$51,Constants!$B$51*2),0), 0)</f>
        <v>0</v>
      </c>
      <c r="AA72" s="63"/>
      <c r="AB72" s="169">
        <f ca="1">Overview!$O$16 + IF(Magic!AK72&gt;0,Constants!$F$75) + ROUND(6*(Construction!BL73+Construction!CJ72)/IF(Explore!S73&gt;0,Construction!E73-20,Construction!E73),4)</f>
        <v>0</v>
      </c>
      <c r="AC72" s="540">
        <f ca="1">(Overview!$O$15 + Imps!Z72+MAX(Constants!$M$38*Techs!AE72,Constants!$M$50*Techs!AQ72)) * (1 + Production!O72/100*prestige_pop_multiplier) + Production!O72/100*prestige_pop_multiplier</f>
        <v>0.05</v>
      </c>
    </row>
    <row r="73" spans="1:29" s="16" customFormat="1">
      <c r="A73" s="987">
        <f>Rezone!J73</f>
        <v>71</v>
      </c>
      <c r="B73" s="589">
        <f>Imps!L73</f>
        <v>43694.916666666497</v>
      </c>
      <c r="C73" s="152">
        <f ca="1">$C72+$W72+Military!BE73 - IF(race="Demon",Military!G72*2,0)</f>
        <v>3945</v>
      </c>
      <c r="D73" s="26">
        <f ca="1">Military!B73</f>
        <v>5295</v>
      </c>
      <c r="E73" s="26">
        <f ca="1">Military!Z73</f>
        <v>3695</v>
      </c>
      <c r="F73" s="26">
        <f t="shared" ca="1" si="10"/>
        <v>9240</v>
      </c>
      <c r="G73" s="27">
        <f t="shared" ca="1" si="11"/>
        <v>0.57305194805194803</v>
      </c>
      <c r="H73" s="594">
        <f t="shared" ca="1" si="12"/>
        <v>3945</v>
      </c>
      <c r="I73" s="165">
        <f t="shared" ca="1" si="13"/>
        <v>1</v>
      </c>
      <c r="J73" s="676">
        <f>SUM(Construction!AY73:BH73,Construction!BJ73:BP73,Construction!BW73:CF73,Construction!CH73:CN73)*building_employment</f>
        <v>7600</v>
      </c>
      <c r="K73" s="635"/>
      <c r="L73" s="56">
        <f ca="1">Military!$Z73</f>
        <v>3695</v>
      </c>
      <c r="M73" s="26">
        <f>Military!E73</f>
        <v>0</v>
      </c>
      <c r="N73" s="26">
        <f>Military!F73</f>
        <v>0</v>
      </c>
      <c r="O73" s="26">
        <f>Military!G73</f>
        <v>1000</v>
      </c>
      <c r="P73" s="26">
        <f>Military!H73</f>
        <v>400</v>
      </c>
      <c r="Q73" s="26">
        <f>Military!I73</f>
        <v>100</v>
      </c>
      <c r="R73" s="26">
        <f>Military!J73</f>
        <v>100</v>
      </c>
      <c r="S73" s="57">
        <f>Military!K73</f>
        <v>0</v>
      </c>
      <c r="T73" s="52"/>
      <c r="U73" s="56">
        <f ca="1">ROUND($V73*(1+$AC73),0)+MIN(D73-E73-SUM(Military!AF73:AL73),barracks_size*Construction!BI73)</f>
        <v>9240</v>
      </c>
      <c r="V73" s="166">
        <f>(Construction!AX73+Construction!BV73)*pop_in_home+(SUM(Construction!AY73:BP73)+Construction!C73-Construction!BI73)*pop_in_building+(SUM(Construction!F73:L73)-Explore!S73*20)*pop_on_barren-(SUM(Construction!N73:AF73)-SUM(Construction!BW73:CN73))*(15-pop_on_barren)-pop_on_barren*Construction!BV73</f>
        <v>8800</v>
      </c>
      <c r="W73" s="152">
        <f t="shared" ca="1" si="14"/>
        <v>0</v>
      </c>
      <c r="X73" s="26">
        <f t="shared" ca="1" si="8"/>
        <v>118</v>
      </c>
      <c r="Y73" s="164">
        <f t="shared" ca="1" si="9"/>
        <v>118.35</v>
      </c>
      <c r="Z73" s="57">
        <f ca="1">IF(G73&lt;Military!Y73, ROUND($C73*IF(Magic!AW73=0,Constants!$B$51,Constants!$B$51*2),0), 0)</f>
        <v>0</v>
      </c>
      <c r="AA73" s="63"/>
      <c r="AB73" s="169">
        <f ca="1">Overview!$O$16 + IF(Magic!AK73&gt;0,Constants!$F$75) + ROUND(6*(Construction!BL74+Construction!CJ73)/IF(Explore!S74&gt;0,Construction!E74-20,Construction!E74),4)</f>
        <v>0</v>
      </c>
      <c r="AC73" s="540">
        <f ca="1">(Overview!$O$15 + Imps!Z73+MAX(Constants!$M$38*Techs!AE73,Constants!$M$50*Techs!AQ73)) * (1 + Production!O73/100*prestige_pop_multiplier) + Production!O73/100*prestige_pop_multiplier</f>
        <v>0.05</v>
      </c>
    </row>
    <row r="74" spans="1:29" s="16" customFormat="1" ht="13.5" thickBot="1">
      <c r="A74" s="987">
        <f>Rezone!J74</f>
        <v>72</v>
      </c>
      <c r="B74" s="589">
        <f>Imps!L74</f>
        <v>43694.958333333161</v>
      </c>
      <c r="C74" s="152">
        <f ca="1">$C73+$W73+Military!BE74 - IF(race="Demon",Military!G73*2,0)</f>
        <v>3945</v>
      </c>
      <c r="D74" s="26">
        <f ca="1">Military!B74</f>
        <v>5295</v>
      </c>
      <c r="E74" s="26">
        <f ca="1">Military!Z74</f>
        <v>3695</v>
      </c>
      <c r="F74" s="26">
        <f t="shared" ca="1" si="10"/>
        <v>9240</v>
      </c>
      <c r="G74" s="27">
        <f t="shared" ca="1" si="11"/>
        <v>0.57305194805194803</v>
      </c>
      <c r="H74" s="594">
        <f t="shared" ca="1" si="12"/>
        <v>3945</v>
      </c>
      <c r="I74" s="165">
        <f t="shared" ca="1" si="13"/>
        <v>1</v>
      </c>
      <c r="J74" s="676">
        <f>SUM(Construction!AY74:BH74,Construction!BJ74:BP74,Construction!BW74:CF74,Construction!CH74:CN74)*building_employment</f>
        <v>7600</v>
      </c>
      <c r="K74" s="635"/>
      <c r="L74" s="56">
        <f ca="1">Military!$Z74</f>
        <v>3695</v>
      </c>
      <c r="M74" s="26">
        <f>Military!E74</f>
        <v>0</v>
      </c>
      <c r="N74" s="26">
        <f>Military!F74</f>
        <v>0</v>
      </c>
      <c r="O74" s="26">
        <f>Military!G74</f>
        <v>1000</v>
      </c>
      <c r="P74" s="26">
        <f>Military!H74</f>
        <v>400</v>
      </c>
      <c r="Q74" s="26">
        <f>Military!I74</f>
        <v>100</v>
      </c>
      <c r="R74" s="26">
        <f>Military!J74</f>
        <v>100</v>
      </c>
      <c r="S74" s="57">
        <f>Military!K74</f>
        <v>0</v>
      </c>
      <c r="T74" s="52"/>
      <c r="U74" s="56">
        <f ca="1">ROUND($V74*(1+$AC74),0)+MIN(D74-E74-SUM(Military!AF74:AL74),barracks_size*Construction!BI74)</f>
        <v>9240</v>
      </c>
      <c r="V74" s="166">
        <f>(Construction!AX74+Construction!BV74)*pop_in_home+(SUM(Construction!AY74:BP74)+Construction!C74-Construction!BI74)*pop_in_building+(SUM(Construction!F74:L74)-Explore!S74*20)*pop_on_barren-(SUM(Construction!N74:AF74)-SUM(Construction!BW74:CN74))*(15-pop_on_barren)-pop_on_barren*Construction!BV74</f>
        <v>8800</v>
      </c>
      <c r="W74" s="152">
        <f t="shared" ca="1" si="14"/>
        <v>0</v>
      </c>
      <c r="X74" s="26">
        <f t="shared" ca="1" si="8"/>
        <v>118</v>
      </c>
      <c r="Y74" s="164">
        <f t="shared" ca="1" si="9"/>
        <v>118.35</v>
      </c>
      <c r="Z74" s="57">
        <f ca="1">IF(G74&lt;Military!Y74, ROUND($C74*IF(Magic!AW74=0,Constants!$B$51,Constants!$B$51*2),0), 0)</f>
        <v>0</v>
      </c>
      <c r="AA74" s="63"/>
      <c r="AB74" s="169">
        <f ca="1">Overview!$O$16 + IF(Magic!AK74&gt;0,Constants!$F$75) + ROUND(6*(Construction!BL75+Construction!CJ74)/IF(Explore!S75&gt;0,Construction!E75-20,Construction!E75),4)</f>
        <v>0</v>
      </c>
      <c r="AC74" s="540">
        <f ca="1">(Overview!$O$15 + Imps!Z74+MAX(Constants!$M$38*Techs!AE74,Constants!$M$50*Techs!AQ74)) * (1 + Production!O74/100*prestige_pop_multiplier) + Production!O74/100*prestige_pop_multiplier</f>
        <v>0.05</v>
      </c>
    </row>
    <row r="75" spans="1:29" s="601" customFormat="1" ht="14.25" thickTop="1" thickBot="1">
      <c r="A75" s="992">
        <f>Rezone!J75</f>
        <v>73</v>
      </c>
      <c r="B75" s="617">
        <f>Imps!L75</f>
        <v>43694.999999999825</v>
      </c>
      <c r="C75" s="1196">
        <f ca="1">$C74+$W74+Military!BE75 - IF(race="Demon",Military!G74*2,0)</f>
        <v>3945</v>
      </c>
      <c r="D75" s="600">
        <f ca="1">Military!B75</f>
        <v>5295</v>
      </c>
      <c r="E75" s="600">
        <f ca="1">Military!Z75</f>
        <v>3695</v>
      </c>
      <c r="F75" s="600">
        <f t="shared" ca="1" si="10"/>
        <v>9240</v>
      </c>
      <c r="G75" s="607">
        <f t="shared" ca="1" si="11"/>
        <v>0.57305194805194803</v>
      </c>
      <c r="H75" s="625">
        <f t="shared" ca="1" si="12"/>
        <v>3945</v>
      </c>
      <c r="I75" s="607">
        <f t="shared" ca="1" si="13"/>
        <v>1</v>
      </c>
      <c r="J75" s="1155">
        <f>SUM(Construction!AY75:BH75,Construction!BJ75:BP75,Construction!BW75:CF75,Construction!CH75:CN75)*building_employment</f>
        <v>7600</v>
      </c>
      <c r="K75" s="611"/>
      <c r="L75" s="599">
        <f ca="1">Military!$Z75</f>
        <v>3695</v>
      </c>
      <c r="M75" s="600">
        <f>Military!E75</f>
        <v>0</v>
      </c>
      <c r="N75" s="600">
        <f>Military!F75</f>
        <v>0</v>
      </c>
      <c r="O75" s="600">
        <f>Military!G75</f>
        <v>1000</v>
      </c>
      <c r="P75" s="600">
        <f>Military!H75</f>
        <v>400</v>
      </c>
      <c r="Q75" s="600">
        <f>Military!I75</f>
        <v>100</v>
      </c>
      <c r="R75" s="680">
        <f>Military!J75</f>
        <v>100</v>
      </c>
      <c r="S75" s="598">
        <f>Military!K75</f>
        <v>0</v>
      </c>
      <c r="T75" s="609"/>
      <c r="U75" s="599">
        <f ca="1">ROUND($V75*(1+$AC75),0)+MIN(D75-E75-SUM(Military!AF75:AL75),barracks_size*Construction!BI75)</f>
        <v>9240</v>
      </c>
      <c r="V75" s="598">
        <f>(Construction!AX75+Construction!BV75)*pop_in_home+(SUM(Construction!AY75:BP75)+Construction!C75-Construction!BI75)*pop_in_building+(SUM(Construction!F75:L75)-Explore!S75*20)*pop_on_barren-(SUM(Construction!N75:AF75)-SUM(Construction!BW75:CN75))*(15-pop_on_barren)-pop_on_barren*Construction!BV75</f>
        <v>8800</v>
      </c>
      <c r="W75" s="599">
        <f t="shared" ca="1" si="14"/>
        <v>0</v>
      </c>
      <c r="X75" s="600">
        <f t="shared" ca="1" si="8"/>
        <v>118</v>
      </c>
      <c r="Y75" s="600">
        <f t="shared" ca="1" si="9"/>
        <v>118.35</v>
      </c>
      <c r="Z75" s="598">
        <f ca="1">IF(G75&lt;Military!Y75, ROUND($C75*IF(Magic!AW75=0,Constants!$B$51,Constants!$B$51*2),0), 0)</f>
        <v>0</v>
      </c>
      <c r="AA75" s="613"/>
      <c r="AB75" s="626">
        <f ca="1">Overview!$O$16 + IF(Magic!AK75&gt;0,Constants!$F$75) + ROUND(6*(Construction!BL76+Construction!CJ75)/IF(Explore!S76&gt;0,Construction!E76-20,Construction!E76),4)</f>
        <v>0</v>
      </c>
      <c r="AC75" s="1163">
        <f ca="1">(Overview!$O$15 + Imps!Z75+MAX(Constants!$M$38*Techs!AE75,Constants!$M$50*Techs!AQ75)) * (1 + Production!O75/100*prestige_pop_multiplier) + Production!O75/100*prestige_pop_multiplier</f>
        <v>0.05</v>
      </c>
    </row>
    <row r="76" spans="1:29" s="170" customFormat="1" ht="13.5" thickTop="1">
      <c r="A76" s="986">
        <f>Rezone!J76</f>
        <v>74</v>
      </c>
      <c r="B76" s="589">
        <f>Imps!L76</f>
        <v>43695.04166666649</v>
      </c>
      <c r="C76" s="152">
        <f ca="1">$C75+$W75+Military!BE76 - IF(race="Demon",Military!G75*2,0)</f>
        <v>3945</v>
      </c>
      <c r="D76" s="164">
        <f ca="1">Military!B76</f>
        <v>5295</v>
      </c>
      <c r="E76" s="164">
        <f ca="1">Military!Z76</f>
        <v>3695</v>
      </c>
      <c r="F76" s="164">
        <f t="shared" ca="1" si="10"/>
        <v>9240</v>
      </c>
      <c r="G76" s="165">
        <f t="shared" ca="1" si="11"/>
        <v>0.57305194805194803</v>
      </c>
      <c r="H76" s="593">
        <f t="shared" ca="1" si="12"/>
        <v>3945</v>
      </c>
      <c r="I76" s="165">
        <f t="shared" ca="1" si="13"/>
        <v>1</v>
      </c>
      <c r="J76" s="676">
        <f>SUM(Construction!AY76:BH76,Construction!BJ76:BP76,Construction!BW76:CF76,Construction!CH76:CN76)*building_employment</f>
        <v>7600</v>
      </c>
      <c r="K76" s="634"/>
      <c r="L76" s="152">
        <f ca="1">Military!$Z76</f>
        <v>3695</v>
      </c>
      <c r="M76" s="164">
        <f>Military!E76</f>
        <v>0</v>
      </c>
      <c r="N76" s="164">
        <f>Military!F76</f>
        <v>0</v>
      </c>
      <c r="O76" s="164">
        <f>Military!G76</f>
        <v>1000</v>
      </c>
      <c r="P76" s="164">
        <f>Military!H76</f>
        <v>400</v>
      </c>
      <c r="Q76" s="164">
        <f>Military!I76</f>
        <v>100</v>
      </c>
      <c r="R76" s="164">
        <f>Military!J76</f>
        <v>100</v>
      </c>
      <c r="S76" s="166">
        <f>Military!K76</f>
        <v>0</v>
      </c>
      <c r="T76" s="156"/>
      <c r="U76" s="152">
        <f ca="1">ROUND($V76*(1+$AC76),0)+MIN(D76-E76-SUM(Military!AF76:AL76),barracks_size*Construction!BI76)</f>
        <v>9240</v>
      </c>
      <c r="V76" s="166">
        <f>(Construction!AX76+Construction!BV76)*pop_in_home+(SUM(Construction!AY76:BP76)+Construction!C76-Construction!BI76)*pop_in_building+(SUM(Construction!F76:L76)-Explore!S76*20)*pop_on_barren-(SUM(Construction!N76:AF76)-SUM(Construction!BW76:CN76))*(15-pop_on_barren)-pop_on_barren*Construction!BV76</f>
        <v>8800</v>
      </c>
      <c r="W76" s="152">
        <f t="shared" ca="1" si="14"/>
        <v>0</v>
      </c>
      <c r="X76" s="164">
        <f t="shared" ca="1" si="8"/>
        <v>118</v>
      </c>
      <c r="Y76" s="164">
        <f t="shared" ca="1" si="9"/>
        <v>118.35</v>
      </c>
      <c r="Z76" s="166">
        <f ca="1">IF(G76&lt;Military!Y76, ROUND($C76*IF(Magic!AW76=0,Constants!$B$51,Constants!$B$51*2),0), 0)</f>
        <v>0</v>
      </c>
      <c r="AA76" s="159"/>
      <c r="AB76" s="169">
        <f ca="1">Overview!$O$16 + IF(Magic!AK76&gt;0,Constants!$F$75) + ROUND(6*(Construction!BL77+Construction!CJ76)/IF(Explore!S77&gt;0,Construction!E77-20,Construction!E77),4)</f>
        <v>0</v>
      </c>
      <c r="AC76" s="540">
        <f ca="1">(Overview!$O$15 + Imps!Z76+MAX(Constants!$M$38*Techs!AE76,Constants!$M$50*Techs!AQ76)) * (1 + Production!O76/100*prestige_pop_multiplier) + Production!O76/100*prestige_pop_multiplier</f>
        <v>0.05</v>
      </c>
    </row>
    <row r="77" spans="1:29" s="170" customFormat="1">
      <c r="A77" s="986">
        <f>Rezone!J77</f>
        <v>75</v>
      </c>
      <c r="B77" s="589">
        <f>Imps!L77</f>
        <v>43695.083333333154</v>
      </c>
      <c r="C77" s="152">
        <f ca="1">$C76+$W76+Military!BE77 - IF(race="Demon",Military!G76*2,0)</f>
        <v>3945</v>
      </c>
      <c r="D77" s="164">
        <f ca="1">Military!B77</f>
        <v>5295</v>
      </c>
      <c r="E77" s="164">
        <f ca="1">Military!Z77</f>
        <v>3695</v>
      </c>
      <c r="F77" s="164">
        <f t="shared" ca="1" si="10"/>
        <v>9240</v>
      </c>
      <c r="G77" s="165">
        <f t="shared" ca="1" si="11"/>
        <v>0.57305194805194803</v>
      </c>
      <c r="H77" s="593">
        <f t="shared" ca="1" si="12"/>
        <v>3945</v>
      </c>
      <c r="I77" s="165">
        <f t="shared" ca="1" si="13"/>
        <v>1</v>
      </c>
      <c r="J77" s="676">
        <f>SUM(Construction!AY77:BH77,Construction!BJ77:BP77,Construction!BW77:CF77,Construction!CH77:CN77)*building_employment</f>
        <v>7600</v>
      </c>
      <c r="K77" s="634"/>
      <c r="L77" s="152">
        <f ca="1">Military!$Z77</f>
        <v>3695</v>
      </c>
      <c r="M77" s="164">
        <f>Military!E77</f>
        <v>0</v>
      </c>
      <c r="N77" s="164">
        <f>Military!F77</f>
        <v>0</v>
      </c>
      <c r="O77" s="164">
        <f>Military!G77</f>
        <v>1000</v>
      </c>
      <c r="P77" s="164">
        <f>Military!H77</f>
        <v>400</v>
      </c>
      <c r="Q77" s="164">
        <f>Military!I77</f>
        <v>100</v>
      </c>
      <c r="R77" s="164">
        <f>Military!J77</f>
        <v>100</v>
      </c>
      <c r="S77" s="166">
        <f>Military!K77</f>
        <v>0</v>
      </c>
      <c r="T77" s="156"/>
      <c r="U77" s="152">
        <f ca="1">ROUND($V77*(1+$AC77),0)+MIN(D77-E77-SUM(Military!AF77:AL77),barracks_size*Construction!BI77)</f>
        <v>9240</v>
      </c>
      <c r="V77" s="166">
        <f>(Construction!AX77+Construction!BV77)*pop_in_home+(SUM(Construction!AY77:BP77)+Construction!C77-Construction!BI77)*pop_in_building+(SUM(Construction!F77:L77)-Explore!S77*20)*pop_on_barren-(SUM(Construction!N77:AF77)-SUM(Construction!BW77:CN77))*(15-pop_on_barren)-pop_on_barren*Construction!BV77</f>
        <v>8800</v>
      </c>
      <c r="W77" s="152">
        <f t="shared" ca="1" si="14"/>
        <v>0</v>
      </c>
      <c r="X77" s="164">
        <f t="shared" ca="1" si="8"/>
        <v>118</v>
      </c>
      <c r="Y77" s="164">
        <f t="shared" ca="1" si="9"/>
        <v>118.35</v>
      </c>
      <c r="Z77" s="166">
        <f ca="1">IF(G77&lt;Military!Y77, ROUND($C77*IF(Magic!AW77=0,Constants!$B$51,Constants!$B$51*2),0), 0)</f>
        <v>0</v>
      </c>
      <c r="AA77" s="159"/>
      <c r="AB77" s="169">
        <f ca="1">Overview!$O$16 + IF(Magic!AK77&gt;0,Constants!$F$75) + ROUND(6*(Construction!BL78+Construction!CJ77)/IF(Explore!S78&gt;0,Construction!E78-20,Construction!E78),4)</f>
        <v>0</v>
      </c>
      <c r="AC77" s="540">
        <f ca="1">(Overview!$O$15 + Imps!Z77+MAX(Constants!$M$38*Techs!AE77,Constants!$M$50*Techs!AQ77)) * (1 + Production!O77/100*prestige_pop_multiplier) + Production!O77/100*prestige_pop_multiplier</f>
        <v>0.05</v>
      </c>
    </row>
    <row r="78" spans="1:29" s="16" customFormat="1">
      <c r="A78" s="987">
        <f>Rezone!J78</f>
        <v>76</v>
      </c>
      <c r="B78" s="589">
        <f>Imps!L78</f>
        <v>43695.124999999818</v>
      </c>
      <c r="C78" s="152">
        <f ca="1">$C77+$W77+Military!BE78 - IF(race="Demon",Military!G77*2,0)</f>
        <v>3945</v>
      </c>
      <c r="D78" s="26">
        <f ca="1">Military!B78</f>
        <v>5295</v>
      </c>
      <c r="E78" s="26">
        <f ca="1">Military!Z78</f>
        <v>3695</v>
      </c>
      <c r="F78" s="26">
        <f t="shared" ca="1" si="10"/>
        <v>9240</v>
      </c>
      <c r="G78" s="27">
        <f t="shared" ca="1" si="11"/>
        <v>0.57305194805194803</v>
      </c>
      <c r="H78" s="594">
        <f t="shared" ca="1" si="12"/>
        <v>3945</v>
      </c>
      <c r="I78" s="165">
        <f t="shared" ca="1" si="13"/>
        <v>1</v>
      </c>
      <c r="J78" s="676">
        <f>SUM(Construction!AY78:BH78,Construction!BJ78:BP78,Construction!BW78:CF78,Construction!CH78:CN78)*building_employment</f>
        <v>7600</v>
      </c>
      <c r="K78" s="635"/>
      <c r="L78" s="56">
        <f ca="1">Military!$Z78</f>
        <v>3695</v>
      </c>
      <c r="M78" s="26">
        <f>Military!E78</f>
        <v>0</v>
      </c>
      <c r="N78" s="26">
        <f>Military!F78</f>
        <v>0</v>
      </c>
      <c r="O78" s="26">
        <f>Military!G78</f>
        <v>1000</v>
      </c>
      <c r="P78" s="26">
        <f>Military!H78</f>
        <v>400</v>
      </c>
      <c r="Q78" s="26">
        <f>Military!I78</f>
        <v>100</v>
      </c>
      <c r="R78" s="26">
        <f>Military!J78</f>
        <v>100</v>
      </c>
      <c r="S78" s="57">
        <f>Military!K78</f>
        <v>0</v>
      </c>
      <c r="T78" s="52"/>
      <c r="U78" s="56">
        <f ca="1">ROUND($V78*(1+$AC78),0)+MIN(D78-E78-SUM(Military!AF78:AL78),barracks_size*Construction!BI78)</f>
        <v>9240</v>
      </c>
      <c r="V78" s="166">
        <f>(Construction!AX78+Construction!BV78)*pop_in_home+(SUM(Construction!AY78:BP78)+Construction!C78-Construction!BI78)*pop_in_building+(SUM(Construction!F78:L78)-Explore!S78*20)*pop_on_barren-(SUM(Construction!N78:AF78)-SUM(Construction!BW78:CN78))*(15-pop_on_barren)-pop_on_barren*Construction!BV78</f>
        <v>8800</v>
      </c>
      <c r="W78" s="152">
        <f t="shared" ca="1" si="14"/>
        <v>0</v>
      </c>
      <c r="X78" s="26">
        <f t="shared" ca="1" si="8"/>
        <v>118</v>
      </c>
      <c r="Y78" s="164">
        <f t="shared" ca="1" si="9"/>
        <v>118.35</v>
      </c>
      <c r="Z78" s="57">
        <f ca="1">IF(G78&lt;Military!Y78, ROUND($C78*IF(Magic!AW78=0,Constants!$B$51,Constants!$B$51*2),0), 0)</f>
        <v>0</v>
      </c>
      <c r="AA78" s="63"/>
      <c r="AB78" s="169">
        <f ca="1">Overview!$O$16 + IF(Magic!AK78&gt;0,Constants!$F$75) + ROUND(6*(Construction!BL79+Construction!CJ78)/IF(Explore!S79&gt;0,Construction!E79-20,Construction!E79),4)</f>
        <v>0</v>
      </c>
      <c r="AC78" s="540">
        <f ca="1">(Overview!$O$15 + Imps!Z78+MAX(Constants!$M$38*Techs!AE78,Constants!$M$50*Techs!AQ78)) * (1 + Production!O78/100*prestige_pop_multiplier) + Production!O78/100*prestige_pop_multiplier</f>
        <v>0.05</v>
      </c>
    </row>
    <row r="79" spans="1:29" s="16" customFormat="1">
      <c r="A79" s="987">
        <f>Rezone!J79</f>
        <v>77</v>
      </c>
      <c r="B79" s="589">
        <f>Imps!L79</f>
        <v>43695.166666666482</v>
      </c>
      <c r="C79" s="152">
        <f ca="1">$C78+$W78+Military!BE79 - IF(race="Demon",Military!G78*2,0)</f>
        <v>3945</v>
      </c>
      <c r="D79" s="26">
        <f ca="1">Military!B79</f>
        <v>5295</v>
      </c>
      <c r="E79" s="26">
        <f ca="1">Military!Z79</f>
        <v>3695</v>
      </c>
      <c r="F79" s="26">
        <f t="shared" ca="1" si="10"/>
        <v>9240</v>
      </c>
      <c r="G79" s="27">
        <f t="shared" ca="1" si="11"/>
        <v>0.57305194805194803</v>
      </c>
      <c r="H79" s="594">
        <f t="shared" ca="1" si="12"/>
        <v>3945</v>
      </c>
      <c r="I79" s="165">
        <f t="shared" ca="1" si="13"/>
        <v>1</v>
      </c>
      <c r="J79" s="676">
        <f>SUM(Construction!AY79:BH79,Construction!BJ79:BP79,Construction!BW79:CF79,Construction!CH79:CN79)*building_employment</f>
        <v>7600</v>
      </c>
      <c r="K79" s="635"/>
      <c r="L79" s="56">
        <f ca="1">Military!$Z79</f>
        <v>3695</v>
      </c>
      <c r="M79" s="26">
        <f>Military!E79</f>
        <v>0</v>
      </c>
      <c r="N79" s="26">
        <f>Military!F79</f>
        <v>0</v>
      </c>
      <c r="O79" s="26">
        <f>Military!G79</f>
        <v>1000</v>
      </c>
      <c r="P79" s="26">
        <f>Military!H79</f>
        <v>400</v>
      </c>
      <c r="Q79" s="26">
        <f>Military!I79</f>
        <v>100</v>
      </c>
      <c r="R79" s="26">
        <f>Military!J79</f>
        <v>100</v>
      </c>
      <c r="S79" s="57">
        <f>Military!K79</f>
        <v>0</v>
      </c>
      <c r="T79" s="52"/>
      <c r="U79" s="56">
        <f ca="1">ROUND($V79*(1+$AC79),0)+MIN(D79-E79-SUM(Military!AF79:AL79),barracks_size*Construction!BI79)</f>
        <v>9240</v>
      </c>
      <c r="V79" s="166">
        <f>(Construction!AX79+Construction!BV79)*pop_in_home+(SUM(Construction!AY79:BP79)+Construction!C79-Construction!BI79)*pop_in_building+(SUM(Construction!F79:L79)-Explore!S79*20)*pop_on_barren-(SUM(Construction!N79:AF79)-SUM(Construction!BW79:CN79))*(15-pop_on_barren)-pop_on_barren*Construction!BV79</f>
        <v>8800</v>
      </c>
      <c r="W79" s="152">
        <f t="shared" ca="1" si="14"/>
        <v>0</v>
      </c>
      <c r="X79" s="26">
        <f t="shared" ca="1" si="8"/>
        <v>118</v>
      </c>
      <c r="Y79" s="164">
        <f t="shared" ca="1" si="9"/>
        <v>118.35</v>
      </c>
      <c r="Z79" s="57">
        <f ca="1">IF(G79&lt;Military!Y79, ROUND($C79*IF(Magic!AW79=0,Constants!$B$51,Constants!$B$51*2),0), 0)</f>
        <v>0</v>
      </c>
      <c r="AA79" s="63"/>
      <c r="AB79" s="169">
        <f ca="1">Overview!$O$16 + IF(Magic!AK79&gt;0,Constants!$F$75) + ROUND(6*(Construction!BL80+Construction!CJ79)/IF(Explore!S80&gt;0,Construction!E80-20,Construction!E80),4)</f>
        <v>0</v>
      </c>
      <c r="AC79" s="540">
        <f ca="1">(Overview!$O$15 + Imps!Z79+MAX(Constants!$M$38*Techs!AE79,Constants!$M$50*Techs!AQ79)) * (1 + Production!O79/100*prestige_pop_multiplier) + Production!O79/100*prestige_pop_multiplier</f>
        <v>0.05</v>
      </c>
    </row>
    <row r="80" spans="1:29" s="16" customFormat="1">
      <c r="A80" s="987">
        <f>Rezone!J80</f>
        <v>78</v>
      </c>
      <c r="B80" s="589">
        <f>Imps!L80</f>
        <v>43695.208333333147</v>
      </c>
      <c r="C80" s="152">
        <f ca="1">$C79+$W79+Military!BE80 - IF(race="Demon",Military!G79*2,0)</f>
        <v>3945</v>
      </c>
      <c r="D80" s="26">
        <f ca="1">Military!B80</f>
        <v>5295</v>
      </c>
      <c r="E80" s="26">
        <f ca="1">Military!Z80</f>
        <v>3695</v>
      </c>
      <c r="F80" s="26">
        <f t="shared" ca="1" si="10"/>
        <v>9240</v>
      </c>
      <c r="G80" s="27">
        <f t="shared" ca="1" si="11"/>
        <v>0.57305194805194803</v>
      </c>
      <c r="H80" s="594">
        <f t="shared" ca="1" si="12"/>
        <v>3945</v>
      </c>
      <c r="I80" s="165">
        <f t="shared" ca="1" si="13"/>
        <v>1</v>
      </c>
      <c r="J80" s="676">
        <f>SUM(Construction!AY80:BH80,Construction!BJ80:BP80,Construction!BW80:CF80,Construction!CH80:CN80)*building_employment</f>
        <v>7600</v>
      </c>
      <c r="K80" s="635"/>
      <c r="L80" s="56">
        <f ca="1">Military!$Z80</f>
        <v>3695</v>
      </c>
      <c r="M80" s="26">
        <f>Military!E80</f>
        <v>0</v>
      </c>
      <c r="N80" s="26">
        <f>Military!F80</f>
        <v>0</v>
      </c>
      <c r="O80" s="26">
        <f>Military!G80</f>
        <v>1000</v>
      </c>
      <c r="P80" s="26">
        <f>Military!H80</f>
        <v>400</v>
      </c>
      <c r="Q80" s="26">
        <f>Military!I80</f>
        <v>100</v>
      </c>
      <c r="R80" s="26">
        <f>Military!J80</f>
        <v>100</v>
      </c>
      <c r="S80" s="57">
        <f>Military!K80</f>
        <v>0</v>
      </c>
      <c r="T80" s="52"/>
      <c r="U80" s="56">
        <f ca="1">ROUND($V80*(1+$AC80),0)+MIN(D80-E80-SUM(Military!AF80:AL80),barracks_size*Construction!BI80)</f>
        <v>9240</v>
      </c>
      <c r="V80" s="166">
        <f>(Construction!AX80+Construction!BV80)*pop_in_home+(SUM(Construction!AY80:BP80)+Construction!C80-Construction!BI80)*pop_in_building+(SUM(Construction!F80:L80)-Explore!S80*20)*pop_on_barren-(SUM(Construction!N80:AF80)-SUM(Construction!BW80:CN80))*(15-pop_on_barren)-pop_on_barren*Construction!BV80</f>
        <v>8800</v>
      </c>
      <c r="W80" s="152">
        <f t="shared" ca="1" si="14"/>
        <v>0</v>
      </c>
      <c r="X80" s="26">
        <f t="shared" ca="1" si="8"/>
        <v>118</v>
      </c>
      <c r="Y80" s="164">
        <f t="shared" ca="1" si="9"/>
        <v>118.35</v>
      </c>
      <c r="Z80" s="57">
        <f ca="1">IF(G80&lt;Military!Y80, ROUND($C80*IF(Magic!AW80=0,Constants!$B$51,Constants!$B$51*2),0), 0)</f>
        <v>0</v>
      </c>
      <c r="AA80" s="63"/>
      <c r="AB80" s="169">
        <f ca="1">Overview!$O$16 + IF(Magic!AK80&gt;0,Constants!$F$75) + ROUND(6*(Construction!BL81+Construction!CJ80)/IF(Explore!S81&gt;0,Construction!E81-20,Construction!E81),4)</f>
        <v>0</v>
      </c>
      <c r="AC80" s="540">
        <f ca="1">(Overview!$O$15 + Imps!Z80+MAX(Constants!$M$38*Techs!AE80,Constants!$M$50*Techs!AQ80)) * (1 + Production!O80/100*prestige_pop_multiplier) + Production!O80/100*prestige_pop_multiplier</f>
        <v>0.05</v>
      </c>
    </row>
    <row r="81" spans="1:29" s="16" customFormat="1">
      <c r="A81" s="987">
        <f>Rezone!J81</f>
        <v>79</v>
      </c>
      <c r="B81" s="589">
        <f>Imps!L81</f>
        <v>43695.249999999811</v>
      </c>
      <c r="C81" s="152">
        <f ca="1">$C80+$W80+Military!BE81 - IF(race="Demon",Military!G80*2,0)</f>
        <v>3945</v>
      </c>
      <c r="D81" s="26">
        <f ca="1">Military!B81</f>
        <v>5295</v>
      </c>
      <c r="E81" s="26">
        <f ca="1">Military!Z81</f>
        <v>3695</v>
      </c>
      <c r="F81" s="26">
        <f t="shared" ca="1" si="10"/>
        <v>9240</v>
      </c>
      <c r="G81" s="27">
        <f t="shared" ca="1" si="11"/>
        <v>0.57305194805194803</v>
      </c>
      <c r="H81" s="594">
        <f t="shared" ca="1" si="12"/>
        <v>3945</v>
      </c>
      <c r="I81" s="165">
        <f t="shared" ca="1" si="13"/>
        <v>1</v>
      </c>
      <c r="J81" s="676">
        <f>SUM(Construction!AY81:BH81,Construction!BJ81:BP81,Construction!BW81:CF81,Construction!CH81:CN81)*building_employment</f>
        <v>7600</v>
      </c>
      <c r="K81" s="635"/>
      <c r="L81" s="56">
        <f ca="1">Military!$Z81</f>
        <v>3695</v>
      </c>
      <c r="M81" s="26">
        <f>Military!E81</f>
        <v>0</v>
      </c>
      <c r="N81" s="26">
        <f>Military!F81</f>
        <v>0</v>
      </c>
      <c r="O81" s="26">
        <f>Military!G81</f>
        <v>1000</v>
      </c>
      <c r="P81" s="26">
        <f>Military!H81</f>
        <v>400</v>
      </c>
      <c r="Q81" s="26">
        <f>Military!I81</f>
        <v>100</v>
      </c>
      <c r="R81" s="26">
        <f>Military!J81</f>
        <v>100</v>
      </c>
      <c r="S81" s="57">
        <f>Military!K81</f>
        <v>0</v>
      </c>
      <c r="T81" s="52"/>
      <c r="U81" s="56">
        <f ca="1">ROUND($V81*(1+$AC81),0)+MIN(D81-E81-SUM(Military!AF81:AL81),barracks_size*Construction!BI81)</f>
        <v>9240</v>
      </c>
      <c r="V81" s="166">
        <f>(Construction!AX81+Construction!BV81)*pop_in_home+(SUM(Construction!AY81:BP81)+Construction!C81-Construction!BI81)*pop_in_building+(SUM(Construction!F81:L81)-Explore!S81*20)*pop_on_barren-(SUM(Construction!N81:AF81)-SUM(Construction!BW81:CN81))*(15-pop_on_barren)-pop_on_barren*Construction!BV81</f>
        <v>8800</v>
      </c>
      <c r="W81" s="152">
        <f t="shared" ca="1" si="14"/>
        <v>0</v>
      </c>
      <c r="X81" s="26">
        <f t="shared" ca="1" si="8"/>
        <v>118</v>
      </c>
      <c r="Y81" s="164">
        <f t="shared" ca="1" si="9"/>
        <v>118.35</v>
      </c>
      <c r="Z81" s="57">
        <f ca="1">IF(G81&lt;Military!Y81, ROUND($C81*IF(Magic!AW81=0,Constants!$B$51,Constants!$B$51*2),0), 0)</f>
        <v>0</v>
      </c>
      <c r="AA81" s="63"/>
      <c r="AB81" s="169">
        <f ca="1">Overview!$O$16 + IF(Magic!AK81&gt;0,Constants!$F$75) + ROUND(6*(Construction!BL82+Construction!CJ81)/IF(Explore!S82&gt;0,Construction!E82-20,Construction!E82),4)</f>
        <v>0</v>
      </c>
      <c r="AC81" s="540">
        <f ca="1">(Overview!$O$15 + Imps!Z81+MAX(Constants!$M$38*Techs!AE81,Constants!$M$50*Techs!AQ81)) * (1 + Production!O81/100*prestige_pop_multiplier) + Production!O81/100*prestige_pop_multiplier</f>
        <v>0.05</v>
      </c>
    </row>
    <row r="82" spans="1:29" s="16" customFormat="1">
      <c r="A82" s="987">
        <f>Rezone!J82</f>
        <v>80</v>
      </c>
      <c r="B82" s="589">
        <f>Imps!L82</f>
        <v>43695.291666666475</v>
      </c>
      <c r="C82" s="152">
        <f ca="1">$C81+$W81+Military!BE82 - IF(race="Demon",Military!G81*2,0)</f>
        <v>3945</v>
      </c>
      <c r="D82" s="26">
        <f ca="1">Military!B82</f>
        <v>5295</v>
      </c>
      <c r="E82" s="26">
        <f ca="1">Military!Z82</f>
        <v>3695</v>
      </c>
      <c r="F82" s="26">
        <f t="shared" ca="1" si="10"/>
        <v>9240</v>
      </c>
      <c r="G82" s="27">
        <f t="shared" ca="1" si="11"/>
        <v>0.57305194805194803</v>
      </c>
      <c r="H82" s="594">
        <f t="shared" ca="1" si="12"/>
        <v>3945</v>
      </c>
      <c r="I82" s="165">
        <f t="shared" ca="1" si="13"/>
        <v>1</v>
      </c>
      <c r="J82" s="676">
        <f>SUM(Construction!AY82:BH82,Construction!BJ82:BP82,Construction!BW82:CF82,Construction!CH82:CN82)*building_employment</f>
        <v>7600</v>
      </c>
      <c r="K82" s="635"/>
      <c r="L82" s="56">
        <f ca="1">Military!$Z82</f>
        <v>3695</v>
      </c>
      <c r="M82" s="26">
        <f>Military!E82</f>
        <v>0</v>
      </c>
      <c r="N82" s="26">
        <f>Military!F82</f>
        <v>0</v>
      </c>
      <c r="O82" s="26">
        <f>Military!G82</f>
        <v>1000</v>
      </c>
      <c r="P82" s="26">
        <f>Military!H82</f>
        <v>400</v>
      </c>
      <c r="Q82" s="26">
        <f>Military!I82</f>
        <v>100</v>
      </c>
      <c r="R82" s="26">
        <f>Military!J82</f>
        <v>100</v>
      </c>
      <c r="S82" s="57">
        <f>Military!K82</f>
        <v>0</v>
      </c>
      <c r="T82" s="52"/>
      <c r="U82" s="56">
        <f ca="1">ROUND($V82*(1+$AC82),0)+MIN(D82-E82-SUM(Military!AF82:AL82),barracks_size*Construction!BI82)</f>
        <v>9240</v>
      </c>
      <c r="V82" s="166">
        <f>(Construction!AX82+Construction!BV82)*pop_in_home+(SUM(Construction!AY82:BP82)+Construction!C82-Construction!BI82)*pop_in_building+(SUM(Construction!F82:L82)-Explore!S82*20)*pop_on_barren-(SUM(Construction!N82:AF82)-SUM(Construction!BW82:CN82))*(15-pop_on_barren)-pop_on_barren*Construction!BV82</f>
        <v>8800</v>
      </c>
      <c r="W82" s="152">
        <f t="shared" ca="1" si="14"/>
        <v>0</v>
      </c>
      <c r="X82" s="26">
        <f t="shared" ca="1" si="8"/>
        <v>118</v>
      </c>
      <c r="Y82" s="164">
        <f t="shared" ca="1" si="9"/>
        <v>118.35</v>
      </c>
      <c r="Z82" s="57">
        <f ca="1">IF(G82&lt;Military!Y82, ROUND($C82*IF(Magic!AW82=0,Constants!$B$51,Constants!$B$51*2),0), 0)</f>
        <v>0</v>
      </c>
      <c r="AA82" s="63"/>
      <c r="AB82" s="169">
        <f ca="1">Overview!$O$16 + IF(Magic!AK82&gt;0,Constants!$F$75) + ROUND(6*(Construction!BL83+Construction!CJ82)/IF(Explore!S83&gt;0,Construction!E83-20,Construction!E83),4)</f>
        <v>0</v>
      </c>
      <c r="AC82" s="540">
        <f ca="1">(Overview!$O$15 + Imps!Z82+MAX(Constants!$M$38*Techs!AE82,Constants!$M$50*Techs!AQ82)) * (1 + Production!O82/100*prestige_pop_multiplier) + Production!O82/100*prestige_pop_multiplier</f>
        <v>0.05</v>
      </c>
    </row>
    <row r="83" spans="1:29" s="16" customFormat="1">
      <c r="A83" s="987">
        <f>Rezone!J83</f>
        <v>81</v>
      </c>
      <c r="B83" s="589">
        <f>Imps!L83</f>
        <v>43695.333333333139</v>
      </c>
      <c r="C83" s="152">
        <f ca="1">$C82+$W82+Military!BE83 - IF(race="Demon",Military!G82*2,0)</f>
        <v>3945</v>
      </c>
      <c r="D83" s="26">
        <f ca="1">Military!B83</f>
        <v>5295</v>
      </c>
      <c r="E83" s="26">
        <f ca="1">Military!Z83</f>
        <v>3695</v>
      </c>
      <c r="F83" s="26">
        <f t="shared" ca="1" si="10"/>
        <v>9240</v>
      </c>
      <c r="G83" s="27">
        <f t="shared" ca="1" si="11"/>
        <v>0.57305194805194803</v>
      </c>
      <c r="H83" s="594">
        <f t="shared" ca="1" si="12"/>
        <v>3945</v>
      </c>
      <c r="I83" s="165">
        <f t="shared" ca="1" si="13"/>
        <v>1</v>
      </c>
      <c r="J83" s="676">
        <f>SUM(Construction!AY83:BH83,Construction!BJ83:BP83,Construction!BW83:CF83,Construction!CH83:CN83)*building_employment</f>
        <v>7600</v>
      </c>
      <c r="K83" s="635"/>
      <c r="L83" s="56">
        <f ca="1">Military!$Z83</f>
        <v>3695</v>
      </c>
      <c r="M83" s="26">
        <f>Military!E83</f>
        <v>0</v>
      </c>
      <c r="N83" s="26">
        <f>Military!F83</f>
        <v>0</v>
      </c>
      <c r="O83" s="26">
        <f>Military!G83</f>
        <v>1000</v>
      </c>
      <c r="P83" s="26">
        <f>Military!H83</f>
        <v>400</v>
      </c>
      <c r="Q83" s="26">
        <f>Military!I83</f>
        <v>100</v>
      </c>
      <c r="R83" s="26">
        <f>Military!J83</f>
        <v>100</v>
      </c>
      <c r="S83" s="57">
        <f>Military!K83</f>
        <v>0</v>
      </c>
      <c r="T83" s="52"/>
      <c r="U83" s="56">
        <f ca="1">ROUND($V83*(1+$AC83),0)+MIN(D83-E83-SUM(Military!AF83:AL83),barracks_size*Construction!BI83)</f>
        <v>9240</v>
      </c>
      <c r="V83" s="166">
        <f>(Construction!AX83+Construction!BV83)*pop_in_home+(SUM(Construction!AY83:BP83)+Construction!C83-Construction!BI83)*pop_in_building+(SUM(Construction!F83:L83)-Explore!S83*20)*pop_on_barren-(SUM(Construction!N83:AF83)-SUM(Construction!BW83:CN83))*(15-pop_on_barren)-pop_on_barren*Construction!BV83</f>
        <v>8800</v>
      </c>
      <c r="W83" s="152">
        <f t="shared" ca="1" si="14"/>
        <v>0</v>
      </c>
      <c r="X83" s="26">
        <f t="shared" ca="1" si="8"/>
        <v>118</v>
      </c>
      <c r="Y83" s="164">
        <f t="shared" ca="1" si="9"/>
        <v>118.35</v>
      </c>
      <c r="Z83" s="57">
        <f ca="1">IF(G83&lt;Military!Y83, ROUND($C83*IF(Magic!AW83=0,Constants!$B$51,Constants!$B$51*2),0), 0)</f>
        <v>0</v>
      </c>
      <c r="AA83" s="63"/>
      <c r="AB83" s="169">
        <f ca="1">Overview!$O$16 + IF(Magic!AK83&gt;0,Constants!$F$75) + ROUND(6*(Construction!BL84+Construction!CJ83)/IF(Explore!S84&gt;0,Construction!E84-20,Construction!E84),4)</f>
        <v>0</v>
      </c>
      <c r="AC83" s="540">
        <f ca="1">(Overview!$O$15 + Imps!Z83+MAX(Constants!$M$38*Techs!AE83,Constants!$M$50*Techs!AQ83)) * (1 + Production!O83/100*prestige_pop_multiplier) + Production!O83/100*prestige_pop_multiplier</f>
        <v>0.05</v>
      </c>
    </row>
    <row r="84" spans="1:29" s="16" customFormat="1">
      <c r="A84" s="987">
        <f>Rezone!J84</f>
        <v>82</v>
      </c>
      <c r="B84" s="589">
        <f>Imps!L84</f>
        <v>43695.374999999804</v>
      </c>
      <c r="C84" s="152">
        <f ca="1">$C83+$W83+Military!BE84 - IF(race="Demon",Military!G83*2,0)</f>
        <v>3945</v>
      </c>
      <c r="D84" s="26">
        <f ca="1">Military!B84</f>
        <v>5295</v>
      </c>
      <c r="E84" s="26">
        <f ca="1">Military!Z84</f>
        <v>3695</v>
      </c>
      <c r="F84" s="26">
        <f t="shared" ca="1" si="10"/>
        <v>9240</v>
      </c>
      <c r="G84" s="27">
        <f t="shared" ca="1" si="11"/>
        <v>0.57305194805194803</v>
      </c>
      <c r="H84" s="594">
        <f t="shared" ca="1" si="12"/>
        <v>3945</v>
      </c>
      <c r="I84" s="165">
        <f t="shared" ca="1" si="13"/>
        <v>1</v>
      </c>
      <c r="J84" s="676">
        <f>SUM(Construction!AY84:BH84,Construction!BJ84:BP84,Construction!BW84:CF84,Construction!CH84:CN84)*building_employment</f>
        <v>7600</v>
      </c>
      <c r="K84" s="635"/>
      <c r="L84" s="56">
        <f ca="1">Military!$Z84</f>
        <v>3695</v>
      </c>
      <c r="M84" s="26">
        <f>Military!E84</f>
        <v>0</v>
      </c>
      <c r="N84" s="26">
        <f>Military!F84</f>
        <v>0</v>
      </c>
      <c r="O84" s="26">
        <f>Military!G84</f>
        <v>1000</v>
      </c>
      <c r="P84" s="26">
        <f>Military!H84</f>
        <v>400</v>
      </c>
      <c r="Q84" s="26">
        <f>Military!I84</f>
        <v>100</v>
      </c>
      <c r="R84" s="26">
        <f>Military!J84</f>
        <v>100</v>
      </c>
      <c r="S84" s="57">
        <f>Military!K84</f>
        <v>0</v>
      </c>
      <c r="T84" s="52"/>
      <c r="U84" s="56">
        <f ca="1">ROUND($V84*(1+$AC84),0)+MIN(D84-E84-SUM(Military!AF84:AL84),barracks_size*Construction!BI84)</f>
        <v>9240</v>
      </c>
      <c r="V84" s="166">
        <f>(Construction!AX84+Construction!BV84)*pop_in_home+(SUM(Construction!AY84:BP84)+Construction!C84-Construction!BI84)*pop_in_building+(SUM(Construction!F84:L84)-Explore!S84*20)*pop_on_barren-(SUM(Construction!N84:AF84)-SUM(Construction!BW84:CN84))*(15-pop_on_barren)-pop_on_barren*Construction!BV84</f>
        <v>8800</v>
      </c>
      <c r="W84" s="152">
        <f t="shared" ca="1" si="14"/>
        <v>0</v>
      </c>
      <c r="X84" s="26">
        <f t="shared" ca="1" si="8"/>
        <v>118</v>
      </c>
      <c r="Y84" s="164">
        <f t="shared" ca="1" si="9"/>
        <v>118.35</v>
      </c>
      <c r="Z84" s="57">
        <f ca="1">IF(G84&lt;Military!Y84, ROUND($C84*IF(Magic!AW84=0,Constants!$B$51,Constants!$B$51*2),0), 0)</f>
        <v>0</v>
      </c>
      <c r="AA84" s="63"/>
      <c r="AB84" s="169">
        <f ca="1">Overview!$O$16 + IF(Magic!AK84&gt;0,Constants!$F$75) + ROUND(6*(Construction!BL85+Construction!CJ84)/IF(Explore!S85&gt;0,Construction!E85-20,Construction!E85),4)</f>
        <v>0</v>
      </c>
      <c r="AC84" s="540">
        <f ca="1">(Overview!$O$15 + Imps!Z84+MAX(Constants!$M$38*Techs!AE84,Constants!$M$50*Techs!AQ84)) * (1 + Production!O84/100*prestige_pop_multiplier) + Production!O84/100*prestige_pop_multiplier</f>
        <v>0.05</v>
      </c>
    </row>
    <row r="85" spans="1:29" s="16" customFormat="1">
      <c r="A85" s="987">
        <f>Rezone!J85</f>
        <v>83</v>
      </c>
      <c r="B85" s="589">
        <f>Imps!L85</f>
        <v>43695.416666666468</v>
      </c>
      <c r="C85" s="152">
        <f ca="1">$C84+$W84+Military!BE85 - IF(race="Demon",Military!G84*2,0)</f>
        <v>3945</v>
      </c>
      <c r="D85" s="26">
        <f ca="1">Military!B85</f>
        <v>5295</v>
      </c>
      <c r="E85" s="26">
        <f ca="1">Military!Z85</f>
        <v>3695</v>
      </c>
      <c r="F85" s="26">
        <f t="shared" ca="1" si="10"/>
        <v>9240</v>
      </c>
      <c r="G85" s="27">
        <f t="shared" ca="1" si="11"/>
        <v>0.57305194805194803</v>
      </c>
      <c r="H85" s="594">
        <f t="shared" ca="1" si="12"/>
        <v>3945</v>
      </c>
      <c r="I85" s="165">
        <f t="shared" ca="1" si="13"/>
        <v>1</v>
      </c>
      <c r="J85" s="676">
        <f>SUM(Construction!AY85:BH85,Construction!BJ85:BP85,Construction!BW85:CF85,Construction!CH85:CN85)*building_employment</f>
        <v>7600</v>
      </c>
      <c r="K85" s="635"/>
      <c r="L85" s="56">
        <f ca="1">Military!$Z85</f>
        <v>3695</v>
      </c>
      <c r="M85" s="26">
        <f>Military!E85</f>
        <v>0</v>
      </c>
      <c r="N85" s="26">
        <f>Military!F85</f>
        <v>0</v>
      </c>
      <c r="O85" s="26">
        <f>Military!G85</f>
        <v>1000</v>
      </c>
      <c r="P85" s="26">
        <f>Military!H85</f>
        <v>400</v>
      </c>
      <c r="Q85" s="26">
        <f>Military!I85</f>
        <v>100</v>
      </c>
      <c r="R85" s="26">
        <f>Military!J85</f>
        <v>100</v>
      </c>
      <c r="S85" s="57">
        <f>Military!K85</f>
        <v>0</v>
      </c>
      <c r="T85" s="52"/>
      <c r="U85" s="56">
        <f ca="1">ROUND($V85*(1+$AC85),0)+MIN(D85-E85-SUM(Military!AF85:AL85),barracks_size*Construction!BI85)</f>
        <v>9240</v>
      </c>
      <c r="V85" s="166">
        <f>(Construction!AX85+Construction!BV85)*pop_in_home+(SUM(Construction!AY85:BP85)+Construction!C85-Construction!BI85)*pop_in_building+(SUM(Construction!F85:L85)-Explore!S85*20)*pop_on_barren-(SUM(Construction!N85:AF85)-SUM(Construction!BW85:CN85))*(15-pop_on_barren)-pop_on_barren*Construction!BV85</f>
        <v>8800</v>
      </c>
      <c r="W85" s="152">
        <f t="shared" ca="1" si="14"/>
        <v>0</v>
      </c>
      <c r="X85" s="26">
        <f t="shared" ca="1" si="8"/>
        <v>118</v>
      </c>
      <c r="Y85" s="164">
        <f t="shared" ca="1" si="9"/>
        <v>118.35</v>
      </c>
      <c r="Z85" s="57">
        <f ca="1">IF(G85&lt;Military!Y85, ROUND($C85*IF(Magic!AW85=0,Constants!$B$51,Constants!$B$51*2),0), 0)</f>
        <v>0</v>
      </c>
      <c r="AA85" s="63"/>
      <c r="AB85" s="169">
        <f ca="1">Overview!$O$16 + IF(Magic!AK85&gt;0,Constants!$F$75) + ROUND(6*(Construction!BL86+Construction!CJ85)/IF(Explore!S86&gt;0,Construction!E86-20,Construction!E86),4)</f>
        <v>0</v>
      </c>
      <c r="AC85" s="540">
        <f ca="1">(Overview!$O$15 + Imps!Z85+MAX(Constants!$M$38*Techs!AE85,Constants!$M$50*Techs!AQ85)) * (1 + Production!O85/100*prestige_pop_multiplier) + Production!O85/100*prestige_pop_multiplier</f>
        <v>0.05</v>
      </c>
    </row>
    <row r="86" spans="1:29" s="170" customFormat="1">
      <c r="A86" s="986">
        <f>Rezone!J86</f>
        <v>84</v>
      </c>
      <c r="B86" s="589">
        <f>Imps!L86</f>
        <v>43695.458333333132</v>
      </c>
      <c r="C86" s="152">
        <f ca="1">$C85+$W85+Military!BE86 - IF(race="Demon",Military!G85*2,0)</f>
        <v>3945</v>
      </c>
      <c r="D86" s="164">
        <f ca="1">Military!B86</f>
        <v>5295</v>
      </c>
      <c r="E86" s="164">
        <f ca="1">Military!Z86</f>
        <v>3695</v>
      </c>
      <c r="F86" s="164">
        <f t="shared" ca="1" si="10"/>
        <v>9240</v>
      </c>
      <c r="G86" s="165">
        <f t="shared" ca="1" si="11"/>
        <v>0.57305194805194803</v>
      </c>
      <c r="H86" s="593">
        <f t="shared" ca="1" si="12"/>
        <v>3945</v>
      </c>
      <c r="I86" s="165">
        <f t="shared" ca="1" si="13"/>
        <v>1</v>
      </c>
      <c r="J86" s="676">
        <f>SUM(Construction!AY86:BH86,Construction!BJ86:BP86,Construction!BW86:CF86,Construction!CH86:CN86)*building_employment</f>
        <v>7600</v>
      </c>
      <c r="K86" s="634"/>
      <c r="L86" s="152">
        <f ca="1">Military!$Z86</f>
        <v>3695</v>
      </c>
      <c r="M86" s="164">
        <f>Military!E86</f>
        <v>0</v>
      </c>
      <c r="N86" s="164">
        <f>Military!F86</f>
        <v>0</v>
      </c>
      <c r="O86" s="164">
        <f>Military!G86</f>
        <v>1000</v>
      </c>
      <c r="P86" s="164">
        <f>Military!H86</f>
        <v>400</v>
      </c>
      <c r="Q86" s="164">
        <f>Military!I86</f>
        <v>100</v>
      </c>
      <c r="R86" s="164">
        <f>Military!J86</f>
        <v>100</v>
      </c>
      <c r="S86" s="166">
        <f>Military!K86</f>
        <v>0</v>
      </c>
      <c r="T86" s="156"/>
      <c r="U86" s="152">
        <f ca="1">ROUND($V86*(1+$AC86),0)+MIN(D86-E86-SUM(Military!AF86:AL86),barracks_size*Construction!BI86)</f>
        <v>9240</v>
      </c>
      <c r="V86" s="166">
        <f>(Construction!AX86+Construction!BV86)*pop_in_home+(SUM(Construction!AY86:BP86)+Construction!C86-Construction!BI86)*pop_in_building+(SUM(Construction!F86:L86)-Explore!S86*20)*pop_on_barren-(SUM(Construction!N86:AF86)-SUM(Construction!BW86:CN86))*(15-pop_on_barren)-pop_on_barren*Construction!BV86</f>
        <v>8800</v>
      </c>
      <c r="W86" s="152">
        <f t="shared" ca="1" si="14"/>
        <v>0</v>
      </c>
      <c r="X86" s="164">
        <f t="shared" ca="1" si="8"/>
        <v>118</v>
      </c>
      <c r="Y86" s="164">
        <f t="shared" ca="1" si="9"/>
        <v>118.35</v>
      </c>
      <c r="Z86" s="166">
        <f ca="1">IF(G86&lt;Military!Y86, ROUND($C86*IF(Magic!AW86=0,Constants!$B$51,Constants!$B$51*2),0), 0)</f>
        <v>0</v>
      </c>
      <c r="AA86" s="159"/>
      <c r="AB86" s="169">
        <f ca="1">Overview!$O$16 + IF(Magic!AK86&gt;0,Constants!$F$75) + ROUND(6*(Construction!BL87+Construction!CJ86)/IF(Explore!S87&gt;0,Construction!E87-20,Construction!E87),4)</f>
        <v>0</v>
      </c>
      <c r="AC86" s="540">
        <f ca="1">(Overview!$O$15 + Imps!Z86+MAX(Constants!$M$38*Techs!AE86,Constants!$M$50*Techs!AQ86)) * (1 + Production!O86/100*prestige_pop_multiplier) + Production!O86/100*prestige_pop_multiplier</f>
        <v>0.05</v>
      </c>
    </row>
    <row r="87" spans="1:29" s="163" customFormat="1">
      <c r="A87" s="988">
        <f>Rezone!J87</f>
        <v>85</v>
      </c>
      <c r="B87" s="588">
        <f>Imps!L87</f>
        <v>43695.499999999796</v>
      </c>
      <c r="C87" s="151">
        <f ca="1">$C86+$W86+Military!BE87 - IF(race="Demon",Military!G86*2,0)</f>
        <v>3945</v>
      </c>
      <c r="D87" s="153">
        <f ca="1">Military!B87</f>
        <v>5295</v>
      </c>
      <c r="E87" s="153">
        <f ca="1">Military!Z87</f>
        <v>3695</v>
      </c>
      <c r="F87" s="153">
        <f t="shared" ca="1" si="10"/>
        <v>9240</v>
      </c>
      <c r="G87" s="154">
        <f t="shared" ca="1" si="11"/>
        <v>0.57305194805194803</v>
      </c>
      <c r="H87" s="592">
        <f t="shared" ca="1" si="12"/>
        <v>3945</v>
      </c>
      <c r="I87" s="154">
        <f t="shared" ca="1" si="13"/>
        <v>1</v>
      </c>
      <c r="J87" s="1055">
        <f>SUM(Construction!AY87:BH87,Construction!BJ87:BP87,Construction!BW87:CF87,Construction!CH87:CN87)*building_employment</f>
        <v>7600</v>
      </c>
      <c r="K87" s="318"/>
      <c r="L87" s="151">
        <f ca="1">Military!$Z87</f>
        <v>3695</v>
      </c>
      <c r="M87" s="153">
        <f>Military!E87</f>
        <v>0</v>
      </c>
      <c r="N87" s="153">
        <f>Military!F87</f>
        <v>0</v>
      </c>
      <c r="O87" s="153">
        <f>Military!G87</f>
        <v>1000</v>
      </c>
      <c r="P87" s="153">
        <f>Military!H87</f>
        <v>400</v>
      </c>
      <c r="Q87" s="153">
        <f>Military!I87</f>
        <v>100</v>
      </c>
      <c r="R87" s="153">
        <f>Military!J87</f>
        <v>100</v>
      </c>
      <c r="S87" s="158">
        <f>Military!K87</f>
        <v>0</v>
      </c>
      <c r="T87" s="184"/>
      <c r="U87" s="151">
        <f ca="1">ROUND($V87*(1+$AC87),0)+MIN(D87-E87-SUM(Military!AF87:AL87),barracks_size*Construction!BI87)</f>
        <v>9240</v>
      </c>
      <c r="V87" s="158">
        <f>(Construction!AX87+Construction!BV87)*pop_in_home+(SUM(Construction!AY87:BP87)+Construction!C87-Construction!BI87)*pop_in_building+(SUM(Construction!F87:L87)-Explore!S87*20)*pop_on_barren-(SUM(Construction!N87:AF87)-SUM(Construction!BW87:CN87))*(15-pop_on_barren)-pop_on_barren*Construction!BV87</f>
        <v>8800</v>
      </c>
      <c r="W87" s="151">
        <f t="shared" ca="1" si="14"/>
        <v>0</v>
      </c>
      <c r="X87" s="153">
        <f t="shared" ca="1" si="8"/>
        <v>118</v>
      </c>
      <c r="Y87" s="153">
        <f t="shared" ca="1" si="9"/>
        <v>118.35</v>
      </c>
      <c r="Z87" s="158">
        <f ca="1">IF(G87&lt;Military!Y87, ROUND($C87*IF(Magic!AW87=0,Constants!$B$51,Constants!$B$51*2),0), 0)</f>
        <v>0</v>
      </c>
      <c r="AA87" s="287"/>
      <c r="AB87" s="161">
        <f ca="1">Overview!$O$16 + IF(Magic!AK87&gt;0,Constants!$F$75) + ROUND(6*(Construction!BL88+Construction!CJ87)/IF(Explore!S88&gt;0,Construction!E88-20,Construction!E88),4)</f>
        <v>0</v>
      </c>
      <c r="AC87" s="155">
        <f ca="1">(Overview!$O$15 + Imps!Z87+MAX(Constants!$M$38*Techs!AE87,Constants!$M$50*Techs!AQ87)) * (1 + Production!O87/100*prestige_pop_multiplier) + Production!O87/100*prestige_pop_multiplier</f>
        <v>0.05</v>
      </c>
    </row>
    <row r="88" spans="1:29" s="170" customFormat="1">
      <c r="A88" s="986">
        <f>Rezone!J88</f>
        <v>86</v>
      </c>
      <c r="B88" s="589">
        <f>Imps!L88</f>
        <v>43695.541666666461</v>
      </c>
      <c r="C88" s="152">
        <f ca="1">$C87+$W87+Military!BE88 - IF(race="Demon",Military!G87*2,0)</f>
        <v>3945</v>
      </c>
      <c r="D88" s="164">
        <f ca="1">Military!B88</f>
        <v>5295</v>
      </c>
      <c r="E88" s="164">
        <f ca="1">Military!Z88</f>
        <v>3695</v>
      </c>
      <c r="F88" s="164">
        <f t="shared" ca="1" si="10"/>
        <v>9240</v>
      </c>
      <c r="G88" s="165">
        <f t="shared" ca="1" si="11"/>
        <v>0.57305194805194803</v>
      </c>
      <c r="H88" s="593">
        <f t="shared" ca="1" si="12"/>
        <v>3945</v>
      </c>
      <c r="I88" s="165">
        <f t="shared" ca="1" si="13"/>
        <v>1</v>
      </c>
      <c r="J88" s="676">
        <f>SUM(Construction!AY88:BH88,Construction!BJ88:BP88,Construction!BW88:CF88,Construction!CH88:CN88)*building_employment</f>
        <v>7600</v>
      </c>
      <c r="K88" s="634"/>
      <c r="L88" s="152">
        <f ca="1">Military!$Z88</f>
        <v>3695</v>
      </c>
      <c r="M88" s="164">
        <f>Military!E88</f>
        <v>0</v>
      </c>
      <c r="N88" s="164">
        <f>Military!F88</f>
        <v>0</v>
      </c>
      <c r="O88" s="164">
        <f>Military!G88</f>
        <v>1000</v>
      </c>
      <c r="P88" s="164">
        <f>Military!H88</f>
        <v>400</v>
      </c>
      <c r="Q88" s="164">
        <f>Military!I88</f>
        <v>100</v>
      </c>
      <c r="R88" s="164">
        <f>Military!J88</f>
        <v>100</v>
      </c>
      <c r="S88" s="166">
        <f>Military!K88</f>
        <v>0</v>
      </c>
      <c r="T88" s="156"/>
      <c r="U88" s="152">
        <f ca="1">ROUND($V88*(1+$AC88),0)+MIN(D88-E88-SUM(Military!AF88:AL88),barracks_size*Construction!BI88)</f>
        <v>9240</v>
      </c>
      <c r="V88" s="166">
        <f>(Construction!AX88+Construction!BV88)*pop_in_home+(SUM(Construction!AY88:BP88)+Construction!C88-Construction!BI88)*pop_in_building+(SUM(Construction!F88:L88)-Explore!S88*20)*pop_on_barren-(SUM(Construction!N88:AF88)-SUM(Construction!BW88:CN88))*(15-pop_on_barren)-pop_on_barren*Construction!BV88</f>
        <v>8800</v>
      </c>
      <c r="W88" s="152">
        <f t="shared" ca="1" si="14"/>
        <v>0</v>
      </c>
      <c r="X88" s="164">
        <f t="shared" ca="1" si="8"/>
        <v>118</v>
      </c>
      <c r="Y88" s="164">
        <f t="shared" ca="1" si="9"/>
        <v>118.35</v>
      </c>
      <c r="Z88" s="166">
        <f ca="1">IF(G88&lt;Military!Y88, ROUND($C88*IF(Magic!AW88=0,Constants!$B$51,Constants!$B$51*2),0), 0)</f>
        <v>0</v>
      </c>
      <c r="AA88" s="159"/>
      <c r="AB88" s="169">
        <f ca="1">Overview!$O$16 + IF(Magic!AK88&gt;0,Constants!$F$75) + ROUND(6*(Construction!BL89+Construction!CJ88)/IF(Explore!S89&gt;0,Construction!E89-20,Construction!E89),4)</f>
        <v>0</v>
      </c>
      <c r="AC88" s="540">
        <f ca="1">(Overview!$O$15 + Imps!Z88+MAX(Constants!$M$38*Techs!AE88,Constants!$M$50*Techs!AQ88)) * (1 + Production!O88/100*prestige_pop_multiplier) + Production!O88/100*prestige_pop_multiplier</f>
        <v>0.05</v>
      </c>
    </row>
    <row r="89" spans="1:29" s="170" customFormat="1">
      <c r="A89" s="986">
        <f>Rezone!J89</f>
        <v>87</v>
      </c>
      <c r="B89" s="589">
        <f>Imps!L89</f>
        <v>43695.583333333125</v>
      </c>
      <c r="C89" s="152">
        <f ca="1">$C88+$W88+Military!BE89 - IF(race="Demon",Military!G88*2,0)</f>
        <v>3945</v>
      </c>
      <c r="D89" s="164">
        <f ca="1">Military!B89</f>
        <v>5295</v>
      </c>
      <c r="E89" s="164">
        <f ca="1">Military!Z89</f>
        <v>3695</v>
      </c>
      <c r="F89" s="164">
        <f t="shared" ca="1" si="10"/>
        <v>9240</v>
      </c>
      <c r="G89" s="165">
        <f t="shared" ca="1" si="11"/>
        <v>0.57305194805194803</v>
      </c>
      <c r="H89" s="593">
        <f t="shared" ca="1" si="12"/>
        <v>3945</v>
      </c>
      <c r="I89" s="165">
        <f t="shared" ca="1" si="13"/>
        <v>1</v>
      </c>
      <c r="J89" s="676">
        <f>SUM(Construction!AY89:BH89,Construction!BJ89:BP89,Construction!BW89:CF89,Construction!CH89:CN89)*building_employment</f>
        <v>7600</v>
      </c>
      <c r="K89" s="634"/>
      <c r="L89" s="152">
        <f ca="1">Military!$Z89</f>
        <v>3695</v>
      </c>
      <c r="M89" s="164">
        <f>Military!E89</f>
        <v>0</v>
      </c>
      <c r="N89" s="164">
        <f>Military!F89</f>
        <v>0</v>
      </c>
      <c r="O89" s="164">
        <f>Military!G89</f>
        <v>1000</v>
      </c>
      <c r="P89" s="164">
        <f>Military!H89</f>
        <v>400</v>
      </c>
      <c r="Q89" s="164">
        <f>Military!I89</f>
        <v>100</v>
      </c>
      <c r="R89" s="164">
        <f>Military!J89</f>
        <v>100</v>
      </c>
      <c r="S89" s="166">
        <f>Military!K89</f>
        <v>0</v>
      </c>
      <c r="T89" s="156"/>
      <c r="U89" s="152">
        <f ca="1">ROUND($V89*(1+$AC89),0)+MIN(D89-E89-SUM(Military!AF89:AL89),barracks_size*Construction!BI89)</f>
        <v>9240</v>
      </c>
      <c r="V89" s="166">
        <f>(Construction!AX89+Construction!BV89)*pop_in_home+(SUM(Construction!AY89:BP89)+Construction!C89-Construction!BI89)*pop_in_building+(SUM(Construction!F89:L89)-Explore!S89*20)*pop_on_barren-(SUM(Construction!N89:AF89)-SUM(Construction!BW89:CN89))*(15-pop_on_barren)-pop_on_barren*Construction!BV89</f>
        <v>8800</v>
      </c>
      <c r="W89" s="152">
        <f t="shared" ca="1" si="14"/>
        <v>0</v>
      </c>
      <c r="X89" s="164">
        <f t="shared" ca="1" si="8"/>
        <v>118</v>
      </c>
      <c r="Y89" s="164">
        <f t="shared" ca="1" si="9"/>
        <v>118.35</v>
      </c>
      <c r="Z89" s="166">
        <f ca="1">IF(G89&lt;Military!Y89, ROUND($C89*IF(Magic!AW89=0,Constants!$B$51,Constants!$B$51*2),0), 0)</f>
        <v>0</v>
      </c>
      <c r="AA89" s="159"/>
      <c r="AB89" s="169">
        <f ca="1">Overview!$O$16 + IF(Magic!AK89&gt;0,Constants!$F$75) + ROUND(6*(Construction!BL90+Construction!CJ89)/IF(Explore!S90&gt;0,Construction!E90-20,Construction!E90),4)</f>
        <v>0</v>
      </c>
      <c r="AC89" s="540">
        <f ca="1">(Overview!$O$15 + Imps!Z89+MAX(Constants!$M$38*Techs!AE89,Constants!$M$50*Techs!AQ89)) * (1 + Production!O89/100*prestige_pop_multiplier) + Production!O89/100*prestige_pop_multiplier</f>
        <v>0.05</v>
      </c>
    </row>
    <row r="90" spans="1:29" s="16" customFormat="1">
      <c r="A90" s="987">
        <f>Rezone!J90</f>
        <v>88</v>
      </c>
      <c r="B90" s="589">
        <f>Imps!L90</f>
        <v>43695.624999999789</v>
      </c>
      <c r="C90" s="152">
        <f ca="1">$C89+$W89+Military!BE90 - IF(race="Demon",Military!G89*2,0)</f>
        <v>3945</v>
      </c>
      <c r="D90" s="26">
        <f ca="1">Military!B90</f>
        <v>5295</v>
      </c>
      <c r="E90" s="26">
        <f ca="1">Military!Z90</f>
        <v>3695</v>
      </c>
      <c r="F90" s="26">
        <f t="shared" ca="1" si="10"/>
        <v>9240</v>
      </c>
      <c r="G90" s="27">
        <f t="shared" ca="1" si="11"/>
        <v>0.57305194805194803</v>
      </c>
      <c r="H90" s="594">
        <f t="shared" ca="1" si="12"/>
        <v>3945</v>
      </c>
      <c r="I90" s="165">
        <f t="shared" ca="1" si="13"/>
        <v>1</v>
      </c>
      <c r="J90" s="676">
        <f>SUM(Construction!AY90:BH90,Construction!BJ90:BP90,Construction!BW90:CF90,Construction!CH90:CN90)*building_employment</f>
        <v>7600</v>
      </c>
      <c r="K90" s="635"/>
      <c r="L90" s="56">
        <f ca="1">Military!$Z90</f>
        <v>3695</v>
      </c>
      <c r="M90" s="26">
        <f>Military!E90</f>
        <v>0</v>
      </c>
      <c r="N90" s="26">
        <f>Military!F90</f>
        <v>0</v>
      </c>
      <c r="O90" s="26">
        <f>Military!G90</f>
        <v>1000</v>
      </c>
      <c r="P90" s="26">
        <f>Military!H90</f>
        <v>400</v>
      </c>
      <c r="Q90" s="26">
        <f>Military!I90</f>
        <v>100</v>
      </c>
      <c r="R90" s="26">
        <f>Military!J90</f>
        <v>100</v>
      </c>
      <c r="S90" s="57">
        <f>Military!K90</f>
        <v>0</v>
      </c>
      <c r="T90" s="52"/>
      <c r="U90" s="56">
        <f ca="1">ROUND($V90*(1+$AC90),0)+MIN(D90-E90-SUM(Military!AF90:AL90),barracks_size*Construction!BI90)</f>
        <v>9240</v>
      </c>
      <c r="V90" s="166">
        <f>(Construction!AX90+Construction!BV90)*pop_in_home+(SUM(Construction!AY90:BP90)+Construction!C90-Construction!BI90)*pop_in_building+(SUM(Construction!F90:L90)-Explore!S90*20)*pop_on_barren-(SUM(Construction!N90:AF90)-SUM(Construction!BW90:CN90))*(15-pop_on_barren)-pop_on_barren*Construction!BV90</f>
        <v>8800</v>
      </c>
      <c r="W90" s="152">
        <f t="shared" ca="1" si="14"/>
        <v>0</v>
      </c>
      <c r="X90" s="26">
        <f t="shared" ca="1" si="8"/>
        <v>118</v>
      </c>
      <c r="Y90" s="164">
        <f t="shared" ca="1" si="9"/>
        <v>118.35</v>
      </c>
      <c r="Z90" s="57">
        <f ca="1">IF(G90&lt;Military!Y90, ROUND($C90*IF(Magic!AW90=0,Constants!$B$51,Constants!$B$51*2),0), 0)</f>
        <v>0</v>
      </c>
      <c r="AA90" s="63"/>
      <c r="AB90" s="169">
        <f ca="1">Overview!$O$16 + IF(Magic!AK90&gt;0,Constants!$F$75) + ROUND(6*(Construction!BL91+Construction!CJ90)/IF(Explore!S91&gt;0,Construction!E91-20,Construction!E91),4)</f>
        <v>0</v>
      </c>
      <c r="AC90" s="540">
        <f ca="1">(Overview!$O$15 + Imps!Z90+MAX(Constants!$M$38*Techs!AE90,Constants!$M$50*Techs!AQ90)) * (1 + Production!O90/100*prestige_pop_multiplier) + Production!O90/100*prestige_pop_multiplier</f>
        <v>0.05</v>
      </c>
    </row>
    <row r="91" spans="1:29" s="16" customFormat="1">
      <c r="A91" s="987">
        <f>Rezone!J91</f>
        <v>89</v>
      </c>
      <c r="B91" s="589">
        <f>Imps!L91</f>
        <v>43695.666666666453</v>
      </c>
      <c r="C91" s="152">
        <f ca="1">$C90+$W90+Military!BE91 - IF(race="Demon",Military!G90*2,0)</f>
        <v>3945</v>
      </c>
      <c r="D91" s="26">
        <f ca="1">Military!B91</f>
        <v>5295</v>
      </c>
      <c r="E91" s="26">
        <f ca="1">Military!Z91</f>
        <v>3695</v>
      </c>
      <c r="F91" s="26">
        <f t="shared" ca="1" si="10"/>
        <v>9240</v>
      </c>
      <c r="G91" s="27">
        <f t="shared" ca="1" si="11"/>
        <v>0.57305194805194803</v>
      </c>
      <c r="H91" s="594">
        <f t="shared" ca="1" si="12"/>
        <v>3945</v>
      </c>
      <c r="I91" s="165">
        <f t="shared" ca="1" si="13"/>
        <v>1</v>
      </c>
      <c r="J91" s="676">
        <f>SUM(Construction!AY91:BH91,Construction!BJ91:BP91,Construction!BW91:CF91,Construction!CH91:CN91)*building_employment</f>
        <v>7600</v>
      </c>
      <c r="K91" s="635"/>
      <c r="L91" s="56">
        <f ca="1">Military!$Z91</f>
        <v>3695</v>
      </c>
      <c r="M91" s="26">
        <f>Military!E91</f>
        <v>0</v>
      </c>
      <c r="N91" s="26">
        <f>Military!F91</f>
        <v>0</v>
      </c>
      <c r="O91" s="26">
        <f>Military!G91</f>
        <v>1000</v>
      </c>
      <c r="P91" s="26">
        <f>Military!H91</f>
        <v>400</v>
      </c>
      <c r="Q91" s="26">
        <f>Military!I91</f>
        <v>100</v>
      </c>
      <c r="R91" s="26">
        <f>Military!J91</f>
        <v>100</v>
      </c>
      <c r="S91" s="57">
        <f>Military!K91</f>
        <v>0</v>
      </c>
      <c r="T91" s="52"/>
      <c r="U91" s="56">
        <f ca="1">ROUND($V91*(1+$AC91),0)+MIN(D91-E91-SUM(Military!AF91:AL91),barracks_size*Construction!BI91)</f>
        <v>9240</v>
      </c>
      <c r="V91" s="166">
        <f>(Construction!AX91+Construction!BV91)*pop_in_home+(SUM(Construction!AY91:BP91)+Construction!C91-Construction!BI91)*pop_in_building+(SUM(Construction!F91:L91)-Explore!S91*20)*pop_on_barren-(SUM(Construction!N91:AF91)-SUM(Construction!BW91:CN91))*(15-pop_on_barren)-pop_on_barren*Construction!BV91</f>
        <v>8800</v>
      </c>
      <c r="W91" s="152">
        <f t="shared" ca="1" si="14"/>
        <v>0</v>
      </c>
      <c r="X91" s="26">
        <f t="shared" ca="1" si="8"/>
        <v>118</v>
      </c>
      <c r="Y91" s="164">
        <f t="shared" ca="1" si="9"/>
        <v>118.35</v>
      </c>
      <c r="Z91" s="57">
        <f ca="1">IF(G91&lt;Military!Y91, ROUND($C91*IF(Magic!AW91=0,Constants!$B$51,Constants!$B$51*2),0), 0)</f>
        <v>0</v>
      </c>
      <c r="AA91" s="63"/>
      <c r="AB91" s="169">
        <f ca="1">Overview!$O$16 + IF(Magic!AK91&gt;0,Constants!$F$75) + ROUND(6*(Construction!BL92+Construction!CJ91)/IF(Explore!S92&gt;0,Construction!E92-20,Construction!E92),4)</f>
        <v>0</v>
      </c>
      <c r="AC91" s="540">
        <f ca="1">(Overview!$O$15 + Imps!Z91+MAX(Constants!$M$38*Techs!AE91,Constants!$M$50*Techs!AQ91)) * (1 + Production!O91/100*prestige_pop_multiplier) + Production!O91/100*prestige_pop_multiplier</f>
        <v>0.05</v>
      </c>
    </row>
    <row r="92" spans="1:29" s="16" customFormat="1">
      <c r="A92" s="987">
        <f>Rezone!J92</f>
        <v>90</v>
      </c>
      <c r="B92" s="589">
        <f>Imps!L92</f>
        <v>43695.708333333117</v>
      </c>
      <c r="C92" s="152">
        <f ca="1">$C91+$W91+Military!BE92 - IF(race="Demon",Military!G91*2,0)</f>
        <v>3945</v>
      </c>
      <c r="D92" s="26">
        <f ca="1">Military!B92</f>
        <v>5295</v>
      </c>
      <c r="E92" s="26">
        <f ca="1">Military!Z92</f>
        <v>3695</v>
      </c>
      <c r="F92" s="26">
        <f t="shared" ca="1" si="10"/>
        <v>9240</v>
      </c>
      <c r="G92" s="27">
        <f t="shared" ca="1" si="11"/>
        <v>0.57305194805194803</v>
      </c>
      <c r="H92" s="594">
        <f t="shared" ca="1" si="12"/>
        <v>3945</v>
      </c>
      <c r="I92" s="165">
        <f t="shared" ca="1" si="13"/>
        <v>1</v>
      </c>
      <c r="J92" s="676">
        <f>SUM(Construction!AY92:BH92,Construction!BJ92:BP92,Construction!BW92:CF92,Construction!CH92:CN92)*building_employment</f>
        <v>7600</v>
      </c>
      <c r="K92" s="635"/>
      <c r="L92" s="56">
        <f ca="1">Military!$Z92</f>
        <v>3695</v>
      </c>
      <c r="M92" s="26">
        <f>Military!E92</f>
        <v>0</v>
      </c>
      <c r="N92" s="26">
        <f>Military!F92</f>
        <v>0</v>
      </c>
      <c r="O92" s="26">
        <f>Military!G92</f>
        <v>1000</v>
      </c>
      <c r="P92" s="26">
        <f>Military!H92</f>
        <v>400</v>
      </c>
      <c r="Q92" s="26">
        <f>Military!I92</f>
        <v>100</v>
      </c>
      <c r="R92" s="26">
        <f>Military!J92</f>
        <v>100</v>
      </c>
      <c r="S92" s="57">
        <f>Military!K92</f>
        <v>0</v>
      </c>
      <c r="T92" s="52"/>
      <c r="U92" s="56">
        <f ca="1">ROUND($V92*(1+$AC92),0)+MIN(D92-E92-SUM(Military!AF92:AL92),barracks_size*Construction!BI92)</f>
        <v>9240</v>
      </c>
      <c r="V92" s="166">
        <f>(Construction!AX92+Construction!BV92)*pop_in_home+(SUM(Construction!AY92:BP92)+Construction!C92-Construction!BI92)*pop_in_building+(SUM(Construction!F92:L92)-Explore!S92*20)*pop_on_barren-(SUM(Construction!N92:AF92)-SUM(Construction!BW92:CN92))*(15-pop_on_barren)-pop_on_barren*Construction!BV92</f>
        <v>8800</v>
      </c>
      <c r="W92" s="152">
        <f t="shared" ca="1" si="14"/>
        <v>0</v>
      </c>
      <c r="X92" s="26">
        <f t="shared" ca="1" si="8"/>
        <v>118</v>
      </c>
      <c r="Y92" s="164">
        <f t="shared" ca="1" si="9"/>
        <v>118.35</v>
      </c>
      <c r="Z92" s="57">
        <f ca="1">IF(G92&lt;Military!Y92, ROUND($C92*IF(Magic!AW92=0,Constants!$B$51,Constants!$B$51*2),0), 0)</f>
        <v>0</v>
      </c>
      <c r="AA92" s="63"/>
      <c r="AB92" s="169">
        <f ca="1">Overview!$O$16 + IF(Magic!AK92&gt;0,Constants!$F$75) + ROUND(6*(Construction!BL93+Construction!CJ92)/IF(Explore!S93&gt;0,Construction!E93-20,Construction!E93),4)</f>
        <v>0</v>
      </c>
      <c r="AC92" s="540">
        <f ca="1">(Overview!$O$15 + Imps!Z92+MAX(Constants!$M$38*Techs!AE92,Constants!$M$50*Techs!AQ92)) * (1 + Production!O92/100*prestige_pop_multiplier) + Production!O92/100*prestige_pop_multiplier</f>
        <v>0.05</v>
      </c>
    </row>
    <row r="93" spans="1:29" s="16" customFormat="1">
      <c r="A93" s="987">
        <f>Rezone!J93</f>
        <v>91</v>
      </c>
      <c r="B93" s="589">
        <f>Imps!L93</f>
        <v>43695.749999999782</v>
      </c>
      <c r="C93" s="152">
        <f ca="1">$C92+$W92+Military!BE93 - IF(race="Demon",Military!G92*2,0)</f>
        <v>3945</v>
      </c>
      <c r="D93" s="26">
        <f ca="1">Military!B93</f>
        <v>5295</v>
      </c>
      <c r="E93" s="26">
        <f ca="1">Military!Z93</f>
        <v>3695</v>
      </c>
      <c r="F93" s="26">
        <f t="shared" ca="1" si="10"/>
        <v>9240</v>
      </c>
      <c r="G93" s="27">
        <f t="shared" ca="1" si="11"/>
        <v>0.57305194805194803</v>
      </c>
      <c r="H93" s="594">
        <f t="shared" ca="1" si="12"/>
        <v>3945</v>
      </c>
      <c r="I93" s="165">
        <f t="shared" ca="1" si="13"/>
        <v>1</v>
      </c>
      <c r="J93" s="676">
        <f>SUM(Construction!AY93:BH93,Construction!BJ93:BP93,Construction!BW93:CF93,Construction!CH93:CN93)*building_employment</f>
        <v>7600</v>
      </c>
      <c r="K93" s="635"/>
      <c r="L93" s="56">
        <f ca="1">Military!$Z93</f>
        <v>3695</v>
      </c>
      <c r="M93" s="26">
        <f>Military!E93</f>
        <v>0</v>
      </c>
      <c r="N93" s="26">
        <f>Military!F93</f>
        <v>0</v>
      </c>
      <c r="O93" s="26">
        <f>Military!G93</f>
        <v>1000</v>
      </c>
      <c r="P93" s="26">
        <f>Military!H93</f>
        <v>400</v>
      </c>
      <c r="Q93" s="26">
        <f>Military!I93</f>
        <v>100</v>
      </c>
      <c r="R93" s="26">
        <f>Military!J93</f>
        <v>100</v>
      </c>
      <c r="S93" s="57">
        <f>Military!K93</f>
        <v>0</v>
      </c>
      <c r="T93" s="52"/>
      <c r="U93" s="56">
        <f ca="1">ROUND($V93*(1+$AC93),0)+MIN(D93-E93-SUM(Military!AF93:AL93),barracks_size*Construction!BI93)</f>
        <v>9240</v>
      </c>
      <c r="V93" s="166">
        <f>(Construction!AX93+Construction!BV93)*pop_in_home+(SUM(Construction!AY93:BP93)+Construction!C93-Construction!BI93)*pop_in_building+(SUM(Construction!F93:L93)-Explore!S93*20)*pop_on_barren-(SUM(Construction!N93:AF93)-SUM(Construction!BW93:CN93))*(15-pop_on_barren)-pop_on_barren*Construction!BV93</f>
        <v>8800</v>
      </c>
      <c r="W93" s="152">
        <f t="shared" ca="1" si="14"/>
        <v>0</v>
      </c>
      <c r="X93" s="26">
        <f t="shared" ca="1" si="8"/>
        <v>118</v>
      </c>
      <c r="Y93" s="164">
        <f t="shared" ca="1" si="9"/>
        <v>118.35</v>
      </c>
      <c r="Z93" s="57">
        <f ca="1">IF(G93&lt;Military!Y93, ROUND($C93*IF(Magic!AW93=0,Constants!$B$51,Constants!$B$51*2),0), 0)</f>
        <v>0</v>
      </c>
      <c r="AA93" s="63"/>
      <c r="AB93" s="169">
        <f ca="1">Overview!$O$16 + IF(Magic!AK93&gt;0,Constants!$F$75) + ROUND(6*(Construction!BL94+Construction!CJ93)/IF(Explore!S94&gt;0,Construction!E94-20,Construction!E94),4)</f>
        <v>0</v>
      </c>
      <c r="AC93" s="540">
        <f ca="1">(Overview!$O$15 + Imps!Z93+MAX(Constants!$M$38*Techs!AE93,Constants!$M$50*Techs!AQ93)) * (1 + Production!O93/100*prestige_pop_multiplier) + Production!O93/100*prestige_pop_multiplier</f>
        <v>0.05</v>
      </c>
    </row>
    <row r="94" spans="1:29" s="16" customFormat="1">
      <c r="A94" s="987">
        <f>Rezone!J94</f>
        <v>92</v>
      </c>
      <c r="B94" s="589">
        <f>Imps!L94</f>
        <v>43695.791666666446</v>
      </c>
      <c r="C94" s="152">
        <f ca="1">$C93+$W93+Military!BE94 - IF(race="Demon",Military!G93*2,0)</f>
        <v>3945</v>
      </c>
      <c r="D94" s="26">
        <f ca="1">Military!B94</f>
        <v>5295</v>
      </c>
      <c r="E94" s="26">
        <f ca="1">Military!Z94</f>
        <v>3695</v>
      </c>
      <c r="F94" s="26">
        <f t="shared" ca="1" si="10"/>
        <v>9240</v>
      </c>
      <c r="G94" s="27">
        <f t="shared" ca="1" si="11"/>
        <v>0.57305194805194803</v>
      </c>
      <c r="H94" s="594">
        <f t="shared" ca="1" si="12"/>
        <v>3945</v>
      </c>
      <c r="I94" s="165">
        <f t="shared" ca="1" si="13"/>
        <v>1</v>
      </c>
      <c r="J94" s="676">
        <f>SUM(Construction!AY94:BH94,Construction!BJ94:BP94,Construction!BW94:CF94,Construction!CH94:CN94)*building_employment</f>
        <v>7600</v>
      </c>
      <c r="K94" s="635"/>
      <c r="L94" s="56">
        <f ca="1">Military!$Z94</f>
        <v>3695</v>
      </c>
      <c r="M94" s="26">
        <f>Military!E94</f>
        <v>0</v>
      </c>
      <c r="N94" s="26">
        <f>Military!F94</f>
        <v>0</v>
      </c>
      <c r="O94" s="26">
        <f>Military!G94</f>
        <v>1000</v>
      </c>
      <c r="P94" s="26">
        <f>Military!H94</f>
        <v>400</v>
      </c>
      <c r="Q94" s="26">
        <f>Military!I94</f>
        <v>100</v>
      </c>
      <c r="R94" s="26">
        <f>Military!J94</f>
        <v>100</v>
      </c>
      <c r="S94" s="57">
        <f>Military!K94</f>
        <v>0</v>
      </c>
      <c r="T94" s="52"/>
      <c r="U94" s="56">
        <f ca="1">ROUND($V94*(1+$AC94),0)+MIN(D94-E94-SUM(Military!AF94:AL94),barracks_size*Construction!BI94)</f>
        <v>9240</v>
      </c>
      <c r="V94" s="166">
        <f>(Construction!AX94+Construction!BV94)*pop_in_home+(SUM(Construction!AY94:BP94)+Construction!C94-Construction!BI94)*pop_in_building+(SUM(Construction!F94:L94)-Explore!S94*20)*pop_on_barren-(SUM(Construction!N94:AF94)-SUM(Construction!BW94:CN94))*(15-pop_on_barren)-pop_on_barren*Construction!BV94</f>
        <v>8800</v>
      </c>
      <c r="W94" s="152">
        <f t="shared" ca="1" si="14"/>
        <v>0</v>
      </c>
      <c r="X94" s="26">
        <f t="shared" ca="1" si="8"/>
        <v>118</v>
      </c>
      <c r="Y94" s="164">
        <f t="shared" ca="1" si="9"/>
        <v>118.35</v>
      </c>
      <c r="Z94" s="57">
        <f ca="1">IF(G94&lt;Military!Y94, ROUND($C94*IF(Magic!AW94=0,Constants!$B$51,Constants!$B$51*2),0), 0)</f>
        <v>0</v>
      </c>
      <c r="AA94" s="63"/>
      <c r="AB94" s="169">
        <f ca="1">Overview!$O$16 + IF(Magic!AK94&gt;0,Constants!$F$75) + ROUND(6*(Construction!BL95+Construction!CJ94)/IF(Explore!S95&gt;0,Construction!E95-20,Construction!E95),4)</f>
        <v>0</v>
      </c>
      <c r="AC94" s="540">
        <f ca="1">(Overview!$O$15 + Imps!Z94+MAX(Constants!$M$38*Techs!AE94,Constants!$M$50*Techs!AQ94)) * (1 + Production!O94/100*prestige_pop_multiplier) + Production!O94/100*prestige_pop_multiplier</f>
        <v>0.05</v>
      </c>
    </row>
    <row r="95" spans="1:29" s="16" customFormat="1">
      <c r="A95" s="987">
        <f>Rezone!J95</f>
        <v>93</v>
      </c>
      <c r="B95" s="589">
        <f>Imps!L95</f>
        <v>43695.83333333311</v>
      </c>
      <c r="C95" s="152">
        <f ca="1">$C94+$W94+Military!BE95 - IF(race="Demon",Military!G94*2,0)</f>
        <v>3945</v>
      </c>
      <c r="D95" s="26">
        <f ca="1">Military!B95</f>
        <v>5295</v>
      </c>
      <c r="E95" s="26">
        <f ca="1">Military!Z95</f>
        <v>3695</v>
      </c>
      <c r="F95" s="26">
        <f t="shared" ca="1" si="10"/>
        <v>9240</v>
      </c>
      <c r="G95" s="27">
        <f t="shared" ca="1" si="11"/>
        <v>0.57305194805194803</v>
      </c>
      <c r="H95" s="594">
        <f t="shared" ca="1" si="12"/>
        <v>3945</v>
      </c>
      <c r="I95" s="165">
        <f t="shared" ca="1" si="13"/>
        <v>1</v>
      </c>
      <c r="J95" s="676">
        <f>SUM(Construction!AY95:BH95,Construction!BJ95:BP95,Construction!BW95:CF95,Construction!CH95:CN95)*building_employment</f>
        <v>7600</v>
      </c>
      <c r="K95" s="635"/>
      <c r="L95" s="56">
        <f ca="1">Military!$Z95</f>
        <v>3695</v>
      </c>
      <c r="M95" s="26">
        <f>Military!E95</f>
        <v>0</v>
      </c>
      <c r="N95" s="26">
        <f>Military!F95</f>
        <v>0</v>
      </c>
      <c r="O95" s="26">
        <f>Military!G95</f>
        <v>1000</v>
      </c>
      <c r="P95" s="26">
        <f>Military!H95</f>
        <v>400</v>
      </c>
      <c r="Q95" s="26">
        <f>Military!I95</f>
        <v>100</v>
      </c>
      <c r="R95" s="26">
        <f>Military!J95</f>
        <v>100</v>
      </c>
      <c r="S95" s="57">
        <f>Military!K95</f>
        <v>0</v>
      </c>
      <c r="T95" s="52"/>
      <c r="U95" s="56">
        <f ca="1">ROUND($V95*(1+$AC95),0)+MIN(D95-E95-SUM(Military!AF95:AL95),barracks_size*Construction!BI95)</f>
        <v>9240</v>
      </c>
      <c r="V95" s="166">
        <f>(Construction!AX95+Construction!BV95)*pop_in_home+(SUM(Construction!AY95:BP95)+Construction!C95-Construction!BI95)*pop_in_building+(SUM(Construction!F95:L95)-Explore!S95*20)*pop_on_barren-(SUM(Construction!N95:AF95)-SUM(Construction!BW95:CN95))*(15-pop_on_barren)-pop_on_barren*Construction!BV95</f>
        <v>8800</v>
      </c>
      <c r="W95" s="152">
        <f t="shared" ca="1" si="14"/>
        <v>0</v>
      </c>
      <c r="X95" s="26">
        <f t="shared" ca="1" si="8"/>
        <v>118</v>
      </c>
      <c r="Y95" s="164">
        <f t="shared" ca="1" si="9"/>
        <v>118.35</v>
      </c>
      <c r="Z95" s="57">
        <f ca="1">IF(G95&lt;Military!Y95, ROUND($C95*IF(Magic!AW95=0,Constants!$B$51,Constants!$B$51*2),0), 0)</f>
        <v>0</v>
      </c>
      <c r="AA95" s="63"/>
      <c r="AB95" s="169">
        <f ca="1">Overview!$O$16 + IF(Magic!AK95&gt;0,Constants!$F$75) + ROUND(6*(Construction!BL96+Construction!CJ95)/IF(Explore!S96&gt;0,Construction!E96-20,Construction!E96),4)</f>
        <v>0</v>
      </c>
      <c r="AC95" s="540">
        <f ca="1">(Overview!$O$15 + Imps!Z95+MAX(Constants!$M$38*Techs!AE95,Constants!$M$50*Techs!AQ95)) * (1 + Production!O95/100*prestige_pop_multiplier) + Production!O95/100*prestige_pop_multiplier</f>
        <v>0.05</v>
      </c>
    </row>
    <row r="96" spans="1:29" s="16" customFormat="1">
      <c r="A96" s="987">
        <f>Rezone!J96</f>
        <v>94</v>
      </c>
      <c r="B96" s="589">
        <f>Imps!L96</f>
        <v>43695.874999999774</v>
      </c>
      <c r="C96" s="152">
        <f ca="1">$C95+$W95+Military!BE96 - IF(race="Demon",Military!G95*2,0)</f>
        <v>3945</v>
      </c>
      <c r="D96" s="26">
        <f ca="1">Military!B96</f>
        <v>5295</v>
      </c>
      <c r="E96" s="26">
        <f ca="1">Military!Z96</f>
        <v>3695</v>
      </c>
      <c r="F96" s="26">
        <f t="shared" ca="1" si="10"/>
        <v>9240</v>
      </c>
      <c r="G96" s="27">
        <f t="shared" ca="1" si="11"/>
        <v>0.57305194805194803</v>
      </c>
      <c r="H96" s="594">
        <f t="shared" ca="1" si="12"/>
        <v>3945</v>
      </c>
      <c r="I96" s="165">
        <f t="shared" ca="1" si="13"/>
        <v>1</v>
      </c>
      <c r="J96" s="676">
        <f>SUM(Construction!AY96:BH96,Construction!BJ96:BP96,Construction!BW96:CF96,Construction!CH96:CN96)*building_employment</f>
        <v>7600</v>
      </c>
      <c r="K96" s="635"/>
      <c r="L96" s="56">
        <f ca="1">Military!$Z96</f>
        <v>3695</v>
      </c>
      <c r="M96" s="26">
        <f>Military!E96</f>
        <v>0</v>
      </c>
      <c r="N96" s="26">
        <f>Military!F96</f>
        <v>0</v>
      </c>
      <c r="O96" s="26">
        <f>Military!G96</f>
        <v>1000</v>
      </c>
      <c r="P96" s="26">
        <f>Military!H96</f>
        <v>400</v>
      </c>
      <c r="Q96" s="26">
        <f>Military!I96</f>
        <v>100</v>
      </c>
      <c r="R96" s="26">
        <f>Military!J96</f>
        <v>100</v>
      </c>
      <c r="S96" s="57">
        <f>Military!K96</f>
        <v>0</v>
      </c>
      <c r="T96" s="52"/>
      <c r="U96" s="56">
        <f ca="1">ROUND($V96*(1+$AC96),0)+MIN(D96-E96-SUM(Military!AF96:AL96),barracks_size*Construction!BI96)</f>
        <v>9240</v>
      </c>
      <c r="V96" s="166">
        <f>(Construction!AX96+Construction!BV96)*pop_in_home+(SUM(Construction!AY96:BP96)+Construction!C96-Construction!BI96)*pop_in_building+(SUM(Construction!F96:L96)-Explore!S96*20)*pop_on_barren-(SUM(Construction!N96:AF96)-SUM(Construction!BW96:CN96))*(15-pop_on_barren)-pop_on_barren*Construction!BV96</f>
        <v>8800</v>
      </c>
      <c r="W96" s="152">
        <f t="shared" ca="1" si="14"/>
        <v>0</v>
      </c>
      <c r="X96" s="26">
        <f t="shared" ca="1" si="8"/>
        <v>118</v>
      </c>
      <c r="Y96" s="164">
        <f t="shared" ca="1" si="9"/>
        <v>118.35</v>
      </c>
      <c r="Z96" s="57">
        <f ca="1">IF(G96&lt;Military!Y96, ROUND($C96*IF(Magic!AW96=0,Constants!$B$51,Constants!$B$51*2),0), 0)</f>
        <v>0</v>
      </c>
      <c r="AA96" s="63"/>
      <c r="AB96" s="169">
        <f ca="1">Overview!$O$16 + IF(Magic!AK96&gt;0,Constants!$F$75) + ROUND(6*(Construction!BL97+Construction!CJ96)/IF(Explore!S97&gt;0,Construction!E97-20,Construction!E97),4)</f>
        <v>0</v>
      </c>
      <c r="AC96" s="540">
        <f ca="1">(Overview!$O$15 + Imps!Z96+MAX(Constants!$M$38*Techs!AE96,Constants!$M$50*Techs!AQ96)) * (1 + Production!O96/100*prestige_pop_multiplier) + Production!O96/100*prestige_pop_multiplier</f>
        <v>0.05</v>
      </c>
    </row>
    <row r="97" spans="1:29" s="16" customFormat="1">
      <c r="A97" s="987">
        <f>Rezone!J97</f>
        <v>95</v>
      </c>
      <c r="B97" s="589">
        <f>Imps!L97</f>
        <v>43695.916666666439</v>
      </c>
      <c r="C97" s="152">
        <f ca="1">$C96+$W96+Military!BE97 - IF(race="Demon",Military!G96*2,0)</f>
        <v>3945</v>
      </c>
      <c r="D97" s="26">
        <f ca="1">Military!B97</f>
        <v>5295</v>
      </c>
      <c r="E97" s="26">
        <f ca="1">Military!Z97</f>
        <v>3695</v>
      </c>
      <c r="F97" s="26">
        <f t="shared" ca="1" si="10"/>
        <v>9240</v>
      </c>
      <c r="G97" s="27">
        <f t="shared" ca="1" si="11"/>
        <v>0.57305194805194803</v>
      </c>
      <c r="H97" s="594">
        <f t="shared" ca="1" si="12"/>
        <v>3945</v>
      </c>
      <c r="I97" s="165">
        <f t="shared" ca="1" si="13"/>
        <v>1</v>
      </c>
      <c r="J97" s="676">
        <f>SUM(Construction!AY97:BH97,Construction!BJ97:BP97,Construction!BW97:CF97,Construction!CH97:CN97)*building_employment</f>
        <v>7600</v>
      </c>
      <c r="K97" s="635"/>
      <c r="L97" s="56">
        <f ca="1">Military!$Z97</f>
        <v>3695</v>
      </c>
      <c r="M97" s="26">
        <f>Military!E97</f>
        <v>0</v>
      </c>
      <c r="N97" s="26">
        <f>Military!F97</f>
        <v>0</v>
      </c>
      <c r="O97" s="26">
        <f>Military!G97</f>
        <v>1000</v>
      </c>
      <c r="P97" s="26">
        <f>Military!H97</f>
        <v>400</v>
      </c>
      <c r="Q97" s="26">
        <f>Military!I97</f>
        <v>100</v>
      </c>
      <c r="R97" s="26">
        <f>Military!J97</f>
        <v>100</v>
      </c>
      <c r="S97" s="57">
        <f>Military!K97</f>
        <v>0</v>
      </c>
      <c r="T97" s="52"/>
      <c r="U97" s="56">
        <f ca="1">ROUND($V97*(1+$AC97),0)+MIN(D97-E97-SUM(Military!AF97:AL97),barracks_size*Construction!BI97)</f>
        <v>9240</v>
      </c>
      <c r="V97" s="166">
        <f>(Construction!AX97+Construction!BV97)*pop_in_home+(SUM(Construction!AY97:BP97)+Construction!C97-Construction!BI97)*pop_in_building+(SUM(Construction!F97:L97)-Explore!S97*20)*pop_on_barren-(SUM(Construction!N97:AF97)-SUM(Construction!BW97:CN97))*(15-pop_on_barren)-pop_on_barren*Construction!BV97</f>
        <v>8800</v>
      </c>
      <c r="W97" s="152">
        <f t="shared" ca="1" si="14"/>
        <v>0</v>
      </c>
      <c r="X97" s="26">
        <f t="shared" ca="1" si="8"/>
        <v>118</v>
      </c>
      <c r="Y97" s="164">
        <f t="shared" ca="1" si="9"/>
        <v>118.35</v>
      </c>
      <c r="Z97" s="57">
        <f ca="1">IF(G97&lt;Military!Y97, ROUND($C97*IF(Magic!AW97=0,Constants!$B$51,Constants!$B$51*2),0), 0)</f>
        <v>0</v>
      </c>
      <c r="AA97" s="63"/>
      <c r="AB97" s="169">
        <f ca="1">Overview!$O$16 + IF(Magic!AK97&gt;0,Constants!$F$75) + ROUND(6*(Construction!BL98+Construction!CJ97)/IF(Explore!S98&gt;0,Construction!E98-20,Construction!E98),4)</f>
        <v>0</v>
      </c>
      <c r="AC97" s="540">
        <f ca="1">(Overview!$O$15 + Imps!Z97+MAX(Constants!$M$38*Techs!AE97,Constants!$M$50*Techs!AQ97)) * (1 + Production!O97/100*prestige_pop_multiplier) + Production!O97/100*prestige_pop_multiplier</f>
        <v>0.05</v>
      </c>
    </row>
    <row r="98" spans="1:29" s="170" customFormat="1" ht="13.5" thickBot="1">
      <c r="A98" s="986">
        <f>Rezone!J98</f>
        <v>96</v>
      </c>
      <c r="B98" s="589">
        <f>Imps!L98</f>
        <v>43695.958333333103</v>
      </c>
      <c r="C98" s="152">
        <f ca="1">$C97+$W97+Military!BE98 - IF(race="Demon",Military!G97*2,0)</f>
        <v>3945</v>
      </c>
      <c r="D98" s="164">
        <f ca="1">Military!B98</f>
        <v>5295</v>
      </c>
      <c r="E98" s="164">
        <f ca="1">Military!Z98</f>
        <v>3695</v>
      </c>
      <c r="F98" s="164">
        <f t="shared" ca="1" si="10"/>
        <v>9240</v>
      </c>
      <c r="G98" s="165">
        <f t="shared" ca="1" si="11"/>
        <v>0.57305194805194803</v>
      </c>
      <c r="H98" s="593">
        <f t="shared" ca="1" si="12"/>
        <v>3945</v>
      </c>
      <c r="I98" s="165">
        <f t="shared" ca="1" si="13"/>
        <v>1</v>
      </c>
      <c r="J98" s="676">
        <f>SUM(Construction!AY98:BH98,Construction!BJ98:BP98,Construction!BW98:CF98,Construction!CH98:CN98)*building_employment</f>
        <v>7600</v>
      </c>
      <c r="K98" s="634"/>
      <c r="L98" s="152">
        <f ca="1">Military!$Z98</f>
        <v>3695</v>
      </c>
      <c r="M98" s="164">
        <f>Military!E98</f>
        <v>0</v>
      </c>
      <c r="N98" s="164">
        <f>Military!F98</f>
        <v>0</v>
      </c>
      <c r="O98" s="164">
        <f>Military!G98</f>
        <v>1000</v>
      </c>
      <c r="P98" s="164">
        <f>Military!H98</f>
        <v>400</v>
      </c>
      <c r="Q98" s="164">
        <f>Military!I98</f>
        <v>100</v>
      </c>
      <c r="R98" s="164">
        <f>Military!J98</f>
        <v>100</v>
      </c>
      <c r="S98" s="166">
        <f>Military!K98</f>
        <v>0</v>
      </c>
      <c r="T98" s="156"/>
      <c r="U98" s="152">
        <f ca="1">ROUND($V98*(1+$AC98),0)+MIN(D98-E98-SUM(Military!AF98:AL98),barracks_size*Construction!BI98)</f>
        <v>9240</v>
      </c>
      <c r="V98" s="166">
        <f>(Construction!AX98+Construction!BV98)*pop_in_home+(SUM(Construction!AY98:BP98)+Construction!C98-Construction!BI98)*pop_in_building+(SUM(Construction!F98:L98)-Explore!S98*20)*pop_on_barren-(SUM(Construction!N98:AF98)-SUM(Construction!BW98:CN98))*(15-pop_on_barren)-pop_on_barren*Construction!BV98</f>
        <v>8800</v>
      </c>
      <c r="W98" s="152">
        <f t="shared" ca="1" si="14"/>
        <v>0</v>
      </c>
      <c r="X98" s="164">
        <f t="shared" ca="1" si="8"/>
        <v>118</v>
      </c>
      <c r="Y98" s="164">
        <f t="shared" ca="1" si="9"/>
        <v>118.35</v>
      </c>
      <c r="Z98" s="166">
        <f ca="1">IF(G98&lt;Military!Y98, ROUND($C98*IF(Magic!AW98=0,Constants!$B$51,Constants!$B$51*2),0), 0)</f>
        <v>0</v>
      </c>
      <c r="AA98" s="159"/>
      <c r="AB98" s="169">
        <f ca="1">Overview!$O$16 + IF(Magic!AK98&gt;0,Constants!$F$75) + ROUND(6*(Construction!BL99+Construction!CJ98)/IF(Explore!S99&gt;0,Construction!E99-20,Construction!E99),4)</f>
        <v>0</v>
      </c>
      <c r="AC98" s="540">
        <f ca="1">(Overview!$O$15 + Imps!Z98+MAX(Constants!$M$38*Techs!AE98,Constants!$M$50*Techs!AQ98)) * (1 + Production!O98/100*prestige_pop_multiplier) + Production!O98/100*prestige_pop_multiplier</f>
        <v>0.05</v>
      </c>
    </row>
    <row r="99" spans="1:29" s="173" customFormat="1" ht="13.5" thickBot="1">
      <c r="A99" s="989">
        <f>Rezone!J99</f>
        <v>97</v>
      </c>
      <c r="B99" s="590">
        <f>Imps!L99</f>
        <v>43695.999999999767</v>
      </c>
      <c r="C99" s="175">
        <f ca="1">$C98+$W98+Military!BE99 - IF(race="Demon",Military!G98*2,0)</f>
        <v>3945</v>
      </c>
      <c r="D99" s="174">
        <f ca="1">Military!B99</f>
        <v>5295</v>
      </c>
      <c r="E99" s="174">
        <f ca="1">Military!Z99</f>
        <v>3695</v>
      </c>
      <c r="F99" s="174">
        <f t="shared" ca="1" si="10"/>
        <v>9240</v>
      </c>
      <c r="G99" s="176">
        <f t="shared" ca="1" si="11"/>
        <v>0.57305194805194803</v>
      </c>
      <c r="H99" s="595">
        <f t="shared" ca="1" si="12"/>
        <v>3945</v>
      </c>
      <c r="I99" s="176">
        <f t="shared" ca="1" si="13"/>
        <v>1</v>
      </c>
      <c r="J99" s="1056">
        <f>SUM(Construction!AY99:BH99,Construction!BJ99:BP99,Construction!BW99:CF99,Construction!CH99:CN99)*building_employment</f>
        <v>7600</v>
      </c>
      <c r="K99" s="636"/>
      <c r="L99" s="175">
        <f ca="1">Military!$Z99</f>
        <v>3695</v>
      </c>
      <c r="M99" s="174">
        <f>Military!E99</f>
        <v>0</v>
      </c>
      <c r="N99" s="174">
        <f>Military!F99</f>
        <v>0</v>
      </c>
      <c r="O99" s="174">
        <f>Military!G99</f>
        <v>1000</v>
      </c>
      <c r="P99" s="174">
        <f>Military!H99</f>
        <v>400</v>
      </c>
      <c r="Q99" s="174">
        <f>Military!I99</f>
        <v>100</v>
      </c>
      <c r="R99" s="174">
        <f>Military!J99</f>
        <v>100</v>
      </c>
      <c r="S99" s="179">
        <f>Military!K99</f>
        <v>0</v>
      </c>
      <c r="T99" s="177"/>
      <c r="U99" s="175">
        <f ca="1">ROUND($V99*(1+$AC99),0)+MIN(D99-E99-SUM(Military!AF99:AL99),barracks_size*Construction!BI99)</f>
        <v>9240</v>
      </c>
      <c r="V99" s="179">
        <f>(Construction!AX99+Construction!BV99)*pop_in_home+(SUM(Construction!AY99:BP99)+Construction!C99-Construction!BI99)*pop_in_building+(SUM(Construction!F99:L99)-Explore!S99*20)*pop_on_barren-(SUM(Construction!N99:AF99)-SUM(Construction!BW99:CN99))*(15-pop_on_barren)-pop_on_barren*Construction!BV99</f>
        <v>8800</v>
      </c>
      <c r="W99" s="175">
        <f t="shared" ca="1" si="14"/>
        <v>0</v>
      </c>
      <c r="X99" s="174">
        <f t="shared" ca="1" si="8"/>
        <v>118</v>
      </c>
      <c r="Y99" s="174">
        <f t="shared" ref="Y99:Y130" ca="1" si="15">($C99-Z99)*raw_pop_growth</f>
        <v>118.35</v>
      </c>
      <c r="Z99" s="179">
        <f ca="1">IF(G99&lt;Military!Y99, ROUND($C99*IF(Magic!AW99=0,Constants!$B$51,Constants!$B$51*2),0), 0)</f>
        <v>0</v>
      </c>
      <c r="AA99" s="180"/>
      <c r="AB99" s="182">
        <f ca="1">Overview!$O$16 + IF(Magic!AK99&gt;0,Constants!$F$75) + ROUND(6*(Construction!BL100+Construction!CJ99)/IF(Explore!S100&gt;0,Construction!E100-20,Construction!E100),4)</f>
        <v>0</v>
      </c>
      <c r="AC99" s="541">
        <f ca="1">(Overview!$O$15 + Imps!Z99+MAX(Constants!$M$38*Techs!AE99,Constants!$M$50*Techs!AQ99)) * (1 + Production!O99/100*prestige_pop_multiplier) + Production!O99/100*prestige_pop_multiplier</f>
        <v>0.05</v>
      </c>
    </row>
    <row r="100" spans="1:29" s="170" customFormat="1">
      <c r="A100" s="986">
        <f>Rezone!J100</f>
        <v>98</v>
      </c>
      <c r="B100" s="589">
        <f>Imps!L100</f>
        <v>43696.041666666431</v>
      </c>
      <c r="C100" s="152">
        <f ca="1">$C99+$W99+Military!BE100 - IF(race="Demon",Military!G99*2,0)</f>
        <v>3945</v>
      </c>
      <c r="D100" s="164">
        <f ca="1">Military!B100</f>
        <v>5295</v>
      </c>
      <c r="E100" s="164">
        <f ca="1">Military!Z100</f>
        <v>3695</v>
      </c>
      <c r="F100" s="164">
        <f t="shared" ca="1" si="10"/>
        <v>9240</v>
      </c>
      <c r="G100" s="165">
        <f t="shared" ca="1" si="11"/>
        <v>0.57305194805194803</v>
      </c>
      <c r="H100" s="593">
        <f t="shared" ca="1" si="12"/>
        <v>3945</v>
      </c>
      <c r="I100" s="165">
        <f t="shared" ca="1" si="13"/>
        <v>1</v>
      </c>
      <c r="J100" s="676">
        <f>SUM(Construction!AY100:BH100,Construction!BJ100:BP100,Construction!BW100:CF100,Construction!CH100:CN100)*building_employment</f>
        <v>7600</v>
      </c>
      <c r="K100" s="634"/>
      <c r="L100" s="152">
        <f ca="1">Military!$Z100</f>
        <v>3695</v>
      </c>
      <c r="M100" s="164">
        <f>Military!E100</f>
        <v>0</v>
      </c>
      <c r="N100" s="164">
        <f>Military!F100</f>
        <v>0</v>
      </c>
      <c r="O100" s="164">
        <f>Military!G100</f>
        <v>1000</v>
      </c>
      <c r="P100" s="164">
        <f>Military!H100</f>
        <v>400</v>
      </c>
      <c r="Q100" s="164">
        <f>Military!I100</f>
        <v>100</v>
      </c>
      <c r="R100" s="164">
        <f>Military!J100</f>
        <v>100</v>
      </c>
      <c r="S100" s="166">
        <f>Military!K100</f>
        <v>0</v>
      </c>
      <c r="T100" s="156"/>
      <c r="U100" s="152">
        <f ca="1">ROUND($V100*(1+$AC100),0)+MIN(D100-E100-SUM(Military!AF100:AL100),barracks_size*Construction!BI100)</f>
        <v>9240</v>
      </c>
      <c r="V100" s="166">
        <f>(Construction!AX100+Construction!BV100)*pop_in_home+(SUM(Construction!AY100:BP100)+Construction!C100-Construction!BI100)*pop_in_building+(SUM(Construction!F100:L100)-Explore!S100*20)*pop_on_barren-(SUM(Construction!N100:AF100)-SUM(Construction!BW100:CN100))*(15-pop_on_barren)-pop_on_barren*Construction!BV100</f>
        <v>8800</v>
      </c>
      <c r="W100" s="152">
        <f t="shared" ca="1" si="14"/>
        <v>0</v>
      </c>
      <c r="X100" s="164">
        <f t="shared" ca="1" si="8"/>
        <v>118</v>
      </c>
      <c r="Y100" s="164">
        <f t="shared" ca="1" si="15"/>
        <v>118.35</v>
      </c>
      <c r="Z100" s="166">
        <f ca="1">IF(G100&lt;Military!Y100, ROUND($C100*IF(Magic!AW100=0,Constants!$B$51,Constants!$B$51*2),0), 0)</f>
        <v>0</v>
      </c>
      <c r="AA100" s="159"/>
      <c r="AB100" s="169">
        <f ca="1">Overview!$O$16 + IF(Magic!AK100&gt;0,Constants!$F$75) + ROUND(6*(Construction!BL101+Construction!CJ100)/IF(Explore!S101&gt;0,Construction!E101-20,Construction!E101),4)</f>
        <v>0</v>
      </c>
      <c r="AC100" s="540">
        <f ca="1">(Overview!$O$15 + Imps!Z100+MAX(Constants!$M$38*Techs!AE100,Constants!$M$50*Techs!AQ100)) * (1 + Production!O100/100*prestige_pop_multiplier) + Production!O100/100*prestige_pop_multiplier</f>
        <v>0.05</v>
      </c>
    </row>
    <row r="101" spans="1:29" s="170" customFormat="1">
      <c r="A101" s="986">
        <f>Rezone!J101</f>
        <v>99</v>
      </c>
      <c r="B101" s="589">
        <f>Imps!L101</f>
        <v>43696.083333333096</v>
      </c>
      <c r="C101" s="152">
        <f ca="1">$C100+$W100+Military!BE101 - IF(race="Demon",Military!G100*2,0)</f>
        <v>3945</v>
      </c>
      <c r="D101" s="164">
        <f ca="1">Military!B101</f>
        <v>5295</v>
      </c>
      <c r="E101" s="164">
        <f ca="1">Military!Z101</f>
        <v>3695</v>
      </c>
      <c r="F101" s="164">
        <f t="shared" ca="1" si="10"/>
        <v>9240</v>
      </c>
      <c r="G101" s="165">
        <f t="shared" ca="1" si="11"/>
        <v>0.57305194805194803</v>
      </c>
      <c r="H101" s="593">
        <f t="shared" ca="1" si="12"/>
        <v>3945</v>
      </c>
      <c r="I101" s="165">
        <f t="shared" ca="1" si="13"/>
        <v>1</v>
      </c>
      <c r="J101" s="676">
        <f>SUM(Construction!AY101:BH101,Construction!BJ101:BP101,Construction!BW101:CF101,Construction!CH101:CN101)*building_employment</f>
        <v>7600</v>
      </c>
      <c r="K101" s="634"/>
      <c r="L101" s="152">
        <f ca="1">Military!$Z101</f>
        <v>3695</v>
      </c>
      <c r="M101" s="164">
        <f>Military!E101</f>
        <v>0</v>
      </c>
      <c r="N101" s="164">
        <f>Military!F101</f>
        <v>0</v>
      </c>
      <c r="O101" s="164">
        <f>Military!G101</f>
        <v>1000</v>
      </c>
      <c r="P101" s="164">
        <f>Military!H101</f>
        <v>400</v>
      </c>
      <c r="Q101" s="164">
        <f>Military!I101</f>
        <v>100</v>
      </c>
      <c r="R101" s="164">
        <f>Military!J101</f>
        <v>100</v>
      </c>
      <c r="S101" s="166">
        <f>Military!K101</f>
        <v>0</v>
      </c>
      <c r="T101" s="156"/>
      <c r="U101" s="152">
        <f ca="1">ROUND($V101*(1+$AC101),0)+MIN(D101-E101-SUM(Military!AF101:AL101),barracks_size*Construction!BI101)</f>
        <v>9240</v>
      </c>
      <c r="V101" s="166">
        <f>(Construction!AX101+Construction!BV101)*pop_in_home+(SUM(Construction!AY101:BP101)+Construction!C101-Construction!BI101)*pop_in_building+(SUM(Construction!F101:L101)-Explore!S101*20)*pop_on_barren-(SUM(Construction!N101:AF101)-SUM(Construction!BW101:CN101))*(15-pop_on_barren)-pop_on_barren*Construction!BV101</f>
        <v>8800</v>
      </c>
      <c r="W101" s="152">
        <f t="shared" ca="1" si="14"/>
        <v>0</v>
      </c>
      <c r="X101" s="164">
        <f t="shared" ca="1" si="8"/>
        <v>118</v>
      </c>
      <c r="Y101" s="164">
        <f t="shared" ca="1" si="15"/>
        <v>118.35</v>
      </c>
      <c r="Z101" s="166">
        <f ca="1">IF(G101&lt;Military!Y101, ROUND($C101*IF(Magic!AW101=0,Constants!$B$51,Constants!$B$51*2),0), 0)</f>
        <v>0</v>
      </c>
      <c r="AA101" s="159"/>
      <c r="AB101" s="169">
        <f ca="1">Overview!$O$16 + IF(Magic!AK101&gt;0,Constants!$F$75) + ROUND(6*(Construction!BL102+Construction!CJ101)/IF(Explore!S102&gt;0,Construction!E102-20,Construction!E102),4)</f>
        <v>0</v>
      </c>
      <c r="AC101" s="540">
        <f ca="1">(Overview!$O$15 + Imps!Z101+MAX(Constants!$M$38*Techs!AE101,Constants!$M$50*Techs!AQ101)) * (1 + Production!O101/100*prestige_pop_multiplier) + Production!O101/100*prestige_pop_multiplier</f>
        <v>0.05</v>
      </c>
    </row>
    <row r="102" spans="1:29" s="16" customFormat="1">
      <c r="A102" s="987">
        <f>Rezone!J102</f>
        <v>100</v>
      </c>
      <c r="B102" s="589">
        <f>Imps!L102</f>
        <v>43696.12499999976</v>
      </c>
      <c r="C102" s="152">
        <f ca="1">$C101+$W101+Military!BE102 - IF(race="Demon",Military!G101*2,0)</f>
        <v>3945</v>
      </c>
      <c r="D102" s="26">
        <f ca="1">Military!B102</f>
        <v>5295</v>
      </c>
      <c r="E102" s="26">
        <f ca="1">Military!Z102</f>
        <v>3695</v>
      </c>
      <c r="F102" s="26">
        <f t="shared" ca="1" si="10"/>
        <v>9240</v>
      </c>
      <c r="G102" s="27">
        <f t="shared" ca="1" si="11"/>
        <v>0.57305194805194803</v>
      </c>
      <c r="H102" s="594">
        <f t="shared" ca="1" si="12"/>
        <v>3945</v>
      </c>
      <c r="I102" s="165">
        <f t="shared" ca="1" si="13"/>
        <v>1</v>
      </c>
      <c r="J102" s="676">
        <f>SUM(Construction!AY102:BH102,Construction!BJ102:BP102,Construction!BW102:CF102,Construction!CH102:CN102)*building_employment</f>
        <v>7600</v>
      </c>
      <c r="K102" s="635"/>
      <c r="L102" s="56">
        <f ca="1">Military!$Z102</f>
        <v>3695</v>
      </c>
      <c r="M102" s="26">
        <f>Military!E102</f>
        <v>0</v>
      </c>
      <c r="N102" s="26">
        <f>Military!F102</f>
        <v>0</v>
      </c>
      <c r="O102" s="26">
        <f>Military!G102</f>
        <v>1000</v>
      </c>
      <c r="P102" s="26">
        <f>Military!H102</f>
        <v>400</v>
      </c>
      <c r="Q102" s="26">
        <f>Military!I102</f>
        <v>100</v>
      </c>
      <c r="R102" s="26">
        <f>Military!J102</f>
        <v>100</v>
      </c>
      <c r="S102" s="57">
        <f>Military!K102</f>
        <v>0</v>
      </c>
      <c r="T102" s="52"/>
      <c r="U102" s="56">
        <f ca="1">ROUND($V102*(1+$AC102),0)+MIN(D102-E102-SUM(Military!AF102:AL102),barracks_size*Construction!BI102)</f>
        <v>9240</v>
      </c>
      <c r="V102" s="166">
        <f>(Construction!AX102+Construction!BV102)*pop_in_home+(SUM(Construction!AY102:BP102)+Construction!C102-Construction!BI102)*pop_in_building+(SUM(Construction!F102:L102)-Explore!S102*20)*pop_on_barren-(SUM(Construction!N102:AF102)-SUM(Construction!BW102:CN102))*(15-pop_on_barren)-pop_on_barren*Construction!BV102</f>
        <v>8800</v>
      </c>
      <c r="W102" s="152">
        <f t="shared" ca="1" si="14"/>
        <v>0</v>
      </c>
      <c r="X102" s="26">
        <f t="shared" ca="1" si="8"/>
        <v>118</v>
      </c>
      <c r="Y102" s="164">
        <f t="shared" ca="1" si="15"/>
        <v>118.35</v>
      </c>
      <c r="Z102" s="57">
        <f ca="1">IF(G102&lt;Military!Y102, ROUND($C102*IF(Magic!AW102=0,Constants!$B$51,Constants!$B$51*2),0), 0)</f>
        <v>0</v>
      </c>
      <c r="AA102" s="63"/>
      <c r="AB102" s="169">
        <f ca="1">Overview!$O$16 + IF(Magic!AK102&gt;0,Constants!$F$75) + ROUND(6*(Construction!BL103+Construction!CJ102)/IF(Explore!S103&gt;0,Construction!E103-20,Construction!E103),4)</f>
        <v>0</v>
      </c>
      <c r="AC102" s="540">
        <f ca="1">(Overview!$O$15 + Imps!Z102+MAX(Constants!$M$38*Techs!AE102,Constants!$M$50*Techs!AQ102)) * (1 + Production!O102/100*prestige_pop_multiplier) + Production!O102/100*prestige_pop_multiplier</f>
        <v>0.05</v>
      </c>
    </row>
    <row r="103" spans="1:29" s="16" customFormat="1">
      <c r="A103" s="987">
        <f>Rezone!J103</f>
        <v>101</v>
      </c>
      <c r="B103" s="589">
        <f>Imps!L103</f>
        <v>43696.166666666424</v>
      </c>
      <c r="C103" s="152">
        <f ca="1">$C102+$W102+Military!BE103 - IF(race="Demon",Military!G102*2,0)</f>
        <v>3945</v>
      </c>
      <c r="D103" s="26">
        <f ca="1">Military!B103</f>
        <v>5295</v>
      </c>
      <c r="E103" s="26">
        <f ca="1">Military!Z103</f>
        <v>3695</v>
      </c>
      <c r="F103" s="26">
        <f t="shared" ca="1" si="10"/>
        <v>9240</v>
      </c>
      <c r="G103" s="27">
        <f t="shared" ca="1" si="11"/>
        <v>0.57305194805194803</v>
      </c>
      <c r="H103" s="594">
        <f t="shared" ca="1" si="12"/>
        <v>3945</v>
      </c>
      <c r="I103" s="165">
        <f t="shared" ca="1" si="13"/>
        <v>1</v>
      </c>
      <c r="J103" s="676">
        <f>SUM(Construction!AY103:BH103,Construction!BJ103:BP103,Construction!BW103:CF103,Construction!CH103:CN103)*building_employment</f>
        <v>7600</v>
      </c>
      <c r="K103" s="635"/>
      <c r="L103" s="56">
        <f ca="1">Military!$Z103</f>
        <v>3695</v>
      </c>
      <c r="M103" s="26">
        <f>Military!E103</f>
        <v>0</v>
      </c>
      <c r="N103" s="26">
        <f>Military!F103</f>
        <v>0</v>
      </c>
      <c r="O103" s="26">
        <f>Military!G103</f>
        <v>1000</v>
      </c>
      <c r="P103" s="26">
        <f>Military!H103</f>
        <v>400</v>
      </c>
      <c r="Q103" s="26">
        <f>Military!I103</f>
        <v>100</v>
      </c>
      <c r="R103" s="26">
        <f>Military!J103</f>
        <v>100</v>
      </c>
      <c r="S103" s="57">
        <f>Military!K103</f>
        <v>0</v>
      </c>
      <c r="T103" s="52"/>
      <c r="U103" s="56">
        <f ca="1">ROUND($V103*(1+$AC103),0)+MIN(D103-E103-SUM(Military!AF103:AL103),barracks_size*Construction!BI103)</f>
        <v>9240</v>
      </c>
      <c r="V103" s="166">
        <f>(Construction!AX103+Construction!BV103)*pop_in_home+(SUM(Construction!AY103:BP103)+Construction!C103-Construction!BI103)*pop_in_building+(SUM(Construction!F103:L103)-Explore!S103*20)*pop_on_barren-(SUM(Construction!N103:AF103)-SUM(Construction!BW103:CN103))*(15-pop_on_barren)-pop_on_barren*Construction!BV103</f>
        <v>8800</v>
      </c>
      <c r="W103" s="152">
        <f t="shared" ca="1" si="14"/>
        <v>0</v>
      </c>
      <c r="X103" s="26">
        <f t="shared" ca="1" si="8"/>
        <v>118</v>
      </c>
      <c r="Y103" s="164">
        <f t="shared" ca="1" si="15"/>
        <v>118.35</v>
      </c>
      <c r="Z103" s="57">
        <f ca="1">IF(G103&lt;Military!Y103, ROUND($C103*IF(Magic!AW103=0,Constants!$B$51,Constants!$B$51*2),0), 0)</f>
        <v>0</v>
      </c>
      <c r="AA103" s="63"/>
      <c r="AB103" s="169">
        <f ca="1">Overview!$O$16 + IF(Magic!AK103&gt;0,Constants!$F$75) + ROUND(6*(Construction!BL104+Construction!CJ103)/IF(Explore!S104&gt;0,Construction!E104-20,Construction!E104),4)</f>
        <v>0</v>
      </c>
      <c r="AC103" s="540">
        <f ca="1">(Overview!$O$15 + Imps!Z103+MAX(Constants!$M$38*Techs!AE103,Constants!$M$50*Techs!AQ103)) * (1 + Production!O103/100*prestige_pop_multiplier) + Production!O103/100*prestige_pop_multiplier</f>
        <v>0.05</v>
      </c>
    </row>
    <row r="104" spans="1:29" s="16" customFormat="1">
      <c r="A104" s="987">
        <f>Rezone!J104</f>
        <v>102</v>
      </c>
      <c r="B104" s="589">
        <f>Imps!L104</f>
        <v>43696.208333333088</v>
      </c>
      <c r="C104" s="152">
        <f ca="1">$C103+$W103+Military!BE104 - IF(race="Demon",Military!G103*2,0)</f>
        <v>3945</v>
      </c>
      <c r="D104" s="26">
        <f ca="1">Military!B104</f>
        <v>5295</v>
      </c>
      <c r="E104" s="26">
        <f ca="1">Military!Z104</f>
        <v>3695</v>
      </c>
      <c r="F104" s="26">
        <f t="shared" ca="1" si="10"/>
        <v>9240</v>
      </c>
      <c r="G104" s="27">
        <f t="shared" ca="1" si="11"/>
        <v>0.57305194805194803</v>
      </c>
      <c r="H104" s="594">
        <f t="shared" ca="1" si="12"/>
        <v>3945</v>
      </c>
      <c r="I104" s="165">
        <f t="shared" ca="1" si="13"/>
        <v>1</v>
      </c>
      <c r="J104" s="676">
        <f>SUM(Construction!AY104:BH104,Construction!BJ104:BP104,Construction!BW104:CF104,Construction!CH104:CN104)*building_employment</f>
        <v>7600</v>
      </c>
      <c r="K104" s="635"/>
      <c r="L104" s="56">
        <f ca="1">Military!$Z104</f>
        <v>3695</v>
      </c>
      <c r="M104" s="26">
        <f>Military!E104</f>
        <v>0</v>
      </c>
      <c r="N104" s="26">
        <f>Military!F104</f>
        <v>0</v>
      </c>
      <c r="O104" s="26">
        <f>Military!G104</f>
        <v>1000</v>
      </c>
      <c r="P104" s="26">
        <f>Military!H104</f>
        <v>400</v>
      </c>
      <c r="Q104" s="26">
        <f>Military!I104</f>
        <v>100</v>
      </c>
      <c r="R104" s="26">
        <f>Military!J104</f>
        <v>100</v>
      </c>
      <c r="S104" s="57">
        <f>Military!K104</f>
        <v>0</v>
      </c>
      <c r="T104" s="52"/>
      <c r="U104" s="56">
        <f ca="1">ROUND($V104*(1+$AC104),0)+MIN(D104-E104-SUM(Military!AF104:AL104),barracks_size*Construction!BI104)</f>
        <v>9240</v>
      </c>
      <c r="V104" s="166">
        <f>(Construction!AX104+Construction!BV104)*pop_in_home+(SUM(Construction!AY104:BP104)+Construction!C104-Construction!BI104)*pop_in_building+(SUM(Construction!F104:L104)-Explore!S104*20)*pop_on_barren-(SUM(Construction!N104:AF104)-SUM(Construction!BW104:CN104))*(15-pop_on_barren)-pop_on_barren*Construction!BV104</f>
        <v>8800</v>
      </c>
      <c r="W104" s="152">
        <f t="shared" ca="1" si="14"/>
        <v>0</v>
      </c>
      <c r="X104" s="26">
        <f t="shared" ca="1" si="8"/>
        <v>118</v>
      </c>
      <c r="Y104" s="164">
        <f t="shared" ca="1" si="15"/>
        <v>118.35</v>
      </c>
      <c r="Z104" s="57">
        <f ca="1">IF(G104&lt;Military!Y104, ROUND($C104*IF(Magic!AW104=0,Constants!$B$51,Constants!$B$51*2),0), 0)</f>
        <v>0</v>
      </c>
      <c r="AA104" s="63"/>
      <c r="AB104" s="169">
        <f ca="1">Overview!$O$16 + IF(Magic!AK104&gt;0,Constants!$F$75) + ROUND(6*(Construction!BL105+Construction!CJ104)/IF(Explore!S105&gt;0,Construction!E105-20,Construction!E105),4)</f>
        <v>0</v>
      </c>
      <c r="AC104" s="540">
        <f ca="1">(Overview!$O$15 + Imps!Z104+MAX(Constants!$M$38*Techs!AE104,Constants!$M$50*Techs!AQ104)) * (1 + Production!O104/100*prestige_pop_multiplier) + Production!O104/100*prestige_pop_multiplier</f>
        <v>0.05</v>
      </c>
    </row>
    <row r="105" spans="1:29" s="16" customFormat="1">
      <c r="A105" s="987">
        <f>Rezone!J105</f>
        <v>103</v>
      </c>
      <c r="B105" s="589">
        <f>Imps!L105</f>
        <v>43696.249999999753</v>
      </c>
      <c r="C105" s="152">
        <f ca="1">$C104+$W104+Military!BE105 - IF(race="Demon",Military!G104*2,0)</f>
        <v>3945</v>
      </c>
      <c r="D105" s="26">
        <f ca="1">Military!B105</f>
        <v>5295</v>
      </c>
      <c r="E105" s="26">
        <f ca="1">Military!Z105</f>
        <v>3695</v>
      </c>
      <c r="F105" s="26">
        <f t="shared" ca="1" si="10"/>
        <v>9240</v>
      </c>
      <c r="G105" s="27">
        <f t="shared" ca="1" si="11"/>
        <v>0.57305194805194803</v>
      </c>
      <c r="H105" s="594">
        <f t="shared" ca="1" si="12"/>
        <v>3945</v>
      </c>
      <c r="I105" s="165">
        <f t="shared" ca="1" si="13"/>
        <v>1</v>
      </c>
      <c r="J105" s="676">
        <f>SUM(Construction!AY105:BH105,Construction!BJ105:BP105,Construction!BW105:CF105,Construction!CH105:CN105)*building_employment</f>
        <v>7600</v>
      </c>
      <c r="K105" s="635"/>
      <c r="L105" s="56">
        <f ca="1">Military!$Z105</f>
        <v>3695</v>
      </c>
      <c r="M105" s="26">
        <f>Military!E105</f>
        <v>0</v>
      </c>
      <c r="N105" s="26">
        <f>Military!F105</f>
        <v>0</v>
      </c>
      <c r="O105" s="26">
        <f>Military!G105</f>
        <v>1000</v>
      </c>
      <c r="P105" s="26">
        <f>Military!H105</f>
        <v>400</v>
      </c>
      <c r="Q105" s="26">
        <f>Military!I105</f>
        <v>100</v>
      </c>
      <c r="R105" s="26">
        <f>Military!J105</f>
        <v>100</v>
      </c>
      <c r="S105" s="57">
        <f>Military!K105</f>
        <v>0</v>
      </c>
      <c r="T105" s="52"/>
      <c r="U105" s="56">
        <f ca="1">ROUND($V105*(1+$AC105),0)+MIN(D105-E105-SUM(Military!AF105:AL105),barracks_size*Construction!BI105)</f>
        <v>9240</v>
      </c>
      <c r="V105" s="166">
        <f>(Construction!AX105+Construction!BV105)*pop_in_home+(SUM(Construction!AY105:BP105)+Construction!C105-Construction!BI105)*pop_in_building+(SUM(Construction!F105:L105)-Explore!S105*20)*pop_on_barren-(SUM(Construction!N105:AF105)-SUM(Construction!BW105:CN105))*(15-pop_on_barren)-pop_on_barren*Construction!BV105</f>
        <v>8800</v>
      </c>
      <c r="W105" s="152">
        <f t="shared" ca="1" si="14"/>
        <v>0</v>
      </c>
      <c r="X105" s="26">
        <f t="shared" ca="1" si="8"/>
        <v>118</v>
      </c>
      <c r="Y105" s="164">
        <f t="shared" ca="1" si="15"/>
        <v>118.35</v>
      </c>
      <c r="Z105" s="57">
        <f ca="1">IF(G105&lt;Military!Y105, ROUND($C105*IF(Magic!AW105=0,Constants!$B$51,Constants!$B$51*2),0), 0)</f>
        <v>0</v>
      </c>
      <c r="AA105" s="63"/>
      <c r="AB105" s="169">
        <f ca="1">Overview!$O$16 + IF(Magic!AK105&gt;0,Constants!$F$75) + ROUND(6*(Construction!BL106+Construction!CJ105)/IF(Explore!S106&gt;0,Construction!E106-20,Construction!E106),4)</f>
        <v>0</v>
      </c>
      <c r="AC105" s="540">
        <f ca="1">(Overview!$O$15 + Imps!Z105+MAX(Constants!$M$38*Techs!AE105,Constants!$M$50*Techs!AQ105)) * (1 + Production!O105/100*prestige_pop_multiplier) + Production!O105/100*prestige_pop_multiplier</f>
        <v>0.05</v>
      </c>
    </row>
    <row r="106" spans="1:29" s="16" customFormat="1">
      <c r="A106" s="987">
        <f>Rezone!J106</f>
        <v>104</v>
      </c>
      <c r="B106" s="589">
        <f>Imps!L106</f>
        <v>43696.291666666417</v>
      </c>
      <c r="C106" s="152">
        <f ca="1">$C105+$W105+Military!BE106 - IF(race="Demon",Military!G105*2,0)</f>
        <v>3945</v>
      </c>
      <c r="D106" s="26">
        <f ca="1">Military!B106</f>
        <v>5295</v>
      </c>
      <c r="E106" s="26">
        <f ca="1">Military!Z106</f>
        <v>3695</v>
      </c>
      <c r="F106" s="26">
        <f t="shared" ca="1" si="10"/>
        <v>9240</v>
      </c>
      <c r="G106" s="27">
        <f t="shared" ca="1" si="11"/>
        <v>0.57305194805194803</v>
      </c>
      <c r="H106" s="594">
        <f t="shared" ca="1" si="12"/>
        <v>3945</v>
      </c>
      <c r="I106" s="165">
        <f t="shared" ca="1" si="13"/>
        <v>1</v>
      </c>
      <c r="J106" s="676">
        <f>SUM(Construction!AY106:BH106,Construction!BJ106:BP106,Construction!BW106:CF106,Construction!CH106:CN106)*building_employment</f>
        <v>7600</v>
      </c>
      <c r="K106" s="635"/>
      <c r="L106" s="56">
        <f ca="1">Military!$Z106</f>
        <v>3695</v>
      </c>
      <c r="M106" s="26">
        <f>Military!E106</f>
        <v>0</v>
      </c>
      <c r="N106" s="26">
        <f>Military!F106</f>
        <v>0</v>
      </c>
      <c r="O106" s="26">
        <f>Military!G106</f>
        <v>1000</v>
      </c>
      <c r="P106" s="26">
        <f>Military!H106</f>
        <v>400</v>
      </c>
      <c r="Q106" s="26">
        <f>Military!I106</f>
        <v>100</v>
      </c>
      <c r="R106" s="26">
        <f>Military!J106</f>
        <v>100</v>
      </c>
      <c r="S106" s="57">
        <f>Military!K106</f>
        <v>0</v>
      </c>
      <c r="T106" s="52"/>
      <c r="U106" s="56">
        <f ca="1">ROUND($V106*(1+$AC106),0)+MIN(D106-E106-SUM(Military!AF106:AL106),barracks_size*Construction!BI106)</f>
        <v>9240</v>
      </c>
      <c r="V106" s="166">
        <f>(Construction!AX106+Construction!BV106)*pop_in_home+(SUM(Construction!AY106:BP106)+Construction!C106-Construction!BI106)*pop_in_building+(SUM(Construction!F106:L106)-Explore!S106*20)*pop_on_barren-(SUM(Construction!N106:AF106)-SUM(Construction!BW106:CN106))*(15-pop_on_barren)-pop_on_barren*Construction!BV106</f>
        <v>8800</v>
      </c>
      <c r="W106" s="152">
        <f t="shared" ca="1" si="14"/>
        <v>0</v>
      </c>
      <c r="X106" s="26">
        <f t="shared" ca="1" si="8"/>
        <v>118</v>
      </c>
      <c r="Y106" s="164">
        <f t="shared" ca="1" si="15"/>
        <v>118.35</v>
      </c>
      <c r="Z106" s="57">
        <f ca="1">IF(G106&lt;Military!Y106, ROUND($C106*IF(Magic!AW106=0,Constants!$B$51,Constants!$B$51*2),0), 0)</f>
        <v>0</v>
      </c>
      <c r="AA106" s="63"/>
      <c r="AB106" s="169">
        <f ca="1">Overview!$O$16 + IF(Magic!AK106&gt;0,Constants!$F$75) + ROUND(6*(Construction!BL107+Construction!CJ106)/IF(Explore!S107&gt;0,Construction!E107-20,Construction!E107),4)</f>
        <v>0</v>
      </c>
      <c r="AC106" s="540">
        <f ca="1">(Overview!$O$15 + Imps!Z106+MAX(Constants!$M$38*Techs!AE106,Constants!$M$50*Techs!AQ106)) * (1 + Production!O106/100*prestige_pop_multiplier) + Production!O106/100*prestige_pop_multiplier</f>
        <v>0.05</v>
      </c>
    </row>
    <row r="107" spans="1:29" s="16" customFormat="1">
      <c r="A107" s="987">
        <f>Rezone!J107</f>
        <v>105</v>
      </c>
      <c r="B107" s="589">
        <f>Imps!L107</f>
        <v>43696.333333333081</v>
      </c>
      <c r="C107" s="152">
        <f ca="1">$C106+$W106+Military!BE107 - IF(race="Demon",Military!G106*2,0)</f>
        <v>3945</v>
      </c>
      <c r="D107" s="26">
        <f ca="1">Military!B107</f>
        <v>5295</v>
      </c>
      <c r="E107" s="26">
        <f ca="1">Military!Z107</f>
        <v>3695</v>
      </c>
      <c r="F107" s="26">
        <f t="shared" ca="1" si="10"/>
        <v>9240</v>
      </c>
      <c r="G107" s="27">
        <f t="shared" ca="1" si="11"/>
        <v>0.57305194805194803</v>
      </c>
      <c r="H107" s="594">
        <f t="shared" ca="1" si="12"/>
        <v>3945</v>
      </c>
      <c r="I107" s="165">
        <f t="shared" ca="1" si="13"/>
        <v>1</v>
      </c>
      <c r="J107" s="676">
        <f>SUM(Construction!AY107:BH107,Construction!BJ107:BP107,Construction!BW107:CF107,Construction!CH107:CN107)*building_employment</f>
        <v>7600</v>
      </c>
      <c r="K107" s="635"/>
      <c r="L107" s="56">
        <f ca="1">Military!$Z107</f>
        <v>3695</v>
      </c>
      <c r="M107" s="26">
        <f>Military!E107</f>
        <v>0</v>
      </c>
      <c r="N107" s="26">
        <f>Military!F107</f>
        <v>0</v>
      </c>
      <c r="O107" s="26">
        <f>Military!G107</f>
        <v>1000</v>
      </c>
      <c r="P107" s="26">
        <f>Military!H107</f>
        <v>400</v>
      </c>
      <c r="Q107" s="26">
        <f>Military!I107</f>
        <v>100</v>
      </c>
      <c r="R107" s="26">
        <f>Military!J107</f>
        <v>100</v>
      </c>
      <c r="S107" s="57">
        <f>Military!K107</f>
        <v>0</v>
      </c>
      <c r="T107" s="52"/>
      <c r="U107" s="56">
        <f ca="1">ROUND($V107*(1+$AC107),0)+MIN(D107-E107-SUM(Military!AF107:AL107),barracks_size*Construction!BI107)</f>
        <v>9240</v>
      </c>
      <c r="V107" s="166">
        <f>(Construction!AX107+Construction!BV107)*pop_in_home+(SUM(Construction!AY107:BP107)+Construction!C107-Construction!BI107)*pop_in_building+(SUM(Construction!F107:L107)-Explore!S107*20)*pop_on_barren-(SUM(Construction!N107:AF107)-SUM(Construction!BW107:CN107))*(15-pop_on_barren)-pop_on_barren*Construction!BV107</f>
        <v>8800</v>
      </c>
      <c r="W107" s="152">
        <f t="shared" ca="1" si="14"/>
        <v>0</v>
      </c>
      <c r="X107" s="26">
        <f t="shared" ca="1" si="8"/>
        <v>118</v>
      </c>
      <c r="Y107" s="164">
        <f t="shared" ca="1" si="15"/>
        <v>118.35</v>
      </c>
      <c r="Z107" s="57">
        <f ca="1">IF(G107&lt;Military!Y107, ROUND($C107*IF(Magic!AW107=0,Constants!$B$51,Constants!$B$51*2),0), 0)</f>
        <v>0</v>
      </c>
      <c r="AA107" s="63"/>
      <c r="AB107" s="169">
        <f ca="1">Overview!$O$16 + IF(Magic!AK107&gt;0,Constants!$F$75) + ROUND(6*(Construction!BL108+Construction!CJ107)/IF(Explore!S108&gt;0,Construction!E108-20,Construction!E108),4)</f>
        <v>0</v>
      </c>
      <c r="AC107" s="540">
        <f ca="1">(Overview!$O$15 + Imps!Z107+MAX(Constants!$M$38*Techs!AE107,Constants!$M$50*Techs!AQ107)) * (1 + Production!O107/100*prestige_pop_multiplier) + Production!O107/100*prestige_pop_multiplier</f>
        <v>0.05</v>
      </c>
    </row>
    <row r="108" spans="1:29" s="16" customFormat="1">
      <c r="A108" s="987">
        <f>Rezone!J108</f>
        <v>106</v>
      </c>
      <c r="B108" s="589">
        <f>Imps!L108</f>
        <v>43696.374999999745</v>
      </c>
      <c r="C108" s="152">
        <f ca="1">$C107+$W107+Military!BE108 - IF(race="Demon",Military!G107*2,0)</f>
        <v>3945</v>
      </c>
      <c r="D108" s="26">
        <f ca="1">Military!B108</f>
        <v>5295</v>
      </c>
      <c r="E108" s="26">
        <f ca="1">Military!Z108</f>
        <v>3695</v>
      </c>
      <c r="F108" s="26">
        <f t="shared" ca="1" si="10"/>
        <v>9240</v>
      </c>
      <c r="G108" s="27">
        <f t="shared" ca="1" si="11"/>
        <v>0.57305194805194803</v>
      </c>
      <c r="H108" s="594">
        <f t="shared" ca="1" si="12"/>
        <v>3945</v>
      </c>
      <c r="I108" s="165">
        <f t="shared" ca="1" si="13"/>
        <v>1</v>
      </c>
      <c r="J108" s="676">
        <f>SUM(Construction!AY108:BH108,Construction!BJ108:BP108,Construction!BW108:CF108,Construction!CH108:CN108)*building_employment</f>
        <v>7600</v>
      </c>
      <c r="K108" s="635"/>
      <c r="L108" s="56">
        <f ca="1">Military!$Z108</f>
        <v>3695</v>
      </c>
      <c r="M108" s="26">
        <f>Military!E108</f>
        <v>0</v>
      </c>
      <c r="N108" s="26">
        <f>Military!F108</f>
        <v>0</v>
      </c>
      <c r="O108" s="26">
        <f>Military!G108</f>
        <v>1000</v>
      </c>
      <c r="P108" s="26">
        <f>Military!H108</f>
        <v>400</v>
      </c>
      <c r="Q108" s="26">
        <f>Military!I108</f>
        <v>100</v>
      </c>
      <c r="R108" s="26">
        <f>Military!J108</f>
        <v>100</v>
      </c>
      <c r="S108" s="57">
        <f>Military!K108</f>
        <v>0</v>
      </c>
      <c r="T108" s="52"/>
      <c r="U108" s="56">
        <f ca="1">ROUND($V108*(1+$AC108),0)+MIN(D108-E108-SUM(Military!AF108:AL108),barracks_size*Construction!BI108)</f>
        <v>9240</v>
      </c>
      <c r="V108" s="166">
        <f>(Construction!AX108+Construction!BV108)*pop_in_home+(SUM(Construction!AY108:BP108)+Construction!C108-Construction!BI108)*pop_in_building+(SUM(Construction!F108:L108)-Explore!S108*20)*pop_on_barren-(SUM(Construction!N108:AF108)-SUM(Construction!BW108:CN108))*(15-pop_on_barren)-pop_on_barren*Construction!BV108</f>
        <v>8800</v>
      </c>
      <c r="W108" s="152">
        <f t="shared" ca="1" si="14"/>
        <v>0</v>
      </c>
      <c r="X108" s="26">
        <f t="shared" ca="1" si="8"/>
        <v>118</v>
      </c>
      <c r="Y108" s="164">
        <f t="shared" ca="1" si="15"/>
        <v>118.35</v>
      </c>
      <c r="Z108" s="57">
        <f ca="1">IF(G108&lt;Military!Y108, ROUND($C108*IF(Magic!AW108=0,Constants!$B$51,Constants!$B$51*2),0), 0)</f>
        <v>0</v>
      </c>
      <c r="AA108" s="63"/>
      <c r="AB108" s="169">
        <f ca="1">Overview!$O$16 + IF(Magic!AK108&gt;0,Constants!$F$75) + ROUND(6*(Construction!BL109+Construction!CJ108)/IF(Explore!S109&gt;0,Construction!E109-20,Construction!E109),4)</f>
        <v>0</v>
      </c>
      <c r="AC108" s="540">
        <f ca="1">(Overview!$O$15 + Imps!Z108+MAX(Constants!$M$38*Techs!AE108,Constants!$M$50*Techs!AQ108)) * (1 + Production!O108/100*prestige_pop_multiplier) + Production!O108/100*prestige_pop_multiplier</f>
        <v>0.05</v>
      </c>
    </row>
    <row r="109" spans="1:29" s="16" customFormat="1">
      <c r="A109" s="987">
        <f>Rezone!J109</f>
        <v>107</v>
      </c>
      <c r="B109" s="589">
        <f>Imps!L109</f>
        <v>43696.41666666641</v>
      </c>
      <c r="C109" s="152">
        <f ca="1">$C108+$W108+Military!BE109 - IF(race="Demon",Military!G108*2,0)</f>
        <v>3945</v>
      </c>
      <c r="D109" s="26">
        <f ca="1">Military!B109</f>
        <v>5295</v>
      </c>
      <c r="E109" s="26">
        <f ca="1">Military!Z109</f>
        <v>3695</v>
      </c>
      <c r="F109" s="26">
        <f t="shared" ca="1" si="10"/>
        <v>9240</v>
      </c>
      <c r="G109" s="27">
        <f t="shared" ca="1" si="11"/>
        <v>0.57305194805194803</v>
      </c>
      <c r="H109" s="594">
        <f t="shared" ca="1" si="12"/>
        <v>3945</v>
      </c>
      <c r="I109" s="165">
        <f t="shared" ca="1" si="13"/>
        <v>1</v>
      </c>
      <c r="J109" s="676">
        <f>SUM(Construction!AY109:BH109,Construction!BJ109:BP109,Construction!BW109:CF109,Construction!CH109:CN109)*building_employment</f>
        <v>7600</v>
      </c>
      <c r="K109" s="635"/>
      <c r="L109" s="56">
        <f ca="1">Military!$Z109</f>
        <v>3695</v>
      </c>
      <c r="M109" s="26">
        <f>Military!E109</f>
        <v>0</v>
      </c>
      <c r="N109" s="26">
        <f>Military!F109</f>
        <v>0</v>
      </c>
      <c r="O109" s="26">
        <f>Military!G109</f>
        <v>1000</v>
      </c>
      <c r="P109" s="26">
        <f>Military!H109</f>
        <v>400</v>
      </c>
      <c r="Q109" s="26">
        <f>Military!I109</f>
        <v>100</v>
      </c>
      <c r="R109" s="26">
        <f>Military!J109</f>
        <v>100</v>
      </c>
      <c r="S109" s="57">
        <f>Military!K109</f>
        <v>0</v>
      </c>
      <c r="T109" s="52"/>
      <c r="U109" s="56">
        <f ca="1">ROUND($V109*(1+$AC109),0)+MIN(D109-E109-SUM(Military!AF109:AL109),barracks_size*Construction!BI109)</f>
        <v>9240</v>
      </c>
      <c r="V109" s="166">
        <f>(Construction!AX109+Construction!BV109)*pop_in_home+(SUM(Construction!AY109:BP109)+Construction!C109-Construction!BI109)*pop_in_building+(SUM(Construction!F109:L109)-Explore!S109*20)*pop_on_barren-(SUM(Construction!N109:AF109)-SUM(Construction!BW109:CN109))*(15-pop_on_barren)-pop_on_barren*Construction!BV109</f>
        <v>8800</v>
      </c>
      <c r="W109" s="152">
        <f t="shared" ca="1" si="14"/>
        <v>0</v>
      </c>
      <c r="X109" s="26">
        <f t="shared" ca="1" si="8"/>
        <v>118</v>
      </c>
      <c r="Y109" s="164">
        <f t="shared" ca="1" si="15"/>
        <v>118.35</v>
      </c>
      <c r="Z109" s="57">
        <f ca="1">IF(G109&lt;Military!Y109, ROUND($C109*IF(Magic!AW109=0,Constants!$B$51,Constants!$B$51*2),0), 0)</f>
        <v>0</v>
      </c>
      <c r="AA109" s="63"/>
      <c r="AB109" s="169">
        <f ca="1">Overview!$O$16 + IF(Magic!AK109&gt;0,Constants!$F$75) + ROUND(6*(Construction!BL110+Construction!CJ109)/IF(Explore!S110&gt;0,Construction!E110-20,Construction!E110),4)</f>
        <v>0</v>
      </c>
      <c r="AC109" s="540">
        <f ca="1">(Overview!$O$15 + Imps!Z109+MAX(Constants!$M$38*Techs!AE109,Constants!$M$50*Techs!AQ109)) * (1 + Production!O109/100*prestige_pop_multiplier) + Production!O109/100*prestige_pop_multiplier</f>
        <v>0.05</v>
      </c>
    </row>
    <row r="110" spans="1:29" s="16" customFormat="1" ht="13.5" customHeight="1">
      <c r="A110" s="987">
        <f>Rezone!J110</f>
        <v>108</v>
      </c>
      <c r="B110" s="589">
        <f>Imps!L110</f>
        <v>43696.458333333074</v>
      </c>
      <c r="C110" s="152">
        <f ca="1">$C109+$W109+Military!BE110 - IF(race="Demon",Military!G109*2,0)</f>
        <v>3945</v>
      </c>
      <c r="D110" s="26">
        <f ca="1">Military!B110</f>
        <v>5295</v>
      </c>
      <c r="E110" s="26">
        <f ca="1">Military!Z110</f>
        <v>3695</v>
      </c>
      <c r="F110" s="26">
        <f t="shared" ca="1" si="10"/>
        <v>9240</v>
      </c>
      <c r="G110" s="27">
        <f t="shared" ca="1" si="11"/>
        <v>0.57305194805194803</v>
      </c>
      <c r="H110" s="594">
        <f t="shared" ca="1" si="12"/>
        <v>3945</v>
      </c>
      <c r="I110" s="165">
        <f t="shared" ca="1" si="13"/>
        <v>1</v>
      </c>
      <c r="J110" s="676">
        <f>SUM(Construction!AY110:BH110,Construction!BJ110:BP110,Construction!BW110:CF110,Construction!CH110:CN110)*building_employment</f>
        <v>7600</v>
      </c>
      <c r="K110" s="635"/>
      <c r="L110" s="56">
        <f ca="1">Military!$Z110</f>
        <v>3695</v>
      </c>
      <c r="M110" s="26">
        <f>Military!E110</f>
        <v>0</v>
      </c>
      <c r="N110" s="26">
        <f>Military!F110</f>
        <v>0</v>
      </c>
      <c r="O110" s="26">
        <f>Military!G110</f>
        <v>1000</v>
      </c>
      <c r="P110" s="26">
        <f>Military!H110</f>
        <v>400</v>
      </c>
      <c r="Q110" s="26">
        <f>Military!I110</f>
        <v>100</v>
      </c>
      <c r="R110" s="26">
        <f>Military!J110</f>
        <v>100</v>
      </c>
      <c r="S110" s="57">
        <f>Military!K110</f>
        <v>0</v>
      </c>
      <c r="T110" s="52"/>
      <c r="U110" s="56">
        <f ca="1">ROUND($V110*(1+$AC110),0)+MIN(D110-E110-SUM(Military!AF110:AL110),barracks_size*Construction!BI110)</f>
        <v>9240</v>
      </c>
      <c r="V110" s="166">
        <f>(Construction!AX110+Construction!BV110)*pop_in_home+(SUM(Construction!AY110:BP110)+Construction!C110-Construction!BI110)*pop_in_building+(SUM(Construction!F110:L110)-Explore!S110*20)*pop_on_barren-(SUM(Construction!N110:AF110)-SUM(Construction!BW110:CN110))*(15-pop_on_barren)-pop_on_barren*Construction!BV110</f>
        <v>8800</v>
      </c>
      <c r="W110" s="152">
        <f t="shared" ca="1" si="14"/>
        <v>0</v>
      </c>
      <c r="X110" s="26">
        <f t="shared" ca="1" si="8"/>
        <v>118</v>
      </c>
      <c r="Y110" s="164">
        <f t="shared" ca="1" si="15"/>
        <v>118.35</v>
      </c>
      <c r="Z110" s="57">
        <f ca="1">IF(G110&lt;Military!Y110, ROUND($C110*IF(Magic!AW110=0,Constants!$B$51,Constants!$B$51*2),0), 0)</f>
        <v>0</v>
      </c>
      <c r="AA110" s="63"/>
      <c r="AB110" s="169">
        <f ca="1">Overview!$O$16 + IF(Magic!AK110&gt;0,Constants!$F$75) + ROUND(6*(Construction!BL111+Construction!CJ110)/IF(Explore!S111&gt;0,Construction!E111-20,Construction!E111),4)</f>
        <v>0</v>
      </c>
      <c r="AC110" s="540">
        <f ca="1">(Overview!$O$15 + Imps!Z110+MAX(Constants!$M$38*Techs!AE110,Constants!$M$50*Techs!AQ110)) * (1 + Production!O110/100*prestige_pop_multiplier) + Production!O110/100*prestige_pop_multiplier</f>
        <v>0.05</v>
      </c>
    </row>
    <row r="111" spans="1:29" s="12" customFormat="1">
      <c r="A111" s="990">
        <f>Rezone!J111</f>
        <v>109</v>
      </c>
      <c r="B111" s="588">
        <f>Imps!L111</f>
        <v>43696.499999999738</v>
      </c>
      <c r="C111" s="151">
        <f ca="1">$C110+$W110+Military!BE111 - IF(race="Demon",Military!G110*2,0)</f>
        <v>3945</v>
      </c>
      <c r="D111" s="13">
        <f ca="1">Military!B111</f>
        <v>5295</v>
      </c>
      <c r="E111" s="13">
        <f ca="1">Military!Z111</f>
        <v>3695</v>
      </c>
      <c r="F111" s="13">
        <f t="shared" ca="1" si="10"/>
        <v>9240</v>
      </c>
      <c r="G111" s="14">
        <f t="shared" ca="1" si="11"/>
        <v>0.57305194805194803</v>
      </c>
      <c r="H111" s="596">
        <f t="shared" ca="1" si="12"/>
        <v>3945</v>
      </c>
      <c r="I111" s="154">
        <f t="shared" ca="1" si="13"/>
        <v>1</v>
      </c>
      <c r="J111" s="1055">
        <f>SUM(Construction!AY111:BH111,Construction!BJ111:BP111,Construction!BW111:CF111,Construction!CH111:CN111)*building_employment</f>
        <v>7600</v>
      </c>
      <c r="K111" s="755"/>
      <c r="L111" s="54">
        <f ca="1">Military!$Z111</f>
        <v>3695</v>
      </c>
      <c r="M111" s="13">
        <f>Military!E111</f>
        <v>0</v>
      </c>
      <c r="N111" s="13">
        <f>Military!F111</f>
        <v>0</v>
      </c>
      <c r="O111" s="13">
        <f>Military!G111</f>
        <v>1000</v>
      </c>
      <c r="P111" s="13">
        <f>Military!H111</f>
        <v>400</v>
      </c>
      <c r="Q111" s="13">
        <f>Military!I111</f>
        <v>100</v>
      </c>
      <c r="R111" s="13">
        <f>Military!J111</f>
        <v>100</v>
      </c>
      <c r="S111" s="55">
        <f>Military!K111</f>
        <v>0</v>
      </c>
      <c r="T111" s="50"/>
      <c r="U111" s="54">
        <f ca="1">ROUND($V111*(1+$AC111),0)+MIN(D111-E111-SUM(Military!AF111:AL111),barracks_size*Construction!BI111)</f>
        <v>9240</v>
      </c>
      <c r="V111" s="158">
        <f>(Construction!AX111+Construction!BV111)*pop_in_home+(SUM(Construction!AY111:BP111)+Construction!C111-Construction!BI111)*pop_in_building+(SUM(Construction!F111:L111)-Explore!S111*20)*pop_on_barren-(SUM(Construction!N111:AF111)-SUM(Construction!BW111:CN111))*(15-pop_on_barren)-pop_on_barren*Construction!BV111</f>
        <v>8800</v>
      </c>
      <c r="W111" s="151">
        <f t="shared" ca="1" si="14"/>
        <v>0</v>
      </c>
      <c r="X111" s="13">
        <f t="shared" ca="1" si="8"/>
        <v>118</v>
      </c>
      <c r="Y111" s="153">
        <f t="shared" ca="1" si="15"/>
        <v>118.35</v>
      </c>
      <c r="Z111" s="55">
        <f ca="1">IF(G111&lt;Military!Y111, ROUND($C111*IF(Magic!AW111=0,Constants!$B$51,Constants!$B$51*2),0), 0)</f>
        <v>0</v>
      </c>
      <c r="AA111" s="286"/>
      <c r="AB111" s="161">
        <f ca="1">Overview!$O$16 + IF(Magic!AK111&gt;0,Constants!$F$75) + ROUND(6*(Construction!BL112+Construction!CJ111)/IF(Explore!S112&gt;0,Construction!E112-20,Construction!E112),4)</f>
        <v>0</v>
      </c>
      <c r="AC111" s="155">
        <f ca="1">(Overview!$O$15 + Imps!Z111+MAX(Constants!$M$38*Techs!AE111,Constants!$M$50*Techs!AQ111)) * (1 + Production!O111/100*prestige_pop_multiplier) + Production!O111/100*prestige_pop_multiplier</f>
        <v>0.05</v>
      </c>
    </row>
    <row r="112" spans="1:29" s="16" customFormat="1">
      <c r="A112" s="987">
        <f>Rezone!J112</f>
        <v>110</v>
      </c>
      <c r="B112" s="589">
        <f>Imps!L112</f>
        <v>43696.541666666402</v>
      </c>
      <c r="C112" s="152">
        <f ca="1">$C111+$W111+Military!BE112 - IF(race="Demon",Military!G111*2,0)</f>
        <v>3945</v>
      </c>
      <c r="D112" s="26">
        <f ca="1">Military!B112</f>
        <v>5295</v>
      </c>
      <c r="E112" s="26">
        <f ca="1">Military!Z112</f>
        <v>3695</v>
      </c>
      <c r="F112" s="26">
        <f t="shared" ca="1" si="10"/>
        <v>9240</v>
      </c>
      <c r="G112" s="27">
        <f t="shared" ca="1" si="11"/>
        <v>0.57305194805194803</v>
      </c>
      <c r="H112" s="594">
        <f t="shared" ca="1" si="12"/>
        <v>3945</v>
      </c>
      <c r="I112" s="165">
        <f t="shared" ca="1" si="13"/>
        <v>1</v>
      </c>
      <c r="J112" s="676">
        <f>SUM(Construction!AY112:BH112,Construction!BJ112:BP112,Construction!BW112:CF112,Construction!CH112:CN112)*building_employment</f>
        <v>7600</v>
      </c>
      <c r="K112" s="635"/>
      <c r="L112" s="56">
        <f ca="1">Military!$Z112</f>
        <v>3695</v>
      </c>
      <c r="M112" s="26">
        <f>Military!E112</f>
        <v>0</v>
      </c>
      <c r="N112" s="26">
        <f>Military!F112</f>
        <v>0</v>
      </c>
      <c r="O112" s="26">
        <f>Military!G112</f>
        <v>1000</v>
      </c>
      <c r="P112" s="26">
        <f>Military!H112</f>
        <v>400</v>
      </c>
      <c r="Q112" s="26">
        <f>Military!I112</f>
        <v>100</v>
      </c>
      <c r="R112" s="26">
        <f>Military!J112</f>
        <v>100</v>
      </c>
      <c r="S112" s="57">
        <f>Military!K112</f>
        <v>0</v>
      </c>
      <c r="T112" s="52"/>
      <c r="U112" s="56">
        <f ca="1">ROUND($V112*(1+$AC112),0)+MIN(D112-E112-SUM(Military!AF112:AL112),barracks_size*Construction!BI112)</f>
        <v>9240</v>
      </c>
      <c r="V112" s="166">
        <f>(Construction!AX112+Construction!BV112)*pop_in_home+(SUM(Construction!AY112:BP112)+Construction!C112-Construction!BI112)*pop_in_building+(SUM(Construction!F112:L112)-Explore!S112*20)*pop_on_barren-(SUM(Construction!N112:AF112)-SUM(Construction!BW112:CN112))*(15-pop_on_barren)-pop_on_barren*Construction!BV112</f>
        <v>8800</v>
      </c>
      <c r="W112" s="152">
        <f t="shared" ca="1" si="14"/>
        <v>0</v>
      </c>
      <c r="X112" s="26">
        <f t="shared" ca="1" si="8"/>
        <v>118</v>
      </c>
      <c r="Y112" s="164">
        <f t="shared" ca="1" si="15"/>
        <v>118.35</v>
      </c>
      <c r="Z112" s="57">
        <f ca="1">IF(G112&lt;Military!Y112, ROUND($C112*IF(Magic!AW112=0,Constants!$B$51,Constants!$B$51*2),0), 0)</f>
        <v>0</v>
      </c>
      <c r="AA112" s="63"/>
      <c r="AB112" s="169">
        <f ca="1">Overview!$O$16 + IF(Magic!AK112&gt;0,Constants!$F$75) + ROUND(6*(Construction!BL113+Construction!CJ112)/IF(Explore!S113&gt;0,Construction!E113-20,Construction!E113),4)</f>
        <v>0</v>
      </c>
      <c r="AC112" s="540">
        <f ca="1">(Overview!$O$15 + Imps!Z112+MAX(Constants!$M$38*Techs!AE112,Constants!$M$50*Techs!AQ112)) * (1 + Production!O112/100*prestige_pop_multiplier) + Production!O112/100*prestige_pop_multiplier</f>
        <v>0.05</v>
      </c>
    </row>
    <row r="113" spans="1:29" s="16" customFormat="1">
      <c r="A113" s="987">
        <f>Rezone!J113</f>
        <v>111</v>
      </c>
      <c r="B113" s="589">
        <f>Imps!L113</f>
        <v>43696.583333333067</v>
      </c>
      <c r="C113" s="152">
        <f ca="1">$C112+$W112+Military!BE113 - IF(race="Demon",Military!G112*2,0)</f>
        <v>3945</v>
      </c>
      <c r="D113" s="26">
        <f ca="1">Military!B113</f>
        <v>5295</v>
      </c>
      <c r="E113" s="26">
        <f ca="1">Military!Z113</f>
        <v>3695</v>
      </c>
      <c r="F113" s="26">
        <f t="shared" ca="1" si="10"/>
        <v>9240</v>
      </c>
      <c r="G113" s="27">
        <f t="shared" ca="1" si="11"/>
        <v>0.57305194805194803</v>
      </c>
      <c r="H113" s="594">
        <f t="shared" ca="1" si="12"/>
        <v>3945</v>
      </c>
      <c r="I113" s="165">
        <f t="shared" ca="1" si="13"/>
        <v>1</v>
      </c>
      <c r="J113" s="676">
        <f>SUM(Construction!AY113:BH113,Construction!BJ113:BP113,Construction!BW113:CF113,Construction!CH113:CN113)*building_employment</f>
        <v>7600</v>
      </c>
      <c r="K113" s="635"/>
      <c r="L113" s="56">
        <f ca="1">Military!$Z113</f>
        <v>3695</v>
      </c>
      <c r="M113" s="26">
        <f>Military!E113</f>
        <v>0</v>
      </c>
      <c r="N113" s="26">
        <f>Military!F113</f>
        <v>0</v>
      </c>
      <c r="O113" s="26">
        <f>Military!G113</f>
        <v>1000</v>
      </c>
      <c r="P113" s="26">
        <f>Military!H113</f>
        <v>400</v>
      </c>
      <c r="Q113" s="26">
        <f>Military!I113</f>
        <v>100</v>
      </c>
      <c r="R113" s="26">
        <f>Military!J113</f>
        <v>100</v>
      </c>
      <c r="S113" s="57">
        <f>Military!K113</f>
        <v>0</v>
      </c>
      <c r="T113" s="52"/>
      <c r="U113" s="56">
        <f ca="1">ROUND($V113*(1+$AC113),0)+MIN(D113-E113-SUM(Military!AF113:AL113),barracks_size*Construction!BI113)</f>
        <v>9240</v>
      </c>
      <c r="V113" s="166">
        <f>(Construction!AX113+Construction!BV113)*pop_in_home+(SUM(Construction!AY113:BP113)+Construction!C113-Construction!BI113)*pop_in_building+(SUM(Construction!F113:L113)-Explore!S113*20)*pop_on_barren-(SUM(Construction!N113:AF113)-SUM(Construction!BW113:CN113))*(15-pop_on_barren)-pop_on_barren*Construction!BV113</f>
        <v>8800</v>
      </c>
      <c r="W113" s="152">
        <f t="shared" ca="1" si="14"/>
        <v>0</v>
      </c>
      <c r="X113" s="26">
        <f t="shared" ca="1" si="8"/>
        <v>118</v>
      </c>
      <c r="Y113" s="164">
        <f t="shared" ca="1" si="15"/>
        <v>118.35</v>
      </c>
      <c r="Z113" s="57">
        <f ca="1">IF(G113&lt;Military!Y113, ROUND($C113*IF(Magic!AW113=0,Constants!$B$51,Constants!$B$51*2),0), 0)</f>
        <v>0</v>
      </c>
      <c r="AA113" s="63"/>
      <c r="AB113" s="169">
        <f ca="1">Overview!$O$16 + IF(Magic!AK113&gt;0,Constants!$F$75) + ROUND(6*(Construction!BL114+Construction!CJ113)/IF(Explore!S114&gt;0,Construction!E114-20,Construction!E114),4)</f>
        <v>0</v>
      </c>
      <c r="AC113" s="540">
        <f ca="1">(Overview!$O$15 + Imps!Z113+MAX(Constants!$M$38*Techs!AE113,Constants!$M$50*Techs!AQ113)) * (1 + Production!O113/100*prestige_pop_multiplier) + Production!O113/100*prestige_pop_multiplier</f>
        <v>0.05</v>
      </c>
    </row>
    <row r="114" spans="1:29" s="16" customFormat="1">
      <c r="A114" s="987">
        <f>Rezone!J114</f>
        <v>112</v>
      </c>
      <c r="B114" s="589">
        <f>Imps!L114</f>
        <v>43696.624999999731</v>
      </c>
      <c r="C114" s="152">
        <f ca="1">$C113+$W113+Military!BE114 - IF(race="Demon",Military!G113*2,0)</f>
        <v>3945</v>
      </c>
      <c r="D114" s="26">
        <f ca="1">Military!B114</f>
        <v>5295</v>
      </c>
      <c r="E114" s="26">
        <f ca="1">Military!Z114</f>
        <v>3695</v>
      </c>
      <c r="F114" s="26">
        <f t="shared" ca="1" si="10"/>
        <v>9240</v>
      </c>
      <c r="G114" s="27">
        <f t="shared" ca="1" si="11"/>
        <v>0.57305194805194803</v>
      </c>
      <c r="H114" s="594">
        <f t="shared" ca="1" si="12"/>
        <v>3945</v>
      </c>
      <c r="I114" s="165">
        <f t="shared" ca="1" si="13"/>
        <v>1</v>
      </c>
      <c r="J114" s="676">
        <f>SUM(Construction!AY114:BH114,Construction!BJ114:BP114,Construction!BW114:CF114,Construction!CH114:CN114)*building_employment</f>
        <v>7600</v>
      </c>
      <c r="K114" s="635"/>
      <c r="L114" s="56">
        <f ca="1">Military!$Z114</f>
        <v>3695</v>
      </c>
      <c r="M114" s="26">
        <f>Military!E114</f>
        <v>0</v>
      </c>
      <c r="N114" s="26">
        <f>Military!F114</f>
        <v>0</v>
      </c>
      <c r="O114" s="26">
        <f>Military!G114</f>
        <v>1000</v>
      </c>
      <c r="P114" s="26">
        <f>Military!H114</f>
        <v>400</v>
      </c>
      <c r="Q114" s="26">
        <f>Military!I114</f>
        <v>100</v>
      </c>
      <c r="R114" s="26">
        <f>Military!J114</f>
        <v>100</v>
      </c>
      <c r="S114" s="57">
        <f>Military!K114</f>
        <v>0</v>
      </c>
      <c r="T114" s="52"/>
      <c r="U114" s="56">
        <f ca="1">ROUND($V114*(1+$AC114),0)+MIN(D114-E114-SUM(Military!AF114:AL114),barracks_size*Construction!BI114)</f>
        <v>9240</v>
      </c>
      <c r="V114" s="166">
        <f>(Construction!AX114+Construction!BV114)*pop_in_home+(SUM(Construction!AY114:BP114)+Construction!C114-Construction!BI114)*pop_in_building+(SUM(Construction!F114:L114)-Explore!S114*20)*pop_on_barren-(SUM(Construction!N114:AF114)-SUM(Construction!BW114:CN114))*(15-pop_on_barren)-pop_on_barren*Construction!BV114</f>
        <v>8800</v>
      </c>
      <c r="W114" s="152">
        <f t="shared" ca="1" si="14"/>
        <v>0</v>
      </c>
      <c r="X114" s="26">
        <f t="shared" ca="1" si="8"/>
        <v>118</v>
      </c>
      <c r="Y114" s="164">
        <f t="shared" ca="1" si="15"/>
        <v>118.35</v>
      </c>
      <c r="Z114" s="57">
        <f ca="1">IF(G114&lt;Military!Y114, ROUND($C114*IF(Magic!AW114=0,Constants!$B$51,Constants!$B$51*2),0), 0)</f>
        <v>0</v>
      </c>
      <c r="AA114" s="63"/>
      <c r="AB114" s="169">
        <f ca="1">Overview!$O$16 + IF(Magic!AK114&gt;0,Constants!$F$75) + ROUND(6*(Construction!BL115+Construction!CJ114)/IF(Explore!S115&gt;0,Construction!E115-20,Construction!E115),4)</f>
        <v>0</v>
      </c>
      <c r="AC114" s="540">
        <f ca="1">(Overview!$O$15 + Imps!Z114+MAX(Constants!$M$38*Techs!AE114,Constants!$M$50*Techs!AQ114)) * (1 + Production!O114/100*prestige_pop_multiplier) + Production!O114/100*prestige_pop_multiplier</f>
        <v>0.05</v>
      </c>
    </row>
    <row r="115" spans="1:29" s="16" customFormat="1">
      <c r="A115" s="987">
        <f>Rezone!J115</f>
        <v>113</v>
      </c>
      <c r="B115" s="589">
        <f>Imps!L115</f>
        <v>43696.666666666395</v>
      </c>
      <c r="C115" s="152">
        <f ca="1">$C114+$W114+Military!BE115 - IF(race="Demon",Military!G114*2,0)</f>
        <v>3945</v>
      </c>
      <c r="D115" s="26">
        <f ca="1">Military!B115</f>
        <v>5295</v>
      </c>
      <c r="E115" s="26">
        <f ca="1">Military!Z115</f>
        <v>3695</v>
      </c>
      <c r="F115" s="26">
        <f t="shared" ca="1" si="10"/>
        <v>9240</v>
      </c>
      <c r="G115" s="27">
        <f t="shared" ca="1" si="11"/>
        <v>0.57305194805194803</v>
      </c>
      <c r="H115" s="594">
        <f t="shared" ca="1" si="12"/>
        <v>3945</v>
      </c>
      <c r="I115" s="165">
        <f t="shared" ca="1" si="13"/>
        <v>1</v>
      </c>
      <c r="J115" s="676">
        <f>SUM(Construction!AY115:BH115,Construction!BJ115:BP115,Construction!BW115:CF115,Construction!CH115:CN115)*building_employment</f>
        <v>7600</v>
      </c>
      <c r="K115" s="635"/>
      <c r="L115" s="56">
        <f ca="1">Military!$Z115</f>
        <v>3695</v>
      </c>
      <c r="M115" s="26">
        <f>Military!E115</f>
        <v>0</v>
      </c>
      <c r="N115" s="26">
        <f>Military!F115</f>
        <v>0</v>
      </c>
      <c r="O115" s="26">
        <f>Military!G115</f>
        <v>1000</v>
      </c>
      <c r="P115" s="26">
        <f>Military!H115</f>
        <v>400</v>
      </c>
      <c r="Q115" s="26">
        <f>Military!I115</f>
        <v>100</v>
      </c>
      <c r="R115" s="26">
        <f>Military!J115</f>
        <v>100</v>
      </c>
      <c r="S115" s="57">
        <f>Military!K115</f>
        <v>0</v>
      </c>
      <c r="T115" s="52"/>
      <c r="U115" s="56">
        <f ca="1">ROUND($V115*(1+$AC115),0)+MIN(D115-E115-SUM(Military!AF115:AL115),barracks_size*Construction!BI115)</f>
        <v>9240</v>
      </c>
      <c r="V115" s="166">
        <f>(Construction!AX115+Construction!BV115)*pop_in_home+(SUM(Construction!AY115:BP115)+Construction!C115-Construction!BI115)*pop_in_building+(SUM(Construction!F115:L115)-Explore!S115*20)*pop_on_barren-(SUM(Construction!N115:AF115)-SUM(Construction!BW115:CN115))*(15-pop_on_barren)-pop_on_barren*Construction!BV115</f>
        <v>8800</v>
      </c>
      <c r="W115" s="152">
        <f t="shared" ca="1" si="14"/>
        <v>0</v>
      </c>
      <c r="X115" s="26">
        <f t="shared" ca="1" si="8"/>
        <v>118</v>
      </c>
      <c r="Y115" s="164">
        <f t="shared" ca="1" si="15"/>
        <v>118.35</v>
      </c>
      <c r="Z115" s="57">
        <f ca="1">IF(G115&lt;Military!Y115, ROUND($C115*IF(Magic!AW115=0,Constants!$B$51,Constants!$B$51*2),0), 0)</f>
        <v>0</v>
      </c>
      <c r="AA115" s="63"/>
      <c r="AB115" s="169">
        <f ca="1">Overview!$O$16 + IF(Magic!AK115&gt;0,Constants!$F$75) + ROUND(6*(Construction!BL116+Construction!CJ115)/IF(Explore!S116&gt;0,Construction!E116-20,Construction!E116),4)</f>
        <v>0</v>
      </c>
      <c r="AC115" s="540">
        <f ca="1">(Overview!$O$15 + Imps!Z115+MAX(Constants!$M$38*Techs!AE115,Constants!$M$50*Techs!AQ115)) * (1 + Production!O115/100*prestige_pop_multiplier) + Production!O115/100*prestige_pop_multiplier</f>
        <v>0.05</v>
      </c>
    </row>
    <row r="116" spans="1:29" s="16" customFormat="1">
      <c r="A116" s="987">
        <f>Rezone!J116</f>
        <v>114</v>
      </c>
      <c r="B116" s="589">
        <f>Imps!L116</f>
        <v>43696.708333333059</v>
      </c>
      <c r="C116" s="152">
        <f ca="1">$C115+$W115+Military!BE116 - IF(race="Demon",Military!G115*2,0)</f>
        <v>3945</v>
      </c>
      <c r="D116" s="26">
        <f ca="1">Military!B116</f>
        <v>5295</v>
      </c>
      <c r="E116" s="26">
        <f ca="1">Military!Z116</f>
        <v>3695</v>
      </c>
      <c r="F116" s="26">
        <f t="shared" ca="1" si="10"/>
        <v>9240</v>
      </c>
      <c r="G116" s="27">
        <f t="shared" ca="1" si="11"/>
        <v>0.57305194805194803</v>
      </c>
      <c r="H116" s="594">
        <f t="shared" ca="1" si="12"/>
        <v>3945</v>
      </c>
      <c r="I116" s="165">
        <f t="shared" ca="1" si="13"/>
        <v>1</v>
      </c>
      <c r="J116" s="676">
        <f>SUM(Construction!AY116:BH116,Construction!BJ116:BP116,Construction!BW116:CF116,Construction!CH116:CN116)*building_employment</f>
        <v>7600</v>
      </c>
      <c r="K116" s="635"/>
      <c r="L116" s="56">
        <f ca="1">Military!$Z116</f>
        <v>3695</v>
      </c>
      <c r="M116" s="26">
        <f>Military!E116</f>
        <v>0</v>
      </c>
      <c r="N116" s="26">
        <f>Military!F116</f>
        <v>0</v>
      </c>
      <c r="O116" s="26">
        <f>Military!G116</f>
        <v>1000</v>
      </c>
      <c r="P116" s="26">
        <f>Military!H116</f>
        <v>400</v>
      </c>
      <c r="Q116" s="26">
        <f>Military!I116</f>
        <v>100</v>
      </c>
      <c r="R116" s="26">
        <f>Military!J116</f>
        <v>100</v>
      </c>
      <c r="S116" s="57">
        <f>Military!K116</f>
        <v>0</v>
      </c>
      <c r="T116" s="52"/>
      <c r="U116" s="56">
        <f ca="1">ROUND($V116*(1+$AC116),0)+MIN(D116-E116-SUM(Military!AF116:AL116),barracks_size*Construction!BI116)</f>
        <v>9240</v>
      </c>
      <c r="V116" s="166">
        <f>(Construction!AX116+Construction!BV116)*pop_in_home+(SUM(Construction!AY116:BP116)+Construction!C116-Construction!BI116)*pop_in_building+(SUM(Construction!F116:L116)-Explore!S116*20)*pop_on_barren-(SUM(Construction!N116:AF116)-SUM(Construction!BW116:CN116))*(15-pop_on_barren)-pop_on_barren*Construction!BV116</f>
        <v>8800</v>
      </c>
      <c r="W116" s="152">
        <f t="shared" ca="1" si="14"/>
        <v>0</v>
      </c>
      <c r="X116" s="26">
        <f t="shared" ca="1" si="8"/>
        <v>118</v>
      </c>
      <c r="Y116" s="164">
        <f t="shared" ca="1" si="15"/>
        <v>118.35</v>
      </c>
      <c r="Z116" s="57">
        <f ca="1">IF(G116&lt;Military!Y116, ROUND($C116*IF(Magic!AW116=0,Constants!$B$51,Constants!$B$51*2),0), 0)</f>
        <v>0</v>
      </c>
      <c r="AA116" s="63"/>
      <c r="AB116" s="169">
        <f ca="1">Overview!$O$16 + IF(Magic!AK116&gt;0,Constants!$F$75) + ROUND(6*(Construction!BL117+Construction!CJ116)/IF(Explore!S117&gt;0,Construction!E117-20,Construction!E117),4)</f>
        <v>0</v>
      </c>
      <c r="AC116" s="540">
        <f ca="1">(Overview!$O$15 + Imps!Z116+MAX(Constants!$M$38*Techs!AE116,Constants!$M$50*Techs!AQ116)) * (1 + Production!O116/100*prestige_pop_multiplier) + Production!O116/100*prestige_pop_multiplier</f>
        <v>0.05</v>
      </c>
    </row>
    <row r="117" spans="1:29" s="16" customFormat="1">
      <c r="A117" s="987">
        <f>Rezone!J117</f>
        <v>115</v>
      </c>
      <c r="B117" s="589">
        <f>Imps!L117</f>
        <v>43696.749999999724</v>
      </c>
      <c r="C117" s="152">
        <f ca="1">$C116+$W116+Military!BE117 - IF(race="Demon",Military!G116*2,0)</f>
        <v>3945</v>
      </c>
      <c r="D117" s="26">
        <f ca="1">Military!B117</f>
        <v>5295</v>
      </c>
      <c r="E117" s="26">
        <f ca="1">Military!Z117</f>
        <v>3695</v>
      </c>
      <c r="F117" s="26">
        <f t="shared" ca="1" si="10"/>
        <v>9240</v>
      </c>
      <c r="G117" s="27">
        <f t="shared" ca="1" si="11"/>
        <v>0.57305194805194803</v>
      </c>
      <c r="H117" s="594">
        <f t="shared" ca="1" si="12"/>
        <v>3945</v>
      </c>
      <c r="I117" s="165">
        <f t="shared" ca="1" si="13"/>
        <v>1</v>
      </c>
      <c r="J117" s="676">
        <f>SUM(Construction!AY117:BH117,Construction!BJ117:BP117,Construction!BW117:CF117,Construction!CH117:CN117)*building_employment</f>
        <v>7600</v>
      </c>
      <c r="K117" s="635"/>
      <c r="L117" s="56">
        <f ca="1">Military!$Z117</f>
        <v>3695</v>
      </c>
      <c r="M117" s="26">
        <f>Military!E117</f>
        <v>0</v>
      </c>
      <c r="N117" s="26">
        <f>Military!F117</f>
        <v>0</v>
      </c>
      <c r="O117" s="26">
        <f>Military!G117</f>
        <v>1000</v>
      </c>
      <c r="P117" s="26">
        <f>Military!H117</f>
        <v>400</v>
      </c>
      <c r="Q117" s="26">
        <f>Military!I117</f>
        <v>100</v>
      </c>
      <c r="R117" s="26">
        <f>Military!J117</f>
        <v>100</v>
      </c>
      <c r="S117" s="57">
        <f>Military!K117</f>
        <v>0</v>
      </c>
      <c r="T117" s="52"/>
      <c r="U117" s="56">
        <f ca="1">ROUND($V117*(1+$AC117),0)+MIN(D117-E117-SUM(Military!AF117:AL117),barracks_size*Construction!BI117)</f>
        <v>9240</v>
      </c>
      <c r="V117" s="166">
        <f>(Construction!AX117+Construction!BV117)*pop_in_home+(SUM(Construction!AY117:BP117)+Construction!C117-Construction!BI117)*pop_in_building+(SUM(Construction!F117:L117)-Explore!S117*20)*pop_on_barren-(SUM(Construction!N117:AF117)-SUM(Construction!BW117:CN117))*(15-pop_on_barren)-pop_on_barren*Construction!BV117</f>
        <v>8800</v>
      </c>
      <c r="W117" s="152">
        <f t="shared" ca="1" si="14"/>
        <v>0</v>
      </c>
      <c r="X117" s="26">
        <f t="shared" ca="1" si="8"/>
        <v>118</v>
      </c>
      <c r="Y117" s="164">
        <f t="shared" ca="1" si="15"/>
        <v>118.35</v>
      </c>
      <c r="Z117" s="57">
        <f ca="1">IF(G117&lt;Military!Y117, ROUND($C117*IF(Magic!AW117=0,Constants!$B$51,Constants!$B$51*2),0), 0)</f>
        <v>0</v>
      </c>
      <c r="AA117" s="63"/>
      <c r="AB117" s="169">
        <f ca="1">Overview!$O$16 + IF(Magic!AK117&gt;0,Constants!$F$75) + ROUND(6*(Construction!BL118+Construction!CJ117)/IF(Explore!S118&gt;0,Construction!E118-20,Construction!E118),4)</f>
        <v>0</v>
      </c>
      <c r="AC117" s="540">
        <f ca="1">(Overview!$O$15 + Imps!Z117+MAX(Constants!$M$38*Techs!AE117,Constants!$M$50*Techs!AQ117)) * (1 + Production!O117/100*prestige_pop_multiplier) + Production!O117/100*prestige_pop_multiplier</f>
        <v>0.05</v>
      </c>
    </row>
    <row r="118" spans="1:29" s="16" customFormat="1">
      <c r="A118" s="987">
        <f>Rezone!J118</f>
        <v>116</v>
      </c>
      <c r="B118" s="589">
        <f>Imps!L118</f>
        <v>43696.791666666388</v>
      </c>
      <c r="C118" s="152">
        <f ca="1">$C117+$W117+Military!BE118 - IF(race="Demon",Military!G117*2,0)</f>
        <v>3945</v>
      </c>
      <c r="D118" s="26">
        <f ca="1">Military!B118</f>
        <v>5295</v>
      </c>
      <c r="E118" s="26">
        <f ca="1">Military!Z118</f>
        <v>3695</v>
      </c>
      <c r="F118" s="26">
        <f t="shared" ca="1" si="10"/>
        <v>9240</v>
      </c>
      <c r="G118" s="27">
        <f t="shared" ca="1" si="11"/>
        <v>0.57305194805194803</v>
      </c>
      <c r="H118" s="594">
        <f t="shared" ca="1" si="12"/>
        <v>3945</v>
      </c>
      <c r="I118" s="165">
        <f t="shared" ca="1" si="13"/>
        <v>1</v>
      </c>
      <c r="J118" s="676">
        <f>SUM(Construction!AY118:BH118,Construction!BJ118:BP118,Construction!BW118:CF118,Construction!CH118:CN118)*building_employment</f>
        <v>7600</v>
      </c>
      <c r="K118" s="635"/>
      <c r="L118" s="56">
        <f ca="1">Military!$Z118</f>
        <v>3695</v>
      </c>
      <c r="M118" s="26">
        <f>Military!E118</f>
        <v>0</v>
      </c>
      <c r="N118" s="26">
        <f>Military!F118</f>
        <v>0</v>
      </c>
      <c r="O118" s="26">
        <f>Military!G118</f>
        <v>1000</v>
      </c>
      <c r="P118" s="26">
        <f>Military!H118</f>
        <v>400</v>
      </c>
      <c r="Q118" s="26">
        <f>Military!I118</f>
        <v>100</v>
      </c>
      <c r="R118" s="26">
        <f>Military!J118</f>
        <v>100</v>
      </c>
      <c r="S118" s="57">
        <f>Military!K118</f>
        <v>0</v>
      </c>
      <c r="T118" s="52"/>
      <c r="U118" s="56">
        <f ca="1">ROUND($V118*(1+$AC118),0)+MIN(D118-E118-SUM(Military!AF118:AL118),barracks_size*Construction!BI118)</f>
        <v>9240</v>
      </c>
      <c r="V118" s="166">
        <f>(Construction!AX118+Construction!BV118)*pop_in_home+(SUM(Construction!AY118:BP118)+Construction!C118-Construction!BI118)*pop_in_building+(SUM(Construction!F118:L118)-Explore!S118*20)*pop_on_barren-(SUM(Construction!N118:AF118)-SUM(Construction!BW118:CN118))*(15-pop_on_barren)-pop_on_barren*Construction!BV118</f>
        <v>8800</v>
      </c>
      <c r="W118" s="152">
        <f t="shared" ca="1" si="14"/>
        <v>0</v>
      </c>
      <c r="X118" s="26">
        <f t="shared" ca="1" si="8"/>
        <v>118</v>
      </c>
      <c r="Y118" s="164">
        <f t="shared" ca="1" si="15"/>
        <v>118.35</v>
      </c>
      <c r="Z118" s="57">
        <f ca="1">IF(G118&lt;Military!Y118, ROUND($C118*IF(Magic!AW118=0,Constants!$B$51,Constants!$B$51*2),0), 0)</f>
        <v>0</v>
      </c>
      <c r="AA118" s="63"/>
      <c r="AB118" s="169">
        <f ca="1">Overview!$O$16 + IF(Magic!AK118&gt;0,Constants!$F$75) + ROUND(6*(Construction!BL119+Construction!CJ118)/IF(Explore!S119&gt;0,Construction!E119-20,Construction!E119),4)</f>
        <v>0</v>
      </c>
      <c r="AC118" s="540">
        <f ca="1">(Overview!$O$15 + Imps!Z118+MAX(Constants!$M$38*Techs!AE118,Constants!$M$50*Techs!AQ118)) * (1 + Production!O118/100*prestige_pop_multiplier) + Production!O118/100*prestige_pop_multiplier</f>
        <v>0.05</v>
      </c>
    </row>
    <row r="119" spans="1:29" s="16" customFormat="1">
      <c r="A119" s="987">
        <f>Rezone!J119</f>
        <v>117</v>
      </c>
      <c r="B119" s="589">
        <f>Imps!L119</f>
        <v>43696.833333333052</v>
      </c>
      <c r="C119" s="152">
        <f ca="1">$C118+$W118+Military!BE119 - IF(race="Demon",Military!G118*2,0)</f>
        <v>3945</v>
      </c>
      <c r="D119" s="26">
        <f ca="1">Military!B119</f>
        <v>5295</v>
      </c>
      <c r="E119" s="26">
        <f ca="1">Military!Z119</f>
        <v>3695</v>
      </c>
      <c r="F119" s="26">
        <f t="shared" ca="1" si="10"/>
        <v>9240</v>
      </c>
      <c r="G119" s="27">
        <f t="shared" ca="1" si="11"/>
        <v>0.57305194805194803</v>
      </c>
      <c r="H119" s="594">
        <f t="shared" ca="1" si="12"/>
        <v>3945</v>
      </c>
      <c r="I119" s="165">
        <f t="shared" ca="1" si="13"/>
        <v>1</v>
      </c>
      <c r="J119" s="676">
        <f>SUM(Construction!AY119:BH119,Construction!BJ119:BP119,Construction!BW119:CF119,Construction!CH119:CN119)*building_employment</f>
        <v>7600</v>
      </c>
      <c r="K119" s="635"/>
      <c r="L119" s="56">
        <f ca="1">Military!$Z119</f>
        <v>3695</v>
      </c>
      <c r="M119" s="26">
        <f>Military!E119</f>
        <v>0</v>
      </c>
      <c r="N119" s="26">
        <f>Military!F119</f>
        <v>0</v>
      </c>
      <c r="O119" s="26">
        <f>Military!G119</f>
        <v>1000</v>
      </c>
      <c r="P119" s="26">
        <f>Military!H119</f>
        <v>400</v>
      </c>
      <c r="Q119" s="26">
        <f>Military!I119</f>
        <v>100</v>
      </c>
      <c r="R119" s="26">
        <f>Military!J119</f>
        <v>100</v>
      </c>
      <c r="S119" s="57">
        <f>Military!K119</f>
        <v>0</v>
      </c>
      <c r="T119" s="52"/>
      <c r="U119" s="56">
        <f ca="1">ROUND($V119*(1+$AC119),0)+MIN(D119-E119-SUM(Military!AF119:AL119),barracks_size*Construction!BI119)</f>
        <v>9240</v>
      </c>
      <c r="V119" s="166">
        <f>(Construction!AX119+Construction!BV119)*pop_in_home+(SUM(Construction!AY119:BP119)+Construction!C119-Construction!BI119)*pop_in_building+(SUM(Construction!F119:L119)-Explore!S119*20)*pop_on_barren-(SUM(Construction!N119:AF119)-SUM(Construction!BW119:CN119))*(15-pop_on_barren)-pop_on_barren*Construction!BV119</f>
        <v>8800</v>
      </c>
      <c r="W119" s="152">
        <f t="shared" ca="1" si="14"/>
        <v>0</v>
      </c>
      <c r="X119" s="26">
        <f t="shared" ca="1" si="8"/>
        <v>118</v>
      </c>
      <c r="Y119" s="164">
        <f t="shared" ca="1" si="15"/>
        <v>118.35</v>
      </c>
      <c r="Z119" s="57">
        <f ca="1">IF(G119&lt;Military!Y119, ROUND($C119*IF(Magic!AW119=0,Constants!$B$51,Constants!$B$51*2),0), 0)</f>
        <v>0</v>
      </c>
      <c r="AA119" s="63"/>
      <c r="AB119" s="169">
        <f ca="1">Overview!$O$16 + IF(Magic!AK119&gt;0,Constants!$F$75) + ROUND(6*(Construction!BL120+Construction!CJ119)/IF(Explore!S120&gt;0,Construction!E120-20,Construction!E120),4)</f>
        <v>0</v>
      </c>
      <c r="AC119" s="540">
        <f ca="1">(Overview!$O$15 + Imps!Z119+MAX(Constants!$M$38*Techs!AE119,Constants!$M$50*Techs!AQ119)) * (1 + Production!O119/100*prestige_pop_multiplier) + Production!O119/100*prestige_pop_multiplier</f>
        <v>0.05</v>
      </c>
    </row>
    <row r="120" spans="1:29" s="16" customFormat="1">
      <c r="A120" s="987">
        <f>Rezone!J120</f>
        <v>118</v>
      </c>
      <c r="B120" s="589">
        <f>Imps!L120</f>
        <v>43696.874999999716</v>
      </c>
      <c r="C120" s="152">
        <f ca="1">$C119+$W119+Military!BE120 - IF(race="Demon",Military!G119*2,0)</f>
        <v>3945</v>
      </c>
      <c r="D120" s="26">
        <f ca="1">Military!B120</f>
        <v>5295</v>
      </c>
      <c r="E120" s="26">
        <f ca="1">Military!Z120</f>
        <v>3695</v>
      </c>
      <c r="F120" s="26">
        <f t="shared" ca="1" si="10"/>
        <v>9240</v>
      </c>
      <c r="G120" s="27">
        <f t="shared" ca="1" si="11"/>
        <v>0.57305194805194803</v>
      </c>
      <c r="H120" s="594">
        <f t="shared" ca="1" si="12"/>
        <v>3945</v>
      </c>
      <c r="I120" s="165">
        <f t="shared" ca="1" si="13"/>
        <v>1</v>
      </c>
      <c r="J120" s="676">
        <f>SUM(Construction!AY120:BH120,Construction!BJ120:BP120,Construction!BW120:CF120,Construction!CH120:CN120)*building_employment</f>
        <v>7600</v>
      </c>
      <c r="K120" s="635"/>
      <c r="L120" s="56">
        <f ca="1">Military!$Z120</f>
        <v>3695</v>
      </c>
      <c r="M120" s="26">
        <f>Military!E120</f>
        <v>0</v>
      </c>
      <c r="N120" s="26">
        <f>Military!F120</f>
        <v>0</v>
      </c>
      <c r="O120" s="26">
        <f>Military!G120</f>
        <v>1000</v>
      </c>
      <c r="P120" s="26">
        <f>Military!H120</f>
        <v>400</v>
      </c>
      <c r="Q120" s="26">
        <f>Military!I120</f>
        <v>100</v>
      </c>
      <c r="R120" s="26">
        <f>Military!J120</f>
        <v>100</v>
      </c>
      <c r="S120" s="57">
        <f>Military!K120</f>
        <v>0</v>
      </c>
      <c r="T120" s="52"/>
      <c r="U120" s="56">
        <f ca="1">ROUND($V120*(1+$AC120),0)+MIN(D120-E120-SUM(Military!AF120:AL120),barracks_size*Construction!BI120)</f>
        <v>9240</v>
      </c>
      <c r="V120" s="166">
        <f>(Construction!AX120+Construction!BV120)*pop_in_home+(SUM(Construction!AY120:BP120)+Construction!C120-Construction!BI120)*pop_in_building+(SUM(Construction!F120:L120)-Explore!S120*20)*pop_on_barren-(SUM(Construction!N120:AF120)-SUM(Construction!BW120:CN120))*(15-pop_on_barren)-pop_on_barren*Construction!BV120</f>
        <v>8800</v>
      </c>
      <c r="W120" s="152">
        <f t="shared" ca="1" si="14"/>
        <v>0</v>
      </c>
      <c r="X120" s="26">
        <f t="shared" ca="1" si="8"/>
        <v>118</v>
      </c>
      <c r="Y120" s="164">
        <f t="shared" ca="1" si="15"/>
        <v>118.35</v>
      </c>
      <c r="Z120" s="57">
        <f ca="1">IF(G120&lt;Military!Y120, ROUND($C120*IF(Magic!AW120=0,Constants!$B$51,Constants!$B$51*2),0), 0)</f>
        <v>0</v>
      </c>
      <c r="AA120" s="63"/>
      <c r="AB120" s="169">
        <f ca="1">Overview!$O$16 + IF(Magic!AK120&gt;0,Constants!$F$75) + ROUND(6*(Construction!BL121+Construction!CJ120)/IF(Explore!S121&gt;0,Construction!E121-20,Construction!E121),4)</f>
        <v>0</v>
      </c>
      <c r="AC120" s="540">
        <f ca="1">(Overview!$O$15 + Imps!Z120+MAX(Constants!$M$38*Techs!AE120,Constants!$M$50*Techs!AQ120)) * (1 + Production!O120/100*prestige_pop_multiplier) + Production!O120/100*prestige_pop_multiplier</f>
        <v>0.05</v>
      </c>
    </row>
    <row r="121" spans="1:29" s="16" customFormat="1">
      <c r="A121" s="987">
        <f>Rezone!J121</f>
        <v>119</v>
      </c>
      <c r="B121" s="589">
        <f>Imps!L121</f>
        <v>43696.91666666638</v>
      </c>
      <c r="C121" s="152">
        <f ca="1">$C120+$W120+Military!BE121 - IF(race="Demon",Military!G120*2,0)</f>
        <v>3945</v>
      </c>
      <c r="D121" s="26">
        <f ca="1">Military!B121</f>
        <v>5295</v>
      </c>
      <c r="E121" s="26">
        <f ca="1">Military!Z121</f>
        <v>3695</v>
      </c>
      <c r="F121" s="26">
        <f t="shared" ca="1" si="10"/>
        <v>9240</v>
      </c>
      <c r="G121" s="27">
        <f t="shared" ca="1" si="11"/>
        <v>0.57305194805194803</v>
      </c>
      <c r="H121" s="594">
        <f t="shared" ca="1" si="12"/>
        <v>3945</v>
      </c>
      <c r="I121" s="165">
        <f t="shared" ca="1" si="13"/>
        <v>1</v>
      </c>
      <c r="J121" s="676">
        <f>SUM(Construction!AY121:BH121,Construction!BJ121:BP121,Construction!BW121:CF121,Construction!CH121:CN121)*building_employment</f>
        <v>7600</v>
      </c>
      <c r="K121" s="635"/>
      <c r="L121" s="56">
        <f ca="1">Military!$Z121</f>
        <v>3695</v>
      </c>
      <c r="M121" s="26">
        <f>Military!E121</f>
        <v>0</v>
      </c>
      <c r="N121" s="26">
        <f>Military!F121</f>
        <v>0</v>
      </c>
      <c r="O121" s="26">
        <f>Military!G121</f>
        <v>1000</v>
      </c>
      <c r="P121" s="26">
        <f>Military!H121</f>
        <v>400</v>
      </c>
      <c r="Q121" s="26">
        <f>Military!I121</f>
        <v>100</v>
      </c>
      <c r="R121" s="26">
        <f>Military!J121</f>
        <v>100</v>
      </c>
      <c r="S121" s="57">
        <f>Military!K121</f>
        <v>0</v>
      </c>
      <c r="T121" s="52"/>
      <c r="U121" s="56">
        <f ca="1">ROUND($V121*(1+$AC121),0)+MIN(D121-E121-SUM(Military!AF121:AL121),barracks_size*Construction!BI121)</f>
        <v>9240</v>
      </c>
      <c r="V121" s="166">
        <f>(Construction!AX121+Construction!BV121)*pop_in_home+(SUM(Construction!AY121:BP121)+Construction!C121-Construction!BI121)*pop_in_building+(SUM(Construction!F121:L121)-Explore!S121*20)*pop_on_barren-(SUM(Construction!N121:AF121)-SUM(Construction!BW121:CN121))*(15-pop_on_barren)-pop_on_barren*Construction!BV121</f>
        <v>8800</v>
      </c>
      <c r="W121" s="152">
        <f t="shared" ca="1" si="14"/>
        <v>0</v>
      </c>
      <c r="X121" s="26">
        <f t="shared" ca="1" si="8"/>
        <v>118</v>
      </c>
      <c r="Y121" s="164">
        <f t="shared" ca="1" si="15"/>
        <v>118.35</v>
      </c>
      <c r="Z121" s="57">
        <f ca="1">IF(G121&lt;Military!Y121, ROUND($C121*IF(Magic!AW121=0,Constants!$B$51,Constants!$B$51*2),0), 0)</f>
        <v>0</v>
      </c>
      <c r="AA121" s="63"/>
      <c r="AB121" s="169">
        <f ca="1">Overview!$O$16 + IF(Magic!AK121&gt;0,Constants!$F$75) + ROUND(6*(Construction!BL122+Construction!CJ121)/IF(Explore!S122&gt;0,Construction!E122-20,Construction!E122),4)</f>
        <v>0</v>
      </c>
      <c r="AC121" s="540">
        <f ca="1">(Overview!$O$15 + Imps!Z121+MAX(Constants!$M$38*Techs!AE121,Constants!$M$50*Techs!AQ121)) * (1 + Production!O121/100*prestige_pop_multiplier) + Production!O121/100*prestige_pop_multiplier</f>
        <v>0.05</v>
      </c>
    </row>
    <row r="122" spans="1:29" s="16" customFormat="1" ht="13.5" thickBot="1">
      <c r="A122" s="987">
        <f>Rezone!J122</f>
        <v>120</v>
      </c>
      <c r="B122" s="589">
        <f>Imps!L122</f>
        <v>43696.958333333045</v>
      </c>
      <c r="C122" s="152">
        <f ca="1">$C121+$W121+Military!BE122 - IF(race="Demon",Military!G121*2,0)</f>
        <v>3945</v>
      </c>
      <c r="D122" s="26">
        <f ca="1">Military!B122</f>
        <v>5295</v>
      </c>
      <c r="E122" s="26">
        <f ca="1">Military!Z122</f>
        <v>3695</v>
      </c>
      <c r="F122" s="26">
        <f t="shared" ca="1" si="10"/>
        <v>9240</v>
      </c>
      <c r="G122" s="27">
        <f t="shared" ca="1" si="11"/>
        <v>0.57305194805194803</v>
      </c>
      <c r="H122" s="594">
        <f t="shared" ca="1" si="12"/>
        <v>3945</v>
      </c>
      <c r="I122" s="165">
        <f t="shared" ca="1" si="13"/>
        <v>1</v>
      </c>
      <c r="J122" s="676">
        <f>SUM(Construction!AY122:BH122,Construction!BJ122:BP122,Construction!BW122:CF122,Construction!CH122:CN122)*building_employment</f>
        <v>7600</v>
      </c>
      <c r="K122" s="635"/>
      <c r="L122" s="56">
        <f ca="1">Military!$Z122</f>
        <v>3695</v>
      </c>
      <c r="M122" s="26">
        <f>Military!E122</f>
        <v>0</v>
      </c>
      <c r="N122" s="26">
        <f>Military!F122</f>
        <v>0</v>
      </c>
      <c r="O122" s="26">
        <f>Military!G122</f>
        <v>1000</v>
      </c>
      <c r="P122" s="26">
        <f>Military!H122</f>
        <v>400</v>
      </c>
      <c r="Q122" s="26">
        <f>Military!I122</f>
        <v>100</v>
      </c>
      <c r="R122" s="26">
        <f>Military!J122</f>
        <v>100</v>
      </c>
      <c r="S122" s="57">
        <f>Military!K122</f>
        <v>0</v>
      </c>
      <c r="T122" s="52"/>
      <c r="U122" s="56">
        <f ca="1">ROUND($V122*(1+$AC122),0)+MIN(D122-E122-SUM(Military!AF122:AL122),barracks_size*Construction!BI122)</f>
        <v>9240</v>
      </c>
      <c r="V122" s="166">
        <f>(Construction!AX122+Construction!BV122)*pop_in_home+(SUM(Construction!AY122:BP122)+Construction!C122-Construction!BI122)*pop_in_building+(SUM(Construction!F122:L122)-Explore!S122*20)*pop_on_barren-(SUM(Construction!N122:AF122)-SUM(Construction!BW122:CN122))*(15-pop_on_barren)-pop_on_barren*Construction!BV122</f>
        <v>8800</v>
      </c>
      <c r="W122" s="152">
        <f t="shared" ca="1" si="14"/>
        <v>0</v>
      </c>
      <c r="X122" s="26">
        <f t="shared" ca="1" si="8"/>
        <v>118</v>
      </c>
      <c r="Y122" s="164">
        <f t="shared" ca="1" si="15"/>
        <v>118.35</v>
      </c>
      <c r="Z122" s="57">
        <f ca="1">IF(G122&lt;Military!Y122, ROUND($C122*IF(Magic!AW122=0,Constants!$B$51,Constants!$B$51*2),0), 0)</f>
        <v>0</v>
      </c>
      <c r="AA122" s="63"/>
      <c r="AB122" s="169">
        <f ca="1">Overview!$O$16 + IF(Magic!AK122&gt;0,Constants!$F$75) + ROUND(6*(Construction!BL123+Construction!CJ122)/IF(Explore!S123&gt;0,Construction!E123-20,Construction!E123),4)</f>
        <v>0</v>
      </c>
      <c r="AC122" s="540">
        <f ca="1">(Overview!$O$15 + Imps!Z122+MAX(Constants!$M$38*Techs!AE122,Constants!$M$50*Techs!AQ122)) * (1 + Production!O122/100*prestige_pop_multiplier) + Production!O122/100*prestige_pop_multiplier</f>
        <v>0.05</v>
      </c>
    </row>
    <row r="123" spans="1:29" s="111" customFormat="1" ht="14.25" thickTop="1" thickBot="1">
      <c r="A123" s="991">
        <f>Rezone!J123</f>
        <v>121</v>
      </c>
      <c r="B123" s="591">
        <f>Imps!L123</f>
        <v>43696.999999999709</v>
      </c>
      <c r="C123" s="273">
        <f ca="1">$C122+$W122+Military!BE123 - IF(race="Demon",Military!G122*2,0)</f>
        <v>3945</v>
      </c>
      <c r="D123" s="108">
        <f ca="1">Military!B123</f>
        <v>5295</v>
      </c>
      <c r="E123" s="108">
        <f ca="1">Military!Z123</f>
        <v>3695</v>
      </c>
      <c r="F123" s="108">
        <f t="shared" ca="1" si="10"/>
        <v>9240</v>
      </c>
      <c r="G123" s="114">
        <f t="shared" ca="1" si="11"/>
        <v>0.57305194805194803</v>
      </c>
      <c r="H123" s="597">
        <f t="shared" ca="1" si="12"/>
        <v>3945</v>
      </c>
      <c r="I123" s="542">
        <f t="shared" ca="1" si="13"/>
        <v>1</v>
      </c>
      <c r="J123" s="1057">
        <f>SUM(Construction!AY123:BH123,Construction!BJ123:BP123,Construction!BW123:CF123,Construction!CH123:CN123)*building_employment</f>
        <v>7600</v>
      </c>
      <c r="K123" s="637"/>
      <c r="L123" s="110">
        <f ca="1">Military!$Z123</f>
        <v>3695</v>
      </c>
      <c r="M123" s="108">
        <f>Military!E123</f>
        <v>0</v>
      </c>
      <c r="N123" s="108">
        <f>Military!F123</f>
        <v>0</v>
      </c>
      <c r="O123" s="108">
        <f>Military!G123</f>
        <v>1000</v>
      </c>
      <c r="P123" s="108">
        <f>Military!H123</f>
        <v>400</v>
      </c>
      <c r="Q123" s="108">
        <f>Military!I123</f>
        <v>100</v>
      </c>
      <c r="R123" s="108">
        <f>Military!J123</f>
        <v>100</v>
      </c>
      <c r="S123" s="109">
        <f>Military!K123</f>
        <v>0</v>
      </c>
      <c r="T123" s="113"/>
      <c r="U123" s="110">
        <f ca="1">ROUND($V123*(1+$AC123),0)+MIN(D123-E123-SUM(Military!AF123:AL123),barracks_size*Construction!BI123)</f>
        <v>9240</v>
      </c>
      <c r="V123" s="274">
        <f>(Construction!AX123+Construction!BV123)*pop_in_home+(SUM(Construction!AY123:BP123)+Construction!C123-Construction!BI123)*pop_in_building+(SUM(Construction!F123:L123)-Explore!S123*20)*pop_on_barren-(SUM(Construction!N123:AF123)-SUM(Construction!BW123:CN123))*(15-pop_on_barren)-pop_on_barren*Construction!BV123</f>
        <v>8800</v>
      </c>
      <c r="W123" s="273">
        <f t="shared" ca="1" si="14"/>
        <v>0</v>
      </c>
      <c r="X123" s="108">
        <f t="shared" ca="1" si="8"/>
        <v>118</v>
      </c>
      <c r="Y123" s="277">
        <f t="shared" ca="1" si="15"/>
        <v>118.35</v>
      </c>
      <c r="Z123" s="109">
        <f ca="1">IF(G123&lt;Military!Y123, ROUND($C123*IF(Magic!AW123=0,Constants!$B$51,Constants!$B$51*2),0), 0)</f>
        <v>0</v>
      </c>
      <c r="AA123" s="116"/>
      <c r="AB123" s="1177">
        <f ca="1">Overview!$O$16 + IF(Magic!AK123&gt;0,Constants!$F$75) + ROUND(6*(Construction!BL124+Construction!CJ123)/IF(Explore!S124&gt;0,Construction!E124-20,Construction!E124),4)</f>
        <v>0</v>
      </c>
      <c r="AC123" s="543">
        <f ca="1">(Overview!$O$15 + Imps!Z123+MAX(Constants!$M$38*Techs!AE123,Constants!$M$50*Techs!AQ123)) * (1 + Production!O123/100*prestige_pop_multiplier) + Production!O123/100*prestige_pop_multiplier</f>
        <v>0.05</v>
      </c>
    </row>
    <row r="124" spans="1:29" s="16" customFormat="1" ht="13.5" thickTop="1">
      <c r="A124" s="987">
        <f>Rezone!J124</f>
        <v>122</v>
      </c>
      <c r="B124" s="589">
        <f>Imps!L124</f>
        <v>43697.041666666373</v>
      </c>
      <c r="C124" s="152">
        <f ca="1">$C123+$W123+Military!BE124 - IF(race="Demon",Military!G123*2,0)</f>
        <v>3945</v>
      </c>
      <c r="D124" s="26">
        <f ca="1">Military!B124</f>
        <v>5295</v>
      </c>
      <c r="E124" s="26">
        <f ca="1">Military!Z124</f>
        <v>3695</v>
      </c>
      <c r="F124" s="26">
        <f t="shared" ca="1" si="10"/>
        <v>9240</v>
      </c>
      <c r="G124" s="27">
        <f t="shared" ca="1" si="11"/>
        <v>0.57305194805194803</v>
      </c>
      <c r="H124" s="594">
        <f t="shared" ca="1" si="12"/>
        <v>3945</v>
      </c>
      <c r="I124" s="165">
        <f t="shared" ca="1" si="13"/>
        <v>1</v>
      </c>
      <c r="J124" s="676">
        <f>SUM(Construction!AY124:BH124,Construction!BJ124:BP124,Construction!BW124:CF124,Construction!CH124:CN124)*building_employment</f>
        <v>7600</v>
      </c>
      <c r="K124" s="635"/>
      <c r="L124" s="56">
        <f ca="1">Military!$Z124</f>
        <v>3695</v>
      </c>
      <c r="M124" s="26">
        <f>Military!E124</f>
        <v>0</v>
      </c>
      <c r="N124" s="26">
        <f>Military!F124</f>
        <v>0</v>
      </c>
      <c r="O124" s="26">
        <f>Military!G124</f>
        <v>1000</v>
      </c>
      <c r="P124" s="26">
        <f>Military!H124</f>
        <v>400</v>
      </c>
      <c r="Q124" s="26">
        <f>Military!I124</f>
        <v>100</v>
      </c>
      <c r="R124" s="26">
        <f>Military!J124</f>
        <v>100</v>
      </c>
      <c r="S124" s="57">
        <f>Military!K124</f>
        <v>0</v>
      </c>
      <c r="T124" s="52"/>
      <c r="U124" s="56">
        <f ca="1">ROUND($V124*(1+$AC124),0)+MIN(D124-E124-SUM(Military!AF124:AL124),barracks_size*Construction!BI124)</f>
        <v>9240</v>
      </c>
      <c r="V124" s="166">
        <f>(Construction!AX124+Construction!BV124)*pop_in_home+(SUM(Construction!AY124:BP124)+Construction!C124-Construction!BI124)*pop_in_building+(SUM(Construction!F124:L124)-Explore!S124*20)*pop_on_barren-(SUM(Construction!N124:AF124)-SUM(Construction!BW124:CN124))*(15-pop_on_barren)-pop_on_barren*Construction!BV124</f>
        <v>8800</v>
      </c>
      <c r="W124" s="152">
        <f t="shared" ca="1" si="14"/>
        <v>0</v>
      </c>
      <c r="X124" s="26">
        <f t="shared" ca="1" si="8"/>
        <v>118</v>
      </c>
      <c r="Y124" s="164">
        <f t="shared" ca="1" si="15"/>
        <v>118.35</v>
      </c>
      <c r="Z124" s="57">
        <f ca="1">IF(G124&lt;Military!Y124, ROUND($C124*IF(Magic!AW124=0,Constants!$B$51,Constants!$B$51*2),0), 0)</f>
        <v>0</v>
      </c>
      <c r="AA124" s="63"/>
      <c r="AB124" s="169">
        <f ca="1">Overview!$O$16 + IF(Magic!AK124&gt;0,Constants!$F$75) + ROUND(6*(Construction!BL125+Construction!CJ124)/IF(Explore!S125&gt;0,Construction!E125-20,Construction!E125),4)</f>
        <v>0</v>
      </c>
      <c r="AC124" s="540">
        <f ca="1">(Overview!$O$15 + Imps!Z124+MAX(Constants!$M$38*Techs!AE124,Constants!$M$50*Techs!AQ124)) * (1 + Production!O124/100*prestige_pop_multiplier) + Production!O124/100*prestige_pop_multiplier</f>
        <v>0.05</v>
      </c>
    </row>
    <row r="125" spans="1:29" s="16" customFormat="1">
      <c r="A125" s="987">
        <f>Rezone!J125</f>
        <v>123</v>
      </c>
      <c r="B125" s="589">
        <f>Imps!L125</f>
        <v>43697.083333333037</v>
      </c>
      <c r="C125" s="152">
        <f ca="1">$C124+$W124+Military!BE125 - IF(race="Demon",Military!G124*2,0)</f>
        <v>3945</v>
      </c>
      <c r="D125" s="26">
        <f ca="1">Military!B125</f>
        <v>5295</v>
      </c>
      <c r="E125" s="26">
        <f ca="1">Military!Z125</f>
        <v>3695</v>
      </c>
      <c r="F125" s="26">
        <f t="shared" ca="1" si="10"/>
        <v>9240</v>
      </c>
      <c r="G125" s="27">
        <f t="shared" ca="1" si="11"/>
        <v>0.57305194805194803</v>
      </c>
      <c r="H125" s="594">
        <f t="shared" ca="1" si="12"/>
        <v>3945</v>
      </c>
      <c r="I125" s="165">
        <f t="shared" ca="1" si="13"/>
        <v>1</v>
      </c>
      <c r="J125" s="676">
        <f>SUM(Construction!AY125:BH125,Construction!BJ125:BP125,Construction!BW125:CF125,Construction!CH125:CN125)*building_employment</f>
        <v>7600</v>
      </c>
      <c r="K125" s="635"/>
      <c r="L125" s="56">
        <f ca="1">Military!$Z125</f>
        <v>3695</v>
      </c>
      <c r="M125" s="26">
        <f>Military!E125</f>
        <v>0</v>
      </c>
      <c r="N125" s="26">
        <f>Military!F125</f>
        <v>0</v>
      </c>
      <c r="O125" s="26">
        <f>Military!G125</f>
        <v>1000</v>
      </c>
      <c r="P125" s="26">
        <f>Military!H125</f>
        <v>400</v>
      </c>
      <c r="Q125" s="26">
        <f>Military!I125</f>
        <v>100</v>
      </c>
      <c r="R125" s="26">
        <f>Military!J125</f>
        <v>100</v>
      </c>
      <c r="S125" s="57">
        <f>Military!K125</f>
        <v>0</v>
      </c>
      <c r="T125" s="52"/>
      <c r="U125" s="56">
        <f ca="1">ROUND($V125*(1+$AC125),0)+MIN(D125-E125-SUM(Military!AF125:AL125),barracks_size*Construction!BI125)</f>
        <v>9240</v>
      </c>
      <c r="V125" s="166">
        <f>(Construction!AX125+Construction!BV125)*pop_in_home+(SUM(Construction!AY125:BP125)+Construction!C125-Construction!BI125)*pop_in_building+(SUM(Construction!F125:L125)-Explore!S125*20)*pop_on_barren-(SUM(Construction!N125:AF125)-SUM(Construction!BW125:CN125))*(15-pop_on_barren)-pop_on_barren*Construction!BV125</f>
        <v>8800</v>
      </c>
      <c r="W125" s="152">
        <f t="shared" ca="1" si="14"/>
        <v>0</v>
      </c>
      <c r="X125" s="26">
        <f t="shared" ca="1" si="8"/>
        <v>118</v>
      </c>
      <c r="Y125" s="164">
        <f t="shared" ca="1" si="15"/>
        <v>118.35</v>
      </c>
      <c r="Z125" s="57">
        <f ca="1">IF(G125&lt;Military!Y125, ROUND($C125*IF(Magic!AW125=0,Constants!$B$51,Constants!$B$51*2),0), 0)</f>
        <v>0</v>
      </c>
      <c r="AA125" s="63"/>
      <c r="AB125" s="169">
        <f ca="1">Overview!$O$16 + IF(Magic!AK125&gt;0,Constants!$F$75) + ROUND(6*(Construction!BL126+Construction!CJ125)/IF(Explore!S126&gt;0,Construction!E126-20,Construction!E126),4)</f>
        <v>0</v>
      </c>
      <c r="AC125" s="540">
        <f ca="1">(Overview!$O$15 + Imps!Z125+MAX(Constants!$M$38*Techs!AE125,Constants!$M$50*Techs!AQ125)) * (1 + Production!O125/100*prestige_pop_multiplier) + Production!O125/100*prestige_pop_multiplier</f>
        <v>0.05</v>
      </c>
    </row>
    <row r="126" spans="1:29" s="16" customFormat="1">
      <c r="A126" s="987">
        <f>Rezone!J126</f>
        <v>124</v>
      </c>
      <c r="B126" s="589">
        <f>Imps!L126</f>
        <v>43697.124999999702</v>
      </c>
      <c r="C126" s="152">
        <f ca="1">$C125+$W125+Military!BE126 - IF(race="Demon",Military!G125*2,0)</f>
        <v>3945</v>
      </c>
      <c r="D126" s="26">
        <f ca="1">Military!B126</f>
        <v>5295</v>
      </c>
      <c r="E126" s="26">
        <f ca="1">Military!Z126</f>
        <v>3695</v>
      </c>
      <c r="F126" s="26">
        <f t="shared" ca="1" si="10"/>
        <v>9240</v>
      </c>
      <c r="G126" s="27">
        <f t="shared" ca="1" si="11"/>
        <v>0.57305194805194803</v>
      </c>
      <c r="H126" s="594">
        <f t="shared" ca="1" si="12"/>
        <v>3945</v>
      </c>
      <c r="I126" s="165">
        <f t="shared" ca="1" si="13"/>
        <v>1</v>
      </c>
      <c r="J126" s="676">
        <f>SUM(Construction!AY126:BH126,Construction!BJ126:BP126,Construction!BW126:CF126,Construction!CH126:CN126)*building_employment</f>
        <v>7600</v>
      </c>
      <c r="K126" s="635"/>
      <c r="L126" s="56">
        <f ca="1">Military!$Z126</f>
        <v>3695</v>
      </c>
      <c r="M126" s="26">
        <f>Military!E126</f>
        <v>0</v>
      </c>
      <c r="N126" s="26">
        <f>Military!F126</f>
        <v>0</v>
      </c>
      <c r="O126" s="26">
        <f>Military!G126</f>
        <v>1000</v>
      </c>
      <c r="P126" s="26">
        <f>Military!H126</f>
        <v>400</v>
      </c>
      <c r="Q126" s="26">
        <f>Military!I126</f>
        <v>100</v>
      </c>
      <c r="R126" s="26">
        <f>Military!J126</f>
        <v>100</v>
      </c>
      <c r="S126" s="57">
        <f>Military!K126</f>
        <v>0</v>
      </c>
      <c r="T126" s="52"/>
      <c r="U126" s="56">
        <f ca="1">ROUND($V126*(1+$AC126),0)+MIN(D126-E126-SUM(Military!AF126:AL126),barracks_size*Construction!BI126)</f>
        <v>9240</v>
      </c>
      <c r="V126" s="166">
        <f>(Construction!AX126+Construction!BV126)*pop_in_home+(SUM(Construction!AY126:BP126)+Construction!C126-Construction!BI126)*pop_in_building+(SUM(Construction!F126:L126)-Explore!S126*20)*pop_on_barren-(SUM(Construction!N126:AF126)-SUM(Construction!BW126:CN126))*(15-pop_on_barren)-pop_on_barren*Construction!BV126</f>
        <v>8800</v>
      </c>
      <c r="W126" s="152">
        <f t="shared" ca="1" si="14"/>
        <v>0</v>
      </c>
      <c r="X126" s="26">
        <f t="shared" ca="1" si="8"/>
        <v>118</v>
      </c>
      <c r="Y126" s="164">
        <f t="shared" ca="1" si="15"/>
        <v>118.35</v>
      </c>
      <c r="Z126" s="57">
        <f ca="1">IF(G126&lt;Military!Y126, ROUND($C126*IF(Magic!AW126=0,Constants!$B$51,Constants!$B$51*2),0), 0)</f>
        <v>0</v>
      </c>
      <c r="AA126" s="63"/>
      <c r="AB126" s="169">
        <f ca="1">Overview!$O$16 + IF(Magic!AK126&gt;0,Constants!$F$75) + ROUND(6*(Construction!BL127+Construction!CJ126)/IF(Explore!S127&gt;0,Construction!E127-20,Construction!E127),4)</f>
        <v>0</v>
      </c>
      <c r="AC126" s="540">
        <f ca="1">(Overview!$O$15 + Imps!Z126+MAX(Constants!$M$38*Techs!AE126,Constants!$M$50*Techs!AQ126)) * (1 + Production!O126/100*prestige_pop_multiplier) + Production!O126/100*prestige_pop_multiplier</f>
        <v>0.05</v>
      </c>
    </row>
    <row r="127" spans="1:29" s="16" customFormat="1">
      <c r="A127" s="987">
        <f>Rezone!J127</f>
        <v>125</v>
      </c>
      <c r="B127" s="589">
        <f>Imps!L127</f>
        <v>43697.166666666366</v>
      </c>
      <c r="C127" s="152">
        <f ca="1">$C126+$W126+Military!BE127 - IF(race="Demon",Military!G126*2,0)</f>
        <v>3945</v>
      </c>
      <c r="D127" s="26">
        <f ca="1">Military!B127</f>
        <v>5295</v>
      </c>
      <c r="E127" s="26">
        <f ca="1">Military!Z127</f>
        <v>3695</v>
      </c>
      <c r="F127" s="26">
        <f t="shared" ca="1" si="10"/>
        <v>9240</v>
      </c>
      <c r="G127" s="27">
        <f t="shared" ca="1" si="11"/>
        <v>0.57305194805194803</v>
      </c>
      <c r="H127" s="594">
        <f t="shared" ca="1" si="12"/>
        <v>3945</v>
      </c>
      <c r="I127" s="165">
        <f t="shared" ca="1" si="13"/>
        <v>1</v>
      </c>
      <c r="J127" s="676">
        <f>SUM(Construction!AY127:BH127,Construction!BJ127:BP127,Construction!BW127:CF127,Construction!CH127:CN127)*building_employment</f>
        <v>7600</v>
      </c>
      <c r="K127" s="635"/>
      <c r="L127" s="56">
        <f ca="1">Military!$Z127</f>
        <v>3695</v>
      </c>
      <c r="M127" s="26">
        <f>Military!E127</f>
        <v>0</v>
      </c>
      <c r="N127" s="26">
        <f>Military!F127</f>
        <v>0</v>
      </c>
      <c r="O127" s="26">
        <f>Military!G127</f>
        <v>1000</v>
      </c>
      <c r="P127" s="26">
        <f>Military!H127</f>
        <v>400</v>
      </c>
      <c r="Q127" s="26">
        <f>Military!I127</f>
        <v>100</v>
      </c>
      <c r="R127" s="26">
        <f>Military!J127</f>
        <v>100</v>
      </c>
      <c r="S127" s="57">
        <f>Military!K127</f>
        <v>0</v>
      </c>
      <c r="T127" s="52"/>
      <c r="U127" s="56">
        <f ca="1">ROUND($V127*(1+$AC127),0)+MIN(D127-E127-SUM(Military!AF127:AL127),barracks_size*Construction!BI127)</f>
        <v>9240</v>
      </c>
      <c r="V127" s="166">
        <f>(Construction!AX127+Construction!BV127)*pop_in_home+(SUM(Construction!AY127:BP127)+Construction!C127-Construction!BI127)*pop_in_building+(SUM(Construction!F127:L127)-Explore!S127*20)*pop_on_barren-(SUM(Construction!N127:AF127)-SUM(Construction!BW127:CN127))*(15-pop_on_barren)-pop_on_barren*Construction!BV127</f>
        <v>8800</v>
      </c>
      <c r="W127" s="152">
        <f t="shared" ca="1" si="14"/>
        <v>0</v>
      </c>
      <c r="X127" s="26">
        <f t="shared" ca="1" si="8"/>
        <v>118</v>
      </c>
      <c r="Y127" s="164">
        <f t="shared" ca="1" si="15"/>
        <v>118.35</v>
      </c>
      <c r="Z127" s="57">
        <f ca="1">IF(G127&lt;Military!Y127, ROUND($C127*IF(Magic!AW127=0,Constants!$B$51,Constants!$B$51*2),0), 0)</f>
        <v>0</v>
      </c>
      <c r="AA127" s="63"/>
      <c r="AB127" s="169">
        <f ca="1">Overview!$O$16 + IF(Magic!AK127&gt;0,Constants!$F$75) + ROUND(6*(Construction!BL128+Construction!CJ127)/IF(Explore!S128&gt;0,Construction!E128-20,Construction!E128),4)</f>
        <v>0</v>
      </c>
      <c r="AC127" s="540">
        <f ca="1">(Overview!$O$15 + Imps!Z127+MAX(Constants!$M$38*Techs!AE127,Constants!$M$50*Techs!AQ127)) * (1 + Production!O127/100*prestige_pop_multiplier) + Production!O127/100*prestige_pop_multiplier</f>
        <v>0.05</v>
      </c>
    </row>
    <row r="128" spans="1:29" s="16" customFormat="1">
      <c r="A128" s="987">
        <f>Rezone!J128</f>
        <v>126</v>
      </c>
      <c r="B128" s="589">
        <f>Imps!L128</f>
        <v>43697.20833333303</v>
      </c>
      <c r="C128" s="152">
        <f ca="1">$C127+$W127+Military!BE128 - IF(race="Demon",Military!G127*2,0)</f>
        <v>3945</v>
      </c>
      <c r="D128" s="26">
        <f ca="1">Military!B128</f>
        <v>5295</v>
      </c>
      <c r="E128" s="26">
        <f ca="1">Military!Z128</f>
        <v>3695</v>
      </c>
      <c r="F128" s="26">
        <f t="shared" ca="1" si="10"/>
        <v>9240</v>
      </c>
      <c r="G128" s="27">
        <f t="shared" ca="1" si="11"/>
        <v>0.57305194805194803</v>
      </c>
      <c r="H128" s="594">
        <f t="shared" ca="1" si="12"/>
        <v>3945</v>
      </c>
      <c r="I128" s="165">
        <f t="shared" ca="1" si="13"/>
        <v>1</v>
      </c>
      <c r="J128" s="676">
        <f>SUM(Construction!AY128:BH128,Construction!BJ128:BP128,Construction!BW128:CF128,Construction!CH128:CN128)*building_employment</f>
        <v>7600</v>
      </c>
      <c r="K128" s="635"/>
      <c r="L128" s="56">
        <f ca="1">Military!$Z128</f>
        <v>3695</v>
      </c>
      <c r="M128" s="26">
        <f>Military!E128</f>
        <v>0</v>
      </c>
      <c r="N128" s="26">
        <f>Military!F128</f>
        <v>0</v>
      </c>
      <c r="O128" s="26">
        <f>Military!G128</f>
        <v>1000</v>
      </c>
      <c r="P128" s="26">
        <f>Military!H128</f>
        <v>400</v>
      </c>
      <c r="Q128" s="26">
        <f>Military!I128</f>
        <v>100</v>
      </c>
      <c r="R128" s="26">
        <f>Military!J128</f>
        <v>100</v>
      </c>
      <c r="S128" s="57">
        <f>Military!K128</f>
        <v>0</v>
      </c>
      <c r="T128" s="52"/>
      <c r="U128" s="56">
        <f ca="1">ROUND($V128*(1+$AC128),0)+MIN(D128-E128-SUM(Military!AF128:AL128),barracks_size*Construction!BI128)</f>
        <v>9240</v>
      </c>
      <c r="V128" s="166">
        <f>(Construction!AX128+Construction!BV128)*pop_in_home+(SUM(Construction!AY128:BP128)+Construction!C128-Construction!BI128)*pop_in_building+(SUM(Construction!F128:L128)-Explore!S128*20)*pop_on_barren-(SUM(Construction!N128:AF128)-SUM(Construction!BW128:CN128))*(15-pop_on_barren)-pop_on_barren*Construction!BV128</f>
        <v>8800</v>
      </c>
      <c r="W128" s="152">
        <f t="shared" ca="1" si="14"/>
        <v>0</v>
      </c>
      <c r="X128" s="26">
        <f t="shared" ca="1" si="8"/>
        <v>118</v>
      </c>
      <c r="Y128" s="164">
        <f t="shared" ca="1" si="15"/>
        <v>118.35</v>
      </c>
      <c r="Z128" s="57">
        <f ca="1">IF(G128&lt;Military!Y128, ROUND($C128*IF(Magic!AW128=0,Constants!$B$51,Constants!$B$51*2),0), 0)</f>
        <v>0</v>
      </c>
      <c r="AA128" s="63"/>
      <c r="AB128" s="169">
        <f ca="1">Overview!$O$16 + IF(Magic!AK128&gt;0,Constants!$F$75) + ROUND(6*(Construction!BL129+Construction!CJ128)/IF(Explore!S129&gt;0,Construction!E129-20,Construction!E129),4)</f>
        <v>0</v>
      </c>
      <c r="AC128" s="540">
        <f ca="1">(Overview!$O$15 + Imps!Z128+MAX(Constants!$M$38*Techs!AE128,Constants!$M$50*Techs!AQ128)) * (1 + Production!O128/100*prestige_pop_multiplier) + Production!O128/100*prestige_pop_multiplier</f>
        <v>0.05</v>
      </c>
    </row>
    <row r="129" spans="1:29" s="16" customFormat="1">
      <c r="A129" s="987">
        <f>Rezone!J129</f>
        <v>127</v>
      </c>
      <c r="B129" s="589">
        <f>Imps!L129</f>
        <v>43697.249999999694</v>
      </c>
      <c r="C129" s="152">
        <f ca="1">$C128+$W128+Military!BE129 - IF(race="Demon",Military!G128*2,0)</f>
        <v>3945</v>
      </c>
      <c r="D129" s="26">
        <f ca="1">Military!B129</f>
        <v>5295</v>
      </c>
      <c r="E129" s="26">
        <f ca="1">Military!Z129</f>
        <v>3695</v>
      </c>
      <c r="F129" s="26">
        <f t="shared" ca="1" si="10"/>
        <v>9240</v>
      </c>
      <c r="G129" s="27">
        <f t="shared" ca="1" si="11"/>
        <v>0.57305194805194803</v>
      </c>
      <c r="H129" s="594">
        <f t="shared" ca="1" si="12"/>
        <v>3945</v>
      </c>
      <c r="I129" s="165">
        <f t="shared" ca="1" si="13"/>
        <v>1</v>
      </c>
      <c r="J129" s="676">
        <f>SUM(Construction!AY129:BH129,Construction!BJ129:BP129,Construction!BW129:CF129,Construction!CH129:CN129)*building_employment</f>
        <v>7600</v>
      </c>
      <c r="K129" s="635"/>
      <c r="L129" s="56">
        <f ca="1">Military!$Z129</f>
        <v>3695</v>
      </c>
      <c r="M129" s="26">
        <f>Military!E129</f>
        <v>0</v>
      </c>
      <c r="N129" s="26">
        <f>Military!F129</f>
        <v>0</v>
      </c>
      <c r="O129" s="26">
        <f>Military!G129</f>
        <v>1000</v>
      </c>
      <c r="P129" s="26">
        <f>Military!H129</f>
        <v>400</v>
      </c>
      <c r="Q129" s="26">
        <f>Military!I129</f>
        <v>100</v>
      </c>
      <c r="R129" s="26">
        <f>Military!J129</f>
        <v>100</v>
      </c>
      <c r="S129" s="57">
        <f>Military!K129</f>
        <v>0</v>
      </c>
      <c r="T129" s="52"/>
      <c r="U129" s="56">
        <f ca="1">ROUND($V129*(1+$AC129),0)+MIN(D129-E129-SUM(Military!AF129:AL129),barracks_size*Construction!BI129)</f>
        <v>9240</v>
      </c>
      <c r="V129" s="166">
        <f>(Construction!AX129+Construction!BV129)*pop_in_home+(SUM(Construction!AY129:BP129)+Construction!C129-Construction!BI129)*pop_in_building+(SUM(Construction!F129:L129)-Explore!S129*20)*pop_on_barren-(SUM(Construction!N129:AF129)-SUM(Construction!BW129:CN129))*(15-pop_on_barren)-pop_on_barren*Construction!BV129</f>
        <v>8800</v>
      </c>
      <c r="W129" s="152">
        <f t="shared" ca="1" si="14"/>
        <v>0</v>
      </c>
      <c r="X129" s="26">
        <f t="shared" ca="1" si="8"/>
        <v>118</v>
      </c>
      <c r="Y129" s="164">
        <f t="shared" ca="1" si="15"/>
        <v>118.35</v>
      </c>
      <c r="Z129" s="57">
        <f ca="1">IF(G129&lt;Military!Y129, ROUND($C129*IF(Magic!AW129=0,Constants!$B$51,Constants!$B$51*2),0), 0)</f>
        <v>0</v>
      </c>
      <c r="AA129" s="63"/>
      <c r="AB129" s="169">
        <f ca="1">Overview!$O$16 + IF(Magic!AK129&gt;0,Constants!$F$75) + ROUND(6*(Construction!BL130+Construction!CJ129)/IF(Explore!S130&gt;0,Construction!E130-20,Construction!E130),4)</f>
        <v>0</v>
      </c>
      <c r="AC129" s="540">
        <f ca="1">(Overview!$O$15 + Imps!Z129+MAX(Constants!$M$38*Techs!AE129,Constants!$M$50*Techs!AQ129)) * (1 + Production!O129/100*prestige_pop_multiplier) + Production!O129/100*prestige_pop_multiplier</f>
        <v>0.05</v>
      </c>
    </row>
    <row r="130" spans="1:29" s="16" customFormat="1">
      <c r="A130" s="987">
        <f>Rezone!J130</f>
        <v>128</v>
      </c>
      <c r="B130" s="589">
        <f>Imps!L130</f>
        <v>43697.291666666359</v>
      </c>
      <c r="C130" s="152">
        <f ca="1">$C129+$W129+Military!BE130 - IF(race="Demon",Military!G129*2,0)</f>
        <v>3945</v>
      </c>
      <c r="D130" s="26">
        <f ca="1">Military!B130</f>
        <v>5295</v>
      </c>
      <c r="E130" s="26">
        <f ca="1">Military!Z130</f>
        <v>3695</v>
      </c>
      <c r="F130" s="26">
        <f t="shared" ca="1" si="10"/>
        <v>9240</v>
      </c>
      <c r="G130" s="27">
        <f t="shared" ca="1" si="11"/>
        <v>0.57305194805194803</v>
      </c>
      <c r="H130" s="594">
        <f t="shared" ca="1" si="12"/>
        <v>3945</v>
      </c>
      <c r="I130" s="165">
        <f t="shared" ca="1" si="13"/>
        <v>1</v>
      </c>
      <c r="J130" s="676">
        <f>SUM(Construction!AY130:BH130,Construction!BJ130:BP130,Construction!BW130:CF130,Construction!CH130:CN130)*building_employment</f>
        <v>7600</v>
      </c>
      <c r="K130" s="635"/>
      <c r="L130" s="56">
        <f ca="1">Military!$Z130</f>
        <v>3695</v>
      </c>
      <c r="M130" s="26">
        <f>Military!E130</f>
        <v>0</v>
      </c>
      <c r="N130" s="26">
        <f>Military!F130</f>
        <v>0</v>
      </c>
      <c r="O130" s="26">
        <f>Military!G130</f>
        <v>1000</v>
      </c>
      <c r="P130" s="26">
        <f>Military!H130</f>
        <v>400</v>
      </c>
      <c r="Q130" s="26">
        <f>Military!I130</f>
        <v>100</v>
      </c>
      <c r="R130" s="26">
        <f>Military!J130</f>
        <v>100</v>
      </c>
      <c r="S130" s="57">
        <f>Military!K130</f>
        <v>0</v>
      </c>
      <c r="T130" s="52"/>
      <c r="U130" s="56">
        <f ca="1">ROUND($V130*(1+$AC130),0)+MIN(D130-E130-SUM(Military!AF130:AL130),barracks_size*Construction!BI130)</f>
        <v>9240</v>
      </c>
      <c r="V130" s="166">
        <f>(Construction!AX130+Construction!BV130)*pop_in_home+(SUM(Construction!AY130:BP130)+Construction!C130-Construction!BI130)*pop_in_building+(SUM(Construction!F130:L130)-Explore!S130*20)*pop_on_barren-(SUM(Construction!N130:AF130)-SUM(Construction!BW130:CN130))*(15-pop_on_barren)-pop_on_barren*Construction!BV130</f>
        <v>8800</v>
      </c>
      <c r="W130" s="152">
        <f t="shared" ca="1" si="14"/>
        <v>0</v>
      </c>
      <c r="X130" s="26">
        <f t="shared" ca="1" si="8"/>
        <v>118</v>
      </c>
      <c r="Y130" s="164">
        <f t="shared" ca="1" si="15"/>
        <v>118.35</v>
      </c>
      <c r="Z130" s="57">
        <f ca="1">IF(G130&lt;Military!Y130, ROUND($C130*IF(Magic!AW130=0,Constants!$B$51,Constants!$B$51*2),0), 0)</f>
        <v>0</v>
      </c>
      <c r="AA130" s="63"/>
      <c r="AB130" s="169">
        <f ca="1">Overview!$O$16 + IF(Magic!AK130&gt;0,Constants!$F$75) + ROUND(6*(Construction!BL131+Construction!CJ130)/IF(Explore!S131&gt;0,Construction!E131-20,Construction!E131),4)</f>
        <v>0</v>
      </c>
      <c r="AC130" s="540">
        <f ca="1">(Overview!$O$15 + Imps!Z130+MAX(Constants!$M$38*Techs!AE130,Constants!$M$50*Techs!AQ130)) * (1 + Production!O130/100*prestige_pop_multiplier) + Production!O130/100*prestige_pop_multiplier</f>
        <v>0.05</v>
      </c>
    </row>
    <row r="131" spans="1:29" s="16" customFormat="1">
      <c r="A131" s="987">
        <f>Rezone!J131</f>
        <v>129</v>
      </c>
      <c r="B131" s="589">
        <f>Imps!L131</f>
        <v>43697.333333333023</v>
      </c>
      <c r="C131" s="152">
        <f ca="1">$C130+$W130+Military!BE131 - IF(race="Demon",Military!G130*2,0)</f>
        <v>3945</v>
      </c>
      <c r="D131" s="26">
        <f ca="1">Military!B131</f>
        <v>5295</v>
      </c>
      <c r="E131" s="26">
        <f ca="1">Military!Z131</f>
        <v>3695</v>
      </c>
      <c r="F131" s="26">
        <f t="shared" ca="1" si="10"/>
        <v>9240</v>
      </c>
      <c r="G131" s="27">
        <f t="shared" ca="1" si="11"/>
        <v>0.57305194805194803</v>
      </c>
      <c r="H131" s="594">
        <f t="shared" ca="1" si="12"/>
        <v>3945</v>
      </c>
      <c r="I131" s="165">
        <f t="shared" ca="1" si="13"/>
        <v>1</v>
      </c>
      <c r="J131" s="676">
        <f>SUM(Construction!AY131:BH131,Construction!BJ131:BP131,Construction!BW131:CF131,Construction!CH131:CN131)*building_employment</f>
        <v>7600</v>
      </c>
      <c r="K131" s="635"/>
      <c r="L131" s="56">
        <f ca="1">Military!$Z131</f>
        <v>3695</v>
      </c>
      <c r="M131" s="26">
        <f>Military!E131</f>
        <v>0</v>
      </c>
      <c r="N131" s="26">
        <f>Military!F131</f>
        <v>0</v>
      </c>
      <c r="O131" s="26">
        <f>Military!G131</f>
        <v>1000</v>
      </c>
      <c r="P131" s="26">
        <f>Military!H131</f>
        <v>400</v>
      </c>
      <c r="Q131" s="26">
        <f>Military!I131</f>
        <v>100</v>
      </c>
      <c r="R131" s="26">
        <f>Military!J131</f>
        <v>100</v>
      </c>
      <c r="S131" s="57">
        <f>Military!K131</f>
        <v>0</v>
      </c>
      <c r="T131" s="52"/>
      <c r="U131" s="56">
        <f ca="1">ROUND($V131*(1+$AC131),0)+MIN(D131-E131-SUM(Military!AF131:AL131),barracks_size*Construction!BI131)</f>
        <v>9240</v>
      </c>
      <c r="V131" s="166">
        <f>(Construction!AX131+Construction!BV131)*pop_in_home+(SUM(Construction!AY131:BP131)+Construction!C131-Construction!BI131)*pop_in_building+(SUM(Construction!F131:L131)-Explore!S131*20)*pop_on_barren-(SUM(Construction!N131:AF131)-SUM(Construction!BW131:CN131))*(15-pop_on_barren)-pop_on_barren*Construction!BV131</f>
        <v>8800</v>
      </c>
      <c r="W131" s="152">
        <f t="shared" ca="1" si="14"/>
        <v>0</v>
      </c>
      <c r="X131" s="26">
        <f ca="1">ROUND($Y131*(1+$AB131),0)</f>
        <v>118</v>
      </c>
      <c r="Y131" s="164">
        <f ca="1">($C131-Z131)*raw_pop_growth</f>
        <v>118.35</v>
      </c>
      <c r="Z131" s="57">
        <f ca="1">IF(G131&lt;Military!Y131, ROUND($C131*IF(Magic!AW131=0,Constants!$B$51,Constants!$B$51*2),0), 0)</f>
        <v>0</v>
      </c>
      <c r="AA131" s="63"/>
      <c r="AB131" s="169">
        <f ca="1">Overview!$O$16 + IF(Magic!AK131&gt;0,Constants!$F$75) + ROUND(6*(Construction!BL132+Construction!CJ131)/IF(Explore!S132&gt;0,Construction!E132-20,Construction!E132),4)</f>
        <v>0</v>
      </c>
      <c r="AC131" s="540">
        <f ca="1">(Overview!$O$15 + Imps!Z131+MAX(Constants!$M$38*Techs!AE131,Constants!$M$50*Techs!AQ131)) * (1 + Production!O131/100*prestige_pop_multiplier) + Production!O131/100*prestige_pop_multiplier</f>
        <v>0.05</v>
      </c>
    </row>
    <row r="132" spans="1:29" s="16" customFormat="1">
      <c r="A132" s="987">
        <f>Rezone!J132</f>
        <v>130</v>
      </c>
      <c r="B132" s="589">
        <f>Imps!L132</f>
        <v>43697.374999999687</v>
      </c>
      <c r="C132" s="152">
        <f ca="1">$C131+$W131+Military!BE132 - IF(race="Demon",Military!G131*2,0)</f>
        <v>3945</v>
      </c>
      <c r="D132" s="26">
        <f ca="1">Military!B132</f>
        <v>5295</v>
      </c>
      <c r="E132" s="26">
        <f ca="1">Military!Z132</f>
        <v>3695</v>
      </c>
      <c r="F132" s="26">
        <f ca="1">C132+D132</f>
        <v>9240</v>
      </c>
      <c r="G132" s="27">
        <f ca="1">D132/F132</f>
        <v>0.57305194805194803</v>
      </c>
      <c r="H132" s="594">
        <f ca="1">MIN(C132,J132)</f>
        <v>3945</v>
      </c>
      <c r="I132" s="165">
        <f ca="1">MIN(J133/C132,1)</f>
        <v>1</v>
      </c>
      <c r="J132" s="676">
        <f>SUM(Construction!AY132:BH132,Construction!BJ132:BP132,Construction!BW132:CF132,Construction!CH132:CN132)*building_employment</f>
        <v>7600</v>
      </c>
      <c r="K132" s="635"/>
      <c r="L132" s="56">
        <f ca="1">Military!$Z132</f>
        <v>3695</v>
      </c>
      <c r="M132" s="26">
        <f>Military!E132</f>
        <v>0</v>
      </c>
      <c r="N132" s="26">
        <f>Military!F132</f>
        <v>0</v>
      </c>
      <c r="O132" s="26">
        <f>Military!G132</f>
        <v>1000</v>
      </c>
      <c r="P132" s="26">
        <f>Military!H132</f>
        <v>400</v>
      </c>
      <c r="Q132" s="26">
        <f>Military!I132</f>
        <v>100</v>
      </c>
      <c r="R132" s="26">
        <f>Military!J132</f>
        <v>100</v>
      </c>
      <c r="S132" s="57">
        <f>Military!K132</f>
        <v>0</v>
      </c>
      <c r="T132" s="52"/>
      <c r="U132" s="56">
        <f ca="1">ROUND($V132*(1+$AC132),0)+MIN(D132-E132-SUM(Military!AF132:AL132),barracks_size*Construction!BI132)</f>
        <v>9240</v>
      </c>
      <c r="V132" s="166">
        <f>(Construction!AX132+Construction!BV132)*pop_in_home+(SUM(Construction!AY132:BP132)+Construction!C132-Construction!BI132)*pop_in_building+(SUM(Construction!F132:L132)-Explore!S132*20)*pop_on_barren-(SUM(Construction!N132:AF132)-SUM(Construction!BW132:CN132))*(15-pop_on_barren)-pop_on_barren*Construction!BV132</f>
        <v>8800</v>
      </c>
      <c r="W132" s="152">
        <f ca="1">MAX(-5%*C132-Z132,MIN(U133-C132-D132-Z132,X132-Z132))</f>
        <v>0</v>
      </c>
      <c r="X132" s="26">
        <f ca="1">ROUND($Y132*(1+$AB132),0)</f>
        <v>118</v>
      </c>
      <c r="Y132" s="164">
        <f ca="1">($C132-Z132)*raw_pop_growth</f>
        <v>118.35</v>
      </c>
      <c r="Z132" s="57">
        <f ca="1">IF(G132&lt;Military!Y132, ROUND($C132*IF(Magic!AW132=0,Constants!$B$51,Constants!$B$51*2),0), 0)</f>
        <v>0</v>
      </c>
      <c r="AA132" s="63"/>
      <c r="AB132" s="169">
        <f ca="1">Overview!$O$16 + IF(Magic!AK132&gt;0,Constants!$F$75) + ROUND(6*(Construction!BL133+Construction!CJ132)/IF(Explore!S133&gt;0,Construction!E133-20,Construction!E133),4)</f>
        <v>0</v>
      </c>
      <c r="AC132" s="540">
        <f ca="1">(Overview!$O$15 + Imps!Z132+MAX(Constants!$M$38*Techs!AE132,Constants!$M$50*Techs!AQ132)) * (1 + Production!O132/100*prestige_pop_multiplier) + Production!O132/100*prestige_pop_multiplier</f>
        <v>0.05</v>
      </c>
    </row>
    <row r="133" spans="1:29" s="16" customFormat="1">
      <c r="A133" s="987">
        <f>Rezone!J133</f>
        <v>131</v>
      </c>
      <c r="B133" s="589">
        <f>Imps!L133</f>
        <v>43697.416666666351</v>
      </c>
      <c r="C133" s="152">
        <f ca="1">$C132+$W132+Military!BE133 - IF(race="Demon",Military!G132*2,0)</f>
        <v>3945</v>
      </c>
      <c r="D133" s="26">
        <f ca="1">Military!B133</f>
        <v>5295</v>
      </c>
      <c r="E133" s="26">
        <f ca="1">Military!Z133</f>
        <v>3695</v>
      </c>
      <c r="F133" s="26">
        <f ca="1">C133+D133</f>
        <v>9240</v>
      </c>
      <c r="G133" s="27">
        <f ca="1">D133/F133</f>
        <v>0.57305194805194803</v>
      </c>
      <c r="H133" s="594">
        <f ca="1">MIN(C133,J133)</f>
        <v>3945</v>
      </c>
      <c r="I133" s="165">
        <f ca="1">MIN(J134/C133,1)</f>
        <v>1</v>
      </c>
      <c r="J133" s="676">
        <f>SUM(Construction!AY133:BH133,Construction!BJ133:BP133,Construction!BW133:CF133,Construction!CH133:CN133)*building_employment</f>
        <v>7600</v>
      </c>
      <c r="K133" s="635"/>
      <c r="L133" s="56">
        <f ca="1">Military!$Z133</f>
        <v>3695</v>
      </c>
      <c r="M133" s="26">
        <f>Military!E133</f>
        <v>0</v>
      </c>
      <c r="N133" s="26">
        <f>Military!F133</f>
        <v>0</v>
      </c>
      <c r="O133" s="26">
        <f>Military!G133</f>
        <v>1000</v>
      </c>
      <c r="P133" s="26">
        <f>Military!H133</f>
        <v>400</v>
      </c>
      <c r="Q133" s="26">
        <f>Military!I133</f>
        <v>100</v>
      </c>
      <c r="R133" s="26">
        <f>Military!J133</f>
        <v>100</v>
      </c>
      <c r="S133" s="57">
        <f>Military!K133</f>
        <v>0</v>
      </c>
      <c r="T133" s="52"/>
      <c r="U133" s="56">
        <f ca="1">ROUND($V133*(1+$AC133),0)+MIN(D133-E133-SUM(Military!AF133:AL133),barracks_size*Construction!BI133)</f>
        <v>9240</v>
      </c>
      <c r="V133" s="166">
        <f>(Construction!AX133+Construction!BV133)*pop_in_home+(SUM(Construction!AY133:BP133)+Construction!C133-Construction!BI133)*pop_in_building+(SUM(Construction!F133:L133)-Explore!S133*20)*pop_on_barren-(SUM(Construction!N133:AF133)-SUM(Construction!BW133:CN133))*(15-pop_on_barren)-pop_on_barren*Construction!BV133</f>
        <v>8800</v>
      </c>
      <c r="W133" s="152">
        <f ca="1">MAX(-5%*C133-Z133,MIN(U134-C133-D133-Z133,X133-Z133))</f>
        <v>0</v>
      </c>
      <c r="X133" s="26">
        <f ca="1">ROUND($Y133*(1+$AB133),0)</f>
        <v>118</v>
      </c>
      <c r="Y133" s="164">
        <f ca="1">($C133-Z133)*raw_pop_growth</f>
        <v>118.35</v>
      </c>
      <c r="Z133" s="57">
        <f ca="1">IF(G133&lt;Military!Y133, ROUND($C133*IF(Magic!AW133=0,Constants!$B$51,Constants!$B$51*2),0), 0)</f>
        <v>0</v>
      </c>
      <c r="AA133" s="63"/>
      <c r="AB133" s="169">
        <f ca="1">Overview!$O$16 + IF(Magic!AK133&gt;0,Constants!$F$75) + ROUND(6*(Construction!BL134+Construction!CJ133)/IF(Explore!S134&gt;0,Construction!E134-20,Construction!E134),4)</f>
        <v>0</v>
      </c>
      <c r="AC133" s="540">
        <f ca="1">(Overview!$O$15 + Imps!Z133+MAX(Constants!$M$38*Techs!AE133,Constants!$M$50*Techs!AQ133)) * (1 + Production!O133/100*prestige_pop_multiplier) + Production!O133/100*prestige_pop_multiplier</f>
        <v>0.05</v>
      </c>
    </row>
    <row r="134" spans="1:29" s="16" customFormat="1">
      <c r="A134" s="987">
        <f>Rezone!J134</f>
        <v>132</v>
      </c>
      <c r="B134" s="589">
        <f>Imps!L134</f>
        <v>43697.458333333016</v>
      </c>
      <c r="C134" s="152">
        <f ca="1">$C133+$W133+Military!BE134 - IF(race="Demon",Military!G133*2,0)</f>
        <v>3945</v>
      </c>
      <c r="D134" s="26">
        <f ca="1">Military!B134</f>
        <v>5295</v>
      </c>
      <c r="E134" s="26">
        <f ca="1">Military!Z134</f>
        <v>3695</v>
      </c>
      <c r="F134" s="26">
        <f ca="1">C134+D134</f>
        <v>9240</v>
      </c>
      <c r="G134" s="27">
        <f ca="1">D134/F134</f>
        <v>0.57305194805194803</v>
      </c>
      <c r="H134" s="594">
        <f ca="1">MIN(C134,J134)</f>
        <v>3945</v>
      </c>
      <c r="I134" s="165">
        <f ca="1">MIN(J135/C134,1)</f>
        <v>1</v>
      </c>
      <c r="J134" s="676">
        <f>SUM(Construction!AY134:BH134,Construction!BJ134:BP134,Construction!BW134:CF134,Construction!CH134:CN134)*building_employment</f>
        <v>7600</v>
      </c>
      <c r="K134" s="635"/>
      <c r="L134" s="56">
        <f ca="1">Military!$Z134</f>
        <v>3695</v>
      </c>
      <c r="M134" s="26">
        <f>Military!E134</f>
        <v>0</v>
      </c>
      <c r="N134" s="26">
        <f>Military!F134</f>
        <v>0</v>
      </c>
      <c r="O134" s="26">
        <f>Military!G134</f>
        <v>1000</v>
      </c>
      <c r="P134" s="26">
        <f>Military!H134</f>
        <v>400</v>
      </c>
      <c r="Q134" s="26">
        <f>Military!I134</f>
        <v>100</v>
      </c>
      <c r="R134" s="26">
        <f>Military!J134</f>
        <v>100</v>
      </c>
      <c r="S134" s="57">
        <f>Military!K134</f>
        <v>0</v>
      </c>
      <c r="T134" s="52"/>
      <c r="U134" s="56">
        <f ca="1">ROUND($V134*(1+$AC134),0)+MIN(D134-E134-SUM(Military!AF134:AL134),barracks_size*Construction!BI134)</f>
        <v>9240</v>
      </c>
      <c r="V134" s="166">
        <f>(Construction!AX134+Construction!BV134)*pop_in_home+(SUM(Construction!AY134:BP134)+Construction!C134-Construction!BI134)*pop_in_building+(SUM(Construction!F134:L134)-Explore!S134*20)*pop_on_barren-(SUM(Construction!N134:AF134)-SUM(Construction!BW134:CN134))*(15-pop_on_barren)-pop_on_barren*Construction!BV134</f>
        <v>8800</v>
      </c>
      <c r="W134" s="152">
        <f ca="1">MAX(-5%*C134-Z134,MIN(U135-C134-D134-Z134,X134-Z134))</f>
        <v>0</v>
      </c>
      <c r="X134" s="26">
        <f ca="1">ROUND($Y134*(1+$AB134),0)</f>
        <v>118</v>
      </c>
      <c r="Y134" s="164">
        <f ca="1">($C134-Z134)*raw_pop_growth</f>
        <v>118.35</v>
      </c>
      <c r="Z134" s="57">
        <f ca="1">IF(G134&lt;Military!Y134, ROUND($C134*IF(Magic!AW134=0,Constants!$B$51,Constants!$B$51*2),0), 0)</f>
        <v>0</v>
      </c>
      <c r="AA134" s="63"/>
      <c r="AB134" s="169">
        <f ca="1">Overview!$O$16 + IF(Magic!AK134&gt;0,Constants!$F$75) + ROUND(6*(Construction!BL135+Construction!CJ134)/IF(Explore!S135&gt;0,Construction!E135-20,Construction!E135),4)</f>
        <v>0</v>
      </c>
      <c r="AC134" s="540">
        <f ca="1">(Overview!$O$15 + Imps!Z134+MAX(Constants!$M$38*Techs!AE134,Constants!$M$50*Techs!AQ134)) * (1 + Production!O134/100*prestige_pop_multiplier) + Production!O134/100*prestige_pop_multiplier</f>
        <v>0.05</v>
      </c>
    </row>
    <row r="135" spans="1:29" s="12" customFormat="1">
      <c r="A135" s="990">
        <f>Rezone!J135</f>
        <v>133</v>
      </c>
      <c r="B135" s="588">
        <f>Imps!L135</f>
        <v>43697.49999999968</v>
      </c>
      <c r="C135" s="151">
        <f ca="1">$C134+$W134+Military!BE135 - IF(race="Demon",Military!G134*2,0)</f>
        <v>3945</v>
      </c>
      <c r="D135" s="13">
        <f ca="1">Military!B135</f>
        <v>5295</v>
      </c>
      <c r="E135" s="13">
        <f ca="1">Military!Z135</f>
        <v>3695</v>
      </c>
      <c r="F135" s="13">
        <f ca="1">C135+D135</f>
        <v>9240</v>
      </c>
      <c r="G135" s="14">
        <f ca="1">D135/F135</f>
        <v>0.57305194805194803</v>
      </c>
      <c r="H135" s="596">
        <f ca="1">MIN(C135,J135)</f>
        <v>3945</v>
      </c>
      <c r="I135" s="154">
        <f ca="1">MIN(J136/C135,1)</f>
        <v>0</v>
      </c>
      <c r="J135" s="1055">
        <f>SUM(Construction!AY135:BH135,Construction!BJ135:BP135,Construction!BW135:CF135,Construction!CH135:CN135)*building_employment</f>
        <v>7600</v>
      </c>
      <c r="K135" s="755"/>
      <c r="L135" s="54">
        <f ca="1">Military!$Z135</f>
        <v>3695</v>
      </c>
      <c r="M135" s="13">
        <f>Military!E135</f>
        <v>0</v>
      </c>
      <c r="N135" s="13">
        <f>Military!F135</f>
        <v>0</v>
      </c>
      <c r="O135" s="13">
        <f>Military!G135</f>
        <v>1000</v>
      </c>
      <c r="P135" s="13">
        <f>Military!H135</f>
        <v>400</v>
      </c>
      <c r="Q135" s="13">
        <f>Military!I135</f>
        <v>100</v>
      </c>
      <c r="R135" s="13">
        <f>Military!J135</f>
        <v>100</v>
      </c>
      <c r="S135" s="55">
        <f>Military!K135</f>
        <v>0</v>
      </c>
      <c r="T135" s="50"/>
      <c r="U135" s="54">
        <f ca="1">ROUND($V135*(1+$AC135),0)+MIN(D135-E135-SUM(Military!AF135:AL135),barracks_size*Construction!BI135)</f>
        <v>9240</v>
      </c>
      <c r="V135" s="158">
        <f>(Construction!AX135+Construction!BV135)*pop_in_home+(SUM(Construction!AY135:BP135)+Construction!C135-Construction!BI135)*pop_in_building+(SUM(Construction!F135:L135)-Explore!S135*20)*pop_on_barren-(SUM(Construction!N135:AF135)-SUM(Construction!BW135:CN135))*(15-pop_on_barren)-pop_on_barren*Construction!BV135</f>
        <v>8800</v>
      </c>
      <c r="W135" s="151" t="e">
        <f ca="1">MAX(-5%*C135-Z135,MIN(U136-C135-D135-Z135,X135-Z135))</f>
        <v>#DIV/0!</v>
      </c>
      <c r="X135" s="13" t="e">
        <f ca="1">ROUND($Y135*(1+$AB135),0)</f>
        <v>#DIV/0!</v>
      </c>
      <c r="Y135" s="153">
        <f ca="1">($C135-Z135)*raw_pop_growth</f>
        <v>118.35</v>
      </c>
      <c r="Z135" s="55">
        <f ca="1">IF(G135&lt;Military!Y135, ROUND($C135*IF(Magic!AW135=0,Constants!$B$51,Constants!$B$51*2),0), 0)</f>
        <v>0</v>
      </c>
      <c r="AA135" s="286"/>
      <c r="AB135" s="161" t="e">
        <f ca="1">Overview!$O$16 + IF(Magic!AK135&gt;0,Constants!$F$75) + ROUND(6*(Construction!BL136+Construction!CJ135)/IF(Explore!S136&gt;0,Construction!E136-20,Construction!E136),4)</f>
        <v>#DIV/0!</v>
      </c>
      <c r="AC135" s="155">
        <f ca="1">(Overview!$O$15 + Imps!Z135+MAX(Constants!$M$38*Techs!AE135,Constants!$M$50*Techs!AQ135)) * (1 + Production!O135/100*prestige_pop_multiplier) + Production!O135/100*prestige_pop_multiplier</f>
        <v>0.05</v>
      </c>
    </row>
    <row r="1268" spans="3:26">
      <c r="C1268" s="1463" t="s">
        <v>332</v>
      </c>
      <c r="D1268" s="1406"/>
      <c r="W1268" s="9"/>
      <c r="X1268" s="9"/>
      <c r="Y1268" s="9"/>
      <c r="Z1268" s="9"/>
    </row>
    <row r="1269" spans="3:26">
      <c r="C1269" s="672">
        <f ca="1">Overview!E17</f>
        <v>1185</v>
      </c>
      <c r="D1269" s="672"/>
      <c r="W1269" s="9"/>
      <c r="X1269" s="9"/>
      <c r="Y1269" s="9"/>
      <c r="Z1269" s="9"/>
    </row>
  </sheetData>
  <mergeCells count="6">
    <mergeCell ref="C1268:D1268"/>
    <mergeCell ref="C1:I1"/>
    <mergeCell ref="W1:Z1"/>
    <mergeCell ref="AA1:AD1"/>
    <mergeCell ref="L1:S1"/>
    <mergeCell ref="U1:V1"/>
  </mergeCells>
  <phoneticPr fontId="0" type="noConversion"/>
  <conditionalFormatting sqref="A1268:XFD1269">
    <cfRule type="expression" dxfId="102" priority="1" stopIfTrue="1">
      <formula>$C$1269&gt;144</formula>
    </cfRule>
  </conditionalFormatting>
  <conditionalFormatting sqref="W1:IV2 V2 A1:U2">
    <cfRule type="expression" dxfId="101" priority="2" stopIfTrue="1">
      <formula>$C$1269&lt;1</formula>
    </cfRule>
  </conditionalFormatting>
  <conditionalFormatting sqref="K3:K135 A3:B135 T3:IV135">
    <cfRule type="expression" dxfId="100" priority="3" stopIfTrue="1">
      <formula>ROW()-3=$C$1269</formula>
    </cfRule>
  </conditionalFormatting>
  <conditionalFormatting sqref="L3:S135 C3:J135">
    <cfRule type="expression" dxfId="99" priority="4" stopIfTrue="1">
      <formula>OR(C3&lt;0,ROW()-3=$C$1269)</formula>
    </cfRule>
  </conditionalFormatting>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codeName="Sheet3">
    <pageSetUpPr autoPageBreaks="0"/>
  </sheetPr>
  <dimension ref="A1:BO1269"/>
  <sheetViews>
    <sheetView zoomScale="85" workbookViewId="0">
      <pane ySplit="2" topLeftCell="A3" activePane="bottomLeft" state="frozenSplit"/>
      <selection activeCell="A3" sqref="A3"/>
      <selection pane="bottomLeft" activeCell="AD4" sqref="AD4:AD135"/>
    </sheetView>
  </sheetViews>
  <sheetFormatPr defaultRowHeight="12.75"/>
  <cols>
    <col min="1" max="1" width="5.140625" style="987" bestFit="1" customWidth="1"/>
    <col min="2" max="2" width="5.7109375" style="16" bestFit="1" customWidth="1"/>
    <col min="3" max="3" width="10.140625" bestFit="1" customWidth="1"/>
    <col min="4" max="4" width="6.140625" customWidth="1"/>
    <col min="5" max="5" width="6.28515625" customWidth="1"/>
    <col min="6" max="6" width="8.7109375" bestFit="1" customWidth="1"/>
    <col min="7" max="9" width="9.28515625" bestFit="1" customWidth="1"/>
    <col min="10" max="11" width="7.7109375" bestFit="1" customWidth="1"/>
    <col min="12" max="12" width="7.5703125" customWidth="1"/>
    <col min="13" max="13" width="6.7109375" bestFit="1" customWidth="1"/>
    <col min="14" max="14" width="7.85546875" bestFit="1" customWidth="1"/>
    <col min="15" max="15" width="10" bestFit="1" customWidth="1"/>
    <col min="16" max="16" width="10" customWidth="1"/>
    <col min="17" max="17" width="8.42578125" bestFit="1" customWidth="1"/>
    <col min="18" max="18" width="6.7109375" bestFit="1" customWidth="1"/>
    <col min="19" max="19" width="7.42578125" bestFit="1" customWidth="1"/>
    <col min="20" max="21" width="9.42578125" bestFit="1" customWidth="1"/>
    <col min="22" max="22" width="6.42578125" bestFit="1" customWidth="1"/>
    <col min="23" max="23" width="8.140625" bestFit="1" customWidth="1"/>
    <col min="24" max="25" width="8" bestFit="1" customWidth="1"/>
    <col min="26" max="26" width="4.7109375" customWidth="1"/>
    <col min="27" max="27" width="7.42578125" bestFit="1" customWidth="1"/>
    <col min="28" max="29" width="9.42578125" bestFit="1" customWidth="1"/>
    <col min="30" max="30" width="7.7109375" bestFit="1" customWidth="1"/>
    <col min="31" max="32" width="8.140625" bestFit="1" customWidth="1"/>
    <col min="33" max="33" width="5.28515625" customWidth="1"/>
    <col min="34" max="34" width="7.42578125" bestFit="1" customWidth="1"/>
    <col min="35" max="36" width="9.42578125" bestFit="1" customWidth="1"/>
    <col min="37" max="37" width="7.7109375" bestFit="1" customWidth="1"/>
    <col min="38" max="39" width="8.140625" bestFit="1" customWidth="1"/>
    <col min="40" max="40" width="5.28515625" customWidth="1"/>
    <col min="41" max="41" width="10.28515625" customWidth="1"/>
    <col min="42" max="42" width="9.85546875" customWidth="1"/>
    <col min="43" max="43" width="10.140625" customWidth="1"/>
    <col min="44" max="44" width="10.5703125" bestFit="1" customWidth="1"/>
    <col min="45" max="45" width="6.42578125" customWidth="1"/>
    <col min="46" max="46" width="7.140625" bestFit="1" customWidth="1"/>
    <col min="47" max="47" width="7.140625" customWidth="1"/>
    <col min="48" max="48" width="5.5703125" bestFit="1" customWidth="1"/>
    <col min="49" max="50" width="6" bestFit="1" customWidth="1"/>
    <col min="51" max="52" width="6" customWidth="1"/>
    <col min="53" max="53" width="7" bestFit="1" customWidth="1"/>
    <col min="54" max="54" width="9.42578125" bestFit="1" customWidth="1"/>
    <col min="56" max="58" width="7.42578125" bestFit="1" customWidth="1"/>
    <col min="59" max="59" width="6.7109375" bestFit="1" customWidth="1"/>
    <col min="61" max="61" width="5.7109375" bestFit="1" customWidth="1"/>
    <col min="62" max="62" width="5" customWidth="1"/>
  </cols>
  <sheetData>
    <row r="1" spans="1:67" s="34" customFormat="1">
      <c r="A1" s="994"/>
      <c r="B1" s="496"/>
      <c r="C1" s="34" t="s">
        <v>242</v>
      </c>
      <c r="E1" s="34" t="s">
        <v>17</v>
      </c>
      <c r="S1" s="1467" t="s">
        <v>263</v>
      </c>
      <c r="T1" s="1467"/>
      <c r="U1" s="1467"/>
      <c r="AA1" s="1467" t="s">
        <v>88</v>
      </c>
      <c r="AB1" s="1467"/>
      <c r="AH1" s="1467" t="s">
        <v>177</v>
      </c>
      <c r="AI1" s="1467"/>
      <c r="AJ1" s="1467"/>
      <c r="AK1" s="1467"/>
      <c r="AL1" s="1467"/>
      <c r="AM1" s="1467"/>
      <c r="AO1" s="34" t="s">
        <v>19</v>
      </c>
      <c r="AT1" s="1467" t="s">
        <v>197</v>
      </c>
      <c r="AU1" s="1467"/>
      <c r="BE1" s="34" t="s">
        <v>488</v>
      </c>
      <c r="BK1" s="34" t="s">
        <v>17</v>
      </c>
    </row>
    <row r="2" spans="1:67" s="825" customFormat="1" ht="13.5" thickBot="1">
      <c r="A2" s="1116" t="s">
        <v>0</v>
      </c>
      <c r="B2" s="825" t="s">
        <v>327</v>
      </c>
      <c r="C2" s="825" t="s">
        <v>339</v>
      </c>
      <c r="E2" s="825" t="s">
        <v>1</v>
      </c>
      <c r="F2" s="825" t="s">
        <v>21</v>
      </c>
      <c r="G2" s="825" t="s">
        <v>244</v>
      </c>
      <c r="H2" s="825" t="s">
        <v>2</v>
      </c>
      <c r="I2" s="825" t="s">
        <v>5</v>
      </c>
      <c r="J2" s="825" t="s">
        <v>7</v>
      </c>
      <c r="K2" s="825" t="s">
        <v>12</v>
      </c>
      <c r="L2" s="825" t="s">
        <v>3</v>
      </c>
      <c r="M2" s="825" t="s">
        <v>4</v>
      </c>
      <c r="N2" s="825" t="s">
        <v>85</v>
      </c>
      <c r="O2" s="825" t="s">
        <v>369</v>
      </c>
      <c r="P2" s="825" t="s">
        <v>388</v>
      </c>
      <c r="Q2" s="825" t="s">
        <v>389</v>
      </c>
      <c r="S2" s="825" t="s">
        <v>6</v>
      </c>
      <c r="T2" s="825" t="s">
        <v>9</v>
      </c>
      <c r="U2" s="825" t="s">
        <v>8</v>
      </c>
      <c r="V2" s="825" t="s">
        <v>13</v>
      </c>
      <c r="W2" s="825" t="s">
        <v>10</v>
      </c>
      <c r="X2" s="825" t="s">
        <v>11</v>
      </c>
      <c r="Y2" s="825" t="s">
        <v>51</v>
      </c>
      <c r="AA2" s="825" t="s">
        <v>6</v>
      </c>
      <c r="AB2" s="825" t="s">
        <v>9</v>
      </c>
      <c r="AC2" s="825" t="s">
        <v>8</v>
      </c>
      <c r="AD2" s="825" t="s">
        <v>13</v>
      </c>
      <c r="AE2" s="825" t="s">
        <v>10</v>
      </c>
      <c r="AF2" s="825" t="s">
        <v>11</v>
      </c>
      <c r="AH2" s="825" t="s">
        <v>6</v>
      </c>
      <c r="AI2" s="825" t="s">
        <v>9</v>
      </c>
      <c r="AJ2" s="825" t="s">
        <v>8</v>
      </c>
      <c r="AK2" s="825" t="s">
        <v>13</v>
      </c>
      <c r="AL2" s="825" t="s">
        <v>10</v>
      </c>
      <c r="AM2" s="825" t="s">
        <v>11</v>
      </c>
      <c r="AO2" s="825" t="s">
        <v>14</v>
      </c>
      <c r="AP2" s="825" t="s">
        <v>20</v>
      </c>
      <c r="AQ2" s="825" t="s">
        <v>16</v>
      </c>
      <c r="AR2" s="825" t="s">
        <v>15</v>
      </c>
      <c r="AT2" s="825" t="s">
        <v>2</v>
      </c>
      <c r="AU2" s="825" t="s">
        <v>7</v>
      </c>
      <c r="AV2" s="825" t="s">
        <v>12</v>
      </c>
      <c r="AW2" s="825" t="s">
        <v>3</v>
      </c>
      <c r="AX2" s="825" t="s">
        <v>4</v>
      </c>
      <c r="AY2" s="1188" t="s">
        <v>5</v>
      </c>
      <c r="AZ2" s="1188" t="s">
        <v>85</v>
      </c>
      <c r="BB2" s="825" t="s">
        <v>343</v>
      </c>
      <c r="BC2" s="825" t="s">
        <v>344</v>
      </c>
      <c r="BD2" s="825" t="s">
        <v>0</v>
      </c>
      <c r="BE2" s="825" t="s">
        <v>39</v>
      </c>
      <c r="BF2" s="825" t="s">
        <v>7</v>
      </c>
      <c r="BG2" s="825" t="s">
        <v>3</v>
      </c>
      <c r="BH2" s="825" t="s">
        <v>4</v>
      </c>
      <c r="BI2" s="825" t="s">
        <v>327</v>
      </c>
      <c r="BJ2" s="825" t="s">
        <v>206</v>
      </c>
      <c r="BK2" s="825" t="s">
        <v>2</v>
      </c>
      <c r="BL2" s="825" t="s">
        <v>5</v>
      </c>
      <c r="BM2" s="825" t="s">
        <v>7</v>
      </c>
      <c r="BN2" s="825" t="s">
        <v>12</v>
      </c>
      <c r="BO2" s="825" t="s">
        <v>3</v>
      </c>
    </row>
    <row r="3" spans="1:67" s="1011" customFormat="1">
      <c r="A3" s="1106">
        <v>1</v>
      </c>
      <c r="B3" s="796">
        <f>Imps!L3</f>
        <v>43692</v>
      </c>
      <c r="C3" s="1107"/>
      <c r="D3" s="1108"/>
      <c r="E3" s="1069">
        <f>Construction!E3</f>
        <v>1000</v>
      </c>
      <c r="F3" s="1080">
        <f ca="1">Population!$C3</f>
        <v>11025</v>
      </c>
      <c r="G3" s="1080">
        <f ca="1">Military!EM3</f>
        <v>20900</v>
      </c>
      <c r="H3" s="1080">
        <f ca="1">start_plat - AT3 + IF(C3,Population!C3*4)+days_late*days_late_plat</f>
        <v>3936000</v>
      </c>
      <c r="I3" s="1080">
        <f ca="1">start_food+days_late*days_late_food-AY3</f>
        <v>50000</v>
      </c>
      <c r="J3" s="1080">
        <f ca="1">start_lumber - AU3+days_late*days_late_lumber</f>
        <v>302400</v>
      </c>
      <c r="K3" s="1080">
        <f ca="1">start_mana - AV3+days_late*days_late_mana</f>
        <v>20000</v>
      </c>
      <c r="L3" s="1080">
        <f ca="1">start_ore - AW3+days_late*days_late_ore</f>
        <v>300000</v>
      </c>
      <c r="M3" s="1080">
        <f ca="1">start_gems - AX3</f>
        <v>20000</v>
      </c>
      <c r="N3" s="1080">
        <f ca="1">start_boats-AZ3</f>
        <v>200</v>
      </c>
      <c r="O3" s="1080">
        <f>start_prestige</f>
        <v>500</v>
      </c>
      <c r="P3" s="1104">
        <f>ROUNDDOWN(-Q3*SUM(Techs!AY3:BY3),0)</f>
        <v>0</v>
      </c>
      <c r="Q3" s="1109">
        <f>MAX(min_tech_cost,ROUNDDOWN(tech_cost_per_acre*Construction!E3,0))</f>
        <v>6426</v>
      </c>
      <c r="S3" s="1069">
        <f t="shared" ref="S3:S14" ca="1" si="0">ROUNDDOWN(AA3*(1+AH3),0)</f>
        <v>9720</v>
      </c>
      <c r="T3" s="1080">
        <f t="shared" ref="T3:T14" ca="1" si="1">ROUND(AB3*(1+AI3)-AO3-AP3,0)</f>
        <v>2603</v>
      </c>
      <c r="U3" s="1080">
        <f t="shared" ref="U3:U14" ca="1" si="2">ROUND(AC3*(1+AJ3)-AQ3,0)</f>
        <v>-524</v>
      </c>
      <c r="V3" s="1080">
        <f t="shared" ref="V3:V14" ca="1" si="3">ROUND(AD3*(1+AK3)-AR3,0)</f>
        <v>850</v>
      </c>
      <c r="W3" s="1080">
        <f t="shared" ref="W3:W14" ca="1" si="4">ROUNDDOWN(AE3*(1+AL3),0)</f>
        <v>0</v>
      </c>
      <c r="X3" s="1080">
        <f t="shared" ref="X3:X14" ca="1" si="5">ROUNDDOWN(AF3*(1+AM3),0)</f>
        <v>0</v>
      </c>
      <c r="Y3" s="1110">
        <f>Construction!BP4*dock_boats_hr</f>
        <v>0</v>
      </c>
      <c r="Z3" s="1072"/>
      <c r="AA3" s="1069">
        <f ca="1">Population!C3*tax*Population!I3 + (Construction!AY4+Construction!BW4)*(alch_plat+(Magic!AR3&gt;0)*alchemist_flame_bonus)</f>
        <v>9720</v>
      </c>
      <c r="AB3" s="1080">
        <f>Construction!$AZ3*farm_food + Construction!$BP3*dock_food+IF(race="Growth",ROUNDDOWN(Military!G3*8,0),0)</f>
        <v>6400</v>
      </c>
      <c r="AC3" s="1080">
        <f>Construction!$BC3*ly_lumber+IF(race="Ants",ROUNDDOWN(Military!F3/2,0),0)</f>
        <v>2500</v>
      </c>
      <c r="AD3" s="1080">
        <f>Construction!$BK4*tower_mana+IF(race="Templars",ROUNDDOWN(Military!F3*0.02,0),0)+IF(race="Black Orc",Military!G3*5,0)+IF(race="Growth",ROUNDDOWN(Military!G3*0.1,0),0)+IF(race="Void",ROUNDDOWN(Military!F3*1.5,0),0)+IF(race="Void",ROUNDDOWN(Military!G3*4,0),0)</f>
        <v>1250</v>
      </c>
      <c r="AE3" s="1080">
        <f>Construction!$BE4*om_ore+IF(race="Dwarf",ROUNDDOWN(Military!F3*2,0),0)</f>
        <v>0</v>
      </c>
      <c r="AF3" s="236">
        <f>Construction!$BN4*dm_gems+IF(race="Dwarf",ROUNDDOWN(Military!F3/2,0),0)</f>
        <v>0</v>
      </c>
      <c r="AH3" s="1111">
        <f ca="1">MIN(race_platinum_bonus + IF(Magic!AJ3&gt;0,midas_bonus) + Imps!Y3 - BB3*0.02+MAX(tech_production_plat*Techs!Y3,tech_treasure_hunt_plat*Techs!AR3), 0.5)</f>
        <v>0</v>
      </c>
      <c r="AI3" s="1073">
        <f ca="1">race_food_bonus + IF(Magic!AO3&gt;0,gaias_blessing_food,IF(Magic!AG3&gt;0,gaias_watch_bonus)) + Imps!AD3+tech_production_food*Techs!W3 + O3/100*prestige_food_bonus</f>
        <v>0.1</v>
      </c>
      <c r="AJ3" s="1112">
        <f ca="1">race_lumber_bonus+ IF(Magic!AO3&gt;0,gaias_blessing_lumber)+tech_fruits_of_labor1*Techs!AP3</f>
        <v>0</v>
      </c>
      <c r="AK3" s="1112">
        <f ca="1">race_mana_bonus+tech_enchanted_lands_mana*Techs!AT3</f>
        <v>0</v>
      </c>
      <c r="AL3" s="1112">
        <f ca="1">race_ore_bonus + IF(Magic!AL3&gt;0,miners_sight_bonus,IF(Magic!AH3&gt;0,mining_strength_bonus))+tech_fruits_of_labor1*Techs!AP3</f>
        <v>0</v>
      </c>
      <c r="AM3" s="1113">
        <f ca="1">race_gem_bonus+MAX(tech_production_gems*Techs!X3,tech_fruits_of_labor_gems*Techs!AP3)</f>
        <v>0</v>
      </c>
      <c r="AO3" s="1069">
        <f ca="1">I3*food_decay*IF(Magic!AZ3&gt;0,0.5,1)</f>
        <v>500</v>
      </c>
      <c r="AP3" s="1080">
        <f ca="1">(1+race_food_consumption)*Population!F3*food_per_person</f>
        <v>3937.5</v>
      </c>
      <c r="AQ3" s="1080">
        <f t="shared" ref="AQ3:AQ34" ca="1" si="6">J3*lumber_rot</f>
        <v>3024</v>
      </c>
      <c r="AR3" s="236">
        <f t="shared" ref="AR3:AR34" ca="1" si="7">K3*mana_drain</f>
        <v>400</v>
      </c>
      <c r="AS3" s="1080"/>
      <c r="AT3" s="1069">
        <f ca="1">Explore!AH3+Construction!AP3+Military!AU3+Rezone!Y3+Imps!AM3-BE3</f>
        <v>414000</v>
      </c>
      <c r="AU3" s="1080">
        <f ca="1">Construction!AQ3+Imps!AN3-BF3+Military!AW3</f>
        <v>52600</v>
      </c>
      <c r="AV3" s="1080">
        <f ca="1">Magic!AD3+Military!AY3</f>
        <v>0</v>
      </c>
      <c r="AW3" s="1080">
        <f ca="1">Military!AV3+Imps!AO3-BG3</f>
        <v>0</v>
      </c>
      <c r="AX3" s="686">
        <f ca="1">Imps!AP3-BH3+Military!AX3</f>
        <v>0</v>
      </c>
      <c r="AY3" s="1080">
        <f ca="1">Military!AZ3</f>
        <v>0</v>
      </c>
      <c r="AZ3" s="687">
        <f ca="1">Military!BA3</f>
        <v>0</v>
      </c>
      <c r="BB3" s="1069" t="b">
        <f>IF(BC3&lt;&gt;"",BC3,FALSE)</f>
        <v>0</v>
      </c>
      <c r="BC3" s="1107"/>
      <c r="BD3" s="1114">
        <v>1</v>
      </c>
      <c r="BE3" s="1107">
        <f>-BF3 / 2 + -BH3 * 2</f>
        <v>0</v>
      </c>
      <c r="BF3" s="426"/>
      <c r="BG3" s="426"/>
      <c r="BH3" s="1115"/>
      <c r="BI3" s="1037">
        <f t="shared" ref="BI3:BI34" si="8">B3</f>
        <v>43692</v>
      </c>
      <c r="BJ3" s="1042" t="str">
        <f>IF(AND(BE3=0,BF3=0,BG3=0,BH3=0),"",IF(BE3&gt;0,IF((BF3+BG3)/2+BH3*2+BE3=0,"Ok","Nope"),IF(BF3&gt;0,IF((BE3+BG3)/2+BH3*2+BF3=0,"Ok","Nope"),IF(BG3&gt;0,IF((BE3+BF3)/2+BH3*2+BG3=0,"Ok","Nope")))))</f>
        <v/>
      </c>
      <c r="BK3" s="1080">
        <f ca="1">H3</f>
        <v>3936000</v>
      </c>
      <c r="BL3" s="1080">
        <f t="shared" ref="BL3:BL66" ca="1" si="9">I3</f>
        <v>50000</v>
      </c>
      <c r="BM3" s="1080">
        <f t="shared" ref="BM3:BM66" ca="1" si="10">J3</f>
        <v>302400</v>
      </c>
      <c r="BN3" s="1080">
        <f t="shared" ref="BN3:BN66" ca="1" si="11">K3</f>
        <v>20000</v>
      </c>
      <c r="BO3" s="236">
        <f t="shared" ref="BO3:BO66" ca="1" si="12">L3</f>
        <v>300000</v>
      </c>
    </row>
    <row r="4" spans="1:67" s="170" customFormat="1">
      <c r="A4" s="986">
        <v>2</v>
      </c>
      <c r="B4" s="532">
        <f>Imps!L4</f>
        <v>43692.041666666664</v>
      </c>
      <c r="C4" s="329"/>
      <c r="D4" s="834"/>
      <c r="E4" s="152">
        <f>Construction!E4</f>
        <v>1000</v>
      </c>
      <c r="F4" s="164">
        <f ca="1">Population!$C4</f>
        <v>10363.75</v>
      </c>
      <c r="G4" s="164">
        <f ca="1">Military!EM4</f>
        <v>20900</v>
      </c>
      <c r="H4" s="26">
        <f ca="1">H3+S3 - AT4 + IF(C4,Population!C4*4)</f>
        <v>3945720</v>
      </c>
      <c r="I4" s="164">
        <f ca="1">I3+T3-AY4</f>
        <v>52603</v>
      </c>
      <c r="J4" s="164">
        <f t="shared" ref="J4:J35" ca="1" si="13">J3+U3 - AU4</f>
        <v>301876</v>
      </c>
      <c r="K4" s="164">
        <f t="shared" ref="K4:K35" ca="1" si="14">K3+V3 - AV4</f>
        <v>20850</v>
      </c>
      <c r="L4" s="164">
        <f t="shared" ref="L4:L35" ca="1" si="15">L3+W3 - AW4</f>
        <v>300000</v>
      </c>
      <c r="M4" s="164">
        <f t="shared" ref="M4:M35" ca="1" si="16">M3+X3 - AX4</f>
        <v>20000</v>
      </c>
      <c r="N4" s="164">
        <f ca="1">N3+Y3-AZ4</f>
        <v>200</v>
      </c>
      <c r="O4" s="164">
        <f>O3</f>
        <v>500</v>
      </c>
      <c r="P4" s="164">
        <f>ROUNDDOWN(P3+MAX(Construction!BO4/2,Construction!BO4*(1-Construction!BO4/(E4-Explore!S4*20)))-Q4*SUM(Techs!AY4:BY4),0)</f>
        <v>0</v>
      </c>
      <c r="Q4" s="166">
        <f>MAX(min_tech_cost,ROUNDDOWN(tech_cost_per_acre*Construction!E4,0))</f>
        <v>6426</v>
      </c>
      <c r="S4" s="152">
        <f t="shared" ca="1" si="0"/>
        <v>9720</v>
      </c>
      <c r="T4" s="164">
        <f t="shared" ca="1" si="1"/>
        <v>2714</v>
      </c>
      <c r="U4" s="164">
        <f t="shared" ca="1" si="2"/>
        <v>-519</v>
      </c>
      <c r="V4" s="164">
        <f t="shared" ca="1" si="3"/>
        <v>833</v>
      </c>
      <c r="W4" s="164">
        <f t="shared" ca="1" si="4"/>
        <v>0</v>
      </c>
      <c r="X4" s="164">
        <f t="shared" ca="1" si="5"/>
        <v>0</v>
      </c>
      <c r="Y4" s="265">
        <f>Construction!BP5*dock_boats_hr</f>
        <v>0</v>
      </c>
      <c r="Z4" s="164"/>
      <c r="AA4" s="152">
        <f ca="1">Population!C4*tax*Population!I4 + (Construction!AY5+Construction!BW5)*(alch_plat+(Magic!AR4&gt;0)*alchemist_flame_bonus)</f>
        <v>9720.0000000000018</v>
      </c>
      <c r="AB4" s="164">
        <f>Construction!$AZ4*farm_food + Construction!$BP4*dock_food+IF(race="Growth",ROUNDDOWN(Military!G4*8,0),0)</f>
        <v>6400</v>
      </c>
      <c r="AC4" s="164">
        <f>Construction!$BC4*ly_lumber+IF(race="Ants",ROUNDDOWN(Military!F4/2,0),0)</f>
        <v>2500</v>
      </c>
      <c r="AD4" s="164">
        <f>Construction!$BK5*tower_mana+IF(race="Templars",ROUNDDOWN(Military!F4*0.02,0),0)+IF(race="Black Orc",Military!G4*5,0)+IF(race="Growth",ROUNDDOWN(Military!G4*0.1,0),0)+IF(race="Void",ROUNDDOWN(Military!F4*1.5,0),0)+IF(race="Void",ROUNDDOWN(Military!G4*4,0),0)</f>
        <v>1250</v>
      </c>
      <c r="AE4" s="164">
        <f>Construction!$BE5*om_ore+IF(race="Dwarf",ROUNDDOWN(Military!F4*2,0),0)</f>
        <v>0</v>
      </c>
      <c r="AF4" s="166">
        <f>Construction!$BN5*dm_gems+IF(race="Dwarf",ROUNDDOWN(Military!F4/2,0),0)</f>
        <v>0</v>
      </c>
      <c r="AH4" s="266">
        <f ca="1">MIN(race_platinum_bonus + IF(Magic!AJ4&gt;0,midas_bonus) + Imps!Y4 - BB4*0.02+MAX(tech_production_plat*Techs!Y4,tech_treasure_hunt_plat*Techs!AR4), 0.5)</f>
        <v>0</v>
      </c>
      <c r="AI4" s="455">
        <f ca="1">race_food_bonus + IF(Magic!AO4&gt;0,gaias_blessing_food,IF(Magic!AG4&gt;0,gaias_watch_bonus)) + Imps!AD4+tech_production_food*Techs!W4 + O4/100*prestige_food_bonus</f>
        <v>0.1</v>
      </c>
      <c r="AJ4" s="267">
        <f ca="1">race_lumber_bonus+ IF(Magic!AO4&gt;0,gaias_blessing_lumber)+tech_fruits_of_labor1*Techs!AP4</f>
        <v>0</v>
      </c>
      <c r="AK4" s="267">
        <f ca="1">race_mana_bonus+tech_enchanted_lands_mana*Techs!AT4</f>
        <v>0</v>
      </c>
      <c r="AL4" s="267">
        <f ca="1">race_ore_bonus + IF(Magic!AL4&gt;0,miners_sight_bonus,IF(Magic!AH4&gt;0,mining_strength_bonus))+tech_fruits_of_labor1*Techs!AP4</f>
        <v>0</v>
      </c>
      <c r="AM4" s="193">
        <f ca="1">race_gem_bonus+MAX(tech_production_gems*Techs!X4,tech_fruits_of_labor_gems*Techs!AP4)</f>
        <v>0</v>
      </c>
      <c r="AO4" s="152">
        <f ca="1">I4*food_decay*IF(Magic!AZ4&gt;0,0.5,1)</f>
        <v>526.03</v>
      </c>
      <c r="AP4" s="26">
        <f ca="1">(1+race_food_consumption)*Population!F4*food_per_person</f>
        <v>3799.6875</v>
      </c>
      <c r="AQ4" s="164">
        <f t="shared" ca="1" si="6"/>
        <v>3018.76</v>
      </c>
      <c r="AR4" s="166">
        <f t="shared" ca="1" si="7"/>
        <v>417</v>
      </c>
      <c r="AS4" s="164"/>
      <c r="AT4" s="152">
        <f ca="1">Explore!AH4+Construction!AP4+Military!AU4+Rezone!Y4+Imps!AM4-BE4</f>
        <v>0</v>
      </c>
      <c r="AU4" s="164">
        <f>Construction!AQ4+Imps!AN4-BF4</f>
        <v>0</v>
      </c>
      <c r="AV4" s="164">
        <f>Magic!AD4</f>
        <v>0</v>
      </c>
      <c r="AW4" s="164">
        <f ca="1">Military!AV4+Imps!AO4-BG4</f>
        <v>0</v>
      </c>
      <c r="AX4" s="164">
        <f>Imps!AP4-BH4</f>
        <v>0</v>
      </c>
      <c r="AY4" s="164">
        <f ca="1">Military!AZ4</f>
        <v>0</v>
      </c>
      <c r="AZ4" s="166">
        <f ca="1">Military!BA4</f>
        <v>0</v>
      </c>
      <c r="BB4" s="152" t="b">
        <f t="shared" ref="BB4:BB14" si="17">IF(BC4&lt;&gt;"",BC4,BB3)</f>
        <v>0</v>
      </c>
      <c r="BC4" s="329"/>
      <c r="BD4" s="978">
        <v>2</v>
      </c>
      <c r="BE4" s="329"/>
      <c r="BF4" s="407"/>
      <c r="BG4" s="407"/>
      <c r="BH4" s="743"/>
      <c r="BI4" s="1036">
        <f t="shared" si="8"/>
        <v>43692.041666666664</v>
      </c>
      <c r="BJ4" s="159" t="str">
        <f>IF(AND(BE4=0,BF4=0,BG4=0,BH4=0),"",IF(BE4&gt;0,IF((BF4+BG4)/2+BH4*2+BE4=0,"Ok","Nope"),IF(BF4&gt;0,IF((BE4+BG4)/2+BH4*2+BF4=0,"Ok","Nope"),IF(BG4&gt;0,IF((BE4+BF4)/2+BH4*2+BG4=0,"Ok","Nope")))))</f>
        <v/>
      </c>
      <c r="BK4" s="26">
        <f t="shared" ref="BK4:BK67" ca="1" si="18">H4</f>
        <v>3945720</v>
      </c>
      <c r="BL4" s="164">
        <f t="shared" ca="1" si="9"/>
        <v>52603</v>
      </c>
      <c r="BM4" s="164">
        <f t="shared" ca="1" si="10"/>
        <v>301876</v>
      </c>
      <c r="BN4" s="164">
        <f t="shared" ca="1" si="11"/>
        <v>20850</v>
      </c>
      <c r="BO4" s="166">
        <f t="shared" ca="1" si="12"/>
        <v>300000</v>
      </c>
    </row>
    <row r="5" spans="1:67" s="170" customFormat="1">
      <c r="A5" s="986">
        <v>3</v>
      </c>
      <c r="B5" s="816">
        <f>Imps!L5</f>
        <v>43692.083333333328</v>
      </c>
      <c r="C5" s="329"/>
      <c r="D5" s="834"/>
      <c r="E5" s="152">
        <f>Construction!E5</f>
        <v>1000</v>
      </c>
      <c r="F5" s="164">
        <f ca="1">Population!$C5</f>
        <v>9741.5625</v>
      </c>
      <c r="G5" s="164">
        <f ca="1">Military!EM5</f>
        <v>20900</v>
      </c>
      <c r="H5" s="26">
        <f ca="1">H4+S4 - AT5 + IF(C5,Population!C5*4)</f>
        <v>3955440</v>
      </c>
      <c r="I5" s="164">
        <f t="shared" ref="I5:I68" ca="1" si="19">I4+T4-AY5</f>
        <v>55317</v>
      </c>
      <c r="J5" s="164">
        <f t="shared" ca="1" si="13"/>
        <v>301357</v>
      </c>
      <c r="K5" s="164">
        <f t="shared" ca="1" si="14"/>
        <v>21683</v>
      </c>
      <c r="L5" s="164">
        <f t="shared" ca="1" si="15"/>
        <v>300000</v>
      </c>
      <c r="M5" s="164">
        <f t="shared" ca="1" si="16"/>
        <v>20000</v>
      </c>
      <c r="N5" s="164">
        <f t="shared" ref="N5:N68" ca="1" si="20">N4+Y4-AZ5</f>
        <v>200</v>
      </c>
      <c r="O5" s="164">
        <f t="shared" ref="O5:O68" si="21">O4</f>
        <v>500</v>
      </c>
      <c r="P5" s="164">
        <f>ROUNDDOWN(P4+MAX(Construction!BO5/2,Construction!BO5*(1-Construction!BO5/(E5-Explore!S5*20)))-Q5*SUM(Techs!AY5:BY5),0)</f>
        <v>0</v>
      </c>
      <c r="Q5" s="166">
        <f>MAX(min_tech_cost,ROUNDDOWN(tech_cost_per_acre*Construction!E5,0))</f>
        <v>6426</v>
      </c>
      <c r="S5" s="152">
        <f t="shared" ca="1" si="0"/>
        <v>9720</v>
      </c>
      <c r="T5" s="164">
        <f t="shared" ca="1" si="1"/>
        <v>2817</v>
      </c>
      <c r="U5" s="164">
        <f t="shared" ca="1" si="2"/>
        <v>-514</v>
      </c>
      <c r="V5" s="164">
        <f t="shared" ca="1" si="3"/>
        <v>816</v>
      </c>
      <c r="W5" s="164">
        <f t="shared" ca="1" si="4"/>
        <v>0</v>
      </c>
      <c r="X5" s="164">
        <f t="shared" ca="1" si="5"/>
        <v>0</v>
      </c>
      <c r="Y5" s="265">
        <f>Construction!BP6*dock_boats_hr</f>
        <v>0</v>
      </c>
      <c r="Z5" s="164"/>
      <c r="AA5" s="152">
        <f ca="1">Population!C5*tax*Population!I5 + (Construction!AY6+Construction!BW6)*(alch_plat+(Magic!AR5&gt;0)*alchemist_flame_bonus)</f>
        <v>9720</v>
      </c>
      <c r="AB5" s="164">
        <f>Construction!$AZ5*farm_food + Construction!$BP5*dock_food+IF(race="Growth",ROUNDDOWN(Military!G5*8,0),0)</f>
        <v>6400</v>
      </c>
      <c r="AC5" s="164">
        <f>Construction!$BC5*ly_lumber+IF(race="Ants",ROUNDDOWN(Military!F5/2,0),0)</f>
        <v>2500</v>
      </c>
      <c r="AD5" s="164">
        <f>Construction!$BK6*tower_mana+IF(race="Templars",ROUNDDOWN(Military!F5*0.02,0),0)+IF(race="Black Orc",Military!G5*5,0)+IF(race="Growth",ROUNDDOWN(Military!G5*0.1,0),0)+IF(race="Void",ROUNDDOWN(Military!F5*1.5,0),0)+IF(race="Void",ROUNDDOWN(Military!G5*4,0),0)</f>
        <v>1250</v>
      </c>
      <c r="AE5" s="164">
        <f>Construction!$BE6*om_ore+IF(race="Dwarf",ROUNDDOWN(Military!F5*2,0),0)</f>
        <v>0</v>
      </c>
      <c r="AF5" s="166">
        <f>Construction!$BN6*dm_gems+IF(race="Dwarf",ROUNDDOWN(Military!F5/2,0),0)</f>
        <v>0</v>
      </c>
      <c r="AH5" s="266">
        <f ca="1">MIN(race_platinum_bonus + IF(Magic!AJ5&gt;0,midas_bonus) + Imps!Y5 - BB5*0.02+MAX(tech_production_plat*Techs!Y5,tech_treasure_hunt_plat*Techs!AR5), 0.5)</f>
        <v>0</v>
      </c>
      <c r="AI5" s="455">
        <f ca="1">race_food_bonus + IF(Magic!AO5&gt;0,gaias_blessing_food,IF(Magic!AG5&gt;0,gaias_watch_bonus)) + Imps!AD5+tech_production_food*Techs!W5 + O5/100*prestige_food_bonus</f>
        <v>0.1</v>
      </c>
      <c r="AJ5" s="267">
        <f ca="1">race_lumber_bonus+ IF(Magic!AO5&gt;0,gaias_blessing_lumber)+tech_fruits_of_labor1*Techs!AP5</f>
        <v>0</v>
      </c>
      <c r="AK5" s="267">
        <f ca="1">race_mana_bonus+tech_enchanted_lands_mana*Techs!AT5</f>
        <v>0</v>
      </c>
      <c r="AL5" s="267">
        <f ca="1">race_ore_bonus + IF(Magic!AL5&gt;0,miners_sight_bonus,IF(Magic!AH5&gt;0,mining_strength_bonus))+tech_fruits_of_labor1*Techs!AP5</f>
        <v>0</v>
      </c>
      <c r="AM5" s="193">
        <f ca="1">race_gem_bonus+MAX(tech_production_gems*Techs!X5,tech_fruits_of_labor_gems*Techs!AP5)</f>
        <v>0</v>
      </c>
      <c r="AO5" s="152">
        <f ca="1">I5*food_decay*IF(Magic!AZ5&gt;0,0.5,1)</f>
        <v>553.16999999999996</v>
      </c>
      <c r="AP5" s="26">
        <f ca="1">(1+race_food_consumption)*Population!F5*food_per_person</f>
        <v>3670.140625</v>
      </c>
      <c r="AQ5" s="164">
        <f t="shared" ca="1" si="6"/>
        <v>3013.57</v>
      </c>
      <c r="AR5" s="166">
        <f t="shared" ca="1" si="7"/>
        <v>433.66</v>
      </c>
      <c r="AS5" s="164"/>
      <c r="AT5" s="152">
        <f ca="1">Explore!AH5+Construction!AP5+Military!AU5+Rezone!Y5+Imps!AM5-BE5</f>
        <v>0</v>
      </c>
      <c r="AU5" s="164">
        <f>Construction!AQ5+Imps!AN5-BF5</f>
        <v>0</v>
      </c>
      <c r="AV5" s="164">
        <f>Magic!AD5</f>
        <v>0</v>
      </c>
      <c r="AW5" s="164">
        <f ca="1">Military!AV5+Imps!AO5-BG5</f>
        <v>0</v>
      </c>
      <c r="AX5" s="164">
        <f>Imps!AP5-BH5</f>
        <v>0</v>
      </c>
      <c r="AY5" s="164">
        <f ca="1">Military!AZ5</f>
        <v>0</v>
      </c>
      <c r="AZ5" s="166">
        <f ca="1">Military!BA5</f>
        <v>0</v>
      </c>
      <c r="BB5" s="152" t="b">
        <f t="shared" si="17"/>
        <v>0</v>
      </c>
      <c r="BC5" s="329"/>
      <c r="BD5" s="978">
        <v>3</v>
      </c>
      <c r="BE5" s="329"/>
      <c r="BF5" s="407"/>
      <c r="BG5" s="407"/>
      <c r="BH5" s="743"/>
      <c r="BI5" s="1036">
        <f t="shared" si="8"/>
        <v>43692.083333333328</v>
      </c>
      <c r="BJ5" s="159" t="str">
        <f>IF(AND(BE5=0,BF5=0,BG5=0,BH5=0),"",IF(BE5&gt;0,IF((BF5+BG5)/2+BH5*2+BE5=0,"Ok","Nope"),IF(BF5&gt;0,IF((BE5+BG5)/2+BH5*2+BF5=0,"Ok","Nope"),IF(BG5&gt;0,IF((BE5+BF5)/2+BH5*2+BG5=0,"Ok","Nope")))))</f>
        <v/>
      </c>
      <c r="BK5" s="26">
        <f t="shared" ca="1" si="18"/>
        <v>3955440</v>
      </c>
      <c r="BL5" s="164">
        <f t="shared" ca="1" si="9"/>
        <v>55317</v>
      </c>
      <c r="BM5" s="164">
        <f t="shared" ca="1" si="10"/>
        <v>301357</v>
      </c>
      <c r="BN5" s="164">
        <f t="shared" ca="1" si="11"/>
        <v>21683</v>
      </c>
      <c r="BO5" s="166">
        <f t="shared" ca="1" si="12"/>
        <v>300000</v>
      </c>
    </row>
    <row r="6" spans="1:67" s="16" customFormat="1">
      <c r="A6" s="987">
        <v>4</v>
      </c>
      <c r="B6" s="816">
        <f>Imps!L6</f>
        <v>43692.124999999993</v>
      </c>
      <c r="C6" s="332"/>
      <c r="D6" s="835"/>
      <c r="E6" s="56">
        <f>Construction!E6</f>
        <v>1000</v>
      </c>
      <c r="F6" s="26">
        <f ca="1">Population!$C6</f>
        <v>9157.484375</v>
      </c>
      <c r="G6" s="26">
        <f ca="1">Military!EM6</f>
        <v>20900</v>
      </c>
      <c r="H6" s="26">
        <f ca="1">H5+S5 - AT6 + IF(C6,Population!C6*4)</f>
        <v>3965160</v>
      </c>
      <c r="I6" s="26">
        <f t="shared" ca="1" si="19"/>
        <v>58134</v>
      </c>
      <c r="J6" s="26">
        <f t="shared" ca="1" si="13"/>
        <v>300843</v>
      </c>
      <c r="K6" s="26">
        <f t="shared" ca="1" si="14"/>
        <v>22499</v>
      </c>
      <c r="L6" s="26">
        <f t="shared" ca="1" si="15"/>
        <v>300000</v>
      </c>
      <c r="M6" s="26">
        <f t="shared" ca="1" si="16"/>
        <v>20000</v>
      </c>
      <c r="N6" s="26">
        <f t="shared" ca="1" si="20"/>
        <v>200</v>
      </c>
      <c r="O6" s="26">
        <f t="shared" si="21"/>
        <v>500</v>
      </c>
      <c r="P6" s="26">
        <f>ROUNDDOWN(P5+MAX(Construction!BO6/2,Construction!BO6*(1-Construction!BO6/(E6-Explore!S6*20)))-Q6*SUM(Techs!AY6:BY6),0)</f>
        <v>0</v>
      </c>
      <c r="Q6" s="166">
        <f>MAX(min_tech_cost,ROUNDDOWN(tech_cost_per_acre*Construction!E6,0))</f>
        <v>6426</v>
      </c>
      <c r="S6" s="152">
        <f t="shared" ca="1" si="0"/>
        <v>9720</v>
      </c>
      <c r="T6" s="164">
        <f t="shared" ca="1" si="1"/>
        <v>2910</v>
      </c>
      <c r="U6" s="164">
        <f t="shared" ca="1" si="2"/>
        <v>-508</v>
      </c>
      <c r="V6" s="164">
        <f t="shared" ca="1" si="3"/>
        <v>800</v>
      </c>
      <c r="W6" s="164">
        <f t="shared" ca="1" si="4"/>
        <v>0</v>
      </c>
      <c r="X6" s="164">
        <f t="shared" ca="1" si="5"/>
        <v>0</v>
      </c>
      <c r="Y6" s="265">
        <f>Construction!BP7*dock_boats_hr</f>
        <v>0</v>
      </c>
      <c r="Z6" s="164"/>
      <c r="AA6" s="152">
        <f ca="1">Population!C6*tax*Population!I6 + (Construction!AY7+Construction!BW7)*(alch_plat+(Magic!AR6&gt;0)*alchemist_flame_bonus)</f>
        <v>9720</v>
      </c>
      <c r="AB6" s="164">
        <f>Construction!$AZ6*farm_food + Construction!$BP6*dock_food+IF(race="Growth",ROUNDDOWN(Military!G6*8,0),0)</f>
        <v>6400</v>
      </c>
      <c r="AC6" s="164">
        <f>Construction!$BC6*ly_lumber+IF(race="Ants",ROUNDDOWN(Military!F6/2,0),0)</f>
        <v>2500</v>
      </c>
      <c r="AD6" s="26">
        <f>Construction!$BK7*tower_mana+IF(race="Templars",ROUNDDOWN(Military!F6*0.02,0),0)+IF(race="Black Orc",Military!G6*5,0)+IF(race="Growth",ROUNDDOWN(Military!G6*0.1,0),0)+IF(race="Void",ROUNDDOWN(Military!F6*1.5,0),0)+IF(race="Void",ROUNDDOWN(Military!G6*4,0),0)</f>
        <v>1250</v>
      </c>
      <c r="AE6" s="164">
        <f>Construction!$BE7*om_ore+IF(race="Dwarf",ROUNDDOWN(Military!F6*2,0),0)</f>
        <v>0</v>
      </c>
      <c r="AF6" s="57">
        <f>Construction!$BN7*dm_gems+IF(race="Dwarf",ROUNDDOWN(Military!F6/2,0),0)</f>
        <v>0</v>
      </c>
      <c r="AH6" s="266">
        <f ca="1">MIN(race_platinum_bonus + IF(Magic!AJ6&gt;0,midas_bonus) + Imps!Y6 - BB6*0.02+MAX(tech_production_plat*Techs!Y6,tech_treasure_hunt_plat*Techs!AR6), 0.5)</f>
        <v>0</v>
      </c>
      <c r="AI6" s="455">
        <f ca="1">race_food_bonus + IF(Magic!AO6&gt;0,gaias_blessing_food,IF(Magic!AG6&gt;0,gaias_watch_bonus)) + Imps!AD6+tech_production_food*Techs!W6 + O6/100*prestige_food_bonus</f>
        <v>0.1</v>
      </c>
      <c r="AJ6" s="267">
        <f ca="1">race_lumber_bonus+ IF(Magic!AO6&gt;0,gaias_blessing_lumber)+tech_fruits_of_labor1*Techs!AP6</f>
        <v>0</v>
      </c>
      <c r="AK6" s="267">
        <f ca="1">race_mana_bonus+tech_enchanted_lands_mana*Techs!AT6</f>
        <v>0</v>
      </c>
      <c r="AL6" s="267">
        <f ca="1">race_ore_bonus + IF(Magic!AL6&gt;0,miners_sight_bonus,IF(Magic!AH6&gt;0,mining_strength_bonus))+tech_fruits_of_labor1*Techs!AP6</f>
        <v>0</v>
      </c>
      <c r="AM6" s="193">
        <f ca="1">race_gem_bonus+MAX(tech_production_gems*Techs!X6,tech_fruits_of_labor_gems*Techs!AP6)</f>
        <v>0</v>
      </c>
      <c r="AO6" s="56">
        <f ca="1">I6*food_decay*IF(Magic!AZ6&gt;0,0.5,1)</f>
        <v>581.34</v>
      </c>
      <c r="AP6" s="26">
        <f ca="1">(1+race_food_consumption)*Population!F6*food_per_person</f>
        <v>3548.37109375</v>
      </c>
      <c r="AQ6" s="26">
        <f t="shared" ca="1" si="6"/>
        <v>3008.43</v>
      </c>
      <c r="AR6" s="57">
        <f t="shared" ca="1" si="7"/>
        <v>449.98</v>
      </c>
      <c r="AS6" s="26"/>
      <c r="AT6" s="56">
        <f ca="1">Explore!AH6+Construction!AP6+Military!AU6+Rezone!Y6+Imps!AM6-BE6</f>
        <v>0</v>
      </c>
      <c r="AU6" s="26">
        <f>Construction!AQ6+Imps!AN6-BF6</f>
        <v>0</v>
      </c>
      <c r="AV6" s="26">
        <f>Magic!AD6</f>
        <v>0</v>
      </c>
      <c r="AW6" s="26">
        <f ca="1">Military!AV6+Imps!AO6-BG6</f>
        <v>0</v>
      </c>
      <c r="AX6" s="26">
        <f>Imps!AP6-BH6</f>
        <v>0</v>
      </c>
      <c r="AY6" s="26">
        <f ca="1">Military!AZ6</f>
        <v>0</v>
      </c>
      <c r="AZ6" s="57">
        <f ca="1">Military!BA6</f>
        <v>0</v>
      </c>
      <c r="BB6" s="56" t="b">
        <f t="shared" si="17"/>
        <v>0</v>
      </c>
      <c r="BC6" s="332"/>
      <c r="BD6" s="979">
        <v>4</v>
      </c>
      <c r="BE6" s="329"/>
      <c r="BF6" s="370"/>
      <c r="BG6" s="370"/>
      <c r="BH6" s="744"/>
      <c r="BI6" s="1036">
        <f t="shared" si="8"/>
        <v>43692.124999999993</v>
      </c>
      <c r="BJ6" s="159" t="str">
        <f t="shared" ref="BJ6:BJ69" si="22">IF(AND(BE6=0,BF6=0,BG6=0,BH6=0),"",IF(BE6&gt;0,IF((BF6+BG6)/2+BH6*2+BE6=0,"Ok","Nope"),IF(BF6&gt;0,IF((BE6+BG6)/2+BH6*2+BF6=0,"Ok","Nope"),IF(BG6&gt;0,IF((BE6+BF6)/2+BH6*2+BG6=0,"Ok","Nope")))))</f>
        <v/>
      </c>
      <c r="BK6" s="26">
        <f t="shared" ca="1" si="18"/>
        <v>3965160</v>
      </c>
      <c r="BL6" s="26">
        <f t="shared" ca="1" si="9"/>
        <v>58134</v>
      </c>
      <c r="BM6" s="26">
        <f t="shared" ca="1" si="10"/>
        <v>300843</v>
      </c>
      <c r="BN6" s="26">
        <f t="shared" ca="1" si="11"/>
        <v>22499</v>
      </c>
      <c r="BO6" s="57">
        <f t="shared" ca="1" si="12"/>
        <v>300000</v>
      </c>
    </row>
    <row r="7" spans="1:67" s="16" customFormat="1">
      <c r="A7" s="987">
        <v>5</v>
      </c>
      <c r="B7" s="816">
        <f>Imps!L7</f>
        <v>43692.166666666657</v>
      </c>
      <c r="C7" s="332"/>
      <c r="D7" s="835"/>
      <c r="E7" s="56">
        <f>Construction!E7</f>
        <v>1000</v>
      </c>
      <c r="F7" s="26">
        <f ca="1">Population!$C7</f>
        <v>8607.6101562500007</v>
      </c>
      <c r="G7" s="26">
        <f ca="1">Military!EM7</f>
        <v>20900</v>
      </c>
      <c r="H7" s="26">
        <f ca="1">H6+S6 - AT7 + IF(C7,Population!C7*4)</f>
        <v>3974880</v>
      </c>
      <c r="I7" s="26">
        <f t="shared" ca="1" si="19"/>
        <v>61044</v>
      </c>
      <c r="J7" s="26">
        <f t="shared" ca="1" si="13"/>
        <v>300335</v>
      </c>
      <c r="K7" s="26">
        <f t="shared" ca="1" si="14"/>
        <v>23299</v>
      </c>
      <c r="L7" s="26">
        <f t="shared" ca="1" si="15"/>
        <v>300000</v>
      </c>
      <c r="M7" s="26">
        <f t="shared" ca="1" si="16"/>
        <v>20000</v>
      </c>
      <c r="N7" s="26">
        <f t="shared" ca="1" si="20"/>
        <v>200</v>
      </c>
      <c r="O7" s="26">
        <f t="shared" si="21"/>
        <v>500</v>
      </c>
      <c r="P7" s="26">
        <f>ROUNDDOWN(P6+MAX(Construction!BO7/2,Construction!BO7*(1-Construction!BO7/(E7-Explore!S7*20)))-Q7*SUM(Techs!AY7:BY7),0)</f>
        <v>0</v>
      </c>
      <c r="Q7" s="166">
        <f>MAX(min_tech_cost,ROUNDDOWN(tech_cost_per_acre*Construction!E7,0))</f>
        <v>6426</v>
      </c>
      <c r="S7" s="152">
        <f t="shared" ca="1" si="0"/>
        <v>9720</v>
      </c>
      <c r="T7" s="164">
        <f t="shared" ca="1" si="1"/>
        <v>2996</v>
      </c>
      <c r="U7" s="164">
        <f t="shared" ca="1" si="2"/>
        <v>-503</v>
      </c>
      <c r="V7" s="164">
        <f t="shared" ca="1" si="3"/>
        <v>784</v>
      </c>
      <c r="W7" s="164">
        <f t="shared" ca="1" si="4"/>
        <v>0</v>
      </c>
      <c r="X7" s="164">
        <f t="shared" ca="1" si="5"/>
        <v>0</v>
      </c>
      <c r="Y7" s="265">
        <f>Construction!BP8*dock_boats_hr</f>
        <v>0</v>
      </c>
      <c r="Z7" s="164"/>
      <c r="AA7" s="152">
        <f ca="1">Population!C7*tax*Population!I7 + (Construction!AY8+Construction!BW8)*(alch_plat+(Magic!AR7&gt;0)*alchemist_flame_bonus)</f>
        <v>9720</v>
      </c>
      <c r="AB7" s="164">
        <f>Construction!$AZ7*farm_food + Construction!$BP7*dock_food+IF(race="Growth",ROUNDDOWN(Military!G7*8,0),0)</f>
        <v>6400</v>
      </c>
      <c r="AC7" s="164">
        <f>Construction!$BC7*ly_lumber+IF(race="Ants",ROUNDDOWN(Military!F7/2,0),0)</f>
        <v>2500</v>
      </c>
      <c r="AD7" s="26">
        <f>Construction!$BK8*tower_mana+IF(race="Templars",ROUNDDOWN(Military!F7*0.02,0),0)+IF(race="Black Orc",Military!G7*5,0)+IF(race="Growth",ROUNDDOWN(Military!G7*0.1,0),0)+IF(race="Void",ROUNDDOWN(Military!F7*1.5,0),0)+IF(race="Void",ROUNDDOWN(Military!G7*4,0),0)</f>
        <v>1250</v>
      </c>
      <c r="AE7" s="164">
        <f>Construction!$BE8*om_ore+IF(race="Dwarf",ROUNDDOWN(Military!F7*2,0),0)</f>
        <v>0</v>
      </c>
      <c r="AF7" s="57">
        <f>Construction!$BN8*dm_gems+IF(race="Dwarf",ROUNDDOWN(Military!F7/2,0),0)</f>
        <v>0</v>
      </c>
      <c r="AH7" s="266">
        <f ca="1">MIN(race_platinum_bonus + IF(Magic!AJ7&gt;0,midas_bonus) + Imps!Y7 - BB7*0.02+MAX(tech_production_plat*Techs!Y7,tech_treasure_hunt_plat*Techs!AR7), 0.5)</f>
        <v>0</v>
      </c>
      <c r="AI7" s="455">
        <f ca="1">race_food_bonus + IF(Magic!AO7&gt;0,gaias_blessing_food,IF(Magic!AG7&gt;0,gaias_watch_bonus)) + Imps!AD7+tech_production_food*Techs!W7 + O7/100*prestige_food_bonus</f>
        <v>0.1</v>
      </c>
      <c r="AJ7" s="267">
        <f ca="1">race_lumber_bonus+ IF(Magic!AO7&gt;0,gaias_blessing_lumber)+tech_fruits_of_labor1*Techs!AP7</f>
        <v>0</v>
      </c>
      <c r="AK7" s="267">
        <f ca="1">race_mana_bonus+tech_enchanted_lands_mana*Techs!AT7</f>
        <v>0</v>
      </c>
      <c r="AL7" s="267">
        <f ca="1">race_ore_bonus + IF(Magic!AL7&gt;0,miners_sight_bonus,IF(Magic!AH7&gt;0,mining_strength_bonus))+tech_fruits_of_labor1*Techs!AP7</f>
        <v>0</v>
      </c>
      <c r="AM7" s="193">
        <f ca="1">race_gem_bonus+MAX(tech_production_gems*Techs!X7,tech_fruits_of_labor_gems*Techs!AP7)</f>
        <v>0</v>
      </c>
      <c r="AO7" s="56">
        <f ca="1">I7*food_decay*IF(Magic!AZ7&gt;0,0.5,1)</f>
        <v>610.44000000000005</v>
      </c>
      <c r="AP7" s="26">
        <f ca="1">(1+race_food_consumption)*Population!F7*food_per_person</f>
        <v>3433.9025390625002</v>
      </c>
      <c r="AQ7" s="26">
        <f t="shared" ca="1" si="6"/>
        <v>3003.35</v>
      </c>
      <c r="AR7" s="57">
        <f t="shared" ca="1" si="7"/>
        <v>465.98</v>
      </c>
      <c r="AS7" s="26"/>
      <c r="AT7" s="56">
        <f ca="1">Explore!AH7+Construction!AP7+Military!AU7+Rezone!Y7+Imps!AM7-BE7</f>
        <v>0</v>
      </c>
      <c r="AU7" s="26">
        <f>Construction!AQ7+Imps!AN7-BF7</f>
        <v>0</v>
      </c>
      <c r="AV7" s="26">
        <f>Magic!AD7</f>
        <v>0</v>
      </c>
      <c r="AW7" s="26">
        <f ca="1">Military!AV7+Imps!AO7-BG7</f>
        <v>0</v>
      </c>
      <c r="AX7" s="26">
        <f>Imps!AP7-BH7</f>
        <v>0</v>
      </c>
      <c r="AY7" s="26">
        <f ca="1">Military!AZ7</f>
        <v>0</v>
      </c>
      <c r="AZ7" s="57">
        <f ca="1">Military!BA7</f>
        <v>0</v>
      </c>
      <c r="BB7" s="56" t="b">
        <f t="shared" si="17"/>
        <v>0</v>
      </c>
      <c r="BC7" s="332"/>
      <c r="BD7" s="979">
        <v>5</v>
      </c>
      <c r="BE7" s="329"/>
      <c r="BF7" s="370"/>
      <c r="BG7" s="370"/>
      <c r="BH7" s="744"/>
      <c r="BI7" s="1036">
        <f t="shared" si="8"/>
        <v>43692.166666666657</v>
      </c>
      <c r="BJ7" s="159" t="str">
        <f t="shared" si="22"/>
        <v/>
      </c>
      <c r="BK7" s="26">
        <f t="shared" ca="1" si="18"/>
        <v>3974880</v>
      </c>
      <c r="BL7" s="26">
        <f t="shared" ca="1" si="9"/>
        <v>61044</v>
      </c>
      <c r="BM7" s="26">
        <f t="shared" ca="1" si="10"/>
        <v>300335</v>
      </c>
      <c r="BN7" s="26">
        <f t="shared" ca="1" si="11"/>
        <v>23299</v>
      </c>
      <c r="BO7" s="57">
        <f t="shared" ca="1" si="12"/>
        <v>300000</v>
      </c>
    </row>
    <row r="8" spans="1:67" s="16" customFormat="1">
      <c r="A8" s="987">
        <v>6</v>
      </c>
      <c r="B8" s="816">
        <f>Imps!L8</f>
        <v>43692.208333333321</v>
      </c>
      <c r="C8" s="332"/>
      <c r="D8" s="835"/>
      <c r="E8" s="56">
        <f>Construction!E8</f>
        <v>1000</v>
      </c>
      <c r="F8" s="26">
        <f ca="1">Population!$C8</f>
        <v>8091.2296484375001</v>
      </c>
      <c r="G8" s="26">
        <f ca="1">Military!EM8</f>
        <v>20900</v>
      </c>
      <c r="H8" s="26">
        <f ca="1">H7+S7 - AT8 + IF(C8,Population!C8*4)</f>
        <v>3984600</v>
      </c>
      <c r="I8" s="26">
        <f t="shared" ca="1" si="19"/>
        <v>64040</v>
      </c>
      <c r="J8" s="26">
        <f t="shared" ca="1" si="13"/>
        <v>299832</v>
      </c>
      <c r="K8" s="26">
        <f t="shared" ca="1" si="14"/>
        <v>24083</v>
      </c>
      <c r="L8" s="26">
        <f t="shared" ca="1" si="15"/>
        <v>300000</v>
      </c>
      <c r="M8" s="26">
        <f t="shared" ca="1" si="16"/>
        <v>20000</v>
      </c>
      <c r="N8" s="26">
        <f t="shared" ca="1" si="20"/>
        <v>200</v>
      </c>
      <c r="O8" s="26">
        <f t="shared" si="21"/>
        <v>500</v>
      </c>
      <c r="P8" s="26">
        <f>ROUNDDOWN(P7+MAX(Construction!BO8/2,Construction!BO8*(1-Construction!BO8/(E8-Explore!S8*20)))-Q8*SUM(Techs!AY8:BY8),0)</f>
        <v>0</v>
      </c>
      <c r="Q8" s="166">
        <f>MAX(min_tech_cost,ROUNDDOWN(tech_cost_per_acre*Construction!E8,0))</f>
        <v>6426</v>
      </c>
      <c r="S8" s="152">
        <f t="shared" ca="1" si="0"/>
        <v>9720</v>
      </c>
      <c r="T8" s="164">
        <f t="shared" ca="1" si="1"/>
        <v>3073</v>
      </c>
      <c r="U8" s="164">
        <f t="shared" ca="1" si="2"/>
        <v>-498</v>
      </c>
      <c r="V8" s="164">
        <f t="shared" ca="1" si="3"/>
        <v>768</v>
      </c>
      <c r="W8" s="164">
        <f t="shared" ca="1" si="4"/>
        <v>0</v>
      </c>
      <c r="X8" s="164">
        <f t="shared" ca="1" si="5"/>
        <v>0</v>
      </c>
      <c r="Y8" s="265">
        <f>Construction!BP9*dock_boats_hr</f>
        <v>0</v>
      </c>
      <c r="Z8" s="164"/>
      <c r="AA8" s="152">
        <f ca="1">Population!C8*tax*Population!I8 + (Construction!AY9+Construction!BW9)*(alch_plat+(Magic!AR8&gt;0)*alchemist_flame_bonus)</f>
        <v>9720</v>
      </c>
      <c r="AB8" s="164">
        <f>Construction!$AZ8*farm_food + Construction!$BP8*dock_food+IF(race="Growth",ROUNDDOWN(Military!G8*8,0),0)</f>
        <v>6400</v>
      </c>
      <c r="AC8" s="164">
        <f>Construction!$BC8*ly_lumber+IF(race="Ants",ROUNDDOWN(Military!F8/2,0),0)</f>
        <v>2500</v>
      </c>
      <c r="AD8" s="26">
        <f>Construction!$BK9*tower_mana+IF(race="Templars",ROUNDDOWN(Military!F8*0.02,0),0)+IF(race="Black Orc",Military!G8*5,0)+IF(race="Growth",ROUNDDOWN(Military!G8*0.1,0),0)+IF(race="Void",ROUNDDOWN(Military!F8*1.5,0),0)+IF(race="Void",ROUNDDOWN(Military!G8*4,0),0)</f>
        <v>1250</v>
      </c>
      <c r="AE8" s="164">
        <f>Construction!$BE9*om_ore+IF(race="Dwarf",ROUNDDOWN(Military!F8*2,0),0)</f>
        <v>0</v>
      </c>
      <c r="AF8" s="57">
        <f>Construction!$BN9*dm_gems+IF(race="Dwarf",ROUNDDOWN(Military!F8/2,0),0)</f>
        <v>0</v>
      </c>
      <c r="AH8" s="266">
        <f ca="1">MIN(race_platinum_bonus + IF(Magic!AJ8&gt;0,midas_bonus) + Imps!Y8 - BB8*0.02+MAX(tech_production_plat*Techs!Y8,tech_treasure_hunt_plat*Techs!AR8), 0.5)</f>
        <v>0</v>
      </c>
      <c r="AI8" s="455">
        <f ca="1">race_food_bonus + IF(Magic!AO8&gt;0,gaias_blessing_food,IF(Magic!AG8&gt;0,gaias_watch_bonus)) + Imps!AD8+tech_production_food*Techs!W8 + O8/100*prestige_food_bonus</f>
        <v>0.1</v>
      </c>
      <c r="AJ8" s="267">
        <f ca="1">race_lumber_bonus+ IF(Magic!AO8&gt;0,gaias_blessing_lumber)+tech_fruits_of_labor1*Techs!AP8</f>
        <v>0</v>
      </c>
      <c r="AK8" s="267">
        <f ca="1">race_mana_bonus+tech_enchanted_lands_mana*Techs!AT8</f>
        <v>0</v>
      </c>
      <c r="AL8" s="267">
        <f ca="1">race_ore_bonus + IF(Magic!AL8&gt;0,miners_sight_bonus,IF(Magic!AH8&gt;0,mining_strength_bonus))+tech_fruits_of_labor1*Techs!AP8</f>
        <v>0</v>
      </c>
      <c r="AM8" s="193">
        <f ca="1">race_gem_bonus+MAX(tech_production_gems*Techs!X8,tech_fruits_of_labor_gems*Techs!AP8)</f>
        <v>0</v>
      </c>
      <c r="AO8" s="56">
        <f ca="1">I8*food_decay*IF(Magic!AZ8&gt;0,0.5,1)</f>
        <v>640.4</v>
      </c>
      <c r="AP8" s="26">
        <f ca="1">(1+race_food_consumption)*Population!F8*food_per_person</f>
        <v>3326.307412109375</v>
      </c>
      <c r="AQ8" s="26">
        <f t="shared" ca="1" si="6"/>
        <v>2998.32</v>
      </c>
      <c r="AR8" s="57">
        <f t="shared" ca="1" si="7"/>
        <v>481.66</v>
      </c>
      <c r="AS8" s="26"/>
      <c r="AT8" s="56">
        <f ca="1">Explore!AH8+Construction!AP8+Military!AU8+Rezone!Y8+Imps!AM8-BE8</f>
        <v>0</v>
      </c>
      <c r="AU8" s="26">
        <f>Construction!AQ8+Imps!AN8-BF8</f>
        <v>0</v>
      </c>
      <c r="AV8" s="26">
        <f>Magic!AD8</f>
        <v>0</v>
      </c>
      <c r="AW8" s="26">
        <f ca="1">Military!AV8+Imps!AO8-BG8</f>
        <v>0</v>
      </c>
      <c r="AX8" s="26">
        <f>Imps!AP8-BH8</f>
        <v>0</v>
      </c>
      <c r="AY8" s="26">
        <f ca="1">Military!AZ8</f>
        <v>0</v>
      </c>
      <c r="AZ8" s="57">
        <f ca="1">Military!BA8</f>
        <v>0</v>
      </c>
      <c r="BB8" s="56" t="b">
        <f t="shared" si="17"/>
        <v>0</v>
      </c>
      <c r="BC8" s="332"/>
      <c r="BD8" s="979">
        <v>6</v>
      </c>
      <c r="BE8" s="329"/>
      <c r="BF8" s="370"/>
      <c r="BG8" s="370"/>
      <c r="BH8" s="744"/>
      <c r="BI8" s="1036">
        <f t="shared" si="8"/>
        <v>43692.208333333321</v>
      </c>
      <c r="BJ8" s="159" t="str">
        <f t="shared" si="22"/>
        <v/>
      </c>
      <c r="BK8" s="26">
        <f t="shared" ca="1" si="18"/>
        <v>3984600</v>
      </c>
      <c r="BL8" s="26">
        <f t="shared" ca="1" si="9"/>
        <v>64040</v>
      </c>
      <c r="BM8" s="26">
        <f t="shared" ca="1" si="10"/>
        <v>299832</v>
      </c>
      <c r="BN8" s="26">
        <f t="shared" ca="1" si="11"/>
        <v>24083</v>
      </c>
      <c r="BO8" s="57">
        <f t="shared" ca="1" si="12"/>
        <v>300000</v>
      </c>
    </row>
    <row r="9" spans="1:67" s="16" customFormat="1">
      <c r="A9" s="987">
        <v>7</v>
      </c>
      <c r="B9" s="816">
        <f>Imps!L9</f>
        <v>43692.249999999985</v>
      </c>
      <c r="C9" s="332"/>
      <c r="D9" s="835"/>
      <c r="E9" s="56">
        <f>Construction!E9</f>
        <v>1000</v>
      </c>
      <c r="F9" s="26">
        <f ca="1">Population!$C9</f>
        <v>7605.6681660156255</v>
      </c>
      <c r="G9" s="26">
        <f ca="1">Military!EM9</f>
        <v>20900</v>
      </c>
      <c r="H9" s="26">
        <f ca="1">H8+S8 - AT9 + IF(C9,Population!C9*4)</f>
        <v>3994320</v>
      </c>
      <c r="I9" s="26">
        <f t="shared" ca="1" si="19"/>
        <v>67113</v>
      </c>
      <c r="J9" s="26">
        <f t="shared" ca="1" si="13"/>
        <v>299334</v>
      </c>
      <c r="K9" s="26">
        <f t="shared" ca="1" si="14"/>
        <v>24851</v>
      </c>
      <c r="L9" s="26">
        <f t="shared" ca="1" si="15"/>
        <v>300000</v>
      </c>
      <c r="M9" s="26">
        <f t="shared" ca="1" si="16"/>
        <v>20000</v>
      </c>
      <c r="N9" s="26">
        <f t="shared" ca="1" si="20"/>
        <v>200</v>
      </c>
      <c r="O9" s="26">
        <f t="shared" si="21"/>
        <v>500</v>
      </c>
      <c r="P9" s="26">
        <f>ROUNDDOWN(P8+MAX(Construction!BO9/2,Construction!BO9*(1-Construction!BO9/(E9-Explore!S9*20)))-Q9*SUM(Techs!AY9:BY9),0)</f>
        <v>0</v>
      </c>
      <c r="Q9" s="166">
        <f>MAX(min_tech_cost,ROUNDDOWN(tech_cost_per_acre*Construction!E9,0))</f>
        <v>6426</v>
      </c>
      <c r="S9" s="152">
        <f t="shared" ca="1" si="0"/>
        <v>9720</v>
      </c>
      <c r="T9" s="164">
        <f t="shared" ca="1" si="1"/>
        <v>3144</v>
      </c>
      <c r="U9" s="164">
        <f t="shared" ca="1" si="2"/>
        <v>-493</v>
      </c>
      <c r="V9" s="164">
        <f t="shared" ca="1" si="3"/>
        <v>753</v>
      </c>
      <c r="W9" s="164">
        <f t="shared" ca="1" si="4"/>
        <v>0</v>
      </c>
      <c r="X9" s="164">
        <f t="shared" ca="1" si="5"/>
        <v>0</v>
      </c>
      <c r="Y9" s="265">
        <f>Construction!BP10*dock_boats_hr</f>
        <v>0</v>
      </c>
      <c r="Z9" s="164"/>
      <c r="AA9" s="152">
        <f ca="1">Population!C9*tax*Population!I9 + (Construction!AY10+Construction!BW10)*(alch_plat+(Magic!AR9&gt;0)*alchemist_flame_bonus)</f>
        <v>9720</v>
      </c>
      <c r="AB9" s="164">
        <f>Construction!$AZ9*farm_food + Construction!$BP9*dock_food+IF(race="Growth",ROUNDDOWN(Military!G9*8,0),0)</f>
        <v>6400</v>
      </c>
      <c r="AC9" s="164">
        <f>Construction!$BC9*ly_lumber+IF(race="Ants",ROUNDDOWN(Military!F9/2,0),0)</f>
        <v>2500</v>
      </c>
      <c r="AD9" s="26">
        <f>Construction!$BK10*tower_mana+IF(race="Templars",ROUNDDOWN(Military!F9*0.02,0),0)+IF(race="Black Orc",Military!G9*5,0)+IF(race="Growth",ROUNDDOWN(Military!G9*0.1,0),0)+IF(race="Void",ROUNDDOWN(Military!F9*1.5,0),0)+IF(race="Void",ROUNDDOWN(Military!G9*4,0),0)</f>
        <v>1250</v>
      </c>
      <c r="AE9" s="164">
        <f>Construction!$BE10*om_ore+IF(race="Dwarf",ROUNDDOWN(Military!F9*2,0),0)</f>
        <v>0</v>
      </c>
      <c r="AF9" s="57">
        <f>Construction!$BN10*dm_gems+IF(race="Dwarf",ROUNDDOWN(Military!F9/2,0),0)</f>
        <v>0</v>
      </c>
      <c r="AH9" s="266">
        <f ca="1">MIN(race_platinum_bonus + IF(Magic!AJ9&gt;0,midas_bonus) + Imps!Y9 - BB9*0.02+MAX(tech_production_plat*Techs!Y9,tech_treasure_hunt_plat*Techs!AR9), 0.5)</f>
        <v>0</v>
      </c>
      <c r="AI9" s="455">
        <f ca="1">race_food_bonus + IF(Magic!AO9&gt;0,gaias_blessing_food,IF(Magic!AG9&gt;0,gaias_watch_bonus)) + Imps!AD9+tech_production_food*Techs!W9 + O9/100*prestige_food_bonus</f>
        <v>0.1</v>
      </c>
      <c r="AJ9" s="267">
        <f ca="1">race_lumber_bonus+ IF(Magic!AO9&gt;0,gaias_blessing_lumber)+tech_fruits_of_labor1*Techs!AP9</f>
        <v>0</v>
      </c>
      <c r="AK9" s="267">
        <f ca="1">race_mana_bonus+tech_enchanted_lands_mana*Techs!AT9</f>
        <v>0</v>
      </c>
      <c r="AL9" s="267">
        <f ca="1">race_ore_bonus + IF(Magic!AL9&gt;0,miners_sight_bonus,IF(Magic!AH9&gt;0,mining_strength_bonus))+tech_fruits_of_labor1*Techs!AP9</f>
        <v>0</v>
      </c>
      <c r="AM9" s="193">
        <f ca="1">race_gem_bonus+MAX(tech_production_gems*Techs!X9,tech_fruits_of_labor_gems*Techs!AP9)</f>
        <v>0</v>
      </c>
      <c r="AO9" s="56">
        <f ca="1">I9*food_decay*IF(Magic!AZ9&gt;0,0.5,1)</f>
        <v>671.13</v>
      </c>
      <c r="AP9" s="26">
        <f ca="1">(1+race_food_consumption)*Population!F9*food_per_person</f>
        <v>3225.1670415039061</v>
      </c>
      <c r="AQ9" s="26">
        <f t="shared" ca="1" si="6"/>
        <v>2993.34</v>
      </c>
      <c r="AR9" s="57">
        <f t="shared" ca="1" si="7"/>
        <v>497.02000000000004</v>
      </c>
      <c r="AS9" s="26"/>
      <c r="AT9" s="56">
        <f ca="1">Explore!AH9+Construction!AP9+Military!AU9+Rezone!Y9+Imps!AM9-BE9</f>
        <v>0</v>
      </c>
      <c r="AU9" s="26">
        <f>Construction!AQ9+Imps!AN9-BF9</f>
        <v>0</v>
      </c>
      <c r="AV9" s="26">
        <f>Magic!AD9</f>
        <v>0</v>
      </c>
      <c r="AW9" s="26">
        <f ca="1">Military!AV9+Imps!AO9-BG9</f>
        <v>0</v>
      </c>
      <c r="AX9" s="26">
        <f>Imps!AP9-BH9</f>
        <v>0</v>
      </c>
      <c r="AY9" s="26">
        <f ca="1">Military!AZ9</f>
        <v>0</v>
      </c>
      <c r="AZ9" s="57">
        <f ca="1">Military!BA9</f>
        <v>0</v>
      </c>
      <c r="BB9" s="56" t="b">
        <f t="shared" si="17"/>
        <v>0</v>
      </c>
      <c r="BC9" s="332"/>
      <c r="BD9" s="979">
        <v>7</v>
      </c>
      <c r="BE9" s="329"/>
      <c r="BF9" s="370"/>
      <c r="BG9" s="370"/>
      <c r="BH9" s="744"/>
      <c r="BI9" s="1036">
        <f t="shared" si="8"/>
        <v>43692.249999999985</v>
      </c>
      <c r="BJ9" s="159" t="str">
        <f t="shared" si="22"/>
        <v/>
      </c>
      <c r="BK9" s="26">
        <f t="shared" ca="1" si="18"/>
        <v>3994320</v>
      </c>
      <c r="BL9" s="26">
        <f t="shared" ca="1" si="9"/>
        <v>67113</v>
      </c>
      <c r="BM9" s="26">
        <f t="shared" ca="1" si="10"/>
        <v>299334</v>
      </c>
      <c r="BN9" s="26">
        <f t="shared" ca="1" si="11"/>
        <v>24851</v>
      </c>
      <c r="BO9" s="57">
        <f t="shared" ca="1" si="12"/>
        <v>300000</v>
      </c>
    </row>
    <row r="10" spans="1:67" s="16" customFormat="1">
      <c r="A10" s="987">
        <v>8</v>
      </c>
      <c r="B10" s="816">
        <f>Imps!L10</f>
        <v>43692.29166666665</v>
      </c>
      <c r="C10" s="332"/>
      <c r="D10" s="835"/>
      <c r="E10" s="56">
        <f>Construction!E10</f>
        <v>1000</v>
      </c>
      <c r="F10" s="26">
        <f ca="1">Population!$C10</f>
        <v>7225.3847577148445</v>
      </c>
      <c r="G10" s="26">
        <f ca="1">Military!EM10</f>
        <v>20900</v>
      </c>
      <c r="H10" s="26">
        <f ca="1">H9+S9 - AT10 + IF(C10,Population!C10*4)</f>
        <v>4004040</v>
      </c>
      <c r="I10" s="26">
        <f t="shared" ca="1" si="19"/>
        <v>70257</v>
      </c>
      <c r="J10" s="26">
        <f t="shared" ca="1" si="13"/>
        <v>298841</v>
      </c>
      <c r="K10" s="26">
        <f t="shared" ca="1" si="14"/>
        <v>25604</v>
      </c>
      <c r="L10" s="26">
        <f t="shared" ca="1" si="15"/>
        <v>300000</v>
      </c>
      <c r="M10" s="26">
        <f t="shared" ca="1" si="16"/>
        <v>20000</v>
      </c>
      <c r="N10" s="26">
        <f t="shared" ca="1" si="20"/>
        <v>200</v>
      </c>
      <c r="O10" s="26">
        <f t="shared" si="21"/>
        <v>500</v>
      </c>
      <c r="P10" s="26">
        <f>ROUNDDOWN(P9+MAX(Construction!BO10/2,Construction!BO10*(1-Construction!BO10/(E10-Explore!S10*20)))-Q10*SUM(Techs!AY10:BY10),0)</f>
        <v>0</v>
      </c>
      <c r="Q10" s="166">
        <f>MAX(min_tech_cost,ROUNDDOWN(tech_cost_per_acre*Construction!E10,0))</f>
        <v>6426</v>
      </c>
      <c r="S10" s="152">
        <f t="shared" ca="1" si="0"/>
        <v>9720</v>
      </c>
      <c r="T10" s="164">
        <f t="shared" ca="1" si="1"/>
        <v>3207</v>
      </c>
      <c r="U10" s="164">
        <f t="shared" ca="1" si="2"/>
        <v>-488</v>
      </c>
      <c r="V10" s="164">
        <f t="shared" ca="1" si="3"/>
        <v>738</v>
      </c>
      <c r="W10" s="164">
        <f t="shared" ca="1" si="4"/>
        <v>0</v>
      </c>
      <c r="X10" s="164">
        <f t="shared" ca="1" si="5"/>
        <v>0</v>
      </c>
      <c r="Y10" s="265">
        <f>Construction!BP11*dock_boats_hr</f>
        <v>0</v>
      </c>
      <c r="Z10" s="164"/>
      <c r="AA10" s="152">
        <f ca="1">Population!C10*tax*Population!I10 + (Construction!AY11+Construction!BW11)*(alch_plat+(Magic!AR10&gt;0)*alchemist_flame_bonus)</f>
        <v>9720</v>
      </c>
      <c r="AB10" s="164">
        <f>Construction!$AZ10*farm_food + Construction!$BP10*dock_food+IF(race="Growth",ROUNDDOWN(Military!G10*8,0),0)</f>
        <v>6400</v>
      </c>
      <c r="AC10" s="164">
        <f>Construction!$BC10*ly_lumber+IF(race="Ants",ROUNDDOWN(Military!F10/2,0),0)</f>
        <v>2500</v>
      </c>
      <c r="AD10" s="26">
        <f>Construction!$BK11*tower_mana+IF(race="Templars",ROUNDDOWN(Military!F10*0.02,0),0)+IF(race="Black Orc",Military!G10*5,0)+IF(race="Growth",ROUNDDOWN(Military!G10*0.1,0),0)+IF(race="Void",ROUNDDOWN(Military!F10*1.5,0),0)+IF(race="Void",ROUNDDOWN(Military!G10*4,0),0)</f>
        <v>1250</v>
      </c>
      <c r="AE10" s="164">
        <f>Construction!$BE11*om_ore+IF(race="Dwarf",ROUNDDOWN(Military!F10*2,0),0)</f>
        <v>0</v>
      </c>
      <c r="AF10" s="57">
        <f>Construction!$BN11*dm_gems+IF(race="Dwarf",ROUNDDOWN(Military!F10/2,0),0)</f>
        <v>0</v>
      </c>
      <c r="AH10" s="266">
        <f ca="1">MIN(race_platinum_bonus + IF(Magic!AJ10&gt;0,midas_bonus) + Imps!Y10 - BB10*0.02+MAX(tech_production_plat*Techs!Y10,tech_treasure_hunt_plat*Techs!AR10), 0.5)</f>
        <v>0</v>
      </c>
      <c r="AI10" s="455">
        <f ca="1">race_food_bonus + IF(Magic!AO10&gt;0,gaias_blessing_food,IF(Magic!AG10&gt;0,gaias_watch_bonus)) + Imps!AD10+tech_production_food*Techs!W10 + O10/100*prestige_food_bonus</f>
        <v>0.1</v>
      </c>
      <c r="AJ10" s="267">
        <f ca="1">race_lumber_bonus+ IF(Magic!AO10&gt;0,gaias_blessing_lumber)+tech_fruits_of_labor1*Techs!AP10</f>
        <v>0</v>
      </c>
      <c r="AK10" s="267">
        <f ca="1">race_mana_bonus+tech_enchanted_lands_mana*Techs!AT10</f>
        <v>0</v>
      </c>
      <c r="AL10" s="267">
        <f ca="1">race_ore_bonus + IF(Magic!AL10&gt;0,miners_sight_bonus,IF(Magic!AH10&gt;0,mining_strength_bonus))+tech_fruits_of_labor1*Techs!AP10</f>
        <v>0</v>
      </c>
      <c r="AM10" s="193">
        <f ca="1">race_gem_bonus+MAX(tech_production_gems*Techs!X10,tech_fruits_of_labor_gems*Techs!AP10)</f>
        <v>0</v>
      </c>
      <c r="AO10" s="56">
        <f ca="1">I10*food_decay*IF(Magic!AZ10&gt;0,0.5,1)</f>
        <v>702.57</v>
      </c>
      <c r="AP10" s="26">
        <f ca="1">(1+race_food_consumption)*Population!F10*food_per_person</f>
        <v>3130.0961894287111</v>
      </c>
      <c r="AQ10" s="26">
        <f t="shared" ca="1" si="6"/>
        <v>2988.41</v>
      </c>
      <c r="AR10" s="57">
        <f t="shared" ca="1" si="7"/>
        <v>512.08000000000004</v>
      </c>
      <c r="AS10" s="26"/>
      <c r="AT10" s="56">
        <f ca="1">Explore!AH10+Construction!AP10+Military!AU10+Rezone!Y10+Imps!AM10-BE10</f>
        <v>0</v>
      </c>
      <c r="AU10" s="26">
        <f>Construction!AQ10+Imps!AN10-BF10</f>
        <v>0</v>
      </c>
      <c r="AV10" s="26">
        <f>Magic!AD10</f>
        <v>0</v>
      </c>
      <c r="AW10" s="26">
        <f ca="1">Military!AV10+Imps!AO10-BG10</f>
        <v>0</v>
      </c>
      <c r="AX10" s="26">
        <f>Imps!AP10-BH10</f>
        <v>0</v>
      </c>
      <c r="AY10" s="26">
        <f ca="1">Military!AZ10</f>
        <v>0</v>
      </c>
      <c r="AZ10" s="57">
        <f ca="1">Military!BA10</f>
        <v>0</v>
      </c>
      <c r="BB10" s="56" t="b">
        <f t="shared" si="17"/>
        <v>0</v>
      </c>
      <c r="BC10" s="332"/>
      <c r="BD10" s="979">
        <v>8</v>
      </c>
      <c r="BE10" s="329"/>
      <c r="BF10" s="370"/>
      <c r="BG10" s="370"/>
      <c r="BH10" s="744"/>
      <c r="BI10" s="1036">
        <f t="shared" si="8"/>
        <v>43692.29166666665</v>
      </c>
      <c r="BJ10" s="159" t="str">
        <f t="shared" si="22"/>
        <v/>
      </c>
      <c r="BK10" s="26">
        <f t="shared" ca="1" si="18"/>
        <v>4004040</v>
      </c>
      <c r="BL10" s="26">
        <f t="shared" ca="1" si="9"/>
        <v>70257</v>
      </c>
      <c r="BM10" s="26">
        <f t="shared" ca="1" si="10"/>
        <v>298841</v>
      </c>
      <c r="BN10" s="26">
        <f t="shared" ca="1" si="11"/>
        <v>25604</v>
      </c>
      <c r="BO10" s="57">
        <f t="shared" ca="1" si="12"/>
        <v>300000</v>
      </c>
    </row>
    <row r="11" spans="1:67" s="16" customFormat="1">
      <c r="A11" s="987">
        <v>9</v>
      </c>
      <c r="B11" s="816">
        <f>Imps!L11</f>
        <v>43692.333333333314</v>
      </c>
      <c r="C11" s="332"/>
      <c r="D11" s="835"/>
      <c r="E11" s="56">
        <f>Construction!E11</f>
        <v>1000</v>
      </c>
      <c r="F11" s="26">
        <f ca="1">Population!$C11</f>
        <v>6864.1155198291026</v>
      </c>
      <c r="G11" s="26">
        <f ca="1">Military!EM11</f>
        <v>20900</v>
      </c>
      <c r="H11" s="26">
        <f ca="1">H10+S10 - AT11 + IF(C11,Population!C11*4)</f>
        <v>4013760</v>
      </c>
      <c r="I11" s="26">
        <f t="shared" ca="1" si="19"/>
        <v>73464</v>
      </c>
      <c r="J11" s="26">
        <f t="shared" ca="1" si="13"/>
        <v>298353</v>
      </c>
      <c r="K11" s="26">
        <f t="shared" ca="1" si="14"/>
        <v>26342</v>
      </c>
      <c r="L11" s="26">
        <f t="shared" ca="1" si="15"/>
        <v>300000</v>
      </c>
      <c r="M11" s="26">
        <f t="shared" ca="1" si="16"/>
        <v>20000</v>
      </c>
      <c r="N11" s="26">
        <f t="shared" ca="1" si="20"/>
        <v>200</v>
      </c>
      <c r="O11" s="26">
        <f t="shared" si="21"/>
        <v>500</v>
      </c>
      <c r="P11" s="26">
        <f>ROUNDDOWN(P10+MAX(Construction!BO11/2,Construction!BO11*(1-Construction!BO11/(E11-Explore!S11*20)))-Q11*SUM(Techs!AY11:BY11),0)</f>
        <v>0</v>
      </c>
      <c r="Q11" s="166">
        <f>MAX(min_tech_cost,ROUNDDOWN(tech_cost_per_acre*Construction!E11,0))</f>
        <v>6426</v>
      </c>
      <c r="S11" s="152">
        <f t="shared" ca="1" si="0"/>
        <v>9720</v>
      </c>
      <c r="T11" s="164">
        <f t="shared" ca="1" si="1"/>
        <v>3266</v>
      </c>
      <c r="U11" s="164">
        <f t="shared" ca="1" si="2"/>
        <v>-484</v>
      </c>
      <c r="V11" s="164">
        <f t="shared" ca="1" si="3"/>
        <v>723</v>
      </c>
      <c r="W11" s="164">
        <f t="shared" ca="1" si="4"/>
        <v>0</v>
      </c>
      <c r="X11" s="164">
        <f t="shared" ca="1" si="5"/>
        <v>0</v>
      </c>
      <c r="Y11" s="265">
        <f>Construction!BP12*dock_boats_hr</f>
        <v>0</v>
      </c>
      <c r="Z11" s="164"/>
      <c r="AA11" s="152">
        <f ca="1">Population!C11*tax*Population!I11 + (Construction!AY12+Construction!BW12)*(alch_plat+(Magic!AR11&gt;0)*alchemist_flame_bonus)</f>
        <v>9720.0000000000018</v>
      </c>
      <c r="AB11" s="164">
        <f>Construction!$AZ11*farm_food + Construction!$BP11*dock_food+IF(race="Growth",ROUNDDOWN(Military!G11*8,0),0)</f>
        <v>6400</v>
      </c>
      <c r="AC11" s="164">
        <f>Construction!$BC11*ly_lumber+IF(race="Ants",ROUNDDOWN(Military!F11/2,0),0)</f>
        <v>2500</v>
      </c>
      <c r="AD11" s="26">
        <f>Construction!$BK12*tower_mana+IF(race="Templars",ROUNDDOWN(Military!F11*0.02,0),0)+IF(race="Black Orc",Military!G11*5,0)+IF(race="Growth",ROUNDDOWN(Military!G11*0.1,0),0)+IF(race="Void",ROUNDDOWN(Military!F11*1.5,0),0)+IF(race="Void",ROUNDDOWN(Military!G11*4,0),0)</f>
        <v>1250</v>
      </c>
      <c r="AE11" s="164">
        <f>Construction!$BE12*om_ore+IF(race="Dwarf",ROUNDDOWN(Military!F11*2,0),0)</f>
        <v>0</v>
      </c>
      <c r="AF11" s="57">
        <f>Construction!$BN12*dm_gems+IF(race="Dwarf",ROUNDDOWN(Military!F11/2,0),0)</f>
        <v>0</v>
      </c>
      <c r="AH11" s="266">
        <f ca="1">MIN(race_platinum_bonus + IF(Magic!AJ11&gt;0,midas_bonus) + Imps!Y11 - BB11*0.02+MAX(tech_production_plat*Techs!Y11,tech_treasure_hunt_plat*Techs!AR11), 0.5)</f>
        <v>0</v>
      </c>
      <c r="AI11" s="455">
        <f ca="1">race_food_bonus + IF(Magic!AO11&gt;0,gaias_blessing_food,IF(Magic!AG11&gt;0,gaias_watch_bonus)) + Imps!AD11+tech_production_food*Techs!W11 + O11/100*prestige_food_bonus</f>
        <v>0.1</v>
      </c>
      <c r="AJ11" s="267">
        <f ca="1">race_lumber_bonus+ IF(Magic!AO11&gt;0,gaias_blessing_lumber)+tech_fruits_of_labor1*Techs!AP11</f>
        <v>0</v>
      </c>
      <c r="AK11" s="267">
        <f ca="1">race_mana_bonus+tech_enchanted_lands_mana*Techs!AT11</f>
        <v>0</v>
      </c>
      <c r="AL11" s="267">
        <f ca="1">race_ore_bonus + IF(Magic!AL11&gt;0,miners_sight_bonus,IF(Magic!AH11&gt;0,mining_strength_bonus))+tech_fruits_of_labor1*Techs!AP11</f>
        <v>0</v>
      </c>
      <c r="AM11" s="193">
        <f ca="1">race_gem_bonus+MAX(tech_production_gems*Techs!X11,tech_fruits_of_labor_gems*Techs!AP11)</f>
        <v>0</v>
      </c>
      <c r="AO11" s="56">
        <f ca="1">I11*food_decay*IF(Magic!AZ11&gt;0,0.5,1)</f>
        <v>734.64</v>
      </c>
      <c r="AP11" s="26">
        <f ca="1">(1+race_food_consumption)*Population!F11*food_per_person</f>
        <v>3039.7788799572754</v>
      </c>
      <c r="AQ11" s="26">
        <f t="shared" ca="1" si="6"/>
        <v>2983.53</v>
      </c>
      <c r="AR11" s="57">
        <f t="shared" ca="1" si="7"/>
        <v>526.84</v>
      </c>
      <c r="AS11" s="26"/>
      <c r="AT11" s="56">
        <f ca="1">Explore!AH11+Construction!AP11+Military!AU11+Rezone!Y11+Imps!AM11-BE11</f>
        <v>0</v>
      </c>
      <c r="AU11" s="26">
        <f>Construction!AQ11+Imps!AN11-BF11</f>
        <v>0</v>
      </c>
      <c r="AV11" s="26">
        <f>Magic!AD11</f>
        <v>0</v>
      </c>
      <c r="AW11" s="26">
        <f ca="1">Military!AV11+Imps!AO11-BG11</f>
        <v>0</v>
      </c>
      <c r="AX11" s="26">
        <f>Imps!AP11-BH11</f>
        <v>0</v>
      </c>
      <c r="AY11" s="26">
        <f ca="1">Military!AZ11</f>
        <v>0</v>
      </c>
      <c r="AZ11" s="57">
        <f ca="1">Military!BA11</f>
        <v>0</v>
      </c>
      <c r="BB11" s="56" t="b">
        <f t="shared" si="17"/>
        <v>0</v>
      </c>
      <c r="BC11" s="332"/>
      <c r="BD11" s="979">
        <v>9</v>
      </c>
      <c r="BE11" s="329"/>
      <c r="BF11" s="370"/>
      <c r="BG11" s="370"/>
      <c r="BH11" s="744"/>
      <c r="BI11" s="1036">
        <f t="shared" si="8"/>
        <v>43692.333333333314</v>
      </c>
      <c r="BJ11" s="159" t="str">
        <f t="shared" si="22"/>
        <v/>
      </c>
      <c r="BK11" s="26">
        <f t="shared" ca="1" si="18"/>
        <v>4013760</v>
      </c>
      <c r="BL11" s="26">
        <f t="shared" ca="1" si="9"/>
        <v>73464</v>
      </c>
      <c r="BM11" s="26">
        <f t="shared" ca="1" si="10"/>
        <v>298353</v>
      </c>
      <c r="BN11" s="26">
        <f t="shared" ca="1" si="11"/>
        <v>26342</v>
      </c>
      <c r="BO11" s="57">
        <f t="shared" ca="1" si="12"/>
        <v>300000</v>
      </c>
    </row>
    <row r="12" spans="1:67" s="16" customFormat="1">
      <c r="A12" s="987">
        <v>10</v>
      </c>
      <c r="B12" s="816">
        <f>Imps!L12</f>
        <v>43692.374999999978</v>
      </c>
      <c r="C12" s="332"/>
      <c r="D12" s="835"/>
      <c r="E12" s="56">
        <f>Construction!E12</f>
        <v>1000</v>
      </c>
      <c r="F12" s="26">
        <f ca="1">Population!$C12</f>
        <v>6520.9097438376475</v>
      </c>
      <c r="G12" s="26">
        <f ca="1">Military!EM12</f>
        <v>20900</v>
      </c>
      <c r="H12" s="26">
        <f ca="1">H11+S11 - AT12 + IF(C12,Population!C12*4)</f>
        <v>4023480</v>
      </c>
      <c r="I12" s="26">
        <f t="shared" ca="1" si="19"/>
        <v>76730</v>
      </c>
      <c r="J12" s="26">
        <f t="shared" ca="1" si="13"/>
        <v>297869</v>
      </c>
      <c r="K12" s="26">
        <f t="shared" ca="1" si="14"/>
        <v>27065</v>
      </c>
      <c r="L12" s="26">
        <f t="shared" ca="1" si="15"/>
        <v>300000</v>
      </c>
      <c r="M12" s="26">
        <f t="shared" ca="1" si="16"/>
        <v>20000</v>
      </c>
      <c r="N12" s="26">
        <f t="shared" ca="1" si="20"/>
        <v>200</v>
      </c>
      <c r="O12" s="26">
        <f t="shared" si="21"/>
        <v>500</v>
      </c>
      <c r="P12" s="26">
        <f>ROUNDDOWN(P11+MAX(Construction!BO12/2,Construction!BO12*(1-Construction!BO12/(E12-Explore!S12*20)))-Q12*SUM(Techs!AY12:BY12),0)</f>
        <v>0</v>
      </c>
      <c r="Q12" s="166">
        <f>MAX(min_tech_cost,ROUNDDOWN(tech_cost_per_acre*Construction!E12,0))</f>
        <v>6426</v>
      </c>
      <c r="S12" s="152">
        <f t="shared" ca="1" si="0"/>
        <v>9720</v>
      </c>
      <c r="T12" s="164">
        <f t="shared" ca="1" si="1"/>
        <v>3319</v>
      </c>
      <c r="U12" s="164">
        <f t="shared" ca="1" si="2"/>
        <v>-479</v>
      </c>
      <c r="V12" s="164">
        <f t="shared" ca="1" si="3"/>
        <v>709</v>
      </c>
      <c r="W12" s="164">
        <f t="shared" ca="1" si="4"/>
        <v>0</v>
      </c>
      <c r="X12" s="164">
        <f t="shared" ca="1" si="5"/>
        <v>0</v>
      </c>
      <c r="Y12" s="265">
        <f>Construction!BP13*dock_boats_hr</f>
        <v>0</v>
      </c>
      <c r="Z12" s="164"/>
      <c r="AA12" s="152">
        <f ca="1">Population!C12*tax*Population!I12 + (Construction!AY13+Construction!BW13)*(alch_plat+(Magic!AR12&gt;0)*alchemist_flame_bonus)</f>
        <v>9720</v>
      </c>
      <c r="AB12" s="164">
        <f>Construction!$AZ12*farm_food + Construction!$BP12*dock_food+IF(race="Growth",ROUNDDOWN(Military!G12*8,0),0)</f>
        <v>6400</v>
      </c>
      <c r="AC12" s="164">
        <f>Construction!$BC12*ly_lumber+IF(race="Ants",ROUNDDOWN(Military!F12/2,0),0)</f>
        <v>2500</v>
      </c>
      <c r="AD12" s="26">
        <f>Construction!$BK13*tower_mana+IF(race="Templars",ROUNDDOWN(Military!F12*0.02,0),0)+IF(race="Black Orc",Military!G12*5,0)+IF(race="Growth",ROUNDDOWN(Military!G12*0.1,0),0)+IF(race="Void",ROUNDDOWN(Military!F12*1.5,0),0)+IF(race="Void",ROUNDDOWN(Military!G12*4,0),0)</f>
        <v>1250</v>
      </c>
      <c r="AE12" s="164">
        <f>Construction!$BE13*om_ore+IF(race="Dwarf",ROUNDDOWN(Military!F12*2,0),0)</f>
        <v>0</v>
      </c>
      <c r="AF12" s="57">
        <f>Construction!$BN13*dm_gems+IF(race="Dwarf",ROUNDDOWN(Military!F12/2,0),0)</f>
        <v>0</v>
      </c>
      <c r="AH12" s="266">
        <f ca="1">MIN(race_platinum_bonus + IF(Magic!AJ12&gt;0,midas_bonus) + Imps!Y12 - BB12*0.02+MAX(tech_production_plat*Techs!Y12,tech_treasure_hunt_plat*Techs!AR12), 0.5)</f>
        <v>0</v>
      </c>
      <c r="AI12" s="455">
        <f ca="1">race_food_bonus + IF(Magic!AO12&gt;0,gaias_blessing_food,IF(Magic!AG12&gt;0,gaias_watch_bonus)) + Imps!AD12+tech_production_food*Techs!W12 + O12/100*prestige_food_bonus</f>
        <v>0.1</v>
      </c>
      <c r="AJ12" s="267">
        <f ca="1">race_lumber_bonus+ IF(Magic!AO12&gt;0,gaias_blessing_lumber)+tech_fruits_of_labor1*Techs!AP12</f>
        <v>0</v>
      </c>
      <c r="AK12" s="267">
        <f ca="1">race_mana_bonus+tech_enchanted_lands_mana*Techs!AT12</f>
        <v>0</v>
      </c>
      <c r="AL12" s="267">
        <f ca="1">race_ore_bonus + IF(Magic!AL12&gt;0,miners_sight_bonus,IF(Magic!AH12&gt;0,mining_strength_bonus))+tech_fruits_of_labor1*Techs!AP12</f>
        <v>0</v>
      </c>
      <c r="AM12" s="193">
        <f ca="1">race_gem_bonus+MAX(tech_production_gems*Techs!X12,tech_fruits_of_labor_gems*Techs!AP12)</f>
        <v>0</v>
      </c>
      <c r="AO12" s="56">
        <f ca="1">I12*food_decay*IF(Magic!AZ12&gt;0,0.5,1)</f>
        <v>767.30000000000007</v>
      </c>
      <c r="AP12" s="26">
        <f ca="1">(1+race_food_consumption)*Population!F12*food_per_person</f>
        <v>2953.9774359594121</v>
      </c>
      <c r="AQ12" s="26">
        <f t="shared" ca="1" si="6"/>
        <v>2978.69</v>
      </c>
      <c r="AR12" s="57">
        <f t="shared" ca="1" si="7"/>
        <v>541.29999999999995</v>
      </c>
      <c r="AS12" s="26"/>
      <c r="AT12" s="56">
        <f ca="1">Explore!AH12+Construction!AP12+Military!AU12+Rezone!Y12+Imps!AM12-BE12</f>
        <v>0</v>
      </c>
      <c r="AU12" s="26">
        <f>Construction!AQ12+Imps!AN12-BF12</f>
        <v>0</v>
      </c>
      <c r="AV12" s="26">
        <f>Magic!AD12</f>
        <v>0</v>
      </c>
      <c r="AW12" s="26">
        <f ca="1">Military!AV12+Imps!AO12-BG12</f>
        <v>0</v>
      </c>
      <c r="AX12" s="26">
        <f>Imps!AP12-BH12</f>
        <v>0</v>
      </c>
      <c r="AY12" s="26">
        <f ca="1">Military!AZ12</f>
        <v>0</v>
      </c>
      <c r="AZ12" s="57">
        <f ca="1">Military!BA12</f>
        <v>0</v>
      </c>
      <c r="BB12" s="56" t="b">
        <f t="shared" si="17"/>
        <v>0</v>
      </c>
      <c r="BC12" s="332"/>
      <c r="BD12" s="979">
        <v>10</v>
      </c>
      <c r="BE12" s="329"/>
      <c r="BF12" s="370"/>
      <c r="BG12" s="370"/>
      <c r="BH12" s="744"/>
      <c r="BI12" s="1036">
        <f t="shared" si="8"/>
        <v>43692.374999999978</v>
      </c>
      <c r="BJ12" s="159" t="str">
        <f t="shared" si="22"/>
        <v/>
      </c>
      <c r="BK12" s="26">
        <f t="shared" ca="1" si="18"/>
        <v>4023480</v>
      </c>
      <c r="BL12" s="26">
        <f t="shared" ca="1" si="9"/>
        <v>76730</v>
      </c>
      <c r="BM12" s="26">
        <f t="shared" ca="1" si="10"/>
        <v>297869</v>
      </c>
      <c r="BN12" s="26">
        <f t="shared" ca="1" si="11"/>
        <v>27065</v>
      </c>
      <c r="BO12" s="57">
        <f t="shared" ca="1" si="12"/>
        <v>300000</v>
      </c>
    </row>
    <row r="13" spans="1:67" s="16" customFormat="1">
      <c r="A13" s="987">
        <v>11</v>
      </c>
      <c r="B13" s="816">
        <f>Imps!L13</f>
        <v>43692.416666666642</v>
      </c>
      <c r="C13" s="332"/>
      <c r="D13" s="835"/>
      <c r="E13" s="56">
        <f>Construction!E13</f>
        <v>1000</v>
      </c>
      <c r="F13" s="26">
        <f ca="1">Population!$C13</f>
        <v>6194.8642566457647</v>
      </c>
      <c r="G13" s="26">
        <f ca="1">Military!EM13</f>
        <v>20900</v>
      </c>
      <c r="H13" s="26">
        <f ca="1">H12+S12 - AT13 + IF(C13,Population!C13*4)</f>
        <v>4033200</v>
      </c>
      <c r="I13" s="26">
        <f t="shared" ca="1" si="19"/>
        <v>80049</v>
      </c>
      <c r="J13" s="26">
        <f t="shared" ca="1" si="13"/>
        <v>297390</v>
      </c>
      <c r="K13" s="26">
        <f t="shared" ca="1" si="14"/>
        <v>27774</v>
      </c>
      <c r="L13" s="26">
        <f t="shared" ca="1" si="15"/>
        <v>300000</v>
      </c>
      <c r="M13" s="26">
        <f t="shared" ca="1" si="16"/>
        <v>20000</v>
      </c>
      <c r="N13" s="26">
        <f t="shared" ca="1" si="20"/>
        <v>200</v>
      </c>
      <c r="O13" s="26">
        <f t="shared" si="21"/>
        <v>500</v>
      </c>
      <c r="P13" s="26">
        <f>ROUNDDOWN(P12+MAX(Construction!BO13/2,Construction!BO13*(1-Construction!BO13/(E13-Explore!S13*20)))-Q13*SUM(Techs!AY13:BY13),0)</f>
        <v>0</v>
      </c>
      <c r="Q13" s="166">
        <f>MAX(min_tech_cost,ROUNDDOWN(tech_cost_per_acre*Construction!E13,0))</f>
        <v>6426</v>
      </c>
      <c r="S13" s="152">
        <f t="shared" ca="1" si="0"/>
        <v>9720</v>
      </c>
      <c r="T13" s="164">
        <f t="shared" ca="1" si="1"/>
        <v>3367</v>
      </c>
      <c r="U13" s="164">
        <f t="shared" ca="1" si="2"/>
        <v>-474</v>
      </c>
      <c r="V13" s="164">
        <f t="shared" ca="1" si="3"/>
        <v>695</v>
      </c>
      <c r="W13" s="164">
        <f t="shared" ca="1" si="4"/>
        <v>0</v>
      </c>
      <c r="X13" s="164">
        <f t="shared" ca="1" si="5"/>
        <v>0</v>
      </c>
      <c r="Y13" s="265">
        <f>Construction!BP14*dock_boats_hr</f>
        <v>0</v>
      </c>
      <c r="Z13" s="164"/>
      <c r="AA13" s="152">
        <f ca="1">Population!C13*tax*Population!I13 + (Construction!AY14+Construction!BW14)*(alch_plat+(Magic!AR13&gt;0)*alchemist_flame_bonus)</f>
        <v>9720</v>
      </c>
      <c r="AB13" s="164">
        <f>Construction!$AZ13*farm_food + Construction!$BP13*dock_food+IF(race="Growth",ROUNDDOWN(Military!G13*8,0),0)</f>
        <v>6400</v>
      </c>
      <c r="AC13" s="164">
        <f>Construction!$BC13*ly_lumber+IF(race="Ants",ROUNDDOWN(Military!F13/2,0),0)</f>
        <v>2500</v>
      </c>
      <c r="AD13" s="26">
        <f>Construction!$BK14*tower_mana+IF(race="Templars",ROUNDDOWN(Military!F13*0.02,0),0)+IF(race="Black Orc",Military!G13*5,0)+IF(race="Growth",ROUNDDOWN(Military!G13*0.1,0),0)+IF(race="Void",ROUNDDOWN(Military!F13*1.5,0),0)+IF(race="Void",ROUNDDOWN(Military!G13*4,0),0)</f>
        <v>1250</v>
      </c>
      <c r="AE13" s="164">
        <f>Construction!$BE14*om_ore+IF(race="Dwarf",ROUNDDOWN(Military!F13*2,0),0)</f>
        <v>0</v>
      </c>
      <c r="AF13" s="57">
        <f>Construction!$BN14*dm_gems+IF(race="Dwarf",ROUNDDOWN(Military!F13/2,0),0)</f>
        <v>0</v>
      </c>
      <c r="AH13" s="266">
        <f ca="1">MIN(race_platinum_bonus + IF(Magic!AJ13&gt;0,midas_bonus) + Imps!Y13 - BB13*0.02+MAX(tech_production_plat*Techs!Y13,tech_treasure_hunt_plat*Techs!AR13), 0.5)</f>
        <v>0</v>
      </c>
      <c r="AI13" s="455">
        <f ca="1">race_food_bonus + IF(Magic!AO13&gt;0,gaias_blessing_food,IF(Magic!AG13&gt;0,gaias_watch_bonus)) + Imps!AD13+tech_production_food*Techs!W13 + O13/100*prestige_food_bonus</f>
        <v>0.1</v>
      </c>
      <c r="AJ13" s="267">
        <f ca="1">race_lumber_bonus+ IF(Magic!AO13&gt;0,gaias_blessing_lumber)+tech_fruits_of_labor1*Techs!AP13</f>
        <v>0</v>
      </c>
      <c r="AK13" s="267">
        <f ca="1">race_mana_bonus+tech_enchanted_lands_mana*Techs!AT13</f>
        <v>0</v>
      </c>
      <c r="AL13" s="267">
        <f ca="1">race_ore_bonus + IF(Magic!AL13&gt;0,miners_sight_bonus,IF(Magic!AH13&gt;0,mining_strength_bonus))+tech_fruits_of_labor1*Techs!AP13</f>
        <v>0</v>
      </c>
      <c r="AM13" s="193">
        <f ca="1">race_gem_bonus+MAX(tech_production_gems*Techs!X13,tech_fruits_of_labor_gems*Techs!AP13)</f>
        <v>0</v>
      </c>
      <c r="AO13" s="56">
        <f ca="1">I13*food_decay*IF(Magic!AZ13&gt;0,0.5,1)</f>
        <v>800.49</v>
      </c>
      <c r="AP13" s="26">
        <f ca="1">(1+race_food_consumption)*Population!F13*food_per_person</f>
        <v>2872.466064161441</v>
      </c>
      <c r="AQ13" s="26">
        <f t="shared" ca="1" si="6"/>
        <v>2973.9</v>
      </c>
      <c r="AR13" s="57">
        <f t="shared" ca="1" si="7"/>
        <v>555.48</v>
      </c>
      <c r="AS13" s="26"/>
      <c r="AT13" s="56">
        <f ca="1">Explore!AH13+Construction!AP13+Military!AU13+Rezone!Y13+Imps!AM13-BE13</f>
        <v>0</v>
      </c>
      <c r="AU13" s="26">
        <f>Construction!AQ13+Imps!AN13-BF13</f>
        <v>0</v>
      </c>
      <c r="AV13" s="26">
        <f>Magic!AD13</f>
        <v>0</v>
      </c>
      <c r="AW13" s="26">
        <f ca="1">Military!AV13+Imps!AO13-BG13</f>
        <v>0</v>
      </c>
      <c r="AX13" s="26">
        <f>Imps!AP13-BH13</f>
        <v>0</v>
      </c>
      <c r="AY13" s="26">
        <f ca="1">Military!AZ13</f>
        <v>0</v>
      </c>
      <c r="AZ13" s="57">
        <f ca="1">Military!BA13</f>
        <v>0</v>
      </c>
      <c r="BB13" s="56" t="b">
        <f t="shared" si="17"/>
        <v>0</v>
      </c>
      <c r="BC13" s="332"/>
      <c r="BD13" s="979">
        <v>11</v>
      </c>
      <c r="BE13" s="329"/>
      <c r="BF13" s="370"/>
      <c r="BG13" s="370"/>
      <c r="BH13" s="744"/>
      <c r="BI13" s="1036">
        <f t="shared" si="8"/>
        <v>43692.416666666642</v>
      </c>
      <c r="BJ13" s="159" t="str">
        <f t="shared" si="22"/>
        <v/>
      </c>
      <c r="BK13" s="26">
        <f t="shared" ca="1" si="18"/>
        <v>4033200</v>
      </c>
      <c r="BL13" s="26">
        <f t="shared" ca="1" si="9"/>
        <v>80049</v>
      </c>
      <c r="BM13" s="26">
        <f t="shared" ca="1" si="10"/>
        <v>297390</v>
      </c>
      <c r="BN13" s="26">
        <f t="shared" ca="1" si="11"/>
        <v>27774</v>
      </c>
      <c r="BO13" s="57">
        <f t="shared" ca="1" si="12"/>
        <v>300000</v>
      </c>
    </row>
    <row r="14" spans="1:67" s="170" customFormat="1">
      <c r="A14" s="986">
        <v>12</v>
      </c>
      <c r="B14" s="532">
        <f>Imps!L14</f>
        <v>43692.458333333307</v>
      </c>
      <c r="C14" s="329"/>
      <c r="D14" s="834"/>
      <c r="E14" s="152">
        <f>Construction!E14</f>
        <v>1000</v>
      </c>
      <c r="F14" s="164">
        <f ca="1">Population!$C14</f>
        <v>5885.1210438134767</v>
      </c>
      <c r="G14" s="164">
        <f ca="1">Military!EM14</f>
        <v>20900</v>
      </c>
      <c r="H14" s="164">
        <f ca="1">H13+S13 - AT14 + IF(C14,Population!C14*4)</f>
        <v>4042920</v>
      </c>
      <c r="I14" s="164">
        <f t="shared" ca="1" si="19"/>
        <v>83416</v>
      </c>
      <c r="J14" s="164">
        <f t="shared" ca="1" si="13"/>
        <v>296916</v>
      </c>
      <c r="K14" s="164">
        <f t="shared" ca="1" si="14"/>
        <v>28469</v>
      </c>
      <c r="L14" s="164">
        <f t="shared" ca="1" si="15"/>
        <v>300000</v>
      </c>
      <c r="M14" s="164">
        <f t="shared" ca="1" si="16"/>
        <v>20000</v>
      </c>
      <c r="N14" s="164">
        <f t="shared" ca="1" si="20"/>
        <v>200</v>
      </c>
      <c r="O14" s="164">
        <f t="shared" si="21"/>
        <v>500</v>
      </c>
      <c r="P14" s="164">
        <f>ROUNDDOWN(P13+MAX(Construction!BO14/2,Construction!BO14*(1-Construction!BO14/(E14-Explore!S14*20)))-Q14*SUM(Techs!AY14:BY14),0)</f>
        <v>0</v>
      </c>
      <c r="Q14" s="166">
        <f>MAX(min_tech_cost,ROUNDDOWN(tech_cost_per_acre*Construction!E14,0))</f>
        <v>6426</v>
      </c>
      <c r="S14" s="152">
        <f t="shared" ca="1" si="0"/>
        <v>15889</v>
      </c>
      <c r="T14" s="164">
        <f t="shared" ca="1" si="1"/>
        <v>3411</v>
      </c>
      <c r="U14" s="164">
        <f t="shared" ca="1" si="2"/>
        <v>-469</v>
      </c>
      <c r="V14" s="164">
        <f t="shared" ca="1" si="3"/>
        <v>681</v>
      </c>
      <c r="W14" s="164">
        <f t="shared" ca="1" si="4"/>
        <v>0</v>
      </c>
      <c r="X14" s="164">
        <f t="shared" ca="1" si="5"/>
        <v>0</v>
      </c>
      <c r="Y14" s="265">
        <f>Construction!BP15*dock_boats_hr</f>
        <v>0</v>
      </c>
      <c r="Z14" s="164"/>
      <c r="AA14" s="152">
        <f ca="1">Population!C14*tax*Population!I14 + (Construction!AY15+Construction!BW15)*(alch_plat+(Magic!AR14&gt;0)*alchemist_flame_bonus)</f>
        <v>15889.826818296388</v>
      </c>
      <c r="AB14" s="164">
        <f>Construction!$AZ14*farm_food + Construction!$BP14*dock_food+IF(race="Growth",ROUNDDOWN(Military!G14*8,0),0)</f>
        <v>6400</v>
      </c>
      <c r="AC14" s="164">
        <f>Construction!$BC14*ly_lumber+IF(race="Ants",ROUNDDOWN(Military!F14/2,0),0)</f>
        <v>2500</v>
      </c>
      <c r="AD14" s="164">
        <f>Construction!$BK15*tower_mana+IF(race="Templars",ROUNDDOWN(Military!F14*0.02,0),0)+IF(race="Black Orc",Military!G14*5,0)+IF(race="Growth",ROUNDDOWN(Military!G14*0.1,0),0)+IF(race="Void",ROUNDDOWN(Military!F14*1.5,0),0)+IF(race="Void",ROUNDDOWN(Military!G14*4,0),0)</f>
        <v>1250</v>
      </c>
      <c r="AE14" s="164">
        <f>Construction!$BE15*om_ore+IF(race="Dwarf",ROUNDDOWN(Military!F14*2,0),0)</f>
        <v>0</v>
      </c>
      <c r="AF14" s="166">
        <f>Construction!$BN15*dm_gems+IF(race="Dwarf",ROUNDDOWN(Military!F14/2,0),0)</f>
        <v>0</v>
      </c>
      <c r="AH14" s="266">
        <f ca="1">MIN(race_platinum_bonus + IF(Magic!AJ14&gt;0,midas_bonus) + Imps!Y14 - BB14*0.02+MAX(tech_production_plat*Techs!Y14,tech_treasure_hunt_plat*Techs!AR14), 0.5)</f>
        <v>0</v>
      </c>
      <c r="AI14" s="455">
        <f ca="1">race_food_bonus + IF(Magic!AO14&gt;0,gaias_blessing_food,IF(Magic!AG14&gt;0,gaias_watch_bonus)) + Imps!AD14+tech_production_food*Techs!W14 + O14/100*prestige_food_bonus</f>
        <v>0.1</v>
      </c>
      <c r="AJ14" s="267">
        <f ca="1">race_lumber_bonus+ IF(Magic!AO14&gt;0,gaias_blessing_lumber)+tech_fruits_of_labor1*Techs!AP14</f>
        <v>0</v>
      </c>
      <c r="AK14" s="267">
        <f ca="1">race_mana_bonus+tech_enchanted_lands_mana*Techs!AT14</f>
        <v>0</v>
      </c>
      <c r="AL14" s="267">
        <f ca="1">race_ore_bonus + IF(Magic!AL14&gt;0,miners_sight_bonus,IF(Magic!AH14&gt;0,mining_strength_bonus))+tech_fruits_of_labor1*Techs!AP14</f>
        <v>0</v>
      </c>
      <c r="AM14" s="193">
        <f ca="1">race_gem_bonus+MAX(tech_production_gems*Techs!X14,tech_fruits_of_labor_gems*Techs!AP14)</f>
        <v>0</v>
      </c>
      <c r="AO14" s="152">
        <f ca="1">I14*food_decay*IF(Magic!AZ14&gt;0,0.5,1)</f>
        <v>834.16</v>
      </c>
      <c r="AP14" s="26">
        <f ca="1">(1+race_food_consumption)*Population!F14*food_per_person</f>
        <v>2795.0302609533692</v>
      </c>
      <c r="AQ14" s="164">
        <f t="shared" ca="1" si="6"/>
        <v>2969.16</v>
      </c>
      <c r="AR14" s="166">
        <f t="shared" ca="1" si="7"/>
        <v>569.38</v>
      </c>
      <c r="AS14" s="164"/>
      <c r="AT14" s="152">
        <f ca="1">Explore!AH14+Construction!AP14+Military!AU14+Rezone!Y14+Imps!AM14-BE14</f>
        <v>0</v>
      </c>
      <c r="AU14" s="164">
        <f>Construction!AQ14+Imps!AN14-BF14</f>
        <v>0</v>
      </c>
      <c r="AV14" s="164">
        <f>Magic!AD14</f>
        <v>0</v>
      </c>
      <c r="AW14" s="164">
        <f ca="1">Military!AV14+Imps!AO14-BG14</f>
        <v>0</v>
      </c>
      <c r="AX14" s="164">
        <f>Imps!AP14-BH14</f>
        <v>0</v>
      </c>
      <c r="AY14" s="164">
        <f ca="1">Military!AZ14</f>
        <v>0</v>
      </c>
      <c r="AZ14" s="166">
        <f ca="1">Military!BA14</f>
        <v>0</v>
      </c>
      <c r="BB14" s="152" t="b">
        <f t="shared" si="17"/>
        <v>0</v>
      </c>
      <c r="BC14" s="329"/>
      <c r="BD14" s="978">
        <v>12</v>
      </c>
      <c r="BE14" s="329"/>
      <c r="BF14" s="407"/>
      <c r="BG14" s="407"/>
      <c r="BH14" s="743"/>
      <c r="BI14" s="1036">
        <f t="shared" si="8"/>
        <v>43692.458333333307</v>
      </c>
      <c r="BJ14" s="159" t="str">
        <f t="shared" si="22"/>
        <v/>
      </c>
      <c r="BK14" s="164">
        <f t="shared" ca="1" si="18"/>
        <v>4042920</v>
      </c>
      <c r="BL14" s="164">
        <f t="shared" ca="1" si="9"/>
        <v>83416</v>
      </c>
      <c r="BM14" s="164">
        <f t="shared" ca="1" si="10"/>
        <v>296916</v>
      </c>
      <c r="BN14" s="164">
        <f t="shared" ca="1" si="11"/>
        <v>28469</v>
      </c>
      <c r="BO14" s="166">
        <f t="shared" ca="1" si="12"/>
        <v>300000</v>
      </c>
    </row>
    <row r="15" spans="1:67" s="163" customFormat="1">
      <c r="A15" s="988">
        <v>13</v>
      </c>
      <c r="B15" s="677">
        <f>Imps!L15</f>
        <v>43692.499999999971</v>
      </c>
      <c r="C15" s="330"/>
      <c r="D15" s="836"/>
      <c r="E15" s="151">
        <f>Construction!E15</f>
        <v>1000</v>
      </c>
      <c r="F15" s="153">
        <f ca="1">Population!$C15</f>
        <v>5590.8649916228032</v>
      </c>
      <c r="G15" s="153">
        <f ca="1">Military!EM15</f>
        <v>21900</v>
      </c>
      <c r="H15" s="153">
        <f ca="1">H14+S14 - AT15 + IF(C15,Population!C15*4)</f>
        <v>3058809</v>
      </c>
      <c r="I15" s="153">
        <f t="shared" ca="1" si="19"/>
        <v>86827</v>
      </c>
      <c r="J15" s="153">
        <f t="shared" ca="1" si="13"/>
        <v>296447</v>
      </c>
      <c r="K15" s="153">
        <f t="shared" ca="1" si="14"/>
        <v>29150</v>
      </c>
      <c r="L15" s="153">
        <f t="shared" ca="1" si="15"/>
        <v>231000</v>
      </c>
      <c r="M15" s="153">
        <f t="shared" ca="1" si="16"/>
        <v>20000</v>
      </c>
      <c r="N15" s="153">
        <f t="shared" ca="1" si="20"/>
        <v>200</v>
      </c>
      <c r="O15" s="153">
        <f t="shared" si="21"/>
        <v>500</v>
      </c>
      <c r="P15" s="153">
        <f>ROUNDDOWN(P14+MAX(Construction!BO15/2,Construction!BO15*(1-Construction!BO15/(E15-Explore!S15*20)))-Q15*SUM(Techs!AY15:BY15),0)</f>
        <v>0</v>
      </c>
      <c r="Q15" s="158">
        <f>MAX(min_tech_cost,ROUNDDOWN(tech_cost_per_acre*Construction!E15,0))</f>
        <v>6426</v>
      </c>
      <c r="S15" s="151">
        <f t="shared" ref="S15:S67" ca="1" si="23">ROUNDDOWN(AA15*(1+AH15),0)</f>
        <v>15095</v>
      </c>
      <c r="T15" s="153">
        <f t="shared" ref="T15:T34" ca="1" si="24">ROUND(AB15*(1+AI15)-AO15-AP15,0)</f>
        <v>3450</v>
      </c>
      <c r="U15" s="153">
        <f t="shared" ref="U15:U34" ca="1" si="25">ROUND(AC15*(1+AJ15)-AQ15,0)</f>
        <v>-464</v>
      </c>
      <c r="V15" s="153">
        <f t="shared" ref="V15:V34" ca="1" si="26">ROUND(AD15*(1+AK15)-AR15,0)</f>
        <v>667</v>
      </c>
      <c r="W15" s="153">
        <f t="shared" ref="W15:W67" ca="1" si="27">ROUNDDOWN(AE15*(1+AL15),0)</f>
        <v>0</v>
      </c>
      <c r="X15" s="153">
        <f t="shared" ref="X15:X67" ca="1" si="28">ROUNDDOWN(AF15*(1+AM15),0)</f>
        <v>0</v>
      </c>
      <c r="Y15" s="262">
        <f>Construction!BP16*dock_boats_hr</f>
        <v>0</v>
      </c>
      <c r="Z15" s="203"/>
      <c r="AA15" s="54">
        <f ca="1">Population!C15*tax*Population!I15 + (Construction!AY16+Construction!BW16)*(alch_plat+(Magic!AR15&gt;0)*alchemist_flame_bonus)</f>
        <v>15095.33547738157</v>
      </c>
      <c r="AB15" s="153">
        <f>Construction!$AZ15*farm_food + Construction!$BP15*dock_food+IF(race="Growth",ROUNDDOWN(Military!G15*8,0),0)</f>
        <v>6400</v>
      </c>
      <c r="AC15" s="153">
        <f>Construction!$BC15*ly_lumber+IF(race="Ants",ROUNDDOWN(Military!F15/2,0),0)</f>
        <v>2500</v>
      </c>
      <c r="AD15" s="153">
        <f>Construction!$BK16*tower_mana+IF(race="Templars",ROUNDDOWN(Military!F15*0.02,0),0)+IF(race="Black Orc",Military!G15*5,0)+IF(race="Growth",ROUNDDOWN(Military!G15*0.1,0),0)+IF(race="Void",ROUNDDOWN(Military!F15*1.5,0),0)+IF(race="Void",ROUNDDOWN(Military!G15*4,0),0)</f>
        <v>1250</v>
      </c>
      <c r="AE15" s="153">
        <f>Construction!$BE16*om_ore+IF(race="Dwarf",ROUNDDOWN(Military!F15*2,0),0)</f>
        <v>0</v>
      </c>
      <c r="AF15" s="158">
        <f>Construction!$BN16*dm_gems+IF(race="Dwarf",ROUNDDOWN(Military!F15/2,0),0)</f>
        <v>0</v>
      </c>
      <c r="AH15" s="263">
        <f ca="1">MIN(race_platinum_bonus + IF(Magic!AJ15&gt;0,midas_bonus) + Imps!Y15 - BB15*0.02+MAX(tech_production_plat*Techs!Y15,tech_treasure_hunt_plat*Techs!AR15), 0.5)</f>
        <v>0</v>
      </c>
      <c r="AI15" s="447">
        <f ca="1">race_food_bonus + IF(Magic!AO15&gt;0,gaias_blessing_food,IF(Magic!AG15&gt;0,gaias_watch_bonus)) + Imps!AD15+tech_production_food*Techs!W15 + O15/100*prestige_food_bonus</f>
        <v>0.1</v>
      </c>
      <c r="AJ15" s="264">
        <f ca="1">race_lumber_bonus+ IF(Magic!AO15&gt;0,gaias_blessing_lumber)+tech_fruits_of_labor1*Techs!AP15</f>
        <v>0</v>
      </c>
      <c r="AK15" s="264">
        <f ca="1">race_mana_bonus+tech_enchanted_lands_mana*Techs!AT15</f>
        <v>0</v>
      </c>
      <c r="AL15" s="264">
        <f ca="1">race_ore_bonus + IF(Magic!AL15&gt;0,miners_sight_bonus,IF(Magic!AH15&gt;0,mining_strength_bonus))+tech_fruits_of_labor1*Techs!AP15</f>
        <v>0</v>
      </c>
      <c r="AM15" s="194">
        <f ca="1">race_gem_bonus+MAX(tech_production_gems*Techs!X15,tech_fruits_of_labor_gems*Techs!AP15)</f>
        <v>0</v>
      </c>
      <c r="AO15" s="151">
        <f ca="1">I15*food_decay*IF(Magic!AZ15&gt;0,0.5,1)</f>
        <v>868.27</v>
      </c>
      <c r="AP15" s="13">
        <f ca="1">(1+race_food_consumption)*Population!F15*food_per_person</f>
        <v>2721.4662479057006</v>
      </c>
      <c r="AQ15" s="153">
        <f t="shared" ca="1" si="6"/>
        <v>2964.4700000000003</v>
      </c>
      <c r="AR15" s="158">
        <f t="shared" ca="1" si="7"/>
        <v>583</v>
      </c>
      <c r="AS15" s="153"/>
      <c r="AT15" s="151">
        <f ca="1">Explore!AH15+Construction!AP15+Military!AU15+Rezone!Y15+Imps!AM15-BE15</f>
        <v>1000000</v>
      </c>
      <c r="AU15" s="153">
        <f>Construction!AQ15+Imps!AN15-BF15</f>
        <v>0</v>
      </c>
      <c r="AV15" s="153">
        <f>Magic!AD15</f>
        <v>0</v>
      </c>
      <c r="AW15" s="153">
        <f ca="1">Military!AV15+Imps!AO15-BG15</f>
        <v>69000</v>
      </c>
      <c r="AX15" s="153">
        <f>Imps!AP15-BH15</f>
        <v>0</v>
      </c>
      <c r="AY15" s="153">
        <f ca="1">Military!AZ15</f>
        <v>0</v>
      </c>
      <c r="AZ15" s="158">
        <f ca="1">Military!BA15</f>
        <v>0</v>
      </c>
      <c r="BB15" s="151" t="b">
        <f>IF(BC15&lt;&gt;"",BC15,BB14)</f>
        <v>0</v>
      </c>
      <c r="BC15" s="330"/>
      <c r="BD15" s="980">
        <v>13</v>
      </c>
      <c r="BE15" s="330"/>
      <c r="BF15" s="410"/>
      <c r="BG15" s="410"/>
      <c r="BH15" s="745"/>
      <c r="BI15" s="1038">
        <f t="shared" si="8"/>
        <v>43692.499999999971</v>
      </c>
      <c r="BJ15" s="287" t="str">
        <f t="shared" si="22"/>
        <v/>
      </c>
      <c r="BK15" s="153">
        <f t="shared" ca="1" si="18"/>
        <v>3058809</v>
      </c>
      <c r="BL15" s="153">
        <f t="shared" ca="1" si="9"/>
        <v>86827</v>
      </c>
      <c r="BM15" s="153">
        <f t="shared" ca="1" si="10"/>
        <v>296447</v>
      </c>
      <c r="BN15" s="153">
        <f t="shared" ca="1" si="11"/>
        <v>29150</v>
      </c>
      <c r="BO15" s="158">
        <f t="shared" ca="1" si="12"/>
        <v>231000</v>
      </c>
    </row>
    <row r="16" spans="1:67" s="170" customFormat="1">
      <c r="A16" s="986">
        <v>14</v>
      </c>
      <c r="B16" s="532">
        <f>Imps!L16</f>
        <v>43692.541666666635</v>
      </c>
      <c r="C16" s="329"/>
      <c r="D16" s="834"/>
      <c r="E16" s="152">
        <f>Construction!E16</f>
        <v>1000</v>
      </c>
      <c r="F16" s="164">
        <f ca="1">Population!$C16</f>
        <v>5311.3217420416631</v>
      </c>
      <c r="G16" s="164">
        <f ca="1">Military!EM16</f>
        <v>21900</v>
      </c>
      <c r="H16" s="26">
        <f ca="1">H15+S15 - AT16 + IF(C16,Population!C16*4)</f>
        <v>3073904</v>
      </c>
      <c r="I16" s="164">
        <f t="shared" ca="1" si="19"/>
        <v>90277</v>
      </c>
      <c r="J16" s="164">
        <f t="shared" ca="1" si="13"/>
        <v>295983</v>
      </c>
      <c r="K16" s="164">
        <f t="shared" ca="1" si="14"/>
        <v>29817</v>
      </c>
      <c r="L16" s="164">
        <f t="shared" ca="1" si="15"/>
        <v>231000</v>
      </c>
      <c r="M16" s="164">
        <f t="shared" ca="1" si="16"/>
        <v>20000</v>
      </c>
      <c r="N16" s="164">
        <f t="shared" ca="1" si="20"/>
        <v>200</v>
      </c>
      <c r="O16" s="164">
        <f t="shared" si="21"/>
        <v>500</v>
      </c>
      <c r="P16" s="164">
        <f>ROUNDDOWN(P15+MAX(Construction!BO16/2,Construction!BO16*(1-Construction!BO16/(E16-Explore!S16*20)))-Q16*SUM(Techs!AY16:BY16),0)</f>
        <v>0</v>
      </c>
      <c r="Q16" s="166">
        <f>MAX(min_tech_cost,ROUNDDOWN(tech_cost_per_acre*Construction!E16,0))</f>
        <v>6426</v>
      </c>
      <c r="S16" s="152">
        <f t="shared" ca="1" si="23"/>
        <v>14340</v>
      </c>
      <c r="T16" s="164">
        <f t="shared" ca="1" si="24"/>
        <v>3486</v>
      </c>
      <c r="U16" s="164">
        <f t="shared" ca="1" si="25"/>
        <v>-460</v>
      </c>
      <c r="V16" s="164">
        <f t="shared" ca="1" si="26"/>
        <v>654</v>
      </c>
      <c r="W16" s="164">
        <f t="shared" ca="1" si="27"/>
        <v>0</v>
      </c>
      <c r="X16" s="164">
        <f t="shared" ca="1" si="28"/>
        <v>0</v>
      </c>
      <c r="Y16" s="265">
        <f>Construction!BP17*dock_boats_hr</f>
        <v>0</v>
      </c>
      <c r="Z16" s="164"/>
      <c r="AA16" s="152">
        <f ca="1">Population!C16*tax*Population!I16 + (Construction!AY17+Construction!BW17)*(alch_plat+(Magic!AR16&gt;0)*alchemist_flame_bonus)</f>
        <v>14340.568703512492</v>
      </c>
      <c r="AB16" s="164">
        <f>Construction!$AZ16*farm_food + Construction!$BP16*dock_food+IF(race="Growth",ROUNDDOWN(Military!G16*8,0),0)</f>
        <v>6400</v>
      </c>
      <c r="AC16" s="164">
        <f>Construction!$BC16*ly_lumber+IF(race="Ants",ROUNDDOWN(Military!F16/2,0),0)</f>
        <v>2500</v>
      </c>
      <c r="AD16" s="164">
        <f>Construction!$BK17*tower_mana+IF(race="Templars",ROUNDDOWN(Military!F16*0.02,0),0)+IF(race="Black Orc",Military!G16*5,0)+IF(race="Growth",ROUNDDOWN(Military!G16*0.1,0),0)+IF(race="Void",ROUNDDOWN(Military!F16*1.5,0),0)+IF(race="Void",ROUNDDOWN(Military!G16*4,0),0)</f>
        <v>1250</v>
      </c>
      <c r="AE16" s="164">
        <f>Construction!$BE17*om_ore+IF(race="Dwarf",ROUNDDOWN(Military!F16*2,0),0)</f>
        <v>0</v>
      </c>
      <c r="AF16" s="166">
        <f>Construction!$BN17*dm_gems+IF(race="Dwarf",ROUNDDOWN(Military!F16/2,0),0)</f>
        <v>0</v>
      </c>
      <c r="AH16" s="266">
        <f ca="1">MIN(race_platinum_bonus + IF(Magic!AJ16&gt;0,midas_bonus) + Imps!Y16 - BB16*0.02+MAX(tech_production_plat*Techs!Y16,tech_treasure_hunt_plat*Techs!AR16), 0.5)</f>
        <v>0</v>
      </c>
      <c r="AI16" s="455">
        <f ca="1">race_food_bonus + IF(Magic!AO16&gt;0,gaias_blessing_food,IF(Magic!AG16&gt;0,gaias_watch_bonus)) + Imps!AD16+tech_production_food*Techs!W16 + O16/100*prestige_food_bonus</f>
        <v>0.1</v>
      </c>
      <c r="AJ16" s="267">
        <f ca="1">race_lumber_bonus+ IF(Magic!AO16&gt;0,gaias_blessing_lumber)+tech_fruits_of_labor1*Techs!AP16</f>
        <v>0</v>
      </c>
      <c r="AK16" s="267">
        <f ca="1">race_mana_bonus+tech_enchanted_lands_mana*Techs!AT16</f>
        <v>0</v>
      </c>
      <c r="AL16" s="267">
        <f ca="1">race_ore_bonus + IF(Magic!AL16&gt;0,miners_sight_bonus,IF(Magic!AH16&gt;0,mining_strength_bonus))+tech_fruits_of_labor1*Techs!AP16</f>
        <v>0</v>
      </c>
      <c r="AM16" s="193">
        <f ca="1">race_gem_bonus+MAX(tech_production_gems*Techs!X16,tech_fruits_of_labor_gems*Techs!AP16)</f>
        <v>0</v>
      </c>
      <c r="AO16" s="152">
        <f ca="1">I16*food_decay*IF(Magic!AZ16&gt;0,0.5,1)</f>
        <v>902.77</v>
      </c>
      <c r="AP16" s="26">
        <f ca="1">(1+race_food_consumption)*Population!F16*food_per_person</f>
        <v>2651.5804355104156</v>
      </c>
      <c r="AQ16" s="164">
        <f t="shared" ca="1" si="6"/>
        <v>2959.83</v>
      </c>
      <c r="AR16" s="166">
        <f t="shared" ca="1" si="7"/>
        <v>596.34</v>
      </c>
      <c r="AS16" s="164"/>
      <c r="AT16" s="152">
        <f ca="1">Explore!AH16+Construction!AP16+Military!AU16+Rezone!Y16+Imps!AM16-BE16</f>
        <v>0</v>
      </c>
      <c r="AU16" s="164">
        <f>Construction!AQ16+Imps!AN16-BF16</f>
        <v>0</v>
      </c>
      <c r="AV16" s="164">
        <f>Magic!AD16</f>
        <v>0</v>
      </c>
      <c r="AW16" s="164">
        <f ca="1">Military!AV16+Imps!AO16-BG16</f>
        <v>0</v>
      </c>
      <c r="AX16" s="164">
        <f>Imps!AP16-BH16</f>
        <v>0</v>
      </c>
      <c r="AY16" s="164">
        <f ca="1">Military!AZ16</f>
        <v>0</v>
      </c>
      <c r="AZ16" s="166">
        <f ca="1">Military!BA16</f>
        <v>0</v>
      </c>
      <c r="BB16" s="152" t="b">
        <f t="shared" ref="BB16:BB79" si="29">IF(BC16&lt;&gt;"",BC16,BB15)</f>
        <v>0</v>
      </c>
      <c r="BC16" s="329"/>
      <c r="BD16" s="978">
        <v>14</v>
      </c>
      <c r="BE16" s="329"/>
      <c r="BF16" s="407"/>
      <c r="BG16" s="407"/>
      <c r="BH16" s="743"/>
      <c r="BI16" s="1036">
        <f t="shared" si="8"/>
        <v>43692.541666666635</v>
      </c>
      <c r="BJ16" s="159" t="str">
        <f t="shared" si="22"/>
        <v/>
      </c>
      <c r="BK16" s="26">
        <f t="shared" ca="1" si="18"/>
        <v>3073904</v>
      </c>
      <c r="BL16" s="164">
        <f t="shared" ca="1" si="9"/>
        <v>90277</v>
      </c>
      <c r="BM16" s="164">
        <f t="shared" ca="1" si="10"/>
        <v>295983</v>
      </c>
      <c r="BN16" s="164">
        <f t="shared" ca="1" si="11"/>
        <v>29817</v>
      </c>
      <c r="BO16" s="166">
        <f t="shared" ca="1" si="12"/>
        <v>231000</v>
      </c>
    </row>
    <row r="17" spans="1:67" s="170" customFormat="1">
      <c r="A17" s="986">
        <v>15</v>
      </c>
      <c r="B17" s="816">
        <f>Imps!L17</f>
        <v>43692.583333333299</v>
      </c>
      <c r="C17" s="329"/>
      <c r="D17" s="834"/>
      <c r="E17" s="152">
        <f>Construction!E17</f>
        <v>1000</v>
      </c>
      <c r="F17" s="164">
        <f ca="1">Population!$C17</f>
        <v>5045.7556549395804</v>
      </c>
      <c r="G17" s="164">
        <f ca="1">Military!EM17</f>
        <v>21900</v>
      </c>
      <c r="H17" s="26">
        <f ca="1">H16+S16 - AT17 + IF(C17,Population!C17*4)</f>
        <v>3088244</v>
      </c>
      <c r="I17" s="164">
        <f t="shared" ca="1" si="19"/>
        <v>93763</v>
      </c>
      <c r="J17" s="164">
        <f t="shared" ca="1" si="13"/>
        <v>295523</v>
      </c>
      <c r="K17" s="164">
        <f t="shared" ca="1" si="14"/>
        <v>30471</v>
      </c>
      <c r="L17" s="164">
        <f t="shared" ca="1" si="15"/>
        <v>231000</v>
      </c>
      <c r="M17" s="164">
        <f t="shared" ca="1" si="16"/>
        <v>20000</v>
      </c>
      <c r="N17" s="164">
        <f t="shared" ca="1" si="20"/>
        <v>200</v>
      </c>
      <c r="O17" s="164">
        <f t="shared" si="21"/>
        <v>500</v>
      </c>
      <c r="P17" s="164">
        <f>ROUNDDOWN(P16+MAX(Construction!BO17/2,Construction!BO17*(1-Construction!BO17/(E17-Explore!S17*20)))-Q17*SUM(Techs!AY17:BY17),0)</f>
        <v>0</v>
      </c>
      <c r="Q17" s="166">
        <f>MAX(min_tech_cost,ROUNDDOWN(tech_cost_per_acre*Construction!E17,0))</f>
        <v>6426</v>
      </c>
      <c r="S17" s="152">
        <f t="shared" ca="1" si="23"/>
        <v>13623</v>
      </c>
      <c r="T17" s="164">
        <f t="shared" ca="1" si="24"/>
        <v>3517</v>
      </c>
      <c r="U17" s="164">
        <f t="shared" ca="1" si="25"/>
        <v>-455</v>
      </c>
      <c r="V17" s="164">
        <f t="shared" ca="1" si="26"/>
        <v>641</v>
      </c>
      <c r="W17" s="164">
        <f t="shared" ca="1" si="27"/>
        <v>0</v>
      </c>
      <c r="X17" s="164">
        <f t="shared" ca="1" si="28"/>
        <v>0</v>
      </c>
      <c r="Y17" s="265">
        <f>Construction!BP18*dock_boats_hr</f>
        <v>0</v>
      </c>
      <c r="Z17" s="164"/>
      <c r="AA17" s="152">
        <f ca="1">Population!C17*tax*Population!I17 + (Construction!AY18+Construction!BW18)*(alch_plat+(Magic!AR17&gt;0)*alchemist_flame_bonus)</f>
        <v>13623.540268336868</v>
      </c>
      <c r="AB17" s="164">
        <f>Construction!$AZ17*farm_food + Construction!$BP17*dock_food+IF(race="Growth",ROUNDDOWN(Military!G17*8,0),0)</f>
        <v>6400</v>
      </c>
      <c r="AC17" s="164">
        <f>Construction!$BC17*ly_lumber+IF(race="Ants",ROUNDDOWN(Military!F17/2,0),0)</f>
        <v>2500</v>
      </c>
      <c r="AD17" s="164">
        <f>Construction!$BK18*tower_mana+IF(race="Templars",ROUNDDOWN(Military!F17*0.02,0),0)+IF(race="Black Orc",Military!G17*5,0)+IF(race="Growth",ROUNDDOWN(Military!G17*0.1,0),0)+IF(race="Void",ROUNDDOWN(Military!F17*1.5,0),0)+IF(race="Void",ROUNDDOWN(Military!G17*4,0),0)</f>
        <v>1250</v>
      </c>
      <c r="AE17" s="164">
        <f>Construction!$BE18*om_ore+IF(race="Dwarf",ROUNDDOWN(Military!F17*2,0),0)</f>
        <v>0</v>
      </c>
      <c r="AF17" s="166">
        <f>Construction!$BN18*dm_gems+IF(race="Dwarf",ROUNDDOWN(Military!F17/2,0),0)</f>
        <v>0</v>
      </c>
      <c r="AH17" s="266">
        <f ca="1">MIN(race_platinum_bonus + IF(Magic!AJ17&gt;0,midas_bonus) + Imps!Y17 - BB17*0.02+MAX(tech_production_plat*Techs!Y17,tech_treasure_hunt_plat*Techs!AR17), 0.5)</f>
        <v>0</v>
      </c>
      <c r="AI17" s="455">
        <f ca="1">race_food_bonus + IF(Magic!AO17&gt;0,gaias_blessing_food,IF(Magic!AG17&gt;0,gaias_watch_bonus)) + Imps!AD17+tech_production_food*Techs!W17 + O17/100*prestige_food_bonus</f>
        <v>0.1</v>
      </c>
      <c r="AJ17" s="267">
        <f ca="1">race_lumber_bonus+ IF(Magic!AO17&gt;0,gaias_blessing_lumber)+tech_fruits_of_labor1*Techs!AP17</f>
        <v>0</v>
      </c>
      <c r="AK17" s="267">
        <f ca="1">race_mana_bonus+tech_enchanted_lands_mana*Techs!AT17</f>
        <v>0</v>
      </c>
      <c r="AL17" s="267">
        <f ca="1">race_ore_bonus + IF(Magic!AL17&gt;0,miners_sight_bonus,IF(Magic!AH17&gt;0,mining_strength_bonus))+tech_fruits_of_labor1*Techs!AP17</f>
        <v>0</v>
      </c>
      <c r="AM17" s="193">
        <f ca="1">race_gem_bonus+MAX(tech_production_gems*Techs!X17,tech_fruits_of_labor_gems*Techs!AP17)</f>
        <v>0</v>
      </c>
      <c r="AO17" s="152">
        <f ca="1">I17*food_decay*IF(Magic!AZ17&gt;0,0.5,1)</f>
        <v>937.63</v>
      </c>
      <c r="AP17" s="26">
        <f ca="1">(1+race_food_consumption)*Population!F17*food_per_person</f>
        <v>2585.1889137348953</v>
      </c>
      <c r="AQ17" s="164">
        <f t="shared" ca="1" si="6"/>
        <v>2955.23</v>
      </c>
      <c r="AR17" s="166">
        <f t="shared" ca="1" si="7"/>
        <v>609.41999999999996</v>
      </c>
      <c r="AS17" s="164"/>
      <c r="AT17" s="152">
        <f ca="1">Explore!AH17+Construction!AP17+Military!AU17+Rezone!Y17+Imps!AM17-BE17</f>
        <v>0</v>
      </c>
      <c r="AU17" s="164">
        <f>Construction!AQ17+Imps!AN17-BF17</f>
        <v>0</v>
      </c>
      <c r="AV17" s="164">
        <f>Magic!AD17</f>
        <v>0</v>
      </c>
      <c r="AW17" s="164">
        <f ca="1">Military!AV17+Imps!AO17-BG17</f>
        <v>0</v>
      </c>
      <c r="AX17" s="164">
        <f>Imps!AP17-BH17</f>
        <v>0</v>
      </c>
      <c r="AY17" s="164">
        <f ca="1">Military!AZ17</f>
        <v>0</v>
      </c>
      <c r="AZ17" s="166">
        <f ca="1">Military!BA17</f>
        <v>0</v>
      </c>
      <c r="BB17" s="152" t="b">
        <f t="shared" si="29"/>
        <v>0</v>
      </c>
      <c r="BC17" s="329"/>
      <c r="BD17" s="978">
        <v>15</v>
      </c>
      <c r="BE17" s="329"/>
      <c r="BF17" s="407"/>
      <c r="BG17" s="407"/>
      <c r="BH17" s="743"/>
      <c r="BI17" s="1036">
        <f t="shared" si="8"/>
        <v>43692.583333333299</v>
      </c>
      <c r="BJ17" s="159" t="str">
        <f t="shared" si="22"/>
        <v/>
      </c>
      <c r="BK17" s="26">
        <f t="shared" ca="1" si="18"/>
        <v>3088244</v>
      </c>
      <c r="BL17" s="164">
        <f t="shared" ca="1" si="9"/>
        <v>93763</v>
      </c>
      <c r="BM17" s="164">
        <f t="shared" ca="1" si="10"/>
        <v>295523</v>
      </c>
      <c r="BN17" s="164">
        <f t="shared" ca="1" si="11"/>
        <v>30471</v>
      </c>
      <c r="BO17" s="166">
        <f t="shared" ca="1" si="12"/>
        <v>231000</v>
      </c>
    </row>
    <row r="18" spans="1:67" s="16" customFormat="1">
      <c r="A18" s="987">
        <v>16</v>
      </c>
      <c r="B18" s="816">
        <f>Imps!L18</f>
        <v>43692.624999999964</v>
      </c>
      <c r="C18" s="332"/>
      <c r="D18" s="835"/>
      <c r="E18" s="56">
        <f>Construction!E18</f>
        <v>1000</v>
      </c>
      <c r="F18" s="26">
        <f ca="1">Population!$C18</f>
        <v>4793.4678721926011</v>
      </c>
      <c r="G18" s="26">
        <f ca="1">Military!EM18</f>
        <v>21900</v>
      </c>
      <c r="H18" s="26">
        <f ca="1">H17+S17 - AT18 + IF(C18,Population!C18*4)</f>
        <v>3101867</v>
      </c>
      <c r="I18" s="26">
        <f t="shared" ca="1" si="19"/>
        <v>97280</v>
      </c>
      <c r="J18" s="26">
        <f t="shared" ca="1" si="13"/>
        <v>295068</v>
      </c>
      <c r="K18" s="26">
        <f t="shared" ca="1" si="14"/>
        <v>31112</v>
      </c>
      <c r="L18" s="26">
        <f t="shared" ca="1" si="15"/>
        <v>231000</v>
      </c>
      <c r="M18" s="26">
        <f t="shared" ca="1" si="16"/>
        <v>20000</v>
      </c>
      <c r="N18" s="26">
        <f t="shared" ca="1" si="20"/>
        <v>200</v>
      </c>
      <c r="O18" s="26">
        <f t="shared" si="21"/>
        <v>500</v>
      </c>
      <c r="P18" s="26">
        <f>ROUNDDOWN(P17+MAX(Construction!BO18/2,Construction!BO18*(1-Construction!BO18/(E18-Explore!S18*20)))-Q18*SUM(Techs!AY18:BY18),0)</f>
        <v>0</v>
      </c>
      <c r="Q18" s="166">
        <f>MAX(min_tech_cost,ROUNDDOWN(tech_cost_per_acre*Construction!E18,0))</f>
        <v>6426</v>
      </c>
      <c r="S18" s="152">
        <f t="shared" ca="1" si="23"/>
        <v>12942</v>
      </c>
      <c r="T18" s="164">
        <f t="shared" ca="1" si="24"/>
        <v>3545</v>
      </c>
      <c r="U18" s="164">
        <f t="shared" ca="1" si="25"/>
        <v>-451</v>
      </c>
      <c r="V18" s="164">
        <f t="shared" ca="1" si="26"/>
        <v>628</v>
      </c>
      <c r="W18" s="164">
        <f t="shared" ca="1" si="27"/>
        <v>0</v>
      </c>
      <c r="X18" s="164">
        <f t="shared" ca="1" si="28"/>
        <v>0</v>
      </c>
      <c r="Y18" s="265">
        <f>Construction!BP19*dock_boats_hr</f>
        <v>0</v>
      </c>
      <c r="Z18" s="164"/>
      <c r="AA18" s="152">
        <f ca="1">Population!C18*tax*Population!I18 + (Construction!AY19+Construction!BW19)*(alch_plat+(Magic!AR18&gt;0)*alchemist_flame_bonus)</f>
        <v>12942.363254920025</v>
      </c>
      <c r="AB18" s="164">
        <f>Construction!$AZ18*farm_food + Construction!$BP18*dock_food+IF(race="Growth",ROUNDDOWN(Military!G18*8,0),0)</f>
        <v>6400</v>
      </c>
      <c r="AC18" s="164">
        <f>Construction!$BC18*ly_lumber+IF(race="Ants",ROUNDDOWN(Military!F18/2,0),0)</f>
        <v>2500</v>
      </c>
      <c r="AD18" s="26">
        <f>Construction!$BK19*tower_mana+IF(race="Templars",ROUNDDOWN(Military!F18*0.02,0),0)+IF(race="Black Orc",Military!G18*5,0)+IF(race="Growth",ROUNDDOWN(Military!G18*0.1,0),0)+IF(race="Void",ROUNDDOWN(Military!F18*1.5,0),0)+IF(race="Void",ROUNDDOWN(Military!G18*4,0),0)</f>
        <v>1250</v>
      </c>
      <c r="AE18" s="164">
        <f>Construction!$BE19*om_ore+IF(race="Dwarf",ROUNDDOWN(Military!F18*2,0),0)</f>
        <v>0</v>
      </c>
      <c r="AF18" s="57">
        <f>Construction!$BN19*dm_gems+IF(race="Dwarf",ROUNDDOWN(Military!F18/2,0),0)</f>
        <v>0</v>
      </c>
      <c r="AH18" s="266">
        <f ca="1">MIN(race_platinum_bonus + IF(Magic!AJ18&gt;0,midas_bonus) + Imps!Y18 - BB18*0.02+MAX(tech_production_plat*Techs!Y18,tech_treasure_hunt_plat*Techs!AR18), 0.5)</f>
        <v>0</v>
      </c>
      <c r="AI18" s="455">
        <f ca="1">race_food_bonus + IF(Magic!AO18&gt;0,gaias_blessing_food,IF(Magic!AG18&gt;0,gaias_watch_bonus)) + Imps!AD18+tech_production_food*Techs!W18 + O18/100*prestige_food_bonus</f>
        <v>0.1</v>
      </c>
      <c r="AJ18" s="267">
        <f ca="1">race_lumber_bonus+ IF(Magic!AO18&gt;0,gaias_blessing_lumber)+tech_fruits_of_labor1*Techs!AP18</f>
        <v>0</v>
      </c>
      <c r="AK18" s="267">
        <f ca="1">race_mana_bonus+tech_enchanted_lands_mana*Techs!AT18</f>
        <v>0</v>
      </c>
      <c r="AL18" s="267">
        <f ca="1">race_ore_bonus + IF(Magic!AL18&gt;0,miners_sight_bonus,IF(Magic!AH18&gt;0,mining_strength_bonus))+tech_fruits_of_labor1*Techs!AP18</f>
        <v>0</v>
      </c>
      <c r="AM18" s="193">
        <f ca="1">race_gem_bonus+MAX(tech_production_gems*Techs!X18,tech_fruits_of_labor_gems*Techs!AP18)</f>
        <v>0</v>
      </c>
      <c r="AO18" s="56">
        <f ca="1">I18*food_decay*IF(Magic!AZ18&gt;0,0.5,1)</f>
        <v>972.80000000000007</v>
      </c>
      <c r="AP18" s="26">
        <f ca="1">(1+race_food_consumption)*Population!F18*food_per_person</f>
        <v>2522.1169680481503</v>
      </c>
      <c r="AQ18" s="26">
        <f t="shared" ca="1" si="6"/>
        <v>2950.68</v>
      </c>
      <c r="AR18" s="57">
        <f t="shared" ca="1" si="7"/>
        <v>622.24</v>
      </c>
      <c r="AS18" s="26"/>
      <c r="AT18" s="56">
        <f ca="1">Explore!AH18+Construction!AP18+Military!AU18+Rezone!Y18+Imps!AM18-BE18</f>
        <v>0</v>
      </c>
      <c r="AU18" s="26">
        <f>Construction!AQ18+Imps!AN18-BF18</f>
        <v>0</v>
      </c>
      <c r="AV18" s="26">
        <f>Magic!AD18</f>
        <v>0</v>
      </c>
      <c r="AW18" s="26">
        <f ca="1">Military!AV18+Imps!AO18-BG18</f>
        <v>0</v>
      </c>
      <c r="AX18" s="26">
        <f>Imps!AP18-BH18</f>
        <v>0</v>
      </c>
      <c r="AY18" s="26">
        <f ca="1">Military!AZ18</f>
        <v>0</v>
      </c>
      <c r="AZ18" s="57">
        <f ca="1">Military!BA18</f>
        <v>0</v>
      </c>
      <c r="BB18" s="56" t="b">
        <f t="shared" si="29"/>
        <v>0</v>
      </c>
      <c r="BC18" s="332"/>
      <c r="BD18" s="979">
        <v>16</v>
      </c>
      <c r="BE18" s="332"/>
      <c r="BF18" s="370"/>
      <c r="BG18" s="370"/>
      <c r="BH18" s="744"/>
      <c r="BI18" s="1036">
        <f t="shared" si="8"/>
        <v>43692.624999999964</v>
      </c>
      <c r="BJ18" s="159" t="str">
        <f t="shared" si="22"/>
        <v/>
      </c>
      <c r="BK18" s="26">
        <f t="shared" ca="1" si="18"/>
        <v>3101867</v>
      </c>
      <c r="BL18" s="26">
        <f t="shared" ca="1" si="9"/>
        <v>97280</v>
      </c>
      <c r="BM18" s="26">
        <f t="shared" ca="1" si="10"/>
        <v>295068</v>
      </c>
      <c r="BN18" s="26">
        <f t="shared" ca="1" si="11"/>
        <v>31112</v>
      </c>
      <c r="BO18" s="57">
        <f t="shared" ca="1" si="12"/>
        <v>231000</v>
      </c>
    </row>
    <row r="19" spans="1:67" s="16" customFormat="1">
      <c r="A19" s="987">
        <v>17</v>
      </c>
      <c r="B19" s="816">
        <f>Imps!L19</f>
        <v>43692.666666666628</v>
      </c>
      <c r="C19" s="332"/>
      <c r="D19" s="835"/>
      <c r="E19" s="56">
        <f>Construction!E19</f>
        <v>1000</v>
      </c>
      <c r="F19" s="26">
        <f ca="1">Population!$C19</f>
        <v>4553.7944785829714</v>
      </c>
      <c r="G19" s="26">
        <f ca="1">Military!EM19</f>
        <v>21900</v>
      </c>
      <c r="H19" s="26">
        <f ca="1">H18+S18 - AT19 + IF(C19,Population!C19*4)</f>
        <v>3114809</v>
      </c>
      <c r="I19" s="26">
        <f t="shared" ca="1" si="19"/>
        <v>100825</v>
      </c>
      <c r="J19" s="26">
        <f t="shared" ca="1" si="13"/>
        <v>294617</v>
      </c>
      <c r="K19" s="26">
        <f t="shared" ca="1" si="14"/>
        <v>31740</v>
      </c>
      <c r="L19" s="26">
        <f t="shared" ca="1" si="15"/>
        <v>231000</v>
      </c>
      <c r="M19" s="26">
        <f t="shared" ca="1" si="16"/>
        <v>20000</v>
      </c>
      <c r="N19" s="26">
        <f t="shared" ca="1" si="20"/>
        <v>200</v>
      </c>
      <c r="O19" s="26">
        <f t="shared" si="21"/>
        <v>500</v>
      </c>
      <c r="P19" s="26">
        <f>ROUNDDOWN(P18+MAX(Construction!BO19/2,Construction!BO19*(1-Construction!BO19/(E19-Explore!S19*20)))-Q19*SUM(Techs!AY19:BY19),0)</f>
        <v>0</v>
      </c>
      <c r="Q19" s="166">
        <f>MAX(min_tech_cost,ROUNDDOWN(tech_cost_per_acre*Construction!E19,0))</f>
        <v>6426</v>
      </c>
      <c r="S19" s="152">
        <f t="shared" ca="1" si="23"/>
        <v>12295</v>
      </c>
      <c r="T19" s="164">
        <f t="shared" ca="1" si="24"/>
        <v>3570</v>
      </c>
      <c r="U19" s="164">
        <f t="shared" ca="1" si="25"/>
        <v>-446</v>
      </c>
      <c r="V19" s="164">
        <f t="shared" ca="1" si="26"/>
        <v>615</v>
      </c>
      <c r="W19" s="164">
        <f t="shared" ca="1" si="27"/>
        <v>0</v>
      </c>
      <c r="X19" s="164">
        <f t="shared" ca="1" si="28"/>
        <v>0</v>
      </c>
      <c r="Y19" s="265">
        <f>Construction!BP20*dock_boats_hr</f>
        <v>0</v>
      </c>
      <c r="Z19" s="164"/>
      <c r="AA19" s="152">
        <f ca="1">Population!C19*tax*Population!I19 + (Construction!AY20+Construction!BW20)*(alch_plat+(Magic!AR19&gt;0)*alchemist_flame_bonus)</f>
        <v>12295.245092174024</v>
      </c>
      <c r="AB19" s="164">
        <f>Construction!$AZ19*farm_food + Construction!$BP19*dock_food+IF(race="Growth",ROUNDDOWN(Military!G19*8,0),0)</f>
        <v>6400</v>
      </c>
      <c r="AC19" s="164">
        <f>Construction!$BC19*ly_lumber+IF(race="Ants",ROUNDDOWN(Military!F19/2,0),0)</f>
        <v>2500</v>
      </c>
      <c r="AD19" s="26">
        <f>Construction!$BK20*tower_mana+IF(race="Templars",ROUNDDOWN(Military!F19*0.02,0),0)+IF(race="Black Orc",Military!G19*5,0)+IF(race="Growth",ROUNDDOWN(Military!G19*0.1,0),0)+IF(race="Void",ROUNDDOWN(Military!F19*1.5,0),0)+IF(race="Void",ROUNDDOWN(Military!G19*4,0),0)</f>
        <v>1250</v>
      </c>
      <c r="AE19" s="164">
        <f>Construction!$BE20*om_ore+IF(race="Dwarf",ROUNDDOWN(Military!F19*2,0),0)</f>
        <v>0</v>
      </c>
      <c r="AF19" s="57">
        <f>Construction!$BN20*dm_gems+IF(race="Dwarf",ROUNDDOWN(Military!F19/2,0),0)</f>
        <v>0</v>
      </c>
      <c r="AH19" s="266">
        <f ca="1">MIN(race_platinum_bonus + IF(Magic!AJ19&gt;0,midas_bonus) + Imps!Y19 - BB19*0.02+MAX(tech_production_plat*Techs!Y19,tech_treasure_hunt_plat*Techs!AR19), 0.5)</f>
        <v>0</v>
      </c>
      <c r="AI19" s="455">
        <f ca="1">race_food_bonus + IF(Magic!AO19&gt;0,gaias_blessing_food,IF(Magic!AG19&gt;0,gaias_watch_bonus)) + Imps!AD19+tech_production_food*Techs!W19 + O19/100*prestige_food_bonus</f>
        <v>0.1</v>
      </c>
      <c r="AJ19" s="267">
        <f ca="1">race_lumber_bonus+ IF(Magic!AO19&gt;0,gaias_blessing_lumber)+tech_fruits_of_labor1*Techs!AP19</f>
        <v>0</v>
      </c>
      <c r="AK19" s="267">
        <f ca="1">race_mana_bonus+tech_enchanted_lands_mana*Techs!AT19</f>
        <v>0</v>
      </c>
      <c r="AL19" s="267">
        <f ca="1">race_ore_bonus + IF(Magic!AL19&gt;0,miners_sight_bonus,IF(Magic!AH19&gt;0,mining_strength_bonus))+tech_fruits_of_labor1*Techs!AP19</f>
        <v>0</v>
      </c>
      <c r="AM19" s="193">
        <f ca="1">race_gem_bonus+MAX(tech_production_gems*Techs!X19,tech_fruits_of_labor_gems*Techs!AP19)</f>
        <v>0</v>
      </c>
      <c r="AO19" s="56">
        <f ca="1">I19*food_decay*IF(Magic!AZ19&gt;0,0.5,1)</f>
        <v>1008.25</v>
      </c>
      <c r="AP19" s="26">
        <f ca="1">(1+race_food_consumption)*Population!F19*food_per_person</f>
        <v>2462.1986196457428</v>
      </c>
      <c r="AQ19" s="26">
        <f t="shared" ca="1" si="6"/>
        <v>2946.17</v>
      </c>
      <c r="AR19" s="57">
        <f t="shared" ca="1" si="7"/>
        <v>634.80000000000007</v>
      </c>
      <c r="AS19" s="26"/>
      <c r="AT19" s="56">
        <f ca="1">Explore!AH19+Construction!AP19+Military!AU19+Rezone!Y19+Imps!AM19-BE19</f>
        <v>0</v>
      </c>
      <c r="AU19" s="26">
        <f>Construction!AQ19+Imps!AN19-BF19</f>
        <v>0</v>
      </c>
      <c r="AV19" s="26">
        <f>Magic!AD19</f>
        <v>0</v>
      </c>
      <c r="AW19" s="26">
        <f ca="1">Military!AV19+Imps!AO19-BG19</f>
        <v>0</v>
      </c>
      <c r="AX19" s="26">
        <f>Imps!AP19-BH19</f>
        <v>0</v>
      </c>
      <c r="AY19" s="26">
        <f ca="1">Military!AZ19</f>
        <v>0</v>
      </c>
      <c r="AZ19" s="57">
        <f ca="1">Military!BA19</f>
        <v>0</v>
      </c>
      <c r="BB19" s="56" t="b">
        <f t="shared" si="29"/>
        <v>0</v>
      </c>
      <c r="BC19" s="332"/>
      <c r="BD19" s="979">
        <v>17</v>
      </c>
      <c r="BE19" s="332"/>
      <c r="BF19" s="370"/>
      <c r="BG19" s="370"/>
      <c r="BH19" s="744"/>
      <c r="BI19" s="1036">
        <f t="shared" si="8"/>
        <v>43692.666666666628</v>
      </c>
      <c r="BJ19" s="159" t="str">
        <f t="shared" si="22"/>
        <v/>
      </c>
      <c r="BK19" s="26">
        <f t="shared" ca="1" si="18"/>
        <v>3114809</v>
      </c>
      <c r="BL19" s="26">
        <f t="shared" ca="1" si="9"/>
        <v>100825</v>
      </c>
      <c r="BM19" s="26">
        <f t="shared" ca="1" si="10"/>
        <v>294617</v>
      </c>
      <c r="BN19" s="26">
        <f t="shared" ca="1" si="11"/>
        <v>31740</v>
      </c>
      <c r="BO19" s="57">
        <f t="shared" ca="1" si="12"/>
        <v>231000</v>
      </c>
    </row>
    <row r="20" spans="1:67" s="16" customFormat="1">
      <c r="A20" s="987">
        <v>18</v>
      </c>
      <c r="B20" s="816">
        <f>Imps!L20</f>
        <v>43692.708333333292</v>
      </c>
      <c r="C20" s="332"/>
      <c r="D20" s="835"/>
      <c r="E20" s="56">
        <f>Construction!E20</f>
        <v>1000</v>
      </c>
      <c r="F20" s="26">
        <f ca="1">Population!$C20</f>
        <v>4326.104754653823</v>
      </c>
      <c r="G20" s="26">
        <f ca="1">Military!EM20</f>
        <v>21900</v>
      </c>
      <c r="H20" s="26">
        <f ca="1">H19+S19 - AT20 + IF(C20,Population!C20*4)</f>
        <v>3127104</v>
      </c>
      <c r="I20" s="26">
        <f t="shared" ca="1" si="19"/>
        <v>104395</v>
      </c>
      <c r="J20" s="26">
        <f t="shared" ca="1" si="13"/>
        <v>294171</v>
      </c>
      <c r="K20" s="26">
        <f t="shared" ca="1" si="14"/>
        <v>32355</v>
      </c>
      <c r="L20" s="26">
        <f t="shared" ca="1" si="15"/>
        <v>231000</v>
      </c>
      <c r="M20" s="26">
        <f t="shared" ca="1" si="16"/>
        <v>20000</v>
      </c>
      <c r="N20" s="26">
        <f t="shared" ca="1" si="20"/>
        <v>200</v>
      </c>
      <c r="O20" s="26">
        <f t="shared" si="21"/>
        <v>500</v>
      </c>
      <c r="P20" s="26">
        <f>ROUNDDOWN(P19+MAX(Construction!BO20/2,Construction!BO20*(1-Construction!BO20/(E20-Explore!S20*20)))-Q20*SUM(Techs!AY20:BY20),0)</f>
        <v>0</v>
      </c>
      <c r="Q20" s="166">
        <f>MAX(min_tech_cost,ROUNDDOWN(tech_cost_per_acre*Construction!E20,0))</f>
        <v>6426</v>
      </c>
      <c r="S20" s="152">
        <f t="shared" ca="1" si="23"/>
        <v>11680</v>
      </c>
      <c r="T20" s="164">
        <f t="shared" ca="1" si="24"/>
        <v>3591</v>
      </c>
      <c r="U20" s="164">
        <f t="shared" ca="1" si="25"/>
        <v>-442</v>
      </c>
      <c r="V20" s="164">
        <f t="shared" ca="1" si="26"/>
        <v>603</v>
      </c>
      <c r="W20" s="164">
        <f t="shared" ca="1" si="27"/>
        <v>0</v>
      </c>
      <c r="X20" s="164">
        <f t="shared" ca="1" si="28"/>
        <v>0</v>
      </c>
      <c r="Y20" s="265">
        <f>Construction!BP21*dock_boats_hr</f>
        <v>0</v>
      </c>
      <c r="Z20" s="164"/>
      <c r="AA20" s="152">
        <f ca="1">Population!C20*tax*Population!I20 + (Construction!AY21+Construction!BW21)*(alch_plat+(Magic!AR20&gt;0)*alchemist_flame_bonus)</f>
        <v>11680.482837565323</v>
      </c>
      <c r="AB20" s="164">
        <f>Construction!$AZ20*farm_food + Construction!$BP20*dock_food+IF(race="Growth",ROUNDDOWN(Military!G20*8,0),0)</f>
        <v>6400</v>
      </c>
      <c r="AC20" s="164">
        <f>Construction!$BC20*ly_lumber+IF(race="Ants",ROUNDDOWN(Military!F20/2,0),0)</f>
        <v>2500</v>
      </c>
      <c r="AD20" s="26">
        <f>Construction!$BK21*tower_mana+IF(race="Templars",ROUNDDOWN(Military!F20*0.02,0),0)+IF(race="Black Orc",Military!G20*5,0)+IF(race="Growth",ROUNDDOWN(Military!G20*0.1,0),0)+IF(race="Void",ROUNDDOWN(Military!F20*1.5,0),0)+IF(race="Void",ROUNDDOWN(Military!G20*4,0),0)</f>
        <v>1250</v>
      </c>
      <c r="AE20" s="164">
        <f>Construction!$BE21*om_ore+IF(race="Dwarf",ROUNDDOWN(Military!F20*2,0),0)</f>
        <v>0</v>
      </c>
      <c r="AF20" s="57">
        <f>Construction!$BN21*dm_gems+IF(race="Dwarf",ROUNDDOWN(Military!F20/2,0),0)</f>
        <v>0</v>
      </c>
      <c r="AH20" s="266">
        <f ca="1">MIN(race_platinum_bonus + IF(Magic!AJ20&gt;0,midas_bonus) + Imps!Y20 - BB20*0.02+MAX(tech_production_plat*Techs!Y20,tech_treasure_hunt_plat*Techs!AR20), 0.5)</f>
        <v>0</v>
      </c>
      <c r="AI20" s="455">
        <f ca="1">race_food_bonus + IF(Magic!AO20&gt;0,gaias_blessing_food,IF(Magic!AG20&gt;0,gaias_watch_bonus)) + Imps!AD20+tech_production_food*Techs!W20 + O20/100*prestige_food_bonus</f>
        <v>0.1</v>
      </c>
      <c r="AJ20" s="267">
        <f ca="1">race_lumber_bonus+ IF(Magic!AO20&gt;0,gaias_blessing_lumber)+tech_fruits_of_labor1*Techs!AP20</f>
        <v>0</v>
      </c>
      <c r="AK20" s="267">
        <f ca="1">race_mana_bonus+tech_enchanted_lands_mana*Techs!AT20</f>
        <v>0</v>
      </c>
      <c r="AL20" s="267">
        <f ca="1">race_ore_bonus + IF(Magic!AL20&gt;0,miners_sight_bonus,IF(Magic!AH20&gt;0,mining_strength_bonus))+tech_fruits_of_labor1*Techs!AP20</f>
        <v>0</v>
      </c>
      <c r="AM20" s="193">
        <f ca="1">race_gem_bonus+MAX(tech_production_gems*Techs!X20,tech_fruits_of_labor_gems*Techs!AP20)</f>
        <v>0</v>
      </c>
      <c r="AO20" s="56">
        <f ca="1">I20*food_decay*IF(Magic!AZ20&gt;0,0.5,1)</f>
        <v>1043.95</v>
      </c>
      <c r="AP20" s="26">
        <f ca="1">(1+race_food_consumption)*Population!F20*food_per_person</f>
        <v>2405.2761886634557</v>
      </c>
      <c r="AQ20" s="26">
        <f t="shared" ca="1" si="6"/>
        <v>2941.71</v>
      </c>
      <c r="AR20" s="57">
        <f t="shared" ca="1" si="7"/>
        <v>647.1</v>
      </c>
      <c r="AS20" s="26"/>
      <c r="AT20" s="56">
        <f ca="1">Explore!AH20+Construction!AP20+Military!AU20+Rezone!Y20+Imps!AM20-BE20</f>
        <v>0</v>
      </c>
      <c r="AU20" s="26">
        <f>Construction!AQ20+Imps!AN20-BF20</f>
        <v>0</v>
      </c>
      <c r="AV20" s="26">
        <f>Magic!AD20</f>
        <v>0</v>
      </c>
      <c r="AW20" s="26">
        <f ca="1">Military!AV20+Imps!AO20-BG20</f>
        <v>0</v>
      </c>
      <c r="AX20" s="26">
        <f>Imps!AP20-BH20</f>
        <v>0</v>
      </c>
      <c r="AY20" s="26">
        <f ca="1">Military!AZ20</f>
        <v>0</v>
      </c>
      <c r="AZ20" s="57">
        <f ca="1">Military!BA20</f>
        <v>0</v>
      </c>
      <c r="BB20" s="56" t="b">
        <f t="shared" si="29"/>
        <v>0</v>
      </c>
      <c r="BC20" s="332"/>
      <c r="BD20" s="979">
        <v>18</v>
      </c>
      <c r="BE20" s="332"/>
      <c r="BF20" s="370"/>
      <c r="BG20" s="370"/>
      <c r="BH20" s="744"/>
      <c r="BI20" s="1036">
        <f t="shared" si="8"/>
        <v>43692.708333333292</v>
      </c>
      <c r="BJ20" s="159" t="str">
        <f t="shared" si="22"/>
        <v/>
      </c>
      <c r="BK20" s="26">
        <f t="shared" ca="1" si="18"/>
        <v>3127104</v>
      </c>
      <c r="BL20" s="26">
        <f t="shared" ca="1" si="9"/>
        <v>104395</v>
      </c>
      <c r="BM20" s="26">
        <f t="shared" ca="1" si="10"/>
        <v>294171</v>
      </c>
      <c r="BN20" s="26">
        <f t="shared" ca="1" si="11"/>
        <v>32355</v>
      </c>
      <c r="BO20" s="57">
        <f t="shared" ca="1" si="12"/>
        <v>231000</v>
      </c>
    </row>
    <row r="21" spans="1:67" s="16" customFormat="1">
      <c r="A21" s="987">
        <v>19</v>
      </c>
      <c r="B21" s="816">
        <f>Imps!L21</f>
        <v>43692.749999999956</v>
      </c>
      <c r="C21" s="332"/>
      <c r="D21" s="835"/>
      <c r="E21" s="56">
        <f>Construction!E21</f>
        <v>1000</v>
      </c>
      <c r="F21" s="26">
        <f ca="1">Population!$C21</f>
        <v>4109.7995169211317</v>
      </c>
      <c r="G21" s="26">
        <f ca="1">Military!EM21</f>
        <v>21900</v>
      </c>
      <c r="H21" s="26">
        <f ca="1">H20+S20 - AT21 + IF(C21,Population!C21*4)</f>
        <v>3138784</v>
      </c>
      <c r="I21" s="26">
        <f t="shared" ca="1" si="19"/>
        <v>107986</v>
      </c>
      <c r="J21" s="26">
        <f t="shared" ca="1" si="13"/>
        <v>293729</v>
      </c>
      <c r="K21" s="26">
        <f t="shared" ca="1" si="14"/>
        <v>32958</v>
      </c>
      <c r="L21" s="26">
        <f t="shared" ca="1" si="15"/>
        <v>231000</v>
      </c>
      <c r="M21" s="26">
        <f t="shared" ca="1" si="16"/>
        <v>20000</v>
      </c>
      <c r="N21" s="26">
        <f t="shared" ca="1" si="20"/>
        <v>200</v>
      </c>
      <c r="O21" s="26">
        <f t="shared" si="21"/>
        <v>500</v>
      </c>
      <c r="P21" s="26">
        <f>ROUNDDOWN(P20+MAX(Construction!BO21/2,Construction!BO21*(1-Construction!BO21/(E21-Explore!S21*20)))-Q21*SUM(Techs!AY21:BY21),0)</f>
        <v>0</v>
      </c>
      <c r="Q21" s="166">
        <f>MAX(min_tech_cost,ROUNDDOWN(tech_cost_per_acre*Construction!E21,0))</f>
        <v>6426</v>
      </c>
      <c r="S21" s="152">
        <f t="shared" ca="1" si="23"/>
        <v>11096</v>
      </c>
      <c r="T21" s="164">
        <f t="shared" ca="1" si="24"/>
        <v>3609</v>
      </c>
      <c r="U21" s="164">
        <f t="shared" ca="1" si="25"/>
        <v>-437</v>
      </c>
      <c r="V21" s="164">
        <f t="shared" ca="1" si="26"/>
        <v>591</v>
      </c>
      <c r="W21" s="164">
        <f t="shared" ca="1" si="27"/>
        <v>0</v>
      </c>
      <c r="X21" s="164">
        <f t="shared" ca="1" si="28"/>
        <v>0</v>
      </c>
      <c r="Y21" s="265">
        <f>Construction!BP22*dock_boats_hr</f>
        <v>0</v>
      </c>
      <c r="Z21" s="164"/>
      <c r="AA21" s="152">
        <f ca="1">Population!C21*tax*Population!I21 + (Construction!AY22+Construction!BW22)*(alch_plat+(Magic!AR21&gt;0)*alchemist_flame_bonus)</f>
        <v>11096.458695687057</v>
      </c>
      <c r="AB21" s="164">
        <f>Construction!$AZ21*farm_food + Construction!$BP21*dock_food+IF(race="Growth",ROUNDDOWN(Military!G21*8,0),0)</f>
        <v>6400</v>
      </c>
      <c r="AC21" s="164">
        <f>Construction!$BC21*ly_lumber+IF(race="Ants",ROUNDDOWN(Military!F21/2,0),0)</f>
        <v>2500</v>
      </c>
      <c r="AD21" s="26">
        <f>Construction!$BK22*tower_mana+IF(race="Templars",ROUNDDOWN(Military!F21*0.02,0),0)+IF(race="Black Orc",Military!G21*5,0)+IF(race="Growth",ROUNDDOWN(Military!G21*0.1,0),0)+IF(race="Void",ROUNDDOWN(Military!F21*1.5,0),0)+IF(race="Void",ROUNDDOWN(Military!G21*4,0),0)</f>
        <v>1250</v>
      </c>
      <c r="AE21" s="164">
        <f>Construction!$BE22*om_ore+IF(race="Dwarf",ROUNDDOWN(Military!F21*2,0),0)</f>
        <v>0</v>
      </c>
      <c r="AF21" s="57">
        <f>Construction!$BN22*dm_gems+IF(race="Dwarf",ROUNDDOWN(Military!F21/2,0),0)</f>
        <v>0</v>
      </c>
      <c r="AH21" s="266">
        <f ca="1">MIN(race_platinum_bonus + IF(Magic!AJ21&gt;0,midas_bonus) + Imps!Y21 - BB21*0.02+MAX(tech_production_plat*Techs!Y21,tech_treasure_hunt_plat*Techs!AR21), 0.5)</f>
        <v>0</v>
      </c>
      <c r="AI21" s="455">
        <f ca="1">race_food_bonus + IF(Magic!AO21&gt;0,gaias_blessing_food,IF(Magic!AG21&gt;0,gaias_watch_bonus)) + Imps!AD21+tech_production_food*Techs!W21 + O21/100*prestige_food_bonus</f>
        <v>0.1</v>
      </c>
      <c r="AJ21" s="267">
        <f ca="1">race_lumber_bonus+ IF(Magic!AO21&gt;0,gaias_blessing_lumber)+tech_fruits_of_labor1*Techs!AP21</f>
        <v>0</v>
      </c>
      <c r="AK21" s="267">
        <f ca="1">race_mana_bonus+tech_enchanted_lands_mana*Techs!AT21</f>
        <v>0</v>
      </c>
      <c r="AL21" s="267">
        <f ca="1">race_ore_bonus + IF(Magic!AL21&gt;0,miners_sight_bonus,IF(Magic!AH21&gt;0,mining_strength_bonus))+tech_fruits_of_labor1*Techs!AP21</f>
        <v>0</v>
      </c>
      <c r="AM21" s="193">
        <f ca="1">race_gem_bonus+MAX(tech_production_gems*Techs!X21,tech_fruits_of_labor_gems*Techs!AP21)</f>
        <v>0</v>
      </c>
      <c r="AO21" s="56">
        <f ca="1">I21*food_decay*IF(Magic!AZ21&gt;0,0.5,1)</f>
        <v>1079.8600000000001</v>
      </c>
      <c r="AP21" s="26">
        <f ca="1">(1+race_food_consumption)*Population!F21*food_per_person</f>
        <v>2351.1998792302829</v>
      </c>
      <c r="AQ21" s="26">
        <f t="shared" ca="1" si="6"/>
        <v>2937.29</v>
      </c>
      <c r="AR21" s="57">
        <f t="shared" ca="1" si="7"/>
        <v>659.16</v>
      </c>
      <c r="AS21" s="26"/>
      <c r="AT21" s="56">
        <f ca="1">Explore!AH21+Construction!AP21+Military!AU21+Rezone!Y21+Imps!AM21-BE21</f>
        <v>0</v>
      </c>
      <c r="AU21" s="26">
        <f>Construction!AQ21+Imps!AN21-BF21</f>
        <v>0</v>
      </c>
      <c r="AV21" s="26">
        <f>Magic!AD21</f>
        <v>0</v>
      </c>
      <c r="AW21" s="26">
        <f ca="1">Military!AV21+Imps!AO21-BG21</f>
        <v>0</v>
      </c>
      <c r="AX21" s="26">
        <f>Imps!AP21-BH21</f>
        <v>0</v>
      </c>
      <c r="AY21" s="26">
        <f ca="1">Military!AZ21</f>
        <v>0</v>
      </c>
      <c r="AZ21" s="57">
        <f ca="1">Military!BA21</f>
        <v>0</v>
      </c>
      <c r="BB21" s="56" t="b">
        <f t="shared" si="29"/>
        <v>0</v>
      </c>
      <c r="BC21" s="332"/>
      <c r="BD21" s="979">
        <v>19</v>
      </c>
      <c r="BE21" s="332"/>
      <c r="BF21" s="370"/>
      <c r="BG21" s="370"/>
      <c r="BH21" s="744"/>
      <c r="BI21" s="1036">
        <f t="shared" si="8"/>
        <v>43692.749999999956</v>
      </c>
      <c r="BJ21" s="159" t="str">
        <f t="shared" si="22"/>
        <v/>
      </c>
      <c r="BK21" s="26">
        <f t="shared" ca="1" si="18"/>
        <v>3138784</v>
      </c>
      <c r="BL21" s="26">
        <f t="shared" ca="1" si="9"/>
        <v>107986</v>
      </c>
      <c r="BM21" s="26">
        <f t="shared" ca="1" si="10"/>
        <v>293729</v>
      </c>
      <c r="BN21" s="26">
        <f t="shared" ca="1" si="11"/>
        <v>32958</v>
      </c>
      <c r="BO21" s="57">
        <f t="shared" ca="1" si="12"/>
        <v>231000</v>
      </c>
    </row>
    <row r="22" spans="1:67" s="16" customFormat="1">
      <c r="A22" s="987">
        <v>20</v>
      </c>
      <c r="B22" s="816">
        <f>Imps!L22</f>
        <v>43692.791666666621</v>
      </c>
      <c r="C22" s="332"/>
      <c r="D22" s="835"/>
      <c r="E22" s="56">
        <f>Construction!E22</f>
        <v>1000</v>
      </c>
      <c r="F22" s="26">
        <f ca="1">Population!$C22</f>
        <v>3945</v>
      </c>
      <c r="G22" s="26">
        <f ca="1">Military!EM22</f>
        <v>21900</v>
      </c>
      <c r="H22" s="26">
        <f ca="1">H21+S21 - AT22 + IF(C22,Population!C22*4)</f>
        <v>3149880</v>
      </c>
      <c r="I22" s="26">
        <f t="shared" ca="1" si="19"/>
        <v>111595</v>
      </c>
      <c r="J22" s="26">
        <f t="shared" ca="1" si="13"/>
        <v>293292</v>
      </c>
      <c r="K22" s="26">
        <f t="shared" ca="1" si="14"/>
        <v>33549</v>
      </c>
      <c r="L22" s="26">
        <f t="shared" ca="1" si="15"/>
        <v>231000</v>
      </c>
      <c r="M22" s="26">
        <f t="shared" ca="1" si="16"/>
        <v>20000</v>
      </c>
      <c r="N22" s="26">
        <f t="shared" ca="1" si="20"/>
        <v>200</v>
      </c>
      <c r="O22" s="26">
        <f t="shared" si="21"/>
        <v>500</v>
      </c>
      <c r="P22" s="26">
        <f>ROUNDDOWN(P21+MAX(Construction!BO22/2,Construction!BO22*(1-Construction!BO22/(E22-Explore!S22*20)))-Q22*SUM(Techs!AY22:BY22),0)</f>
        <v>0</v>
      </c>
      <c r="Q22" s="166">
        <f>MAX(min_tech_cost,ROUNDDOWN(tech_cost_per_acre*Construction!E22,0))</f>
        <v>6426</v>
      </c>
      <c r="S22" s="152">
        <f t="shared" ca="1" si="23"/>
        <v>10651</v>
      </c>
      <c r="T22" s="164">
        <f t="shared" ca="1" si="24"/>
        <v>3614</v>
      </c>
      <c r="U22" s="164">
        <f t="shared" ca="1" si="25"/>
        <v>-433</v>
      </c>
      <c r="V22" s="164">
        <f t="shared" ca="1" si="26"/>
        <v>579</v>
      </c>
      <c r="W22" s="164">
        <f t="shared" ca="1" si="27"/>
        <v>0</v>
      </c>
      <c r="X22" s="164">
        <f t="shared" ca="1" si="28"/>
        <v>0</v>
      </c>
      <c r="Y22" s="265">
        <f>Construction!BP23*dock_boats_hr</f>
        <v>0</v>
      </c>
      <c r="Z22" s="164"/>
      <c r="AA22" s="152">
        <f ca="1">Population!C22*tax*Population!I22 + (Construction!AY23+Construction!BW23)*(alch_plat+(Magic!AR22&gt;0)*alchemist_flame_bonus)</f>
        <v>10651.5</v>
      </c>
      <c r="AB22" s="164">
        <f>Construction!$AZ22*farm_food + Construction!$BP22*dock_food+IF(race="Growth",ROUNDDOWN(Military!G22*8,0),0)</f>
        <v>6400</v>
      </c>
      <c r="AC22" s="164">
        <f>Construction!$BC22*ly_lumber+IF(race="Ants",ROUNDDOWN(Military!F22/2,0),0)</f>
        <v>2500</v>
      </c>
      <c r="AD22" s="26">
        <f>Construction!$BK23*tower_mana+IF(race="Templars",ROUNDDOWN(Military!F22*0.02,0),0)+IF(race="Black Orc",Military!G22*5,0)+IF(race="Growth",ROUNDDOWN(Military!G22*0.1,0),0)+IF(race="Void",ROUNDDOWN(Military!F22*1.5,0),0)+IF(race="Void",ROUNDDOWN(Military!G22*4,0),0)</f>
        <v>1250</v>
      </c>
      <c r="AE22" s="164">
        <f>Construction!$BE23*om_ore+IF(race="Dwarf",ROUNDDOWN(Military!F22*2,0),0)</f>
        <v>0</v>
      </c>
      <c r="AF22" s="57">
        <f>Construction!$BN23*dm_gems+IF(race="Dwarf",ROUNDDOWN(Military!F22/2,0),0)</f>
        <v>0</v>
      </c>
      <c r="AH22" s="266">
        <f ca="1">MIN(race_platinum_bonus + IF(Magic!AJ22&gt;0,midas_bonus) + Imps!Y22 - BB22*0.02+MAX(tech_production_plat*Techs!Y22,tech_treasure_hunt_plat*Techs!AR22), 0.5)</f>
        <v>0</v>
      </c>
      <c r="AI22" s="455">
        <f ca="1">race_food_bonus + IF(Magic!AO22&gt;0,gaias_blessing_food,IF(Magic!AG22&gt;0,gaias_watch_bonus)) + Imps!AD22+tech_production_food*Techs!W22 + O22/100*prestige_food_bonus</f>
        <v>0.1</v>
      </c>
      <c r="AJ22" s="267">
        <f ca="1">race_lumber_bonus+ IF(Magic!AO22&gt;0,gaias_blessing_lumber)+tech_fruits_of_labor1*Techs!AP22</f>
        <v>0</v>
      </c>
      <c r="AK22" s="267">
        <f ca="1">race_mana_bonus+tech_enchanted_lands_mana*Techs!AT22</f>
        <v>0</v>
      </c>
      <c r="AL22" s="267">
        <f ca="1">race_ore_bonus + IF(Magic!AL22&gt;0,miners_sight_bonus,IF(Magic!AH22&gt;0,mining_strength_bonus))+tech_fruits_of_labor1*Techs!AP22</f>
        <v>0</v>
      </c>
      <c r="AM22" s="193">
        <f ca="1">race_gem_bonus+MAX(tech_production_gems*Techs!X22,tech_fruits_of_labor_gems*Techs!AP22)</f>
        <v>0</v>
      </c>
      <c r="AO22" s="56">
        <f ca="1">I22*food_decay*IF(Magic!AZ22&gt;0,0.5,1)</f>
        <v>1115.95</v>
      </c>
      <c r="AP22" s="26">
        <f ca="1">(1+race_food_consumption)*Population!F22*food_per_person</f>
        <v>2310</v>
      </c>
      <c r="AQ22" s="26">
        <f t="shared" ca="1" si="6"/>
        <v>2932.92</v>
      </c>
      <c r="AR22" s="57">
        <f t="shared" ca="1" si="7"/>
        <v>670.98</v>
      </c>
      <c r="AS22" s="26"/>
      <c r="AT22" s="56">
        <f ca="1">Explore!AH22+Construction!AP22+Military!AU22+Rezone!Y22+Imps!AM22-BE22</f>
        <v>0</v>
      </c>
      <c r="AU22" s="26">
        <f>Construction!AQ22+Imps!AN22-BF22</f>
        <v>0</v>
      </c>
      <c r="AV22" s="26">
        <f>Magic!AD22</f>
        <v>0</v>
      </c>
      <c r="AW22" s="26">
        <f ca="1">Military!AV22+Imps!AO22-BG22</f>
        <v>0</v>
      </c>
      <c r="AX22" s="26">
        <f>Imps!AP22-BH22</f>
        <v>0</v>
      </c>
      <c r="AY22" s="26">
        <f ca="1">Military!AZ22</f>
        <v>0</v>
      </c>
      <c r="AZ22" s="57">
        <f ca="1">Military!BA22</f>
        <v>0</v>
      </c>
      <c r="BB22" s="56" t="b">
        <f t="shared" si="29"/>
        <v>0</v>
      </c>
      <c r="BC22" s="332"/>
      <c r="BD22" s="979">
        <v>20</v>
      </c>
      <c r="BE22" s="332"/>
      <c r="BF22" s="370"/>
      <c r="BG22" s="370"/>
      <c r="BH22" s="744"/>
      <c r="BI22" s="1036">
        <f t="shared" si="8"/>
        <v>43692.791666666621</v>
      </c>
      <c r="BJ22" s="159" t="str">
        <f t="shared" si="22"/>
        <v/>
      </c>
      <c r="BK22" s="26">
        <f t="shared" ca="1" si="18"/>
        <v>3149880</v>
      </c>
      <c r="BL22" s="26">
        <f t="shared" ca="1" si="9"/>
        <v>111595</v>
      </c>
      <c r="BM22" s="26">
        <f t="shared" ca="1" si="10"/>
        <v>293292</v>
      </c>
      <c r="BN22" s="26">
        <f t="shared" ca="1" si="11"/>
        <v>33549</v>
      </c>
      <c r="BO22" s="57">
        <f t="shared" ca="1" si="12"/>
        <v>231000</v>
      </c>
    </row>
    <row r="23" spans="1:67" s="16" customFormat="1">
      <c r="A23" s="987">
        <v>21</v>
      </c>
      <c r="B23" s="816">
        <f>Imps!L23</f>
        <v>43692.833333333285</v>
      </c>
      <c r="C23" s="332"/>
      <c r="D23" s="835"/>
      <c r="E23" s="56">
        <f>Construction!E23</f>
        <v>1000</v>
      </c>
      <c r="F23" s="26">
        <f ca="1">Population!$C23</f>
        <v>3945</v>
      </c>
      <c r="G23" s="26">
        <f ca="1">Military!EM23</f>
        <v>21900</v>
      </c>
      <c r="H23" s="26">
        <f ca="1">H22+S22 - AT23 + IF(C23,Population!C23*4)</f>
        <v>3160531</v>
      </c>
      <c r="I23" s="26">
        <f t="shared" ca="1" si="19"/>
        <v>115209</v>
      </c>
      <c r="J23" s="26">
        <f t="shared" ca="1" si="13"/>
        <v>292859</v>
      </c>
      <c r="K23" s="26">
        <f t="shared" ca="1" si="14"/>
        <v>34128</v>
      </c>
      <c r="L23" s="26">
        <f t="shared" ca="1" si="15"/>
        <v>231000</v>
      </c>
      <c r="M23" s="26">
        <f t="shared" ca="1" si="16"/>
        <v>20000</v>
      </c>
      <c r="N23" s="26">
        <f t="shared" ca="1" si="20"/>
        <v>200</v>
      </c>
      <c r="O23" s="26">
        <f t="shared" si="21"/>
        <v>500</v>
      </c>
      <c r="P23" s="26">
        <f>ROUNDDOWN(P22+MAX(Construction!BO23/2,Construction!BO23*(1-Construction!BO23/(E23-Explore!S23*20)))-Q23*SUM(Techs!AY23:BY23),0)</f>
        <v>0</v>
      </c>
      <c r="Q23" s="166">
        <f>MAX(min_tech_cost,ROUNDDOWN(tech_cost_per_acre*Construction!E23,0))</f>
        <v>6426</v>
      </c>
      <c r="S23" s="152">
        <f t="shared" ca="1" si="23"/>
        <v>10651</v>
      </c>
      <c r="T23" s="164">
        <f t="shared" ca="1" si="24"/>
        <v>3578</v>
      </c>
      <c r="U23" s="164">
        <f t="shared" ca="1" si="25"/>
        <v>-429</v>
      </c>
      <c r="V23" s="164">
        <f t="shared" ca="1" si="26"/>
        <v>567</v>
      </c>
      <c r="W23" s="164">
        <f t="shared" ca="1" si="27"/>
        <v>0</v>
      </c>
      <c r="X23" s="164">
        <f t="shared" ca="1" si="28"/>
        <v>0</v>
      </c>
      <c r="Y23" s="265">
        <f>Construction!BP24*dock_boats_hr</f>
        <v>0</v>
      </c>
      <c r="Z23" s="164"/>
      <c r="AA23" s="152">
        <f ca="1">Population!C23*tax*Population!I23 + (Construction!AY24+Construction!BW24)*(alch_plat+(Magic!AR23&gt;0)*alchemist_flame_bonus)</f>
        <v>10651.5</v>
      </c>
      <c r="AB23" s="164">
        <f>Construction!$AZ23*farm_food + Construction!$BP23*dock_food+IF(race="Growth",ROUNDDOWN(Military!G23*8,0),0)</f>
        <v>6400</v>
      </c>
      <c r="AC23" s="164">
        <f>Construction!$BC23*ly_lumber+IF(race="Ants",ROUNDDOWN(Military!F23/2,0),0)</f>
        <v>2500</v>
      </c>
      <c r="AD23" s="26">
        <f>Construction!$BK24*tower_mana+IF(race="Templars",ROUNDDOWN(Military!F23*0.02,0),0)+IF(race="Black Orc",Military!G23*5,0)+IF(race="Growth",ROUNDDOWN(Military!G23*0.1,0),0)+IF(race="Void",ROUNDDOWN(Military!F23*1.5,0),0)+IF(race="Void",ROUNDDOWN(Military!G23*4,0),0)</f>
        <v>1250</v>
      </c>
      <c r="AE23" s="164">
        <f>Construction!$BE24*om_ore+IF(race="Dwarf",ROUNDDOWN(Military!F23*2,0),0)</f>
        <v>0</v>
      </c>
      <c r="AF23" s="57">
        <f>Construction!$BN24*dm_gems+IF(race="Dwarf",ROUNDDOWN(Military!F23/2,0),0)</f>
        <v>0</v>
      </c>
      <c r="AH23" s="266">
        <f ca="1">MIN(race_platinum_bonus + IF(Magic!AJ23&gt;0,midas_bonus) + Imps!Y23 - BB23*0.02+MAX(tech_production_plat*Techs!Y23,tech_treasure_hunt_plat*Techs!AR23), 0.5)</f>
        <v>0</v>
      </c>
      <c r="AI23" s="455">
        <f ca="1">race_food_bonus + IF(Magic!AO23&gt;0,gaias_blessing_food,IF(Magic!AG23&gt;0,gaias_watch_bonus)) + Imps!AD23+tech_production_food*Techs!W23 + O23/100*prestige_food_bonus</f>
        <v>0.1</v>
      </c>
      <c r="AJ23" s="267">
        <f ca="1">race_lumber_bonus+ IF(Magic!AO23&gt;0,gaias_blessing_lumber)+tech_fruits_of_labor1*Techs!AP23</f>
        <v>0</v>
      </c>
      <c r="AK23" s="267">
        <f ca="1">race_mana_bonus+tech_enchanted_lands_mana*Techs!AT23</f>
        <v>0</v>
      </c>
      <c r="AL23" s="267">
        <f ca="1">race_ore_bonus + IF(Magic!AL23&gt;0,miners_sight_bonus,IF(Magic!AH23&gt;0,mining_strength_bonus))+tech_fruits_of_labor1*Techs!AP23</f>
        <v>0</v>
      </c>
      <c r="AM23" s="193">
        <f ca="1">race_gem_bonus+MAX(tech_production_gems*Techs!X23,tech_fruits_of_labor_gems*Techs!AP23)</f>
        <v>0</v>
      </c>
      <c r="AO23" s="56">
        <f ca="1">I23*food_decay*IF(Magic!AZ23&gt;0,0.5,1)</f>
        <v>1152.0899999999999</v>
      </c>
      <c r="AP23" s="26">
        <f ca="1">(1+race_food_consumption)*Population!F23*food_per_person</f>
        <v>2310</v>
      </c>
      <c r="AQ23" s="26">
        <f t="shared" ca="1" si="6"/>
        <v>2928.59</v>
      </c>
      <c r="AR23" s="57">
        <f t="shared" ca="1" si="7"/>
        <v>682.56000000000006</v>
      </c>
      <c r="AS23" s="26"/>
      <c r="AT23" s="56">
        <f ca="1">Explore!AH23+Construction!AP23+Military!AU23+Rezone!Y23+Imps!AM23-BE23</f>
        <v>0</v>
      </c>
      <c r="AU23" s="26">
        <f>Construction!AQ23+Imps!AN23-BF23</f>
        <v>0</v>
      </c>
      <c r="AV23" s="26">
        <f>Magic!AD23</f>
        <v>0</v>
      </c>
      <c r="AW23" s="26">
        <f ca="1">Military!AV23+Imps!AO23-BG23</f>
        <v>0</v>
      </c>
      <c r="AX23" s="26">
        <f>Imps!AP23-BH23</f>
        <v>0</v>
      </c>
      <c r="AY23" s="26">
        <f ca="1">Military!AZ23</f>
        <v>0</v>
      </c>
      <c r="AZ23" s="57">
        <f ca="1">Military!BA23</f>
        <v>0</v>
      </c>
      <c r="BB23" s="56" t="b">
        <f t="shared" si="29"/>
        <v>0</v>
      </c>
      <c r="BC23" s="332"/>
      <c r="BD23" s="979">
        <v>21</v>
      </c>
      <c r="BE23" s="332"/>
      <c r="BF23" s="370"/>
      <c r="BG23" s="370"/>
      <c r="BH23" s="744"/>
      <c r="BI23" s="1036">
        <f t="shared" si="8"/>
        <v>43692.833333333285</v>
      </c>
      <c r="BJ23" s="159" t="str">
        <f t="shared" si="22"/>
        <v/>
      </c>
      <c r="BK23" s="26">
        <f t="shared" ca="1" si="18"/>
        <v>3160531</v>
      </c>
      <c r="BL23" s="26">
        <f t="shared" ca="1" si="9"/>
        <v>115209</v>
      </c>
      <c r="BM23" s="26">
        <f t="shared" ca="1" si="10"/>
        <v>292859</v>
      </c>
      <c r="BN23" s="26">
        <f t="shared" ca="1" si="11"/>
        <v>34128</v>
      </c>
      <c r="BO23" s="57">
        <f t="shared" ca="1" si="12"/>
        <v>231000</v>
      </c>
    </row>
    <row r="24" spans="1:67" s="16" customFormat="1">
      <c r="A24" s="987">
        <v>22</v>
      </c>
      <c r="B24" s="816">
        <f>Imps!L24</f>
        <v>43692.874999999949</v>
      </c>
      <c r="C24" s="332"/>
      <c r="D24" s="835"/>
      <c r="E24" s="56">
        <f>Construction!E24</f>
        <v>1000</v>
      </c>
      <c r="F24" s="26">
        <f ca="1">Population!$C24</f>
        <v>3945</v>
      </c>
      <c r="G24" s="26">
        <f ca="1">Military!EM24</f>
        <v>21900</v>
      </c>
      <c r="H24" s="26">
        <f ca="1">H23+S23 - AT24 + IF(C24,Population!C24*4)</f>
        <v>3171182</v>
      </c>
      <c r="I24" s="26">
        <f t="shared" ca="1" si="19"/>
        <v>118787</v>
      </c>
      <c r="J24" s="26">
        <f t="shared" ca="1" si="13"/>
        <v>292430</v>
      </c>
      <c r="K24" s="26">
        <f t="shared" ca="1" si="14"/>
        <v>34695</v>
      </c>
      <c r="L24" s="26">
        <f t="shared" ca="1" si="15"/>
        <v>231000</v>
      </c>
      <c r="M24" s="26">
        <f t="shared" ca="1" si="16"/>
        <v>20000</v>
      </c>
      <c r="N24" s="26">
        <f t="shared" ca="1" si="20"/>
        <v>200</v>
      </c>
      <c r="O24" s="26">
        <f t="shared" si="21"/>
        <v>500</v>
      </c>
      <c r="P24" s="26">
        <f>ROUNDDOWN(P23+MAX(Construction!BO24/2,Construction!BO24*(1-Construction!BO24/(E24-Explore!S24*20)))-Q24*SUM(Techs!AY24:BY24),0)</f>
        <v>0</v>
      </c>
      <c r="Q24" s="166">
        <f>MAX(min_tech_cost,ROUNDDOWN(tech_cost_per_acre*Construction!E24,0))</f>
        <v>6426</v>
      </c>
      <c r="S24" s="152">
        <f t="shared" ca="1" si="23"/>
        <v>10651</v>
      </c>
      <c r="T24" s="164">
        <f t="shared" ca="1" si="24"/>
        <v>3542</v>
      </c>
      <c r="U24" s="164">
        <f t="shared" ca="1" si="25"/>
        <v>-424</v>
      </c>
      <c r="V24" s="164">
        <f t="shared" ca="1" si="26"/>
        <v>556</v>
      </c>
      <c r="W24" s="164">
        <f t="shared" ca="1" si="27"/>
        <v>0</v>
      </c>
      <c r="X24" s="164">
        <f t="shared" ca="1" si="28"/>
        <v>0</v>
      </c>
      <c r="Y24" s="265">
        <f>Construction!BP25*dock_boats_hr</f>
        <v>0</v>
      </c>
      <c r="Z24" s="164"/>
      <c r="AA24" s="152">
        <f ca="1">Population!C24*tax*Population!I24 + (Construction!AY25+Construction!BW25)*(alch_plat+(Magic!AR24&gt;0)*alchemist_flame_bonus)</f>
        <v>10651.5</v>
      </c>
      <c r="AB24" s="164">
        <f>Construction!$AZ24*farm_food + Construction!$BP24*dock_food+IF(race="Growth",ROUNDDOWN(Military!G24*8,0),0)</f>
        <v>6400</v>
      </c>
      <c r="AC24" s="164">
        <f>Construction!$BC24*ly_lumber+IF(race="Ants",ROUNDDOWN(Military!F24/2,0),0)</f>
        <v>2500</v>
      </c>
      <c r="AD24" s="26">
        <f>Construction!$BK25*tower_mana+IF(race="Templars",ROUNDDOWN(Military!F24*0.02,0),0)+IF(race="Black Orc",Military!G24*5,0)+IF(race="Growth",ROUNDDOWN(Military!G24*0.1,0),0)+IF(race="Void",ROUNDDOWN(Military!F24*1.5,0),0)+IF(race="Void",ROUNDDOWN(Military!G24*4,0),0)</f>
        <v>1250</v>
      </c>
      <c r="AE24" s="164">
        <f>Construction!$BE25*om_ore+IF(race="Dwarf",ROUNDDOWN(Military!F24*2,0),0)</f>
        <v>0</v>
      </c>
      <c r="AF24" s="57">
        <f>Construction!$BN25*dm_gems+IF(race="Dwarf",ROUNDDOWN(Military!F24/2,0),0)</f>
        <v>0</v>
      </c>
      <c r="AH24" s="266">
        <f ca="1">MIN(race_platinum_bonus + IF(Magic!AJ24&gt;0,midas_bonus) + Imps!Y24 - BB24*0.02+MAX(tech_production_plat*Techs!Y24,tech_treasure_hunt_plat*Techs!AR24), 0.5)</f>
        <v>0</v>
      </c>
      <c r="AI24" s="455">
        <f ca="1">race_food_bonus + IF(Magic!AO24&gt;0,gaias_blessing_food,IF(Magic!AG24&gt;0,gaias_watch_bonus)) + Imps!AD24+tech_production_food*Techs!W24 + O24/100*prestige_food_bonus</f>
        <v>0.1</v>
      </c>
      <c r="AJ24" s="267">
        <f ca="1">race_lumber_bonus+ IF(Magic!AO24&gt;0,gaias_blessing_lumber)+tech_fruits_of_labor1*Techs!AP24</f>
        <v>0</v>
      </c>
      <c r="AK24" s="267">
        <f ca="1">race_mana_bonus+tech_enchanted_lands_mana*Techs!AT24</f>
        <v>0</v>
      </c>
      <c r="AL24" s="267">
        <f ca="1">race_ore_bonus + IF(Magic!AL24&gt;0,miners_sight_bonus,IF(Magic!AH24&gt;0,mining_strength_bonus))+tech_fruits_of_labor1*Techs!AP24</f>
        <v>0</v>
      </c>
      <c r="AM24" s="193">
        <f ca="1">race_gem_bonus+MAX(tech_production_gems*Techs!X24,tech_fruits_of_labor_gems*Techs!AP24)</f>
        <v>0</v>
      </c>
      <c r="AO24" s="56">
        <f ca="1">I24*food_decay*IF(Magic!AZ24&gt;0,0.5,1)</f>
        <v>1187.8700000000001</v>
      </c>
      <c r="AP24" s="26">
        <f ca="1">(1+race_food_consumption)*Population!F24*food_per_person</f>
        <v>2310</v>
      </c>
      <c r="AQ24" s="26">
        <f t="shared" ca="1" si="6"/>
        <v>2924.3</v>
      </c>
      <c r="AR24" s="57">
        <f t="shared" ca="1" si="7"/>
        <v>693.9</v>
      </c>
      <c r="AS24" s="26"/>
      <c r="AT24" s="56">
        <f ca="1">Explore!AH24+Construction!AP24+Military!AU24+Rezone!Y24+Imps!AM24-BE24</f>
        <v>0</v>
      </c>
      <c r="AU24" s="26">
        <f>Construction!AQ24+Imps!AN24-BF24</f>
        <v>0</v>
      </c>
      <c r="AV24" s="26">
        <f>Magic!AD24</f>
        <v>0</v>
      </c>
      <c r="AW24" s="26">
        <f ca="1">Military!AV24+Imps!AO24-BG24</f>
        <v>0</v>
      </c>
      <c r="AX24" s="26">
        <f>Imps!AP24-BH24</f>
        <v>0</v>
      </c>
      <c r="AY24" s="26">
        <f ca="1">Military!AZ24</f>
        <v>0</v>
      </c>
      <c r="AZ24" s="57">
        <f ca="1">Military!BA24</f>
        <v>0</v>
      </c>
      <c r="BB24" s="56" t="b">
        <f t="shared" si="29"/>
        <v>0</v>
      </c>
      <c r="BC24" s="332"/>
      <c r="BD24" s="979">
        <v>22</v>
      </c>
      <c r="BE24" s="332"/>
      <c r="BF24" s="370"/>
      <c r="BG24" s="370"/>
      <c r="BH24" s="744"/>
      <c r="BI24" s="1036">
        <f t="shared" si="8"/>
        <v>43692.874999999949</v>
      </c>
      <c r="BJ24" s="159" t="str">
        <f t="shared" si="22"/>
        <v/>
      </c>
      <c r="BK24" s="26">
        <f t="shared" ca="1" si="18"/>
        <v>3171182</v>
      </c>
      <c r="BL24" s="26">
        <f t="shared" ca="1" si="9"/>
        <v>118787</v>
      </c>
      <c r="BM24" s="26">
        <f t="shared" ca="1" si="10"/>
        <v>292430</v>
      </c>
      <c r="BN24" s="26">
        <f t="shared" ca="1" si="11"/>
        <v>34695</v>
      </c>
      <c r="BO24" s="57">
        <f t="shared" ca="1" si="12"/>
        <v>231000</v>
      </c>
    </row>
    <row r="25" spans="1:67" s="16" customFormat="1">
      <c r="A25" s="987">
        <v>23</v>
      </c>
      <c r="B25" s="816">
        <f>Imps!L25</f>
        <v>43692.916666666613</v>
      </c>
      <c r="C25" s="332"/>
      <c r="D25" s="835"/>
      <c r="E25" s="56">
        <f>Construction!E25</f>
        <v>1000</v>
      </c>
      <c r="F25" s="26">
        <f ca="1">Population!$C25</f>
        <v>3945</v>
      </c>
      <c r="G25" s="26">
        <f ca="1">Military!EM25</f>
        <v>21900</v>
      </c>
      <c r="H25" s="26">
        <f ca="1">H24+S24 - AT25 + IF(C25,Population!C25*4)</f>
        <v>3181833</v>
      </c>
      <c r="I25" s="26">
        <f t="shared" ca="1" si="19"/>
        <v>122329</v>
      </c>
      <c r="J25" s="26">
        <f t="shared" ca="1" si="13"/>
        <v>292006</v>
      </c>
      <c r="K25" s="26">
        <f t="shared" ca="1" si="14"/>
        <v>35251</v>
      </c>
      <c r="L25" s="26">
        <f t="shared" ca="1" si="15"/>
        <v>231000</v>
      </c>
      <c r="M25" s="26">
        <f t="shared" ca="1" si="16"/>
        <v>20000</v>
      </c>
      <c r="N25" s="26">
        <f t="shared" ca="1" si="20"/>
        <v>200</v>
      </c>
      <c r="O25" s="26">
        <f t="shared" si="21"/>
        <v>500</v>
      </c>
      <c r="P25" s="26">
        <f>ROUNDDOWN(P24+MAX(Construction!BO25/2,Construction!BO25*(1-Construction!BO25/(E25-Explore!S25*20)))-Q25*SUM(Techs!AY25:BY25),0)</f>
        <v>0</v>
      </c>
      <c r="Q25" s="166">
        <f>MAX(min_tech_cost,ROUNDDOWN(tech_cost_per_acre*Construction!E25,0))</f>
        <v>6426</v>
      </c>
      <c r="S25" s="152">
        <f t="shared" ca="1" si="23"/>
        <v>10651</v>
      </c>
      <c r="T25" s="164">
        <f t="shared" ca="1" si="24"/>
        <v>3507</v>
      </c>
      <c r="U25" s="164">
        <f t="shared" ca="1" si="25"/>
        <v>-420</v>
      </c>
      <c r="V25" s="164">
        <f t="shared" ca="1" si="26"/>
        <v>545</v>
      </c>
      <c r="W25" s="164">
        <f t="shared" ca="1" si="27"/>
        <v>0</v>
      </c>
      <c r="X25" s="164">
        <f t="shared" ca="1" si="28"/>
        <v>0</v>
      </c>
      <c r="Y25" s="265">
        <f>Construction!BP26*dock_boats_hr</f>
        <v>0</v>
      </c>
      <c r="Z25" s="164"/>
      <c r="AA25" s="152">
        <f ca="1">Population!C25*tax*Population!I25 + (Construction!AY26+Construction!BW26)*(alch_plat+(Magic!AR25&gt;0)*alchemist_flame_bonus)</f>
        <v>10651.5</v>
      </c>
      <c r="AB25" s="164">
        <f>Construction!$AZ25*farm_food + Construction!$BP25*dock_food+IF(race="Growth",ROUNDDOWN(Military!G25*8,0),0)</f>
        <v>6400</v>
      </c>
      <c r="AC25" s="164">
        <f>Construction!$BC25*ly_lumber+IF(race="Ants",ROUNDDOWN(Military!F25/2,0),0)</f>
        <v>2500</v>
      </c>
      <c r="AD25" s="26">
        <f>Construction!$BK26*tower_mana+IF(race="Templars",ROUNDDOWN(Military!F25*0.02,0),0)+IF(race="Black Orc",Military!G25*5,0)+IF(race="Growth",ROUNDDOWN(Military!G25*0.1,0),0)+IF(race="Void",ROUNDDOWN(Military!F25*1.5,0),0)+IF(race="Void",ROUNDDOWN(Military!G25*4,0),0)</f>
        <v>1250</v>
      </c>
      <c r="AE25" s="164">
        <f>Construction!$BE26*om_ore+IF(race="Dwarf",ROUNDDOWN(Military!F25*2,0),0)</f>
        <v>0</v>
      </c>
      <c r="AF25" s="57">
        <f>Construction!$BN26*dm_gems+IF(race="Dwarf",ROUNDDOWN(Military!F25/2,0),0)</f>
        <v>0</v>
      </c>
      <c r="AH25" s="266">
        <f ca="1">MIN(race_platinum_bonus + IF(Magic!AJ25&gt;0,midas_bonus) + Imps!Y25 - BB25*0.02+MAX(tech_production_plat*Techs!Y25,tech_treasure_hunt_plat*Techs!AR25), 0.5)</f>
        <v>0</v>
      </c>
      <c r="AI25" s="455">
        <f ca="1">race_food_bonus + IF(Magic!AO25&gt;0,gaias_blessing_food,IF(Magic!AG25&gt;0,gaias_watch_bonus)) + Imps!AD25+tech_production_food*Techs!W25 + O25/100*prestige_food_bonus</f>
        <v>0.1</v>
      </c>
      <c r="AJ25" s="267">
        <f ca="1">race_lumber_bonus+ IF(Magic!AO25&gt;0,gaias_blessing_lumber)+tech_fruits_of_labor1*Techs!AP25</f>
        <v>0</v>
      </c>
      <c r="AK25" s="267">
        <f ca="1">race_mana_bonus+tech_enchanted_lands_mana*Techs!AT25</f>
        <v>0</v>
      </c>
      <c r="AL25" s="267">
        <f ca="1">race_ore_bonus + IF(Magic!AL25&gt;0,miners_sight_bonus,IF(Magic!AH25&gt;0,mining_strength_bonus))+tech_fruits_of_labor1*Techs!AP25</f>
        <v>0</v>
      </c>
      <c r="AM25" s="193">
        <f ca="1">race_gem_bonus+MAX(tech_production_gems*Techs!X25,tech_fruits_of_labor_gems*Techs!AP25)</f>
        <v>0</v>
      </c>
      <c r="AO25" s="56">
        <f ca="1">I25*food_decay*IF(Magic!AZ25&gt;0,0.5,1)</f>
        <v>1223.29</v>
      </c>
      <c r="AP25" s="26">
        <f ca="1">(1+race_food_consumption)*Population!F25*food_per_person</f>
        <v>2310</v>
      </c>
      <c r="AQ25" s="26">
        <f t="shared" ca="1" si="6"/>
        <v>2920.06</v>
      </c>
      <c r="AR25" s="57">
        <f t="shared" ca="1" si="7"/>
        <v>705.02</v>
      </c>
      <c r="AS25" s="26"/>
      <c r="AT25" s="56">
        <f ca="1">Explore!AH25+Construction!AP25+Military!AU25+Rezone!Y25+Imps!AM25-BE25</f>
        <v>0</v>
      </c>
      <c r="AU25" s="26">
        <f>Construction!AQ25+Imps!AN25-BF25</f>
        <v>0</v>
      </c>
      <c r="AV25" s="26">
        <f>Magic!AD25</f>
        <v>0</v>
      </c>
      <c r="AW25" s="26">
        <f ca="1">Military!AV25+Imps!AO25-BG25</f>
        <v>0</v>
      </c>
      <c r="AX25" s="26">
        <f>Imps!AP25-BH25</f>
        <v>0</v>
      </c>
      <c r="AY25" s="26">
        <f ca="1">Military!AZ25</f>
        <v>0</v>
      </c>
      <c r="AZ25" s="57">
        <f ca="1">Military!BA25</f>
        <v>0</v>
      </c>
      <c r="BB25" s="56" t="b">
        <f t="shared" si="29"/>
        <v>0</v>
      </c>
      <c r="BC25" s="332"/>
      <c r="BD25" s="979">
        <v>23</v>
      </c>
      <c r="BE25" s="332"/>
      <c r="BF25" s="370"/>
      <c r="BG25" s="370"/>
      <c r="BH25" s="744"/>
      <c r="BI25" s="1036">
        <f t="shared" si="8"/>
        <v>43692.916666666613</v>
      </c>
      <c r="BJ25" s="159" t="str">
        <f t="shared" si="22"/>
        <v/>
      </c>
      <c r="BK25" s="26">
        <f t="shared" ca="1" si="18"/>
        <v>3181833</v>
      </c>
      <c r="BL25" s="26">
        <f t="shared" ca="1" si="9"/>
        <v>122329</v>
      </c>
      <c r="BM25" s="26">
        <f t="shared" ca="1" si="10"/>
        <v>292006</v>
      </c>
      <c r="BN25" s="26">
        <f t="shared" ca="1" si="11"/>
        <v>35251</v>
      </c>
      <c r="BO25" s="57">
        <f t="shared" ca="1" si="12"/>
        <v>231000</v>
      </c>
    </row>
    <row r="26" spans="1:67" s="170" customFormat="1" ht="13.5" thickBot="1">
      <c r="A26" s="986">
        <v>24</v>
      </c>
      <c r="B26" s="532">
        <f>Imps!L26</f>
        <v>43692.958333333278</v>
      </c>
      <c r="C26" s="329"/>
      <c r="D26" s="834"/>
      <c r="E26" s="152">
        <f>Construction!E26</f>
        <v>1000</v>
      </c>
      <c r="F26" s="164">
        <f ca="1">Population!$C26</f>
        <v>3945</v>
      </c>
      <c r="G26" s="164">
        <f ca="1">Military!EM26</f>
        <v>21900</v>
      </c>
      <c r="H26" s="164">
        <f ca="1">H25+S25 - AT26 + IF(C26,Population!C26*4)</f>
        <v>3192484</v>
      </c>
      <c r="I26" s="164">
        <f t="shared" ca="1" si="19"/>
        <v>125836</v>
      </c>
      <c r="J26" s="164">
        <f t="shared" ca="1" si="13"/>
        <v>291586</v>
      </c>
      <c r="K26" s="164">
        <f t="shared" ca="1" si="14"/>
        <v>35796</v>
      </c>
      <c r="L26" s="164">
        <f t="shared" ca="1" si="15"/>
        <v>231000</v>
      </c>
      <c r="M26" s="164">
        <f t="shared" ca="1" si="16"/>
        <v>20000</v>
      </c>
      <c r="N26" s="164">
        <f t="shared" ca="1" si="20"/>
        <v>200</v>
      </c>
      <c r="O26" s="164">
        <f t="shared" si="21"/>
        <v>500</v>
      </c>
      <c r="P26" s="164">
        <f>ROUNDDOWN(P25+MAX(Construction!BO26/2,Construction!BO26*(1-Construction!BO26/(E26-Explore!S26*20)))-Q26*SUM(Techs!AY26:BY26),0)</f>
        <v>0</v>
      </c>
      <c r="Q26" s="166">
        <f>MAX(min_tech_cost,ROUNDDOWN(tech_cost_per_acre*Construction!E26,0))</f>
        <v>6426</v>
      </c>
      <c r="S26" s="152">
        <f t="shared" ca="1" si="23"/>
        <v>10651</v>
      </c>
      <c r="T26" s="164">
        <f t="shared" ca="1" si="24"/>
        <v>3472</v>
      </c>
      <c r="U26" s="164">
        <f t="shared" ca="1" si="25"/>
        <v>-416</v>
      </c>
      <c r="V26" s="164">
        <f t="shared" ca="1" si="26"/>
        <v>534</v>
      </c>
      <c r="W26" s="164">
        <f t="shared" ca="1" si="27"/>
        <v>0</v>
      </c>
      <c r="X26" s="164">
        <f t="shared" ca="1" si="28"/>
        <v>0</v>
      </c>
      <c r="Y26" s="265">
        <f>Construction!BP27*dock_boats_hr</f>
        <v>0</v>
      </c>
      <c r="Z26" s="164"/>
      <c r="AA26" s="152">
        <f ca="1">Population!C26*tax*Population!I26 + (Construction!AY27+Construction!BW27)*(alch_plat+(Magic!AR26&gt;0)*alchemist_flame_bonus)</f>
        <v>10651.5</v>
      </c>
      <c r="AB26" s="164">
        <f>Construction!$AZ26*farm_food + Construction!$BP26*dock_food+IF(race="Growth",ROUNDDOWN(Military!G26*8,0),0)</f>
        <v>6400</v>
      </c>
      <c r="AC26" s="164">
        <f>Construction!$BC26*ly_lumber+IF(race="Ants",ROUNDDOWN(Military!F26/2,0),0)</f>
        <v>2500</v>
      </c>
      <c r="AD26" s="164">
        <f>Construction!$BK27*tower_mana+IF(race="Templars",ROUNDDOWN(Military!F26*0.02,0),0)+IF(race="Black Orc",Military!G26*5,0)+IF(race="Growth",ROUNDDOWN(Military!G26*0.1,0),0)+IF(race="Void",ROUNDDOWN(Military!F26*1.5,0),0)+IF(race="Void",ROUNDDOWN(Military!G26*4,0),0)</f>
        <v>1250</v>
      </c>
      <c r="AE26" s="164">
        <f>Construction!$BE27*om_ore+IF(race="Dwarf",ROUNDDOWN(Military!F26*2,0),0)</f>
        <v>0</v>
      </c>
      <c r="AF26" s="166">
        <f>Construction!$BN27*dm_gems+IF(race="Dwarf",ROUNDDOWN(Military!F26/2,0),0)</f>
        <v>0</v>
      </c>
      <c r="AH26" s="266">
        <f ca="1">MIN(race_platinum_bonus + IF(Magic!AJ26&gt;0,midas_bonus) + Imps!Y26 - BB26*0.02+MAX(tech_production_plat*Techs!Y26,tech_treasure_hunt_plat*Techs!AR26), 0.5)</f>
        <v>0</v>
      </c>
      <c r="AI26" s="455">
        <f ca="1">race_food_bonus + IF(Magic!AO26&gt;0,gaias_blessing_food,IF(Magic!AG26&gt;0,gaias_watch_bonus)) + Imps!AD26+tech_production_food*Techs!W26 + O26/100*prestige_food_bonus</f>
        <v>0.1</v>
      </c>
      <c r="AJ26" s="267">
        <f ca="1">race_lumber_bonus+ IF(Magic!AO26&gt;0,gaias_blessing_lumber)+tech_fruits_of_labor1*Techs!AP26</f>
        <v>0</v>
      </c>
      <c r="AK26" s="267">
        <f ca="1">race_mana_bonus+tech_enchanted_lands_mana*Techs!AT26</f>
        <v>0</v>
      </c>
      <c r="AL26" s="267">
        <f ca="1">race_ore_bonus + IF(Magic!AL26&gt;0,miners_sight_bonus,IF(Magic!AH26&gt;0,mining_strength_bonus))+tech_fruits_of_labor1*Techs!AP26</f>
        <v>0</v>
      </c>
      <c r="AM26" s="193">
        <f ca="1">race_gem_bonus+MAX(tech_production_gems*Techs!X26,tech_fruits_of_labor_gems*Techs!AP26)</f>
        <v>0</v>
      </c>
      <c r="AO26" s="152">
        <f ca="1">I26*food_decay*IF(Magic!AZ26&gt;0,0.5,1)</f>
        <v>1258.3600000000001</v>
      </c>
      <c r="AP26" s="26">
        <f ca="1">(1+race_food_consumption)*Population!F26*food_per_person</f>
        <v>2310</v>
      </c>
      <c r="AQ26" s="164">
        <f t="shared" ca="1" si="6"/>
        <v>2915.86</v>
      </c>
      <c r="AR26" s="166">
        <f t="shared" ca="1" si="7"/>
        <v>715.92</v>
      </c>
      <c r="AS26" s="164"/>
      <c r="AT26" s="152">
        <f ca="1">Explore!AH26+Construction!AP26+Military!AU26+Rezone!Y26+Imps!AM26-BE26</f>
        <v>0</v>
      </c>
      <c r="AU26" s="164">
        <f>Construction!AQ26+Imps!AN26-BF26</f>
        <v>0</v>
      </c>
      <c r="AV26" s="164">
        <f>Magic!AD26</f>
        <v>0</v>
      </c>
      <c r="AW26" s="164">
        <f ca="1">Military!AV26+Imps!AO26-BG26</f>
        <v>0</v>
      </c>
      <c r="AX26" s="164">
        <f>Imps!AP26-BH26</f>
        <v>0</v>
      </c>
      <c r="AY26" s="164">
        <f ca="1">Military!AZ26</f>
        <v>0</v>
      </c>
      <c r="AZ26" s="166">
        <f ca="1">Military!BA26</f>
        <v>0</v>
      </c>
      <c r="BB26" s="152" t="b">
        <f t="shared" si="29"/>
        <v>0</v>
      </c>
      <c r="BC26" s="329"/>
      <c r="BD26" s="978">
        <v>24</v>
      </c>
      <c r="BE26" s="329"/>
      <c r="BF26" s="407"/>
      <c r="BG26" s="407"/>
      <c r="BH26" s="743"/>
      <c r="BI26" s="1036">
        <f t="shared" si="8"/>
        <v>43692.958333333278</v>
      </c>
      <c r="BJ26" s="159" t="str">
        <f t="shared" si="22"/>
        <v/>
      </c>
      <c r="BK26" s="164">
        <f t="shared" ca="1" si="18"/>
        <v>3192484</v>
      </c>
      <c r="BL26" s="164">
        <f t="shared" ca="1" si="9"/>
        <v>125836</v>
      </c>
      <c r="BM26" s="164">
        <f t="shared" ca="1" si="10"/>
        <v>291586</v>
      </c>
      <c r="BN26" s="164">
        <f t="shared" ca="1" si="11"/>
        <v>35796</v>
      </c>
      <c r="BO26" s="166">
        <f t="shared" ca="1" si="12"/>
        <v>231000</v>
      </c>
    </row>
    <row r="27" spans="1:67" s="1210" customFormat="1" ht="14.25" thickTop="1" thickBot="1">
      <c r="A27" s="1197">
        <v>25</v>
      </c>
      <c r="B27" s="1211">
        <f>Imps!L27</f>
        <v>43692.999999999942</v>
      </c>
      <c r="C27" s="1212"/>
      <c r="D27" s="1212"/>
      <c r="E27" s="1199">
        <f>Construction!E27</f>
        <v>1000</v>
      </c>
      <c r="F27" s="1200">
        <f ca="1">Population!$C27</f>
        <v>3945</v>
      </c>
      <c r="G27" s="1200">
        <f ca="1">Military!EM27</f>
        <v>39460</v>
      </c>
      <c r="H27" s="1200">
        <f ca="1">H26+S26 - AT27 + IF(C27,Population!C27*4)</f>
        <v>3203135</v>
      </c>
      <c r="I27" s="1200">
        <f t="shared" ca="1" si="19"/>
        <v>129308</v>
      </c>
      <c r="J27" s="1200">
        <f t="shared" ca="1" si="13"/>
        <v>291170</v>
      </c>
      <c r="K27" s="1200">
        <f t="shared" ca="1" si="14"/>
        <v>36330</v>
      </c>
      <c r="L27" s="1200">
        <f t="shared" ca="1" si="15"/>
        <v>231000</v>
      </c>
      <c r="M27" s="1200">
        <f t="shared" ca="1" si="16"/>
        <v>20000</v>
      </c>
      <c r="N27" s="1200">
        <f t="shared" ca="1" si="20"/>
        <v>200</v>
      </c>
      <c r="O27" s="1200">
        <f t="shared" si="21"/>
        <v>500</v>
      </c>
      <c r="P27" s="1200">
        <f>ROUNDDOWN(P26+MAX(Construction!BO27/2,Construction!BO27*(1-Construction!BO27/(E27-Explore!S27*20)))-Q27*SUM(Techs!AY27:BY27),0)</f>
        <v>0</v>
      </c>
      <c r="Q27" s="1205">
        <f>MAX(min_tech_cost,ROUNDDOWN(tech_cost_per_acre*Construction!E27,0))</f>
        <v>6426</v>
      </c>
      <c r="S27" s="1199">
        <f t="shared" ca="1" si="23"/>
        <v>10651</v>
      </c>
      <c r="T27" s="1200">
        <f t="shared" ca="1" si="24"/>
        <v>3437</v>
      </c>
      <c r="U27" s="1200">
        <f t="shared" ca="1" si="25"/>
        <v>-412</v>
      </c>
      <c r="V27" s="1200">
        <f t="shared" ca="1" si="26"/>
        <v>523</v>
      </c>
      <c r="W27" s="1200">
        <f t="shared" ca="1" si="27"/>
        <v>0</v>
      </c>
      <c r="X27" s="1200">
        <f t="shared" ca="1" si="28"/>
        <v>0</v>
      </c>
      <c r="Y27" s="1213">
        <f>Construction!BP28*dock_boats_hr</f>
        <v>0</v>
      </c>
      <c r="Z27" s="1200"/>
      <c r="AA27" s="1199">
        <f ca="1">Population!C27*tax*Population!I27 + (Construction!AY28+Construction!BW28)*(alch_plat+(Magic!AR27&gt;0)*alchemist_flame_bonus)</f>
        <v>10651.5</v>
      </c>
      <c r="AB27" s="1200">
        <f>Construction!$AZ27*farm_food + Construction!$BP27*dock_food+IF(race="Growth",ROUNDDOWN(Military!G27*8,0),0)</f>
        <v>6400</v>
      </c>
      <c r="AC27" s="1200">
        <f>Construction!$BC27*ly_lumber+IF(race="Ants",ROUNDDOWN(Military!F27/2,0),0)</f>
        <v>2500</v>
      </c>
      <c r="AD27" s="1200">
        <f>Construction!$BK28*tower_mana+IF(race="Templars",ROUNDDOWN(Military!F27*0.02,0),0)+IF(race="Black Orc",Military!G27*5,0)+IF(race="Growth",ROUNDDOWN(Military!G27*0.1,0),0)+IF(race="Void",ROUNDDOWN(Military!F27*1.5,0),0)+IF(race="Void",ROUNDDOWN(Military!G27*4,0),0)</f>
        <v>1250</v>
      </c>
      <c r="AE27" s="1200">
        <f>Construction!$BE28*om_ore+IF(race="Dwarf",ROUNDDOWN(Military!F27*2,0),0)</f>
        <v>0</v>
      </c>
      <c r="AF27" s="1205">
        <f>Construction!$BN28*dm_gems+IF(race="Dwarf",ROUNDDOWN(Military!F27/2,0),0)</f>
        <v>0</v>
      </c>
      <c r="AH27" s="1214">
        <f ca="1">MIN(race_platinum_bonus + IF(Magic!AJ27&gt;0,midas_bonus) + Imps!Y27 - BB27*0.02+MAX(tech_production_plat*Techs!Y27,tech_treasure_hunt_plat*Techs!AR27), 0.5)</f>
        <v>0</v>
      </c>
      <c r="AI27" s="1215">
        <f ca="1">race_food_bonus + IF(Magic!AO27&gt;0,gaias_blessing_food,IF(Magic!AG27&gt;0,gaias_watch_bonus)) + Imps!AD27+tech_production_food*Techs!W27 + O27/100*prestige_food_bonus</f>
        <v>0.1</v>
      </c>
      <c r="AJ27" s="1216">
        <f ca="1">race_lumber_bonus+ IF(Magic!AO27&gt;0,gaias_blessing_lumber)+tech_fruits_of_labor1*Techs!AP27</f>
        <v>0</v>
      </c>
      <c r="AK27" s="1216">
        <f ca="1">race_mana_bonus+tech_enchanted_lands_mana*Techs!AT27</f>
        <v>0</v>
      </c>
      <c r="AL27" s="1216">
        <f ca="1">race_ore_bonus + IF(Magic!AL27&gt;0,miners_sight_bonus,IF(Magic!AH27&gt;0,mining_strength_bonus))+tech_fruits_of_labor1*Techs!AP27</f>
        <v>0</v>
      </c>
      <c r="AM27" s="1217">
        <f ca="1">race_gem_bonus+MAX(tech_production_gems*Techs!X27,tech_fruits_of_labor_gems*Techs!AP27)</f>
        <v>0</v>
      </c>
      <c r="AO27" s="1199">
        <f ca="1">I27*food_decay*IF(Magic!AZ27&gt;0,0.5,1)</f>
        <v>1293.08</v>
      </c>
      <c r="AP27" s="1218">
        <f ca="1">(1+race_food_consumption)*Population!F27*food_per_person</f>
        <v>2310</v>
      </c>
      <c r="AQ27" s="1200">
        <f t="shared" ca="1" si="6"/>
        <v>2911.7000000000003</v>
      </c>
      <c r="AR27" s="1205">
        <f t="shared" ca="1" si="7"/>
        <v>726.6</v>
      </c>
      <c r="AS27" s="1200"/>
      <c r="AT27" s="1199">
        <f ca="1">Explore!AH27+Construction!AP27+Military!AU27+Rezone!Y27+Imps!AM27-BE27</f>
        <v>0</v>
      </c>
      <c r="AU27" s="1200">
        <f>Construction!AQ27+Imps!AN27-BF27</f>
        <v>0</v>
      </c>
      <c r="AV27" s="1200">
        <f>Magic!AD27</f>
        <v>0</v>
      </c>
      <c r="AW27" s="1200">
        <f ca="1">Military!AV27+Imps!AO27-BG27</f>
        <v>0</v>
      </c>
      <c r="AX27" s="1200">
        <f>Imps!AP27-BH27</f>
        <v>0</v>
      </c>
      <c r="AY27" s="1200">
        <f ca="1">Military!AZ27</f>
        <v>0</v>
      </c>
      <c r="AZ27" s="1205">
        <f ca="1">Military!BA27</f>
        <v>0</v>
      </c>
      <c r="BB27" s="1199" t="b">
        <f t="shared" si="29"/>
        <v>0</v>
      </c>
      <c r="BC27" s="1212"/>
      <c r="BD27" s="1219">
        <v>25</v>
      </c>
      <c r="BE27" s="1212"/>
      <c r="BF27" s="1200"/>
      <c r="BG27" s="1200"/>
      <c r="BH27" s="1220"/>
      <c r="BI27" s="1221">
        <f t="shared" si="8"/>
        <v>43692.999999999942</v>
      </c>
      <c r="BJ27" s="1207" t="str">
        <f t="shared" si="22"/>
        <v/>
      </c>
      <c r="BK27" s="1200">
        <f t="shared" ca="1" si="18"/>
        <v>3203135</v>
      </c>
      <c r="BL27" s="1200">
        <f t="shared" ca="1" si="9"/>
        <v>129308</v>
      </c>
      <c r="BM27" s="1200">
        <f t="shared" ca="1" si="10"/>
        <v>291170</v>
      </c>
      <c r="BN27" s="1200">
        <f t="shared" ca="1" si="11"/>
        <v>36330</v>
      </c>
      <c r="BO27" s="1205">
        <f t="shared" ca="1" si="12"/>
        <v>231000</v>
      </c>
    </row>
    <row r="28" spans="1:67" s="170" customFormat="1" ht="13.5" thickTop="1">
      <c r="A28" s="986">
        <v>26</v>
      </c>
      <c r="B28" s="532">
        <f>Imps!L28</f>
        <v>43693.041666666606</v>
      </c>
      <c r="C28" s="329"/>
      <c r="D28" s="834"/>
      <c r="E28" s="152">
        <f>Construction!E28</f>
        <v>1000</v>
      </c>
      <c r="F28" s="164">
        <f ca="1">Population!$C28</f>
        <v>3945</v>
      </c>
      <c r="G28" s="164">
        <f ca="1">Military!EM28</f>
        <v>39460</v>
      </c>
      <c r="H28" s="164">
        <f ca="1">H27+S27 - AT28 + IF(C28,Population!C28*4)</f>
        <v>3213786</v>
      </c>
      <c r="I28" s="164">
        <f t="shared" ca="1" si="19"/>
        <v>132745</v>
      </c>
      <c r="J28" s="164">
        <f t="shared" ca="1" si="13"/>
        <v>290758</v>
      </c>
      <c r="K28" s="164">
        <f t="shared" ca="1" si="14"/>
        <v>36853</v>
      </c>
      <c r="L28" s="164">
        <f t="shared" ca="1" si="15"/>
        <v>231000</v>
      </c>
      <c r="M28" s="164">
        <f t="shared" ca="1" si="16"/>
        <v>20000</v>
      </c>
      <c r="N28" s="164">
        <f t="shared" ca="1" si="20"/>
        <v>200</v>
      </c>
      <c r="O28" s="164">
        <f t="shared" si="21"/>
        <v>500</v>
      </c>
      <c r="P28" s="164">
        <f>ROUNDDOWN(P27+MAX(Construction!BO28/2,Construction!BO28*(1-Construction!BO28/(E28-Explore!S28*20)))-Q28*SUM(Techs!AY28:BY28),0)</f>
        <v>0</v>
      </c>
      <c r="Q28" s="166">
        <f>MAX(min_tech_cost,ROUNDDOWN(tech_cost_per_acre*Construction!E28,0))</f>
        <v>6426</v>
      </c>
      <c r="S28" s="152">
        <f t="shared" ca="1" si="23"/>
        <v>10651</v>
      </c>
      <c r="T28" s="164">
        <f t="shared" ca="1" si="24"/>
        <v>3403</v>
      </c>
      <c r="U28" s="164">
        <f t="shared" ca="1" si="25"/>
        <v>-408</v>
      </c>
      <c r="V28" s="164">
        <f t="shared" ca="1" si="26"/>
        <v>513</v>
      </c>
      <c r="W28" s="164">
        <f t="shared" ca="1" si="27"/>
        <v>0</v>
      </c>
      <c r="X28" s="164">
        <f t="shared" ca="1" si="28"/>
        <v>0</v>
      </c>
      <c r="Y28" s="265">
        <f>Construction!BP29*dock_boats_hr</f>
        <v>0</v>
      </c>
      <c r="Z28" s="164"/>
      <c r="AA28" s="152">
        <f ca="1">Population!C28*tax*Population!I28 + (Construction!AY29+Construction!BW29)*(alch_plat+(Magic!AR28&gt;0)*alchemist_flame_bonus)</f>
        <v>10651.5</v>
      </c>
      <c r="AB28" s="164">
        <f>Construction!$AZ28*farm_food + Construction!$BP28*dock_food+IF(race="Growth",ROUNDDOWN(Military!G28*8,0),0)</f>
        <v>6400</v>
      </c>
      <c r="AC28" s="164">
        <f>Construction!$BC28*ly_lumber+IF(race="Ants",ROUNDDOWN(Military!F28/2,0),0)</f>
        <v>2500</v>
      </c>
      <c r="AD28" s="164">
        <f>Construction!$BK29*tower_mana+IF(race="Templars",ROUNDDOWN(Military!F28*0.02,0),0)+IF(race="Black Orc",Military!G28*5,0)+IF(race="Growth",ROUNDDOWN(Military!G28*0.1,0),0)+IF(race="Void",ROUNDDOWN(Military!F28*1.5,0),0)+IF(race="Void",ROUNDDOWN(Military!G28*4,0),0)</f>
        <v>1250</v>
      </c>
      <c r="AE28" s="164">
        <f>Construction!$BE29*om_ore+IF(race="Dwarf",ROUNDDOWN(Military!F28*2,0),0)</f>
        <v>0</v>
      </c>
      <c r="AF28" s="166">
        <f>Construction!$BN29*dm_gems+IF(race="Dwarf",ROUNDDOWN(Military!F28/2,0),0)</f>
        <v>0</v>
      </c>
      <c r="AH28" s="266">
        <f ca="1">MIN(race_platinum_bonus + IF(Magic!AJ28&gt;0,midas_bonus) + Imps!Y28 - BB28*0.02+MAX(tech_production_plat*Techs!Y28,tech_treasure_hunt_plat*Techs!AR28), 0.5)</f>
        <v>0</v>
      </c>
      <c r="AI28" s="455">
        <f ca="1">race_food_bonus + IF(Magic!AO28&gt;0,gaias_blessing_food,IF(Magic!AG28&gt;0,gaias_watch_bonus)) + Imps!AD28+tech_production_food*Techs!W28 + O28/100*prestige_food_bonus</f>
        <v>0.1</v>
      </c>
      <c r="AJ28" s="267">
        <f ca="1">race_lumber_bonus+ IF(Magic!AO28&gt;0,gaias_blessing_lumber)+tech_fruits_of_labor1*Techs!AP28</f>
        <v>0</v>
      </c>
      <c r="AK28" s="267">
        <f ca="1">race_mana_bonus+tech_enchanted_lands_mana*Techs!AT28</f>
        <v>0</v>
      </c>
      <c r="AL28" s="267">
        <f ca="1">race_ore_bonus + IF(Magic!AL28&gt;0,miners_sight_bonus,IF(Magic!AH28&gt;0,mining_strength_bonus))+tech_fruits_of_labor1*Techs!AP28</f>
        <v>0</v>
      </c>
      <c r="AM28" s="193">
        <f ca="1">race_gem_bonus+MAX(tech_production_gems*Techs!X28,tech_fruits_of_labor_gems*Techs!AP28)</f>
        <v>0</v>
      </c>
      <c r="AO28" s="152">
        <f ca="1">I28*food_decay*IF(Magic!AZ28&gt;0,0.5,1)</f>
        <v>1327.45</v>
      </c>
      <c r="AP28" s="26">
        <f ca="1">(1+race_food_consumption)*Population!F28*food_per_person</f>
        <v>2310</v>
      </c>
      <c r="AQ28" s="164">
        <f t="shared" ca="1" si="6"/>
        <v>2907.58</v>
      </c>
      <c r="AR28" s="166">
        <f t="shared" ca="1" si="7"/>
        <v>737.06000000000006</v>
      </c>
      <c r="AS28" s="164"/>
      <c r="AT28" s="152">
        <f ca="1">Explore!AH28+Construction!AP28+Military!AU28+Rezone!Y28+Imps!AM28-BE28</f>
        <v>0</v>
      </c>
      <c r="AU28" s="164">
        <f>Construction!AQ28+Imps!AN28-BF28</f>
        <v>0</v>
      </c>
      <c r="AV28" s="164">
        <f>Magic!AD28</f>
        <v>0</v>
      </c>
      <c r="AW28" s="164">
        <f ca="1">Military!AV28+Imps!AO28-BG28</f>
        <v>0</v>
      </c>
      <c r="AX28" s="164">
        <f>Imps!AP28-BH28</f>
        <v>0</v>
      </c>
      <c r="AY28" s="164">
        <f ca="1">Military!AZ28</f>
        <v>0</v>
      </c>
      <c r="AZ28" s="166">
        <f ca="1">Military!BA28</f>
        <v>0</v>
      </c>
      <c r="BB28" s="152" t="b">
        <f t="shared" si="29"/>
        <v>0</v>
      </c>
      <c r="BC28" s="329"/>
      <c r="BD28" s="978">
        <v>26</v>
      </c>
      <c r="BE28" s="329"/>
      <c r="BF28" s="407"/>
      <c r="BG28" s="407"/>
      <c r="BH28" s="743"/>
      <c r="BI28" s="1036">
        <f t="shared" si="8"/>
        <v>43693.041666666606</v>
      </c>
      <c r="BJ28" s="159" t="str">
        <f t="shared" si="22"/>
        <v/>
      </c>
      <c r="BK28" s="164">
        <f t="shared" ca="1" si="18"/>
        <v>3213786</v>
      </c>
      <c r="BL28" s="164">
        <f t="shared" ca="1" si="9"/>
        <v>132745</v>
      </c>
      <c r="BM28" s="164">
        <f t="shared" ca="1" si="10"/>
        <v>290758</v>
      </c>
      <c r="BN28" s="164">
        <f t="shared" ca="1" si="11"/>
        <v>36853</v>
      </c>
      <c r="BO28" s="166">
        <f t="shared" ca="1" si="12"/>
        <v>231000</v>
      </c>
    </row>
    <row r="29" spans="1:67" s="170" customFormat="1">
      <c r="A29" s="986">
        <v>27</v>
      </c>
      <c r="B29" s="816">
        <f>Imps!L29</f>
        <v>43693.08333333327</v>
      </c>
      <c r="C29" s="329"/>
      <c r="D29" s="834"/>
      <c r="E29" s="152">
        <f>Construction!E29</f>
        <v>1000</v>
      </c>
      <c r="F29" s="164">
        <f ca="1">Population!$C29</f>
        <v>3945</v>
      </c>
      <c r="G29" s="164">
        <f ca="1">Military!EM29</f>
        <v>39460</v>
      </c>
      <c r="H29" s="26">
        <f ca="1">H28+S28 - AT29 + IF(C29,Population!C29*4)</f>
        <v>3224437</v>
      </c>
      <c r="I29" s="164">
        <f t="shared" ca="1" si="19"/>
        <v>136148</v>
      </c>
      <c r="J29" s="164">
        <f t="shared" ca="1" si="13"/>
        <v>290350</v>
      </c>
      <c r="K29" s="164">
        <f t="shared" ca="1" si="14"/>
        <v>37366</v>
      </c>
      <c r="L29" s="164">
        <f t="shared" ca="1" si="15"/>
        <v>231000</v>
      </c>
      <c r="M29" s="164">
        <f t="shared" ca="1" si="16"/>
        <v>20000</v>
      </c>
      <c r="N29" s="164">
        <f t="shared" ca="1" si="20"/>
        <v>200</v>
      </c>
      <c r="O29" s="164">
        <f t="shared" si="21"/>
        <v>500</v>
      </c>
      <c r="P29" s="164">
        <f>ROUNDDOWN(P28+MAX(Construction!BO29/2,Construction!BO29*(1-Construction!BO29/(E29-Explore!S29*20)))-Q29*SUM(Techs!AY29:BY29),0)</f>
        <v>0</v>
      </c>
      <c r="Q29" s="166">
        <f>MAX(min_tech_cost,ROUNDDOWN(tech_cost_per_acre*Construction!E29,0))</f>
        <v>6426</v>
      </c>
      <c r="S29" s="152">
        <f t="shared" ca="1" si="23"/>
        <v>10651</v>
      </c>
      <c r="T29" s="164">
        <f t="shared" ca="1" si="24"/>
        <v>3369</v>
      </c>
      <c r="U29" s="164">
        <f t="shared" ca="1" si="25"/>
        <v>-404</v>
      </c>
      <c r="V29" s="164">
        <f t="shared" ca="1" si="26"/>
        <v>503</v>
      </c>
      <c r="W29" s="164">
        <f t="shared" ca="1" si="27"/>
        <v>0</v>
      </c>
      <c r="X29" s="164">
        <f t="shared" ca="1" si="28"/>
        <v>0</v>
      </c>
      <c r="Y29" s="265">
        <f>Construction!BP30*dock_boats_hr</f>
        <v>0</v>
      </c>
      <c r="Z29" s="164"/>
      <c r="AA29" s="152">
        <f ca="1">Population!C29*tax*Population!I29 + (Construction!AY30+Construction!BW30)*(alch_plat+(Magic!AR29&gt;0)*alchemist_flame_bonus)</f>
        <v>10651.5</v>
      </c>
      <c r="AB29" s="164">
        <f>Construction!$AZ29*farm_food + Construction!$BP29*dock_food+IF(race="Growth",ROUNDDOWN(Military!G29*8,0),0)</f>
        <v>6400</v>
      </c>
      <c r="AC29" s="164">
        <f>Construction!$BC29*ly_lumber+IF(race="Ants",ROUNDDOWN(Military!F29/2,0),0)</f>
        <v>2500</v>
      </c>
      <c r="AD29" s="164">
        <f>Construction!$BK30*tower_mana+IF(race="Templars",ROUNDDOWN(Military!F29*0.02,0),0)+IF(race="Black Orc",Military!G29*5,0)+IF(race="Growth",ROUNDDOWN(Military!G29*0.1,0),0)+IF(race="Void",ROUNDDOWN(Military!F29*1.5,0),0)+IF(race="Void",ROUNDDOWN(Military!G29*4,0),0)</f>
        <v>1250</v>
      </c>
      <c r="AE29" s="164">
        <f>Construction!$BE30*om_ore+IF(race="Dwarf",ROUNDDOWN(Military!F29*2,0),0)</f>
        <v>0</v>
      </c>
      <c r="AF29" s="166">
        <f>Construction!$BN30*dm_gems+IF(race="Dwarf",ROUNDDOWN(Military!F29/2,0),0)</f>
        <v>0</v>
      </c>
      <c r="AH29" s="266">
        <f ca="1">MIN(race_platinum_bonus + IF(Magic!AJ29&gt;0,midas_bonus) + Imps!Y29 - BB29*0.02+MAX(tech_production_plat*Techs!Y29,tech_treasure_hunt_plat*Techs!AR29), 0.5)</f>
        <v>0</v>
      </c>
      <c r="AI29" s="455">
        <f ca="1">race_food_bonus + IF(Magic!AO29&gt;0,gaias_blessing_food,IF(Magic!AG29&gt;0,gaias_watch_bonus)) + Imps!AD29+tech_production_food*Techs!W29 + O29/100*prestige_food_bonus</f>
        <v>0.1</v>
      </c>
      <c r="AJ29" s="267">
        <f ca="1">race_lumber_bonus+ IF(Magic!AO29&gt;0,gaias_blessing_lumber)+tech_fruits_of_labor1*Techs!AP29</f>
        <v>0</v>
      </c>
      <c r="AK29" s="267">
        <f ca="1">race_mana_bonus+tech_enchanted_lands_mana*Techs!AT29</f>
        <v>0</v>
      </c>
      <c r="AL29" s="267">
        <f ca="1">race_ore_bonus + IF(Magic!AL29&gt;0,miners_sight_bonus,IF(Magic!AH29&gt;0,mining_strength_bonus))+tech_fruits_of_labor1*Techs!AP29</f>
        <v>0</v>
      </c>
      <c r="AM29" s="193">
        <f ca="1">race_gem_bonus+MAX(tech_production_gems*Techs!X29,tech_fruits_of_labor_gems*Techs!AP29)</f>
        <v>0</v>
      </c>
      <c r="AO29" s="152">
        <f ca="1">I29*food_decay*IF(Magic!AZ29&gt;0,0.5,1)</f>
        <v>1361.48</v>
      </c>
      <c r="AP29" s="26">
        <f ca="1">(1+race_food_consumption)*Population!F29*food_per_person</f>
        <v>2310</v>
      </c>
      <c r="AQ29" s="164">
        <f t="shared" ca="1" si="6"/>
        <v>2903.5</v>
      </c>
      <c r="AR29" s="166">
        <f t="shared" ca="1" si="7"/>
        <v>747.32</v>
      </c>
      <c r="AS29" s="164"/>
      <c r="AT29" s="152">
        <f ca="1">Explore!AH29+Construction!AP29+Military!AU29+Rezone!Y29+Imps!AM29-BE29</f>
        <v>0</v>
      </c>
      <c r="AU29" s="164">
        <f>Construction!AQ29+Imps!AN29-BF29</f>
        <v>0</v>
      </c>
      <c r="AV29" s="164">
        <f>Magic!AD29</f>
        <v>0</v>
      </c>
      <c r="AW29" s="164">
        <f ca="1">Military!AV29+Imps!AO29-BG29</f>
        <v>0</v>
      </c>
      <c r="AX29" s="164">
        <f>Imps!AP29-BH29</f>
        <v>0</v>
      </c>
      <c r="AY29" s="164">
        <f ca="1">Military!AZ29</f>
        <v>0</v>
      </c>
      <c r="AZ29" s="166">
        <f ca="1">Military!BA29</f>
        <v>0</v>
      </c>
      <c r="BB29" s="152" t="b">
        <f t="shared" si="29"/>
        <v>0</v>
      </c>
      <c r="BC29" s="329"/>
      <c r="BD29" s="978">
        <v>27</v>
      </c>
      <c r="BE29" s="329"/>
      <c r="BF29" s="407"/>
      <c r="BG29" s="407"/>
      <c r="BH29" s="743"/>
      <c r="BI29" s="1036">
        <f t="shared" si="8"/>
        <v>43693.08333333327</v>
      </c>
      <c r="BJ29" s="159" t="str">
        <f t="shared" si="22"/>
        <v/>
      </c>
      <c r="BK29" s="26">
        <f t="shared" ca="1" si="18"/>
        <v>3224437</v>
      </c>
      <c r="BL29" s="164">
        <f t="shared" ca="1" si="9"/>
        <v>136148</v>
      </c>
      <c r="BM29" s="164">
        <f t="shared" ca="1" si="10"/>
        <v>290350</v>
      </c>
      <c r="BN29" s="164">
        <f t="shared" ca="1" si="11"/>
        <v>37366</v>
      </c>
      <c r="BO29" s="166">
        <f t="shared" ca="1" si="12"/>
        <v>231000</v>
      </c>
    </row>
    <row r="30" spans="1:67" s="16" customFormat="1">
      <c r="A30" s="987">
        <v>28</v>
      </c>
      <c r="B30" s="816">
        <f>Imps!L30</f>
        <v>43693.124999999935</v>
      </c>
      <c r="C30" s="332"/>
      <c r="D30" s="835"/>
      <c r="E30" s="56">
        <f>Construction!E30</f>
        <v>1000</v>
      </c>
      <c r="F30" s="26">
        <f ca="1">Population!$C30</f>
        <v>3945</v>
      </c>
      <c r="G30" s="26">
        <f ca="1">Military!EM30</f>
        <v>39460</v>
      </c>
      <c r="H30" s="26">
        <f ca="1">H29+S29 - AT30 + IF(C30,Population!C30*4)</f>
        <v>3235088</v>
      </c>
      <c r="I30" s="26">
        <f t="shared" ca="1" si="19"/>
        <v>139517</v>
      </c>
      <c r="J30" s="26">
        <f t="shared" ca="1" si="13"/>
        <v>289946</v>
      </c>
      <c r="K30" s="26">
        <f t="shared" ca="1" si="14"/>
        <v>37869</v>
      </c>
      <c r="L30" s="26">
        <f t="shared" ca="1" si="15"/>
        <v>231000</v>
      </c>
      <c r="M30" s="26">
        <f t="shared" ca="1" si="16"/>
        <v>20000</v>
      </c>
      <c r="N30" s="26">
        <f t="shared" ca="1" si="20"/>
        <v>200</v>
      </c>
      <c r="O30" s="26">
        <f t="shared" si="21"/>
        <v>500</v>
      </c>
      <c r="P30" s="26">
        <f>ROUNDDOWN(P29+MAX(Construction!BO30/2,Construction!BO30*(1-Construction!BO30/(E30-Explore!S30*20)))-Q30*SUM(Techs!AY30:BY30),0)</f>
        <v>0</v>
      </c>
      <c r="Q30" s="166">
        <f>MAX(min_tech_cost,ROUNDDOWN(tech_cost_per_acre*Construction!E30,0))</f>
        <v>6426</v>
      </c>
      <c r="S30" s="152">
        <f t="shared" ca="1" si="23"/>
        <v>10651</v>
      </c>
      <c r="T30" s="164">
        <f t="shared" ca="1" si="24"/>
        <v>3335</v>
      </c>
      <c r="U30" s="164">
        <f t="shared" ca="1" si="25"/>
        <v>-399</v>
      </c>
      <c r="V30" s="164">
        <f t="shared" ca="1" si="26"/>
        <v>493</v>
      </c>
      <c r="W30" s="164">
        <f t="shared" ca="1" si="27"/>
        <v>0</v>
      </c>
      <c r="X30" s="164">
        <f t="shared" ca="1" si="28"/>
        <v>0</v>
      </c>
      <c r="Y30" s="265">
        <f>Construction!BP31*dock_boats_hr</f>
        <v>0</v>
      </c>
      <c r="Z30" s="164"/>
      <c r="AA30" s="152">
        <f ca="1">Population!C30*tax*Population!I30 + (Construction!AY31+Construction!BW31)*(alch_plat+(Magic!AR30&gt;0)*alchemist_flame_bonus)</f>
        <v>10651.5</v>
      </c>
      <c r="AB30" s="164">
        <f>Construction!$AZ30*farm_food + Construction!$BP30*dock_food+IF(race="Growth",ROUNDDOWN(Military!G30*8,0),0)</f>
        <v>6400</v>
      </c>
      <c r="AC30" s="164">
        <f>Construction!$BC30*ly_lumber+IF(race="Ants",ROUNDDOWN(Military!F30/2,0),0)</f>
        <v>2500</v>
      </c>
      <c r="AD30" s="26">
        <f>Construction!$BK31*tower_mana+IF(race="Templars",ROUNDDOWN(Military!F30*0.02,0),0)+IF(race="Black Orc",Military!G30*5,0)+IF(race="Growth",ROUNDDOWN(Military!G30*0.1,0),0)+IF(race="Void",ROUNDDOWN(Military!F30*1.5,0),0)+IF(race="Void",ROUNDDOWN(Military!G30*4,0),0)</f>
        <v>1250</v>
      </c>
      <c r="AE30" s="164">
        <f>Construction!$BE31*om_ore+IF(race="Dwarf",ROUNDDOWN(Military!F30*2,0),0)</f>
        <v>0</v>
      </c>
      <c r="AF30" s="57">
        <f>Construction!$BN31*dm_gems+IF(race="Dwarf",ROUNDDOWN(Military!F30/2,0),0)</f>
        <v>0</v>
      </c>
      <c r="AH30" s="266">
        <f ca="1">MIN(race_platinum_bonus + IF(Magic!AJ30&gt;0,midas_bonus) + Imps!Y30 - BB30*0.02+MAX(tech_production_plat*Techs!Y30,tech_treasure_hunt_plat*Techs!AR30), 0.5)</f>
        <v>0</v>
      </c>
      <c r="AI30" s="455">
        <f ca="1">race_food_bonus + IF(Magic!AO30&gt;0,gaias_blessing_food,IF(Magic!AG30&gt;0,gaias_watch_bonus)) + Imps!AD30+tech_production_food*Techs!W30 + O30/100*prestige_food_bonus</f>
        <v>0.1</v>
      </c>
      <c r="AJ30" s="267">
        <f ca="1">race_lumber_bonus+ IF(Magic!AO30&gt;0,gaias_blessing_lumber)+tech_fruits_of_labor1*Techs!AP30</f>
        <v>0</v>
      </c>
      <c r="AK30" s="267">
        <f ca="1">race_mana_bonus+tech_enchanted_lands_mana*Techs!AT30</f>
        <v>0</v>
      </c>
      <c r="AL30" s="267">
        <f ca="1">race_ore_bonus + IF(Magic!AL30&gt;0,miners_sight_bonus,IF(Magic!AH30&gt;0,mining_strength_bonus))+tech_fruits_of_labor1*Techs!AP30</f>
        <v>0</v>
      </c>
      <c r="AM30" s="193">
        <f ca="1">race_gem_bonus+MAX(tech_production_gems*Techs!X30,tech_fruits_of_labor_gems*Techs!AP30)</f>
        <v>0</v>
      </c>
      <c r="AO30" s="56">
        <f ca="1">I30*food_decay*IF(Magic!AZ30&gt;0,0.5,1)</f>
        <v>1395.17</v>
      </c>
      <c r="AP30" s="26">
        <f ca="1">(1+race_food_consumption)*Population!F30*food_per_person</f>
        <v>2310</v>
      </c>
      <c r="AQ30" s="26">
        <f t="shared" ca="1" si="6"/>
        <v>2899.46</v>
      </c>
      <c r="AR30" s="57">
        <f t="shared" ca="1" si="7"/>
        <v>757.38</v>
      </c>
      <c r="AS30" s="26"/>
      <c r="AT30" s="56">
        <f ca="1">Explore!AH30+Construction!AP30+Military!AU30+Rezone!Y30+Imps!AM30-BE30</f>
        <v>0</v>
      </c>
      <c r="AU30" s="26">
        <f>Construction!AQ30+Imps!AN30-BF30</f>
        <v>0</v>
      </c>
      <c r="AV30" s="26">
        <f>Magic!AD30</f>
        <v>0</v>
      </c>
      <c r="AW30" s="26">
        <f ca="1">Military!AV30+Imps!AO30-BG30</f>
        <v>0</v>
      </c>
      <c r="AX30" s="26">
        <f>Imps!AP30-BH30</f>
        <v>0</v>
      </c>
      <c r="AY30" s="26">
        <f ca="1">Military!AZ30</f>
        <v>0</v>
      </c>
      <c r="AZ30" s="57">
        <f ca="1">Military!BA30</f>
        <v>0</v>
      </c>
      <c r="BB30" s="56" t="b">
        <f t="shared" si="29"/>
        <v>0</v>
      </c>
      <c r="BC30" s="332"/>
      <c r="BD30" s="979">
        <v>28</v>
      </c>
      <c r="BE30" s="332"/>
      <c r="BF30" s="370"/>
      <c r="BG30" s="370"/>
      <c r="BH30" s="744"/>
      <c r="BI30" s="1036">
        <f t="shared" si="8"/>
        <v>43693.124999999935</v>
      </c>
      <c r="BJ30" s="159" t="str">
        <f t="shared" si="22"/>
        <v/>
      </c>
      <c r="BK30" s="26">
        <f t="shared" ca="1" si="18"/>
        <v>3235088</v>
      </c>
      <c r="BL30" s="26">
        <f t="shared" ca="1" si="9"/>
        <v>139517</v>
      </c>
      <c r="BM30" s="26">
        <f t="shared" ca="1" si="10"/>
        <v>289946</v>
      </c>
      <c r="BN30" s="26">
        <f t="shared" ca="1" si="11"/>
        <v>37869</v>
      </c>
      <c r="BO30" s="57">
        <f t="shared" ca="1" si="12"/>
        <v>231000</v>
      </c>
    </row>
    <row r="31" spans="1:67" s="16" customFormat="1">
      <c r="A31" s="987">
        <v>29</v>
      </c>
      <c r="B31" s="816">
        <f>Imps!L31</f>
        <v>43693.166666666599</v>
      </c>
      <c r="C31" s="332"/>
      <c r="D31" s="835"/>
      <c r="E31" s="56">
        <f>Construction!E31</f>
        <v>1000</v>
      </c>
      <c r="F31" s="26">
        <f ca="1">Population!$C31</f>
        <v>3945</v>
      </c>
      <c r="G31" s="26">
        <f ca="1">Military!EM31</f>
        <v>39460</v>
      </c>
      <c r="H31" s="26">
        <f ca="1">H30+S30 - AT31 + IF(C31,Population!C31*4)</f>
        <v>3245739</v>
      </c>
      <c r="I31" s="26">
        <f t="shared" ca="1" si="19"/>
        <v>142852</v>
      </c>
      <c r="J31" s="26">
        <f t="shared" ca="1" si="13"/>
        <v>289547</v>
      </c>
      <c r="K31" s="26">
        <f t="shared" ca="1" si="14"/>
        <v>38362</v>
      </c>
      <c r="L31" s="26">
        <f t="shared" ca="1" si="15"/>
        <v>231000</v>
      </c>
      <c r="M31" s="26">
        <f t="shared" ca="1" si="16"/>
        <v>20000</v>
      </c>
      <c r="N31" s="26">
        <f t="shared" ca="1" si="20"/>
        <v>200</v>
      </c>
      <c r="O31" s="26">
        <f t="shared" si="21"/>
        <v>500</v>
      </c>
      <c r="P31" s="26">
        <f>ROUNDDOWN(P30+MAX(Construction!BO31/2,Construction!BO31*(1-Construction!BO31/(E31-Explore!S31*20)))-Q31*SUM(Techs!AY31:BY31),0)</f>
        <v>0</v>
      </c>
      <c r="Q31" s="166">
        <f>MAX(min_tech_cost,ROUNDDOWN(tech_cost_per_acre*Construction!E31,0))</f>
        <v>6426</v>
      </c>
      <c r="S31" s="152">
        <f t="shared" ca="1" si="23"/>
        <v>10651</v>
      </c>
      <c r="T31" s="164">
        <f t="shared" ca="1" si="24"/>
        <v>3301</v>
      </c>
      <c r="U31" s="164">
        <f t="shared" ca="1" si="25"/>
        <v>-395</v>
      </c>
      <c r="V31" s="164">
        <f t="shared" ca="1" si="26"/>
        <v>483</v>
      </c>
      <c r="W31" s="164">
        <f t="shared" ca="1" si="27"/>
        <v>0</v>
      </c>
      <c r="X31" s="164">
        <f t="shared" ca="1" si="28"/>
        <v>0</v>
      </c>
      <c r="Y31" s="265">
        <f>Construction!BP32*dock_boats_hr</f>
        <v>0</v>
      </c>
      <c r="Z31" s="164"/>
      <c r="AA31" s="152">
        <f ca="1">Population!C31*tax*Population!I31 + (Construction!AY32+Construction!BW32)*(alch_plat+(Magic!AR31&gt;0)*alchemist_flame_bonus)</f>
        <v>10651.5</v>
      </c>
      <c r="AB31" s="164">
        <f>Construction!$AZ31*farm_food + Construction!$BP31*dock_food+IF(race="Growth",ROUNDDOWN(Military!G31*8,0),0)</f>
        <v>6400</v>
      </c>
      <c r="AC31" s="164">
        <f>Construction!$BC31*ly_lumber+IF(race="Ants",ROUNDDOWN(Military!F31/2,0),0)</f>
        <v>2500</v>
      </c>
      <c r="AD31" s="26">
        <f>Construction!$BK32*tower_mana+IF(race="Templars",ROUNDDOWN(Military!F31*0.02,0),0)+IF(race="Black Orc",Military!G31*5,0)+IF(race="Growth",ROUNDDOWN(Military!G31*0.1,0),0)+IF(race="Void",ROUNDDOWN(Military!F31*1.5,0),0)+IF(race="Void",ROUNDDOWN(Military!G31*4,0),0)</f>
        <v>1250</v>
      </c>
      <c r="AE31" s="164">
        <f>Construction!$BE32*om_ore+IF(race="Dwarf",ROUNDDOWN(Military!F31*2,0),0)</f>
        <v>0</v>
      </c>
      <c r="AF31" s="57">
        <f>Construction!$BN32*dm_gems+IF(race="Dwarf",ROUNDDOWN(Military!F31/2,0),0)</f>
        <v>0</v>
      </c>
      <c r="AH31" s="266">
        <f ca="1">MIN(race_platinum_bonus + IF(Magic!AJ31&gt;0,midas_bonus) + Imps!Y31 - BB31*0.02+MAX(tech_production_plat*Techs!Y31,tech_treasure_hunt_plat*Techs!AR31), 0.5)</f>
        <v>0</v>
      </c>
      <c r="AI31" s="455">
        <f ca="1">race_food_bonus + IF(Magic!AO31&gt;0,gaias_blessing_food,IF(Magic!AG31&gt;0,gaias_watch_bonus)) + Imps!AD31+tech_production_food*Techs!W31 + O31/100*prestige_food_bonus</f>
        <v>0.1</v>
      </c>
      <c r="AJ31" s="267">
        <f ca="1">race_lumber_bonus+ IF(Magic!AO31&gt;0,gaias_blessing_lumber)+tech_fruits_of_labor1*Techs!AP31</f>
        <v>0</v>
      </c>
      <c r="AK31" s="267">
        <f ca="1">race_mana_bonus+tech_enchanted_lands_mana*Techs!AT31</f>
        <v>0</v>
      </c>
      <c r="AL31" s="267">
        <f ca="1">race_ore_bonus + IF(Magic!AL31&gt;0,miners_sight_bonus,IF(Magic!AH31&gt;0,mining_strength_bonus))+tech_fruits_of_labor1*Techs!AP31</f>
        <v>0</v>
      </c>
      <c r="AM31" s="193">
        <f ca="1">race_gem_bonus+MAX(tech_production_gems*Techs!X31,tech_fruits_of_labor_gems*Techs!AP31)</f>
        <v>0</v>
      </c>
      <c r="AO31" s="56">
        <f ca="1">I31*food_decay*IF(Magic!AZ31&gt;0,0.5,1)</f>
        <v>1428.52</v>
      </c>
      <c r="AP31" s="26">
        <f ca="1">(1+race_food_consumption)*Population!F31*food_per_person</f>
        <v>2310</v>
      </c>
      <c r="AQ31" s="26">
        <f t="shared" ca="1" si="6"/>
        <v>2895.4700000000003</v>
      </c>
      <c r="AR31" s="57">
        <f t="shared" ca="1" si="7"/>
        <v>767.24</v>
      </c>
      <c r="AS31" s="26"/>
      <c r="AT31" s="56">
        <f ca="1">Explore!AH31+Construction!AP31+Military!AU31+Rezone!Y31+Imps!AM31-BE31</f>
        <v>0</v>
      </c>
      <c r="AU31" s="26">
        <f>Construction!AQ31+Imps!AN31-BF31</f>
        <v>0</v>
      </c>
      <c r="AV31" s="26">
        <f>Magic!AD31</f>
        <v>0</v>
      </c>
      <c r="AW31" s="26">
        <f ca="1">Military!AV31+Imps!AO31-BG31</f>
        <v>0</v>
      </c>
      <c r="AX31" s="26">
        <f>Imps!AP31-BH31</f>
        <v>0</v>
      </c>
      <c r="AY31" s="26">
        <f ca="1">Military!AZ31</f>
        <v>0</v>
      </c>
      <c r="AZ31" s="57">
        <f ca="1">Military!BA31</f>
        <v>0</v>
      </c>
      <c r="BB31" s="56" t="b">
        <f t="shared" si="29"/>
        <v>0</v>
      </c>
      <c r="BC31" s="332"/>
      <c r="BD31" s="979">
        <v>29</v>
      </c>
      <c r="BE31" s="332"/>
      <c r="BF31" s="370"/>
      <c r="BG31" s="370"/>
      <c r="BH31" s="744"/>
      <c r="BI31" s="1036">
        <f t="shared" si="8"/>
        <v>43693.166666666599</v>
      </c>
      <c r="BJ31" s="159" t="str">
        <f t="shared" si="22"/>
        <v/>
      </c>
      <c r="BK31" s="26">
        <f t="shared" ca="1" si="18"/>
        <v>3245739</v>
      </c>
      <c r="BL31" s="26">
        <f t="shared" ca="1" si="9"/>
        <v>142852</v>
      </c>
      <c r="BM31" s="26">
        <f t="shared" ca="1" si="10"/>
        <v>289547</v>
      </c>
      <c r="BN31" s="26">
        <f t="shared" ca="1" si="11"/>
        <v>38362</v>
      </c>
      <c r="BO31" s="57">
        <f t="shared" ca="1" si="12"/>
        <v>231000</v>
      </c>
    </row>
    <row r="32" spans="1:67" s="16" customFormat="1">
      <c r="A32" s="987">
        <v>30</v>
      </c>
      <c r="B32" s="816">
        <f>Imps!L32</f>
        <v>43693.208333333263</v>
      </c>
      <c r="C32" s="332"/>
      <c r="D32" s="835"/>
      <c r="E32" s="56">
        <f>Construction!E32</f>
        <v>1000</v>
      </c>
      <c r="F32" s="26">
        <f ca="1">Population!$C32</f>
        <v>3945</v>
      </c>
      <c r="G32" s="26">
        <f ca="1">Military!EM32</f>
        <v>39460</v>
      </c>
      <c r="H32" s="26">
        <f ca="1">H31+S31 - AT32 + IF(C32,Population!C32*4)</f>
        <v>3256390</v>
      </c>
      <c r="I32" s="26">
        <f t="shared" ca="1" si="19"/>
        <v>146153</v>
      </c>
      <c r="J32" s="26">
        <f t="shared" ca="1" si="13"/>
        <v>289152</v>
      </c>
      <c r="K32" s="26">
        <f t="shared" ca="1" si="14"/>
        <v>38845</v>
      </c>
      <c r="L32" s="26">
        <f t="shared" ca="1" si="15"/>
        <v>231000</v>
      </c>
      <c r="M32" s="26">
        <f t="shared" ca="1" si="16"/>
        <v>20000</v>
      </c>
      <c r="N32" s="26">
        <f t="shared" ca="1" si="20"/>
        <v>200</v>
      </c>
      <c r="O32" s="26">
        <f t="shared" si="21"/>
        <v>500</v>
      </c>
      <c r="P32" s="26">
        <f>ROUNDDOWN(P31+MAX(Construction!BO32/2,Construction!BO32*(1-Construction!BO32/(E32-Explore!S32*20)))-Q32*SUM(Techs!AY32:BY32),0)</f>
        <v>0</v>
      </c>
      <c r="Q32" s="166">
        <f>MAX(min_tech_cost,ROUNDDOWN(tech_cost_per_acre*Construction!E32,0))</f>
        <v>6426</v>
      </c>
      <c r="S32" s="152">
        <f t="shared" ca="1" si="23"/>
        <v>10651</v>
      </c>
      <c r="T32" s="164">
        <f t="shared" ca="1" si="24"/>
        <v>3268</v>
      </c>
      <c r="U32" s="164">
        <f t="shared" ca="1" si="25"/>
        <v>-392</v>
      </c>
      <c r="V32" s="164">
        <f t="shared" ca="1" si="26"/>
        <v>473</v>
      </c>
      <c r="W32" s="164">
        <f t="shared" ca="1" si="27"/>
        <v>0</v>
      </c>
      <c r="X32" s="164">
        <f t="shared" ca="1" si="28"/>
        <v>0</v>
      </c>
      <c r="Y32" s="265">
        <f>Construction!BP33*dock_boats_hr</f>
        <v>0</v>
      </c>
      <c r="Z32" s="164"/>
      <c r="AA32" s="152">
        <f ca="1">Population!C32*tax*Population!I32 + (Construction!AY33+Construction!BW33)*(alch_plat+(Magic!AR32&gt;0)*alchemist_flame_bonus)</f>
        <v>10651.5</v>
      </c>
      <c r="AB32" s="164">
        <f>Construction!$AZ32*farm_food + Construction!$BP32*dock_food+IF(race="Growth",ROUNDDOWN(Military!G32*8,0),0)</f>
        <v>6400</v>
      </c>
      <c r="AC32" s="164">
        <f>Construction!$BC32*ly_lumber+IF(race="Ants",ROUNDDOWN(Military!F32/2,0),0)</f>
        <v>2500</v>
      </c>
      <c r="AD32" s="26">
        <f>Construction!$BK33*tower_mana+IF(race="Templars",ROUNDDOWN(Military!F32*0.02,0),0)+IF(race="Black Orc",Military!G32*5,0)+IF(race="Growth",ROUNDDOWN(Military!G32*0.1,0),0)+IF(race="Void",ROUNDDOWN(Military!F32*1.5,0),0)+IF(race="Void",ROUNDDOWN(Military!G32*4,0),0)</f>
        <v>1250</v>
      </c>
      <c r="AE32" s="164">
        <f>Construction!$BE33*om_ore+IF(race="Dwarf",ROUNDDOWN(Military!F32*2,0),0)</f>
        <v>0</v>
      </c>
      <c r="AF32" s="57">
        <f>Construction!$BN33*dm_gems+IF(race="Dwarf",ROUNDDOWN(Military!F32/2,0),0)</f>
        <v>0</v>
      </c>
      <c r="AH32" s="266">
        <f ca="1">MIN(race_platinum_bonus + IF(Magic!AJ32&gt;0,midas_bonus) + Imps!Y32 - BB32*0.02+MAX(tech_production_plat*Techs!Y32,tech_treasure_hunt_plat*Techs!AR32), 0.5)</f>
        <v>0</v>
      </c>
      <c r="AI32" s="455">
        <f ca="1">race_food_bonus + IF(Magic!AO32&gt;0,gaias_blessing_food,IF(Magic!AG32&gt;0,gaias_watch_bonus)) + Imps!AD32+tech_production_food*Techs!W32 + O32/100*prestige_food_bonus</f>
        <v>0.1</v>
      </c>
      <c r="AJ32" s="267">
        <f ca="1">race_lumber_bonus+ IF(Magic!AO32&gt;0,gaias_blessing_lumber)+tech_fruits_of_labor1*Techs!AP32</f>
        <v>0</v>
      </c>
      <c r="AK32" s="267">
        <f ca="1">race_mana_bonus+tech_enchanted_lands_mana*Techs!AT32</f>
        <v>0</v>
      </c>
      <c r="AL32" s="267">
        <f ca="1">race_ore_bonus + IF(Magic!AL32&gt;0,miners_sight_bonus,IF(Magic!AH32&gt;0,mining_strength_bonus))+tech_fruits_of_labor1*Techs!AP32</f>
        <v>0</v>
      </c>
      <c r="AM32" s="193">
        <f ca="1">race_gem_bonus+MAX(tech_production_gems*Techs!X32,tech_fruits_of_labor_gems*Techs!AP32)</f>
        <v>0</v>
      </c>
      <c r="AO32" s="56">
        <f ca="1">I32*food_decay*IF(Magic!AZ32&gt;0,0.5,1)</f>
        <v>1461.53</v>
      </c>
      <c r="AP32" s="26">
        <f ca="1">(1+race_food_consumption)*Population!F32*food_per_person</f>
        <v>2310</v>
      </c>
      <c r="AQ32" s="26">
        <f t="shared" ca="1" si="6"/>
        <v>2891.52</v>
      </c>
      <c r="AR32" s="57">
        <f t="shared" ca="1" si="7"/>
        <v>776.9</v>
      </c>
      <c r="AS32" s="26"/>
      <c r="AT32" s="56">
        <f ca="1">Explore!AH32+Construction!AP32+Military!AU32+Rezone!Y32+Imps!AM32-BE32</f>
        <v>0</v>
      </c>
      <c r="AU32" s="26">
        <f>Construction!AQ32+Imps!AN32-BF32</f>
        <v>0</v>
      </c>
      <c r="AV32" s="26">
        <f>Magic!AD32</f>
        <v>0</v>
      </c>
      <c r="AW32" s="26">
        <f ca="1">Military!AV32+Imps!AO32-BG32</f>
        <v>0</v>
      </c>
      <c r="AX32" s="26">
        <f>Imps!AP32-BH32</f>
        <v>0</v>
      </c>
      <c r="AY32" s="26">
        <f ca="1">Military!AZ32</f>
        <v>0</v>
      </c>
      <c r="AZ32" s="57">
        <f ca="1">Military!BA32</f>
        <v>0</v>
      </c>
      <c r="BB32" s="56" t="b">
        <f t="shared" si="29"/>
        <v>0</v>
      </c>
      <c r="BC32" s="332"/>
      <c r="BD32" s="979">
        <v>30</v>
      </c>
      <c r="BE32" s="332"/>
      <c r="BF32" s="370"/>
      <c r="BG32" s="370"/>
      <c r="BH32" s="744"/>
      <c r="BI32" s="1036">
        <f t="shared" si="8"/>
        <v>43693.208333333263</v>
      </c>
      <c r="BJ32" s="159" t="str">
        <f t="shared" si="22"/>
        <v/>
      </c>
      <c r="BK32" s="26">
        <f t="shared" ca="1" si="18"/>
        <v>3256390</v>
      </c>
      <c r="BL32" s="26">
        <f t="shared" ca="1" si="9"/>
        <v>146153</v>
      </c>
      <c r="BM32" s="26">
        <f t="shared" ca="1" si="10"/>
        <v>289152</v>
      </c>
      <c r="BN32" s="26">
        <f t="shared" ca="1" si="11"/>
        <v>38845</v>
      </c>
      <c r="BO32" s="57">
        <f t="shared" ca="1" si="12"/>
        <v>231000</v>
      </c>
    </row>
    <row r="33" spans="1:67" s="16" customFormat="1">
      <c r="A33" s="987">
        <v>31</v>
      </c>
      <c r="B33" s="816">
        <f>Imps!L33</f>
        <v>43693.249999999927</v>
      </c>
      <c r="C33" s="332"/>
      <c r="D33" s="835"/>
      <c r="E33" s="56">
        <f>Construction!E33</f>
        <v>1000</v>
      </c>
      <c r="F33" s="26">
        <f ca="1">Population!$C33</f>
        <v>3945</v>
      </c>
      <c r="G33" s="26">
        <f ca="1">Military!EM33</f>
        <v>39460</v>
      </c>
      <c r="H33" s="26">
        <f ca="1">H32+S32 - AT33 + IF(C33,Population!C33*4)</f>
        <v>3267041</v>
      </c>
      <c r="I33" s="26">
        <f t="shared" ca="1" si="19"/>
        <v>149421</v>
      </c>
      <c r="J33" s="26">
        <f t="shared" ca="1" si="13"/>
        <v>288760</v>
      </c>
      <c r="K33" s="26">
        <f t="shared" ca="1" si="14"/>
        <v>39318</v>
      </c>
      <c r="L33" s="26">
        <f t="shared" ca="1" si="15"/>
        <v>231000</v>
      </c>
      <c r="M33" s="26">
        <f t="shared" ca="1" si="16"/>
        <v>20000</v>
      </c>
      <c r="N33" s="26">
        <f t="shared" ca="1" si="20"/>
        <v>200</v>
      </c>
      <c r="O33" s="26">
        <f t="shared" si="21"/>
        <v>500</v>
      </c>
      <c r="P33" s="26">
        <f>ROUNDDOWN(P32+MAX(Construction!BO33/2,Construction!BO33*(1-Construction!BO33/(E33-Explore!S33*20)))-Q33*SUM(Techs!AY33:BY33),0)</f>
        <v>0</v>
      </c>
      <c r="Q33" s="166">
        <f>MAX(min_tech_cost,ROUNDDOWN(tech_cost_per_acre*Construction!E33,0))</f>
        <v>6426</v>
      </c>
      <c r="S33" s="152">
        <f t="shared" ca="1" si="23"/>
        <v>10651</v>
      </c>
      <c r="T33" s="164">
        <f t="shared" ca="1" si="24"/>
        <v>3236</v>
      </c>
      <c r="U33" s="164">
        <f t="shared" ca="1" si="25"/>
        <v>-388</v>
      </c>
      <c r="V33" s="164">
        <f t="shared" ca="1" si="26"/>
        <v>464</v>
      </c>
      <c r="W33" s="164">
        <f t="shared" ca="1" si="27"/>
        <v>0</v>
      </c>
      <c r="X33" s="164">
        <f t="shared" ca="1" si="28"/>
        <v>0</v>
      </c>
      <c r="Y33" s="265">
        <f>Construction!BP34*dock_boats_hr</f>
        <v>0</v>
      </c>
      <c r="Z33" s="164"/>
      <c r="AA33" s="152">
        <f ca="1">Population!C33*tax*Population!I33 + (Construction!AY34+Construction!BW34)*(alch_plat+(Magic!AR33&gt;0)*alchemist_flame_bonus)</f>
        <v>10651.5</v>
      </c>
      <c r="AB33" s="164">
        <f>Construction!$AZ33*farm_food + Construction!$BP33*dock_food+IF(race="Growth",ROUNDDOWN(Military!G33*8,0),0)</f>
        <v>6400</v>
      </c>
      <c r="AC33" s="164">
        <f>Construction!$BC33*ly_lumber+IF(race="Ants",ROUNDDOWN(Military!F33/2,0),0)</f>
        <v>2500</v>
      </c>
      <c r="AD33" s="26">
        <f>Construction!$BK34*tower_mana+IF(race="Templars",ROUNDDOWN(Military!F33*0.02,0),0)+IF(race="Black Orc",Military!G33*5,0)+IF(race="Growth",ROUNDDOWN(Military!G33*0.1,0),0)+IF(race="Void",ROUNDDOWN(Military!F33*1.5,0),0)+IF(race="Void",ROUNDDOWN(Military!G33*4,0),0)</f>
        <v>1250</v>
      </c>
      <c r="AE33" s="164">
        <f>Construction!$BE34*om_ore+IF(race="Dwarf",ROUNDDOWN(Military!F33*2,0),0)</f>
        <v>0</v>
      </c>
      <c r="AF33" s="57">
        <f>Construction!$BN34*dm_gems+IF(race="Dwarf",ROUNDDOWN(Military!F33/2,0),0)</f>
        <v>0</v>
      </c>
      <c r="AH33" s="266">
        <f ca="1">MIN(race_platinum_bonus + IF(Magic!AJ33&gt;0,midas_bonus) + Imps!Y33 - BB33*0.02+MAX(tech_production_plat*Techs!Y33,tech_treasure_hunt_plat*Techs!AR33), 0.5)</f>
        <v>0</v>
      </c>
      <c r="AI33" s="455">
        <f ca="1">race_food_bonus + IF(Magic!AO33&gt;0,gaias_blessing_food,IF(Magic!AG33&gt;0,gaias_watch_bonus)) + Imps!AD33+tech_production_food*Techs!W33 + O33/100*prestige_food_bonus</f>
        <v>0.1</v>
      </c>
      <c r="AJ33" s="267">
        <f ca="1">race_lumber_bonus+ IF(Magic!AO33&gt;0,gaias_blessing_lumber)+tech_fruits_of_labor1*Techs!AP33</f>
        <v>0</v>
      </c>
      <c r="AK33" s="267">
        <f ca="1">race_mana_bonus+tech_enchanted_lands_mana*Techs!AT33</f>
        <v>0</v>
      </c>
      <c r="AL33" s="267">
        <f ca="1">race_ore_bonus + IF(Magic!AL33&gt;0,miners_sight_bonus,IF(Magic!AH33&gt;0,mining_strength_bonus))+tech_fruits_of_labor1*Techs!AP33</f>
        <v>0</v>
      </c>
      <c r="AM33" s="193">
        <f ca="1">race_gem_bonus+MAX(tech_production_gems*Techs!X33,tech_fruits_of_labor_gems*Techs!AP33)</f>
        <v>0</v>
      </c>
      <c r="AO33" s="56">
        <f ca="1">I33*food_decay*IF(Magic!AZ33&gt;0,0.5,1)</f>
        <v>1494.21</v>
      </c>
      <c r="AP33" s="26">
        <f ca="1">(1+race_food_consumption)*Population!F33*food_per_person</f>
        <v>2310</v>
      </c>
      <c r="AQ33" s="26">
        <f t="shared" ca="1" si="6"/>
        <v>2887.6</v>
      </c>
      <c r="AR33" s="57">
        <f t="shared" ca="1" si="7"/>
        <v>786.36</v>
      </c>
      <c r="AS33" s="26"/>
      <c r="AT33" s="56">
        <f ca="1">Explore!AH33+Construction!AP33+Military!AU33+Rezone!Y33+Imps!AM33-BE33</f>
        <v>0</v>
      </c>
      <c r="AU33" s="26">
        <f>Construction!AQ33+Imps!AN33-BF33</f>
        <v>0</v>
      </c>
      <c r="AV33" s="26">
        <f>Magic!AD33</f>
        <v>0</v>
      </c>
      <c r="AW33" s="26">
        <f ca="1">Military!AV33+Imps!AO33-BG33</f>
        <v>0</v>
      </c>
      <c r="AX33" s="26">
        <f>Imps!AP33-BH33</f>
        <v>0</v>
      </c>
      <c r="AY33" s="26">
        <f ca="1">Military!AZ33</f>
        <v>0</v>
      </c>
      <c r="AZ33" s="57">
        <f ca="1">Military!BA33</f>
        <v>0</v>
      </c>
      <c r="BB33" s="56" t="b">
        <f t="shared" si="29"/>
        <v>0</v>
      </c>
      <c r="BC33" s="332"/>
      <c r="BD33" s="979">
        <v>31</v>
      </c>
      <c r="BE33" s="332"/>
      <c r="BF33" s="370"/>
      <c r="BG33" s="370"/>
      <c r="BH33" s="744"/>
      <c r="BI33" s="1036">
        <f t="shared" si="8"/>
        <v>43693.249999999927</v>
      </c>
      <c r="BJ33" s="159" t="str">
        <f t="shared" si="22"/>
        <v/>
      </c>
      <c r="BK33" s="26">
        <f t="shared" ca="1" si="18"/>
        <v>3267041</v>
      </c>
      <c r="BL33" s="26">
        <f t="shared" ca="1" si="9"/>
        <v>149421</v>
      </c>
      <c r="BM33" s="26">
        <f t="shared" ca="1" si="10"/>
        <v>288760</v>
      </c>
      <c r="BN33" s="26">
        <f t="shared" ca="1" si="11"/>
        <v>39318</v>
      </c>
      <c r="BO33" s="57">
        <f t="shared" ca="1" si="12"/>
        <v>231000</v>
      </c>
    </row>
    <row r="34" spans="1:67" s="16" customFormat="1">
      <c r="A34" s="987">
        <v>32</v>
      </c>
      <c r="B34" s="816">
        <f>Imps!L34</f>
        <v>43693.291666666591</v>
      </c>
      <c r="C34" s="332"/>
      <c r="D34" s="835"/>
      <c r="E34" s="56">
        <f>Construction!E34</f>
        <v>1000</v>
      </c>
      <c r="F34" s="26">
        <f ca="1">Population!$C34</f>
        <v>3945</v>
      </c>
      <c r="G34" s="26">
        <f ca="1">Military!EM34</f>
        <v>39460</v>
      </c>
      <c r="H34" s="26">
        <f ca="1">H33+S33 - AT34 + IF(C34,Population!C34*4)</f>
        <v>3277692</v>
      </c>
      <c r="I34" s="26">
        <f t="shared" ca="1" si="19"/>
        <v>152657</v>
      </c>
      <c r="J34" s="26">
        <f t="shared" ca="1" si="13"/>
        <v>288372</v>
      </c>
      <c r="K34" s="26">
        <f t="shared" ca="1" si="14"/>
        <v>39782</v>
      </c>
      <c r="L34" s="26">
        <f t="shared" ca="1" si="15"/>
        <v>231000</v>
      </c>
      <c r="M34" s="26">
        <f t="shared" ca="1" si="16"/>
        <v>20000</v>
      </c>
      <c r="N34" s="26">
        <f t="shared" ca="1" si="20"/>
        <v>200</v>
      </c>
      <c r="O34" s="26">
        <f t="shared" si="21"/>
        <v>500</v>
      </c>
      <c r="P34" s="26">
        <f>ROUNDDOWN(P33+MAX(Construction!BO34/2,Construction!BO34*(1-Construction!BO34/(E34-Explore!S34*20)))-Q34*SUM(Techs!AY34:BY34),0)</f>
        <v>0</v>
      </c>
      <c r="Q34" s="166">
        <f>MAX(min_tech_cost,ROUNDDOWN(tech_cost_per_acre*Construction!E34,0))</f>
        <v>6426</v>
      </c>
      <c r="S34" s="152">
        <f t="shared" ca="1" si="23"/>
        <v>10651</v>
      </c>
      <c r="T34" s="164">
        <f t="shared" ca="1" si="24"/>
        <v>3203</v>
      </c>
      <c r="U34" s="164">
        <f t="shared" ca="1" si="25"/>
        <v>-384</v>
      </c>
      <c r="V34" s="164">
        <f t="shared" ca="1" si="26"/>
        <v>454</v>
      </c>
      <c r="W34" s="164">
        <f t="shared" ca="1" si="27"/>
        <v>0</v>
      </c>
      <c r="X34" s="164">
        <f t="shared" ca="1" si="28"/>
        <v>0</v>
      </c>
      <c r="Y34" s="265">
        <f>Construction!BP35*dock_boats_hr</f>
        <v>0</v>
      </c>
      <c r="Z34" s="164"/>
      <c r="AA34" s="152">
        <f ca="1">Population!C34*tax*Population!I34 + (Construction!AY35+Construction!BW35)*(alch_plat+(Magic!AR34&gt;0)*alchemist_flame_bonus)</f>
        <v>10651.5</v>
      </c>
      <c r="AB34" s="164">
        <f>Construction!$AZ34*farm_food + Construction!$BP34*dock_food+IF(race="Growth",ROUNDDOWN(Military!G34*8,0),0)</f>
        <v>6400</v>
      </c>
      <c r="AC34" s="164">
        <f>Construction!$BC34*ly_lumber+IF(race="Ants",ROUNDDOWN(Military!F34/2,0),0)</f>
        <v>2500</v>
      </c>
      <c r="AD34" s="26">
        <f>Construction!$BK35*tower_mana+IF(race="Templars",ROUNDDOWN(Military!F34*0.02,0),0)+IF(race="Black Orc",Military!G34*5,0)+IF(race="Growth",ROUNDDOWN(Military!G34*0.1,0),0)+IF(race="Void",ROUNDDOWN(Military!F34*1.5,0),0)+IF(race="Void",ROUNDDOWN(Military!G34*4,0),0)</f>
        <v>1250</v>
      </c>
      <c r="AE34" s="164">
        <f>Construction!$BE35*om_ore+IF(race="Dwarf",ROUNDDOWN(Military!F34*2,0),0)</f>
        <v>0</v>
      </c>
      <c r="AF34" s="57">
        <f>Construction!$BN35*dm_gems+IF(race="Dwarf",ROUNDDOWN(Military!F34/2,0),0)</f>
        <v>0</v>
      </c>
      <c r="AH34" s="266">
        <f ca="1">MIN(race_platinum_bonus + IF(Magic!AJ34&gt;0,midas_bonus) + Imps!Y34 - BB34*0.02+MAX(tech_production_plat*Techs!Y34,tech_treasure_hunt_plat*Techs!AR34), 0.5)</f>
        <v>0</v>
      </c>
      <c r="AI34" s="455">
        <f ca="1">race_food_bonus + IF(Magic!AO34&gt;0,gaias_blessing_food,IF(Magic!AG34&gt;0,gaias_watch_bonus)) + Imps!AD34+tech_production_food*Techs!W34 + O34/100*prestige_food_bonus</f>
        <v>0.1</v>
      </c>
      <c r="AJ34" s="267">
        <f ca="1">race_lumber_bonus+ IF(Magic!AO34&gt;0,gaias_blessing_lumber)+tech_fruits_of_labor1*Techs!AP34</f>
        <v>0</v>
      </c>
      <c r="AK34" s="267">
        <f ca="1">race_mana_bonus+tech_enchanted_lands_mana*Techs!AT34</f>
        <v>0</v>
      </c>
      <c r="AL34" s="267">
        <f ca="1">race_ore_bonus + IF(Magic!AL34&gt;0,miners_sight_bonus,IF(Magic!AH34&gt;0,mining_strength_bonus))+tech_fruits_of_labor1*Techs!AP34</f>
        <v>0</v>
      </c>
      <c r="AM34" s="193">
        <f ca="1">race_gem_bonus+MAX(tech_production_gems*Techs!X34,tech_fruits_of_labor_gems*Techs!AP34)</f>
        <v>0</v>
      </c>
      <c r="AO34" s="56">
        <f ca="1">I34*food_decay*IF(Magic!AZ34&gt;0,0.5,1)</f>
        <v>1526.57</v>
      </c>
      <c r="AP34" s="26">
        <f ca="1">(1+race_food_consumption)*Population!F34*food_per_person</f>
        <v>2310</v>
      </c>
      <c r="AQ34" s="26">
        <f t="shared" ca="1" si="6"/>
        <v>2883.7200000000003</v>
      </c>
      <c r="AR34" s="57">
        <f t="shared" ca="1" si="7"/>
        <v>795.64</v>
      </c>
      <c r="AS34" s="26"/>
      <c r="AT34" s="56">
        <f ca="1">Explore!AH34+Construction!AP34+Military!AU34+Rezone!Y34+Imps!AM34-BE34</f>
        <v>0</v>
      </c>
      <c r="AU34" s="26">
        <f>Construction!AQ34+Imps!AN34-BF34</f>
        <v>0</v>
      </c>
      <c r="AV34" s="26">
        <f>Magic!AD34</f>
        <v>0</v>
      </c>
      <c r="AW34" s="26">
        <f ca="1">Military!AV34+Imps!AO34-BG34</f>
        <v>0</v>
      </c>
      <c r="AX34" s="26">
        <f>Imps!AP34-BH34</f>
        <v>0</v>
      </c>
      <c r="AY34" s="26">
        <f ca="1">Military!AZ34</f>
        <v>0</v>
      </c>
      <c r="AZ34" s="57">
        <f ca="1">Military!BA34</f>
        <v>0</v>
      </c>
      <c r="BB34" s="56" t="b">
        <f t="shared" si="29"/>
        <v>0</v>
      </c>
      <c r="BC34" s="332"/>
      <c r="BD34" s="979">
        <v>32</v>
      </c>
      <c r="BE34" s="332"/>
      <c r="BF34" s="370"/>
      <c r="BG34" s="370"/>
      <c r="BH34" s="744"/>
      <c r="BI34" s="1036">
        <f t="shared" si="8"/>
        <v>43693.291666666591</v>
      </c>
      <c r="BJ34" s="159" t="str">
        <f t="shared" si="22"/>
        <v/>
      </c>
      <c r="BK34" s="26">
        <f t="shared" ca="1" si="18"/>
        <v>3277692</v>
      </c>
      <c r="BL34" s="26">
        <f t="shared" ca="1" si="9"/>
        <v>152657</v>
      </c>
      <c r="BM34" s="26">
        <f t="shared" ca="1" si="10"/>
        <v>288372</v>
      </c>
      <c r="BN34" s="26">
        <f t="shared" ca="1" si="11"/>
        <v>39782</v>
      </c>
      <c r="BO34" s="57">
        <f t="shared" ca="1" si="12"/>
        <v>231000</v>
      </c>
    </row>
    <row r="35" spans="1:67" s="16" customFormat="1">
      <c r="A35" s="987">
        <v>33</v>
      </c>
      <c r="B35" s="816">
        <f>Imps!L35</f>
        <v>43693.333333333256</v>
      </c>
      <c r="C35" s="332"/>
      <c r="D35" s="835"/>
      <c r="E35" s="56">
        <f>Construction!E35</f>
        <v>1000</v>
      </c>
      <c r="F35" s="26">
        <f ca="1">Population!$C35</f>
        <v>3945</v>
      </c>
      <c r="G35" s="26">
        <f ca="1">Military!EM35</f>
        <v>39460</v>
      </c>
      <c r="H35" s="26">
        <f ca="1">H34+S34 - AT35 + IF(C35,Population!C35*4)</f>
        <v>3288343</v>
      </c>
      <c r="I35" s="26">
        <f t="shared" ca="1" si="19"/>
        <v>155860</v>
      </c>
      <c r="J35" s="26">
        <f t="shared" ca="1" si="13"/>
        <v>287988</v>
      </c>
      <c r="K35" s="26">
        <f t="shared" ca="1" si="14"/>
        <v>40236</v>
      </c>
      <c r="L35" s="26">
        <f t="shared" ca="1" si="15"/>
        <v>231000</v>
      </c>
      <c r="M35" s="26">
        <f t="shared" ca="1" si="16"/>
        <v>20000</v>
      </c>
      <c r="N35" s="26">
        <f t="shared" ca="1" si="20"/>
        <v>200</v>
      </c>
      <c r="O35" s="26">
        <f t="shared" si="21"/>
        <v>500</v>
      </c>
      <c r="P35" s="26">
        <f>ROUNDDOWN(P34+MAX(Construction!BO35/2,Construction!BO35*(1-Construction!BO35/(E35-Explore!S35*20)))-Q35*SUM(Techs!AY35:BY35),0)</f>
        <v>0</v>
      </c>
      <c r="Q35" s="166">
        <f>MAX(min_tech_cost,ROUNDDOWN(tech_cost_per_acre*Construction!E35,0))</f>
        <v>6426</v>
      </c>
      <c r="S35" s="152">
        <f t="shared" ca="1" si="23"/>
        <v>10651</v>
      </c>
      <c r="T35" s="164">
        <f t="shared" ref="T35:T66" ca="1" si="30">ROUND(AB35*(1+AI35)-AO35-AP35,0)</f>
        <v>3171</v>
      </c>
      <c r="U35" s="164">
        <f t="shared" ref="U35:U66" ca="1" si="31">ROUND(AC35*(1+AJ35)-AQ35,0)</f>
        <v>-380</v>
      </c>
      <c r="V35" s="164">
        <f t="shared" ref="V35:V66" ca="1" si="32">ROUND(AD35*(1+AK35)-AR35,0)</f>
        <v>445</v>
      </c>
      <c r="W35" s="164">
        <f t="shared" ca="1" si="27"/>
        <v>0</v>
      </c>
      <c r="X35" s="164">
        <f t="shared" ca="1" si="28"/>
        <v>0</v>
      </c>
      <c r="Y35" s="265">
        <f>Construction!BP36*dock_boats_hr</f>
        <v>0</v>
      </c>
      <c r="Z35" s="164"/>
      <c r="AA35" s="152">
        <f ca="1">Population!C35*tax*Population!I35 + (Construction!AY36+Construction!BW36)*(alch_plat+(Magic!AR35&gt;0)*alchemist_flame_bonus)</f>
        <v>10651.5</v>
      </c>
      <c r="AB35" s="164">
        <f>Construction!$AZ35*farm_food + Construction!$BP35*dock_food+IF(race="Growth",ROUNDDOWN(Military!G35*8,0),0)</f>
        <v>6400</v>
      </c>
      <c r="AC35" s="164">
        <f>Construction!$BC35*ly_lumber+IF(race="Ants",ROUNDDOWN(Military!F35/2,0),0)</f>
        <v>2500</v>
      </c>
      <c r="AD35" s="26">
        <f>Construction!$BK36*tower_mana+IF(race="Templars",ROUNDDOWN(Military!F35*0.02,0),0)+IF(race="Black Orc",Military!G35*5,0)+IF(race="Growth",ROUNDDOWN(Military!G35*0.1,0),0)+IF(race="Void",ROUNDDOWN(Military!F35*1.5,0),0)+IF(race="Void",ROUNDDOWN(Military!G35*4,0),0)</f>
        <v>1250</v>
      </c>
      <c r="AE35" s="164">
        <f>Construction!$BE36*om_ore+IF(race="Dwarf",ROUNDDOWN(Military!F35*2,0),0)</f>
        <v>0</v>
      </c>
      <c r="AF35" s="57">
        <f>Construction!$BN36*dm_gems+IF(race="Dwarf",ROUNDDOWN(Military!F35/2,0),0)</f>
        <v>0</v>
      </c>
      <c r="AH35" s="266">
        <f ca="1">MIN(race_platinum_bonus + IF(Magic!AJ35&gt;0,midas_bonus) + Imps!Y35 - BB35*0.02+MAX(tech_production_plat*Techs!Y35,tech_treasure_hunt_plat*Techs!AR35), 0.5)</f>
        <v>0</v>
      </c>
      <c r="AI35" s="455">
        <f ca="1">race_food_bonus + IF(Magic!AO35&gt;0,gaias_blessing_food,IF(Magic!AG35&gt;0,gaias_watch_bonus)) + Imps!AD35+tech_production_food*Techs!W35 + O35/100*prestige_food_bonus</f>
        <v>0.1</v>
      </c>
      <c r="AJ35" s="267">
        <f ca="1">race_lumber_bonus+ IF(Magic!AO35&gt;0,gaias_blessing_lumber)+tech_fruits_of_labor1*Techs!AP35</f>
        <v>0</v>
      </c>
      <c r="AK35" s="267">
        <f ca="1">race_mana_bonus+tech_enchanted_lands_mana*Techs!AT35</f>
        <v>0</v>
      </c>
      <c r="AL35" s="267">
        <f ca="1">race_ore_bonus + IF(Magic!AL35&gt;0,miners_sight_bonus,IF(Magic!AH35&gt;0,mining_strength_bonus))+tech_fruits_of_labor1*Techs!AP35</f>
        <v>0</v>
      </c>
      <c r="AM35" s="193">
        <f ca="1">race_gem_bonus+MAX(tech_production_gems*Techs!X35,tech_fruits_of_labor_gems*Techs!AP35)</f>
        <v>0</v>
      </c>
      <c r="AO35" s="56">
        <f ca="1">I35*food_decay*IF(Magic!AZ35&gt;0,0.5,1)</f>
        <v>1558.6000000000001</v>
      </c>
      <c r="AP35" s="26">
        <f ca="1">(1+race_food_consumption)*Population!F35*food_per_person</f>
        <v>2310</v>
      </c>
      <c r="AQ35" s="26">
        <f t="shared" ref="AQ35:AQ66" ca="1" si="33">J35*lumber_rot</f>
        <v>2879.88</v>
      </c>
      <c r="AR35" s="57">
        <f t="shared" ref="AR35:AR66" ca="1" si="34">K35*mana_drain</f>
        <v>804.72</v>
      </c>
      <c r="AS35" s="26"/>
      <c r="AT35" s="56">
        <f ca="1">Explore!AH35+Construction!AP35+Military!AU35+Rezone!Y35+Imps!AM35-BE35</f>
        <v>0</v>
      </c>
      <c r="AU35" s="26">
        <f>Construction!AQ35+Imps!AN35-BF35</f>
        <v>0</v>
      </c>
      <c r="AV35" s="26">
        <f>Magic!AD35</f>
        <v>0</v>
      </c>
      <c r="AW35" s="26">
        <f ca="1">Military!AV35+Imps!AO35-BG35</f>
        <v>0</v>
      </c>
      <c r="AX35" s="26">
        <f>Imps!AP35-BH35</f>
        <v>0</v>
      </c>
      <c r="AY35" s="26">
        <f ca="1">Military!AZ35</f>
        <v>0</v>
      </c>
      <c r="AZ35" s="57">
        <f ca="1">Military!BA35</f>
        <v>0</v>
      </c>
      <c r="BB35" s="56" t="b">
        <f t="shared" si="29"/>
        <v>0</v>
      </c>
      <c r="BC35" s="332"/>
      <c r="BD35" s="979">
        <v>33</v>
      </c>
      <c r="BE35" s="332"/>
      <c r="BF35" s="370"/>
      <c r="BG35" s="370"/>
      <c r="BH35" s="744"/>
      <c r="BI35" s="1036">
        <f t="shared" ref="BI35:BI66" si="35">B35</f>
        <v>43693.333333333256</v>
      </c>
      <c r="BJ35" s="159" t="str">
        <f t="shared" si="22"/>
        <v/>
      </c>
      <c r="BK35" s="26">
        <f t="shared" ca="1" si="18"/>
        <v>3288343</v>
      </c>
      <c r="BL35" s="26">
        <f t="shared" ca="1" si="9"/>
        <v>155860</v>
      </c>
      <c r="BM35" s="26">
        <f t="shared" ca="1" si="10"/>
        <v>287988</v>
      </c>
      <c r="BN35" s="26">
        <f t="shared" ca="1" si="11"/>
        <v>40236</v>
      </c>
      <c r="BO35" s="57">
        <f t="shared" ca="1" si="12"/>
        <v>231000</v>
      </c>
    </row>
    <row r="36" spans="1:67" s="16" customFormat="1">
      <c r="A36" s="987">
        <v>34</v>
      </c>
      <c r="B36" s="816">
        <f>Imps!L36</f>
        <v>43693.37499999992</v>
      </c>
      <c r="C36" s="332"/>
      <c r="D36" s="835"/>
      <c r="E36" s="56">
        <f>Construction!E36</f>
        <v>1000</v>
      </c>
      <c r="F36" s="26">
        <f ca="1">Population!$C36</f>
        <v>3945</v>
      </c>
      <c r="G36" s="26">
        <f ca="1">Military!EM36</f>
        <v>39460</v>
      </c>
      <c r="H36" s="26">
        <f ca="1">H35+S35 - AT36 + IF(C36,Population!C36*4)</f>
        <v>3298994</v>
      </c>
      <c r="I36" s="26">
        <f t="shared" ca="1" si="19"/>
        <v>159031</v>
      </c>
      <c r="J36" s="26">
        <f t="shared" ref="J36:J67" ca="1" si="36">J35+U35 - AU36</f>
        <v>287608</v>
      </c>
      <c r="K36" s="26">
        <f t="shared" ref="K36:K67" ca="1" si="37">K35+V35 - AV36</f>
        <v>40681</v>
      </c>
      <c r="L36" s="26">
        <f t="shared" ref="L36:L67" ca="1" si="38">L35+W35 - AW36</f>
        <v>231000</v>
      </c>
      <c r="M36" s="26">
        <f t="shared" ref="M36:M67" ca="1" si="39">M35+X35 - AX36</f>
        <v>20000</v>
      </c>
      <c r="N36" s="26">
        <f t="shared" ca="1" si="20"/>
        <v>200</v>
      </c>
      <c r="O36" s="26">
        <f t="shared" si="21"/>
        <v>500</v>
      </c>
      <c r="P36" s="26">
        <f>ROUNDDOWN(P35+MAX(Construction!BO36/2,Construction!BO36*(1-Construction!BO36/(E36-Explore!S36*20)))-Q36*SUM(Techs!AY36:BY36),0)</f>
        <v>0</v>
      </c>
      <c r="Q36" s="166">
        <f>MAX(min_tech_cost,ROUNDDOWN(tech_cost_per_acre*Construction!E36,0))</f>
        <v>6426</v>
      </c>
      <c r="S36" s="152">
        <f t="shared" ca="1" si="23"/>
        <v>10651</v>
      </c>
      <c r="T36" s="164">
        <f t="shared" ca="1" si="30"/>
        <v>3140</v>
      </c>
      <c r="U36" s="164">
        <f t="shared" ca="1" si="31"/>
        <v>-376</v>
      </c>
      <c r="V36" s="164">
        <f t="shared" ca="1" si="32"/>
        <v>436</v>
      </c>
      <c r="W36" s="164">
        <f t="shared" ca="1" si="27"/>
        <v>0</v>
      </c>
      <c r="X36" s="164">
        <f t="shared" ca="1" si="28"/>
        <v>0</v>
      </c>
      <c r="Y36" s="265">
        <f>Construction!BP37*dock_boats_hr</f>
        <v>0</v>
      </c>
      <c r="Z36" s="164"/>
      <c r="AA36" s="152">
        <f ca="1">Population!C36*tax*Population!I36 + (Construction!AY37+Construction!BW37)*(alch_plat+(Magic!AR36&gt;0)*alchemist_flame_bonus)</f>
        <v>10651.5</v>
      </c>
      <c r="AB36" s="164">
        <f>Construction!$AZ36*farm_food + Construction!$BP36*dock_food+IF(race="Growth",ROUNDDOWN(Military!G36*8,0),0)</f>
        <v>6400</v>
      </c>
      <c r="AC36" s="164">
        <f>Construction!$BC36*ly_lumber+IF(race="Ants",ROUNDDOWN(Military!F36/2,0),0)</f>
        <v>2500</v>
      </c>
      <c r="AD36" s="26">
        <f>Construction!$BK37*tower_mana+IF(race="Templars",ROUNDDOWN(Military!F36*0.02,0),0)+IF(race="Black Orc",Military!G36*5,0)+IF(race="Growth",ROUNDDOWN(Military!G36*0.1,0),0)+IF(race="Void",ROUNDDOWN(Military!F36*1.5,0),0)+IF(race="Void",ROUNDDOWN(Military!G36*4,0),0)</f>
        <v>1250</v>
      </c>
      <c r="AE36" s="164">
        <f>Construction!$BE37*om_ore+IF(race="Dwarf",ROUNDDOWN(Military!F36*2,0),0)</f>
        <v>0</v>
      </c>
      <c r="AF36" s="57">
        <f>Construction!$BN37*dm_gems+IF(race="Dwarf",ROUNDDOWN(Military!F36/2,0),0)</f>
        <v>0</v>
      </c>
      <c r="AH36" s="266">
        <f ca="1">MIN(race_platinum_bonus + IF(Magic!AJ36&gt;0,midas_bonus) + Imps!Y36 - BB36*0.02+MAX(tech_production_plat*Techs!Y36,tech_treasure_hunt_plat*Techs!AR36), 0.5)</f>
        <v>0</v>
      </c>
      <c r="AI36" s="455">
        <f ca="1">race_food_bonus + IF(Magic!AO36&gt;0,gaias_blessing_food,IF(Magic!AG36&gt;0,gaias_watch_bonus)) + Imps!AD36+tech_production_food*Techs!W36 + O36/100*prestige_food_bonus</f>
        <v>0.1</v>
      </c>
      <c r="AJ36" s="267">
        <f ca="1">race_lumber_bonus+ IF(Magic!AO36&gt;0,gaias_blessing_lumber)+tech_fruits_of_labor1*Techs!AP36</f>
        <v>0</v>
      </c>
      <c r="AK36" s="267">
        <f ca="1">race_mana_bonus+tech_enchanted_lands_mana*Techs!AT36</f>
        <v>0</v>
      </c>
      <c r="AL36" s="267">
        <f ca="1">race_ore_bonus + IF(Magic!AL36&gt;0,miners_sight_bonus,IF(Magic!AH36&gt;0,mining_strength_bonus))+tech_fruits_of_labor1*Techs!AP36</f>
        <v>0</v>
      </c>
      <c r="AM36" s="193">
        <f ca="1">race_gem_bonus+MAX(tech_production_gems*Techs!X36,tech_fruits_of_labor_gems*Techs!AP36)</f>
        <v>0</v>
      </c>
      <c r="AO36" s="56">
        <f ca="1">I36*food_decay*IF(Magic!AZ36&gt;0,0.5,1)</f>
        <v>1590.31</v>
      </c>
      <c r="AP36" s="26">
        <f ca="1">(1+race_food_consumption)*Population!F36*food_per_person</f>
        <v>2310</v>
      </c>
      <c r="AQ36" s="26">
        <f t="shared" ca="1" si="33"/>
        <v>2876.08</v>
      </c>
      <c r="AR36" s="57">
        <f t="shared" ca="1" si="34"/>
        <v>813.62</v>
      </c>
      <c r="AS36" s="26"/>
      <c r="AT36" s="56">
        <f ca="1">Explore!AH36+Construction!AP36+Military!AU36+Rezone!Y36+Imps!AM36-BE36</f>
        <v>0</v>
      </c>
      <c r="AU36" s="26">
        <f>Construction!AQ36+Imps!AN36-BF36</f>
        <v>0</v>
      </c>
      <c r="AV36" s="26">
        <f>Magic!AD36</f>
        <v>0</v>
      </c>
      <c r="AW36" s="26">
        <f ca="1">Military!AV36+Imps!AO36-BG36</f>
        <v>0</v>
      </c>
      <c r="AX36" s="26">
        <f>Imps!AP36-BH36</f>
        <v>0</v>
      </c>
      <c r="AY36" s="26">
        <f ca="1">Military!AZ36</f>
        <v>0</v>
      </c>
      <c r="AZ36" s="57">
        <f ca="1">Military!BA36</f>
        <v>0</v>
      </c>
      <c r="BB36" s="56" t="b">
        <f t="shared" si="29"/>
        <v>0</v>
      </c>
      <c r="BC36" s="332"/>
      <c r="BD36" s="979">
        <v>34</v>
      </c>
      <c r="BE36" s="332"/>
      <c r="BF36" s="370"/>
      <c r="BG36" s="370"/>
      <c r="BH36" s="744"/>
      <c r="BI36" s="1036">
        <f t="shared" si="35"/>
        <v>43693.37499999992</v>
      </c>
      <c r="BJ36" s="159" t="str">
        <f t="shared" si="22"/>
        <v/>
      </c>
      <c r="BK36" s="26">
        <f t="shared" ca="1" si="18"/>
        <v>3298994</v>
      </c>
      <c r="BL36" s="26">
        <f t="shared" ca="1" si="9"/>
        <v>159031</v>
      </c>
      <c r="BM36" s="26">
        <f t="shared" ca="1" si="10"/>
        <v>287608</v>
      </c>
      <c r="BN36" s="26">
        <f t="shared" ca="1" si="11"/>
        <v>40681</v>
      </c>
      <c r="BO36" s="57">
        <f t="shared" ca="1" si="12"/>
        <v>231000</v>
      </c>
    </row>
    <row r="37" spans="1:67" s="16" customFormat="1">
      <c r="A37" s="987">
        <v>35</v>
      </c>
      <c r="B37" s="816">
        <f>Imps!L37</f>
        <v>43693.416666666584</v>
      </c>
      <c r="C37" s="332"/>
      <c r="D37" s="835"/>
      <c r="E37" s="56">
        <f>Construction!E37</f>
        <v>1000</v>
      </c>
      <c r="F37" s="26">
        <f ca="1">Population!$C37</f>
        <v>3945</v>
      </c>
      <c r="G37" s="26">
        <f ca="1">Military!EM37</f>
        <v>39460</v>
      </c>
      <c r="H37" s="26">
        <f ca="1">H36+S36 - AT37 + IF(C37,Population!C37*4)</f>
        <v>3309645</v>
      </c>
      <c r="I37" s="26">
        <f t="shared" ca="1" si="19"/>
        <v>162171</v>
      </c>
      <c r="J37" s="26">
        <f t="shared" ca="1" si="36"/>
        <v>287232</v>
      </c>
      <c r="K37" s="26">
        <f t="shared" ca="1" si="37"/>
        <v>41117</v>
      </c>
      <c r="L37" s="26">
        <f t="shared" ca="1" si="38"/>
        <v>231000</v>
      </c>
      <c r="M37" s="26">
        <f t="shared" ca="1" si="39"/>
        <v>20000</v>
      </c>
      <c r="N37" s="26">
        <f t="shared" ca="1" si="20"/>
        <v>200</v>
      </c>
      <c r="O37" s="26">
        <f t="shared" si="21"/>
        <v>500</v>
      </c>
      <c r="P37" s="26">
        <f>ROUNDDOWN(P36+MAX(Construction!BO37/2,Construction!BO37*(1-Construction!BO37/(E37-Explore!S37*20)))-Q37*SUM(Techs!AY37:BY37),0)</f>
        <v>0</v>
      </c>
      <c r="Q37" s="166">
        <f>MAX(min_tech_cost,ROUNDDOWN(tech_cost_per_acre*Construction!E37,0))</f>
        <v>6426</v>
      </c>
      <c r="S37" s="152">
        <f t="shared" ca="1" si="23"/>
        <v>10651</v>
      </c>
      <c r="T37" s="164">
        <f t="shared" ca="1" si="30"/>
        <v>3108</v>
      </c>
      <c r="U37" s="164">
        <f t="shared" ca="1" si="31"/>
        <v>-372</v>
      </c>
      <c r="V37" s="164">
        <f t="shared" ca="1" si="32"/>
        <v>428</v>
      </c>
      <c r="W37" s="164">
        <f t="shared" ca="1" si="27"/>
        <v>0</v>
      </c>
      <c r="X37" s="164">
        <f t="shared" ca="1" si="28"/>
        <v>0</v>
      </c>
      <c r="Y37" s="265">
        <f>Construction!BP38*dock_boats_hr</f>
        <v>0</v>
      </c>
      <c r="Z37" s="164"/>
      <c r="AA37" s="152">
        <f ca="1">Population!C37*tax*Population!I37 + (Construction!AY38+Construction!BW38)*(alch_plat+(Magic!AR37&gt;0)*alchemist_flame_bonus)</f>
        <v>10651.5</v>
      </c>
      <c r="AB37" s="164">
        <f>Construction!$AZ37*farm_food + Construction!$BP37*dock_food+IF(race="Growth",ROUNDDOWN(Military!G37*8,0),0)</f>
        <v>6400</v>
      </c>
      <c r="AC37" s="164">
        <f>Construction!$BC37*ly_lumber+IF(race="Ants",ROUNDDOWN(Military!F37/2,0),0)</f>
        <v>2500</v>
      </c>
      <c r="AD37" s="26">
        <f>Construction!$BK38*tower_mana+IF(race="Templars",ROUNDDOWN(Military!F37*0.02,0),0)+IF(race="Black Orc",Military!G37*5,0)+IF(race="Growth",ROUNDDOWN(Military!G37*0.1,0),0)+IF(race="Void",ROUNDDOWN(Military!F37*1.5,0),0)+IF(race="Void",ROUNDDOWN(Military!G37*4,0),0)</f>
        <v>1250</v>
      </c>
      <c r="AE37" s="164">
        <f>Construction!$BE38*om_ore+IF(race="Dwarf",ROUNDDOWN(Military!F37*2,0),0)</f>
        <v>0</v>
      </c>
      <c r="AF37" s="57">
        <f>Construction!$BN38*dm_gems+IF(race="Dwarf",ROUNDDOWN(Military!F37/2,0),0)</f>
        <v>0</v>
      </c>
      <c r="AH37" s="266">
        <f ca="1">MIN(race_platinum_bonus + IF(Magic!AJ37&gt;0,midas_bonus) + Imps!Y37 - BB37*0.02+MAX(tech_production_plat*Techs!Y37,tech_treasure_hunt_plat*Techs!AR37), 0.5)</f>
        <v>0</v>
      </c>
      <c r="AI37" s="455">
        <f ca="1">race_food_bonus + IF(Magic!AO37&gt;0,gaias_blessing_food,IF(Magic!AG37&gt;0,gaias_watch_bonus)) + Imps!AD37+tech_production_food*Techs!W37 + O37/100*prestige_food_bonus</f>
        <v>0.1</v>
      </c>
      <c r="AJ37" s="267">
        <f ca="1">race_lumber_bonus+ IF(Magic!AO37&gt;0,gaias_blessing_lumber)+tech_fruits_of_labor1*Techs!AP37</f>
        <v>0</v>
      </c>
      <c r="AK37" s="267">
        <f ca="1">race_mana_bonus+tech_enchanted_lands_mana*Techs!AT37</f>
        <v>0</v>
      </c>
      <c r="AL37" s="267">
        <f ca="1">race_ore_bonus + IF(Magic!AL37&gt;0,miners_sight_bonus,IF(Magic!AH37&gt;0,mining_strength_bonus))+tech_fruits_of_labor1*Techs!AP37</f>
        <v>0</v>
      </c>
      <c r="AM37" s="193">
        <f ca="1">race_gem_bonus+MAX(tech_production_gems*Techs!X37,tech_fruits_of_labor_gems*Techs!AP37)</f>
        <v>0</v>
      </c>
      <c r="AO37" s="56">
        <f ca="1">I37*food_decay*IF(Magic!AZ37&gt;0,0.5,1)</f>
        <v>1621.71</v>
      </c>
      <c r="AP37" s="26">
        <f ca="1">(1+race_food_consumption)*Population!F37*food_per_person</f>
        <v>2310</v>
      </c>
      <c r="AQ37" s="26">
        <f t="shared" ca="1" si="33"/>
        <v>2872.32</v>
      </c>
      <c r="AR37" s="57">
        <f t="shared" ca="1" si="34"/>
        <v>822.34</v>
      </c>
      <c r="AS37" s="26"/>
      <c r="AT37" s="56">
        <f ca="1">Explore!AH37+Construction!AP37+Military!AU37+Rezone!Y37+Imps!AM37-BE37</f>
        <v>0</v>
      </c>
      <c r="AU37" s="26">
        <f>Construction!AQ37+Imps!AN37-BF37</f>
        <v>0</v>
      </c>
      <c r="AV37" s="26">
        <f>Magic!AD37</f>
        <v>0</v>
      </c>
      <c r="AW37" s="26">
        <f ca="1">Military!AV37+Imps!AO37-BG37</f>
        <v>0</v>
      </c>
      <c r="AX37" s="26">
        <f>Imps!AP37-BH37</f>
        <v>0</v>
      </c>
      <c r="AY37" s="26">
        <f ca="1">Military!AZ37</f>
        <v>0</v>
      </c>
      <c r="AZ37" s="57">
        <f ca="1">Military!BA37</f>
        <v>0</v>
      </c>
      <c r="BB37" s="56" t="b">
        <f t="shared" si="29"/>
        <v>0</v>
      </c>
      <c r="BC37" s="332"/>
      <c r="BD37" s="979">
        <v>35</v>
      </c>
      <c r="BE37" s="332"/>
      <c r="BF37" s="370"/>
      <c r="BG37" s="370"/>
      <c r="BH37" s="744"/>
      <c r="BI37" s="1036">
        <f t="shared" si="35"/>
        <v>43693.416666666584</v>
      </c>
      <c r="BJ37" s="159" t="str">
        <f t="shared" si="22"/>
        <v/>
      </c>
      <c r="BK37" s="26">
        <f t="shared" ca="1" si="18"/>
        <v>3309645</v>
      </c>
      <c r="BL37" s="26">
        <f t="shared" ca="1" si="9"/>
        <v>162171</v>
      </c>
      <c r="BM37" s="26">
        <f t="shared" ca="1" si="10"/>
        <v>287232</v>
      </c>
      <c r="BN37" s="26">
        <f t="shared" ca="1" si="11"/>
        <v>41117</v>
      </c>
      <c r="BO37" s="57">
        <f t="shared" ca="1" si="12"/>
        <v>231000</v>
      </c>
    </row>
    <row r="38" spans="1:67" s="16" customFormat="1">
      <c r="A38" s="987">
        <v>36</v>
      </c>
      <c r="B38" s="532">
        <f>Imps!L38</f>
        <v>43693.458333333248</v>
      </c>
      <c r="C38" s="332"/>
      <c r="D38" s="835"/>
      <c r="E38" s="56">
        <f>Construction!E38</f>
        <v>1000</v>
      </c>
      <c r="F38" s="26">
        <f ca="1">Population!$C38</f>
        <v>3945</v>
      </c>
      <c r="G38" s="26">
        <f ca="1">Military!EM38</f>
        <v>39460</v>
      </c>
      <c r="H38" s="26">
        <f ca="1">H37+S37 - AT38 + IF(C38,Population!C38*4)</f>
        <v>3320296</v>
      </c>
      <c r="I38" s="26">
        <f t="shared" ca="1" si="19"/>
        <v>165279</v>
      </c>
      <c r="J38" s="26">
        <f t="shared" ca="1" si="36"/>
        <v>286860</v>
      </c>
      <c r="K38" s="26">
        <f t="shared" ca="1" si="37"/>
        <v>41545</v>
      </c>
      <c r="L38" s="26">
        <f t="shared" ca="1" si="38"/>
        <v>231000</v>
      </c>
      <c r="M38" s="26">
        <f t="shared" ca="1" si="39"/>
        <v>20000</v>
      </c>
      <c r="N38" s="26">
        <f t="shared" ca="1" si="20"/>
        <v>200</v>
      </c>
      <c r="O38" s="26">
        <f t="shared" si="21"/>
        <v>500</v>
      </c>
      <c r="P38" s="26">
        <f>ROUNDDOWN(P37+MAX(Construction!BO38/2,Construction!BO38*(1-Construction!BO38/(E38-Explore!S38*20)))-Q38*SUM(Techs!AY38:BY38),0)</f>
        <v>0</v>
      </c>
      <c r="Q38" s="166">
        <f>MAX(min_tech_cost,ROUNDDOWN(tech_cost_per_acre*Construction!E38,0))</f>
        <v>6426</v>
      </c>
      <c r="S38" s="152">
        <f t="shared" ca="1" si="23"/>
        <v>10651</v>
      </c>
      <c r="T38" s="164">
        <f t="shared" ca="1" si="30"/>
        <v>3077</v>
      </c>
      <c r="U38" s="164">
        <f t="shared" ca="1" si="31"/>
        <v>-369</v>
      </c>
      <c r="V38" s="164">
        <f t="shared" ca="1" si="32"/>
        <v>419</v>
      </c>
      <c r="W38" s="164">
        <f t="shared" ca="1" si="27"/>
        <v>0</v>
      </c>
      <c r="X38" s="164">
        <f t="shared" ca="1" si="28"/>
        <v>0</v>
      </c>
      <c r="Y38" s="265">
        <f>Construction!BP39*dock_boats_hr</f>
        <v>0</v>
      </c>
      <c r="Z38" s="164"/>
      <c r="AA38" s="152">
        <f ca="1">Population!C38*tax*Population!I38 + (Construction!AY39+Construction!BW39)*(alch_plat+(Magic!AR38&gt;0)*alchemist_flame_bonus)</f>
        <v>10651.5</v>
      </c>
      <c r="AB38" s="164">
        <f>Construction!$AZ38*farm_food + Construction!$BP38*dock_food+IF(race="Growth",ROUNDDOWN(Military!G38*8,0),0)</f>
        <v>6400</v>
      </c>
      <c r="AC38" s="164">
        <f>Construction!$BC38*ly_lumber+IF(race="Ants",ROUNDDOWN(Military!F38/2,0),0)</f>
        <v>2500</v>
      </c>
      <c r="AD38" s="26">
        <f>Construction!$BK39*tower_mana+IF(race="Templars",ROUNDDOWN(Military!F38*0.02,0),0)+IF(race="Black Orc",Military!G38*5,0)+IF(race="Growth",ROUNDDOWN(Military!G38*0.1,0),0)+IF(race="Void",ROUNDDOWN(Military!F38*1.5,0),0)+IF(race="Void",ROUNDDOWN(Military!G38*4,0),0)</f>
        <v>1250</v>
      </c>
      <c r="AE38" s="164">
        <f>Construction!$BE39*om_ore+IF(race="Dwarf",ROUNDDOWN(Military!F38*2,0),0)</f>
        <v>0</v>
      </c>
      <c r="AF38" s="57">
        <f>Construction!$BN39*dm_gems+IF(race="Dwarf",ROUNDDOWN(Military!F38/2,0),0)</f>
        <v>0</v>
      </c>
      <c r="AH38" s="266">
        <f ca="1">MIN(race_platinum_bonus + IF(Magic!AJ38&gt;0,midas_bonus) + Imps!Y38 - BB38*0.02+MAX(tech_production_plat*Techs!Y38,tech_treasure_hunt_plat*Techs!AR38), 0.5)</f>
        <v>0</v>
      </c>
      <c r="AI38" s="455">
        <f ca="1">race_food_bonus + IF(Magic!AO38&gt;0,gaias_blessing_food,IF(Magic!AG38&gt;0,gaias_watch_bonus)) + Imps!AD38+tech_production_food*Techs!W38 + O38/100*prestige_food_bonus</f>
        <v>0.1</v>
      </c>
      <c r="AJ38" s="267">
        <f ca="1">race_lumber_bonus+ IF(Magic!AO38&gt;0,gaias_blessing_lumber)+tech_fruits_of_labor1*Techs!AP38</f>
        <v>0</v>
      </c>
      <c r="AK38" s="267">
        <f ca="1">race_mana_bonus+tech_enchanted_lands_mana*Techs!AT38</f>
        <v>0</v>
      </c>
      <c r="AL38" s="267">
        <f ca="1">race_ore_bonus + IF(Magic!AL38&gt;0,miners_sight_bonus,IF(Magic!AH38&gt;0,mining_strength_bonus))+tech_fruits_of_labor1*Techs!AP38</f>
        <v>0</v>
      </c>
      <c r="AM38" s="193">
        <f ca="1">race_gem_bonus+MAX(tech_production_gems*Techs!X38,tech_fruits_of_labor_gems*Techs!AP38)</f>
        <v>0</v>
      </c>
      <c r="AO38" s="56">
        <f ca="1">I38*food_decay*IF(Magic!AZ38&gt;0,0.5,1)</f>
        <v>1652.79</v>
      </c>
      <c r="AP38" s="26">
        <f ca="1">(1+race_food_consumption)*Population!F38*food_per_person</f>
        <v>2310</v>
      </c>
      <c r="AQ38" s="26">
        <f t="shared" ca="1" si="33"/>
        <v>2868.6</v>
      </c>
      <c r="AR38" s="57">
        <f t="shared" ca="1" si="34"/>
        <v>830.9</v>
      </c>
      <c r="AS38" s="26"/>
      <c r="AT38" s="56">
        <f ca="1">Explore!AH38+Construction!AP38+Military!AU38+Rezone!Y38+Imps!AM38-BE38</f>
        <v>0</v>
      </c>
      <c r="AU38" s="26">
        <f>Construction!AQ38+Imps!AN38-BF38</f>
        <v>0</v>
      </c>
      <c r="AV38" s="26">
        <f>Magic!AD38</f>
        <v>0</v>
      </c>
      <c r="AW38" s="26">
        <f ca="1">Military!AV38+Imps!AO38-BG38</f>
        <v>0</v>
      </c>
      <c r="AX38" s="26">
        <f>Imps!AP38-BH38</f>
        <v>0</v>
      </c>
      <c r="AY38" s="26">
        <f ca="1">Military!AZ38</f>
        <v>0</v>
      </c>
      <c r="AZ38" s="57">
        <f ca="1">Military!BA38</f>
        <v>0</v>
      </c>
      <c r="BB38" s="56" t="b">
        <f t="shared" si="29"/>
        <v>0</v>
      </c>
      <c r="BC38" s="332"/>
      <c r="BD38" s="979">
        <v>36</v>
      </c>
      <c r="BE38" s="332"/>
      <c r="BF38" s="370"/>
      <c r="BG38" s="370"/>
      <c r="BH38" s="744"/>
      <c r="BI38" s="1036">
        <f t="shared" si="35"/>
        <v>43693.458333333248</v>
      </c>
      <c r="BJ38" s="159" t="str">
        <f t="shared" si="22"/>
        <v/>
      </c>
      <c r="BK38" s="26">
        <f t="shared" ca="1" si="18"/>
        <v>3320296</v>
      </c>
      <c r="BL38" s="26">
        <f t="shared" ca="1" si="9"/>
        <v>165279</v>
      </c>
      <c r="BM38" s="26">
        <f t="shared" ca="1" si="10"/>
        <v>286860</v>
      </c>
      <c r="BN38" s="26">
        <f t="shared" ca="1" si="11"/>
        <v>41545</v>
      </c>
      <c r="BO38" s="57">
        <f t="shared" ca="1" si="12"/>
        <v>231000</v>
      </c>
    </row>
    <row r="39" spans="1:67" s="12" customFormat="1">
      <c r="A39" s="990">
        <v>37</v>
      </c>
      <c r="B39" s="677">
        <f>Imps!L39</f>
        <v>43693.499999999913</v>
      </c>
      <c r="C39" s="333"/>
      <c r="D39" s="838"/>
      <c r="E39" s="54">
        <f>Construction!E39</f>
        <v>1000</v>
      </c>
      <c r="F39" s="153">
        <f ca="1">Population!$C39</f>
        <v>3945</v>
      </c>
      <c r="G39" s="153">
        <f ca="1">Military!EM39</f>
        <v>39460</v>
      </c>
      <c r="H39" s="153">
        <f ca="1">H38+S38 - AT39 + IF(C39,Population!C39*4)</f>
        <v>3330947</v>
      </c>
      <c r="I39" s="13">
        <f t="shared" ca="1" si="19"/>
        <v>168356</v>
      </c>
      <c r="J39" s="13">
        <f t="shared" ca="1" si="36"/>
        <v>286491</v>
      </c>
      <c r="K39" s="13">
        <f t="shared" ca="1" si="37"/>
        <v>41964</v>
      </c>
      <c r="L39" s="13">
        <f t="shared" ca="1" si="38"/>
        <v>231000</v>
      </c>
      <c r="M39" s="13">
        <f t="shared" ca="1" si="39"/>
        <v>20000</v>
      </c>
      <c r="N39" s="13">
        <f t="shared" ca="1" si="20"/>
        <v>200</v>
      </c>
      <c r="O39" s="13">
        <f t="shared" si="21"/>
        <v>500</v>
      </c>
      <c r="P39" s="13">
        <f>ROUNDDOWN(P38+MAX(Construction!BO39/2,Construction!BO39*(1-Construction!BO39/(E39-Explore!S39*20)))-Q39*SUM(Techs!AY39:BY39),0)</f>
        <v>0</v>
      </c>
      <c r="Q39" s="55">
        <f>MAX(min_tech_cost,ROUNDDOWN(tech_cost_per_acre*Construction!E39,0))</f>
        <v>6426</v>
      </c>
      <c r="S39" s="151">
        <f t="shared" ca="1" si="23"/>
        <v>10651</v>
      </c>
      <c r="T39" s="153">
        <f t="shared" ca="1" si="30"/>
        <v>3046</v>
      </c>
      <c r="U39" s="153">
        <f t="shared" ca="1" si="31"/>
        <v>-365</v>
      </c>
      <c r="V39" s="153">
        <f t="shared" ca="1" si="32"/>
        <v>411</v>
      </c>
      <c r="W39" s="153">
        <f t="shared" ca="1" si="27"/>
        <v>0</v>
      </c>
      <c r="X39" s="153">
        <f t="shared" ca="1" si="28"/>
        <v>0</v>
      </c>
      <c r="Y39" s="262">
        <f>Construction!BP40*dock_boats_hr</f>
        <v>0</v>
      </c>
      <c r="Z39" s="203"/>
      <c r="AA39" s="151">
        <f ca="1">Population!C39*tax*Population!I39 + (Construction!AY40+Construction!BW40)*(alch_plat+(Magic!AR39&gt;0)*alchemist_flame_bonus)</f>
        <v>10651.5</v>
      </c>
      <c r="AB39" s="153">
        <f>Construction!$AZ39*farm_food + Construction!$BP39*dock_food+IF(race="Growth",ROUNDDOWN(Military!G39*8,0),0)</f>
        <v>6400</v>
      </c>
      <c r="AC39" s="153">
        <f>Construction!$BC39*ly_lumber+IF(race="Ants",ROUNDDOWN(Military!F39/2,0),0)</f>
        <v>2500</v>
      </c>
      <c r="AD39" s="13">
        <f>Construction!$BK40*tower_mana+IF(race="Templars",ROUNDDOWN(Military!F39*0.02,0),0)+IF(race="Black Orc",Military!G39*5,0)+IF(race="Growth",ROUNDDOWN(Military!G39*0.1,0),0)+IF(race="Void",ROUNDDOWN(Military!F39*1.5,0),0)+IF(race="Void",ROUNDDOWN(Military!G39*4,0),0)</f>
        <v>1250</v>
      </c>
      <c r="AE39" s="153">
        <f>Construction!$BE40*om_ore+IF(race="Dwarf",ROUNDDOWN(Military!F39*2,0),0)</f>
        <v>0</v>
      </c>
      <c r="AF39" s="55">
        <f>Construction!$BN40*dm_gems+IF(race="Dwarf",ROUNDDOWN(Military!F39/2,0),0)</f>
        <v>0</v>
      </c>
      <c r="AH39" s="263">
        <f ca="1">MIN(race_platinum_bonus + IF(Magic!AJ39&gt;0,midas_bonus) + Imps!Y39 - BB39*0.02+MAX(tech_production_plat*Techs!Y39,tech_treasure_hunt_plat*Techs!AR39), 0.5)</f>
        <v>0</v>
      </c>
      <c r="AI39" s="447">
        <f ca="1">race_food_bonus + IF(Magic!AO39&gt;0,gaias_blessing_food,IF(Magic!AG39&gt;0,gaias_watch_bonus)) + Imps!AD39+tech_production_food*Techs!W39 + O39/100*prestige_food_bonus</f>
        <v>0.1</v>
      </c>
      <c r="AJ39" s="264">
        <f ca="1">race_lumber_bonus+ IF(Magic!AO39&gt;0,gaias_blessing_lumber)+tech_fruits_of_labor1*Techs!AP39</f>
        <v>0</v>
      </c>
      <c r="AK39" s="264">
        <f ca="1">race_mana_bonus+tech_enchanted_lands_mana*Techs!AT39</f>
        <v>0</v>
      </c>
      <c r="AL39" s="264">
        <f ca="1">race_ore_bonus + IF(Magic!AL39&gt;0,miners_sight_bonus,IF(Magic!AH39&gt;0,mining_strength_bonus))+tech_fruits_of_labor1*Techs!AP39</f>
        <v>0</v>
      </c>
      <c r="AM39" s="194">
        <f ca="1">race_gem_bonus+MAX(tech_production_gems*Techs!X39,tech_fruits_of_labor_gems*Techs!AP39)</f>
        <v>0</v>
      </c>
      <c r="AO39" s="54">
        <f ca="1">I39*food_decay*IF(Magic!AZ39&gt;0,0.5,1)</f>
        <v>1683.56</v>
      </c>
      <c r="AP39" s="13">
        <f ca="1">(1+race_food_consumption)*Population!F39*food_per_person</f>
        <v>2310</v>
      </c>
      <c r="AQ39" s="13">
        <f t="shared" ca="1" si="33"/>
        <v>2864.91</v>
      </c>
      <c r="AR39" s="55">
        <f t="shared" ca="1" si="34"/>
        <v>839.28</v>
      </c>
      <c r="AS39" s="13"/>
      <c r="AT39" s="54">
        <f ca="1">Explore!AH39+Construction!AP39+Military!AU39+Rezone!Y39+Imps!AM39-BE39</f>
        <v>0</v>
      </c>
      <c r="AU39" s="13">
        <f>Construction!AQ39+Imps!AN39-BF39</f>
        <v>0</v>
      </c>
      <c r="AV39" s="13">
        <f>Magic!AD39</f>
        <v>0</v>
      </c>
      <c r="AW39" s="13">
        <f ca="1">Military!AV39+Imps!AO39-BG39</f>
        <v>0</v>
      </c>
      <c r="AX39" s="13">
        <f>Imps!AP39-BH39</f>
        <v>0</v>
      </c>
      <c r="AY39" s="13">
        <f ca="1">Military!AZ39</f>
        <v>0</v>
      </c>
      <c r="AZ39" s="55">
        <f ca="1">Military!BA39</f>
        <v>0</v>
      </c>
      <c r="BB39" s="54" t="b">
        <f t="shared" si="29"/>
        <v>0</v>
      </c>
      <c r="BC39" s="333"/>
      <c r="BD39" s="982">
        <v>37</v>
      </c>
      <c r="BE39" s="333"/>
      <c r="BF39" s="429"/>
      <c r="BG39" s="429"/>
      <c r="BH39" s="747"/>
      <c r="BI39" s="1038">
        <f t="shared" si="35"/>
        <v>43693.499999999913</v>
      </c>
      <c r="BJ39" s="287" t="str">
        <f t="shared" si="22"/>
        <v/>
      </c>
      <c r="BK39" s="153">
        <f t="shared" ca="1" si="18"/>
        <v>3330947</v>
      </c>
      <c r="BL39" s="13">
        <f t="shared" ca="1" si="9"/>
        <v>168356</v>
      </c>
      <c r="BM39" s="13">
        <f t="shared" ca="1" si="10"/>
        <v>286491</v>
      </c>
      <c r="BN39" s="13">
        <f t="shared" ca="1" si="11"/>
        <v>41964</v>
      </c>
      <c r="BO39" s="55">
        <f t="shared" ca="1" si="12"/>
        <v>231000</v>
      </c>
    </row>
    <row r="40" spans="1:67" s="16" customFormat="1">
      <c r="A40" s="987">
        <v>38</v>
      </c>
      <c r="B40" s="532">
        <f>Imps!L40</f>
        <v>43693.541666666577</v>
      </c>
      <c r="C40" s="332"/>
      <c r="D40" s="835"/>
      <c r="E40" s="56">
        <f>Construction!E40</f>
        <v>1000</v>
      </c>
      <c r="F40" s="26">
        <f ca="1">Population!$C40</f>
        <v>3945</v>
      </c>
      <c r="G40" s="26">
        <f ca="1">Military!EM40</f>
        <v>39460</v>
      </c>
      <c r="H40" s="26">
        <f ca="1">H39+S39 - AT40 + IF(C40,Population!C40*4)</f>
        <v>3341598</v>
      </c>
      <c r="I40" s="26">
        <f t="shared" ca="1" si="19"/>
        <v>171402</v>
      </c>
      <c r="J40" s="26">
        <f t="shared" ca="1" si="36"/>
        <v>286126</v>
      </c>
      <c r="K40" s="26">
        <f t="shared" ca="1" si="37"/>
        <v>42375</v>
      </c>
      <c r="L40" s="26">
        <f t="shared" ca="1" si="38"/>
        <v>231000</v>
      </c>
      <c r="M40" s="26">
        <f t="shared" ca="1" si="39"/>
        <v>20000</v>
      </c>
      <c r="N40" s="26">
        <f t="shared" ca="1" si="20"/>
        <v>200</v>
      </c>
      <c r="O40" s="26">
        <f t="shared" si="21"/>
        <v>500</v>
      </c>
      <c r="P40" s="26">
        <f>ROUNDDOWN(P39+MAX(Construction!BO40/2,Construction!BO40*(1-Construction!BO40/(E40-Explore!S40*20)))-Q40*SUM(Techs!AY40:BY40),0)</f>
        <v>0</v>
      </c>
      <c r="Q40" s="166">
        <f>MAX(min_tech_cost,ROUNDDOWN(tech_cost_per_acre*Construction!E40,0))</f>
        <v>6426</v>
      </c>
      <c r="S40" s="152">
        <f t="shared" ca="1" si="23"/>
        <v>10651</v>
      </c>
      <c r="T40" s="164">
        <f t="shared" ca="1" si="30"/>
        <v>3016</v>
      </c>
      <c r="U40" s="164">
        <f t="shared" ca="1" si="31"/>
        <v>-361</v>
      </c>
      <c r="V40" s="164">
        <f t="shared" ca="1" si="32"/>
        <v>403</v>
      </c>
      <c r="W40" s="164">
        <f t="shared" ca="1" si="27"/>
        <v>0</v>
      </c>
      <c r="X40" s="164">
        <f t="shared" ca="1" si="28"/>
        <v>0</v>
      </c>
      <c r="Y40" s="265">
        <f>Construction!BP41*dock_boats_hr</f>
        <v>0</v>
      </c>
      <c r="Z40" s="164"/>
      <c r="AA40" s="152">
        <f ca="1">Population!C40*tax*Population!I40 + (Construction!AY41+Construction!BW41)*(alch_plat+(Magic!AR40&gt;0)*alchemist_flame_bonus)</f>
        <v>10651.5</v>
      </c>
      <c r="AB40" s="164">
        <f>Construction!$AZ40*farm_food + Construction!$BP40*dock_food+IF(race="Growth",ROUNDDOWN(Military!G40*8,0),0)</f>
        <v>6400</v>
      </c>
      <c r="AC40" s="164">
        <f>Construction!$BC40*ly_lumber+IF(race="Ants",ROUNDDOWN(Military!F40/2,0),0)</f>
        <v>2500</v>
      </c>
      <c r="AD40" s="26">
        <f>Construction!$BK41*tower_mana+IF(race="Templars",ROUNDDOWN(Military!F40*0.02,0),0)+IF(race="Black Orc",Military!G40*5,0)+IF(race="Growth",ROUNDDOWN(Military!G40*0.1,0),0)+IF(race="Void",ROUNDDOWN(Military!F40*1.5,0),0)+IF(race="Void",ROUNDDOWN(Military!G40*4,0),0)</f>
        <v>1250</v>
      </c>
      <c r="AE40" s="164">
        <f>Construction!$BE41*om_ore+IF(race="Dwarf",ROUNDDOWN(Military!F40*2,0),0)</f>
        <v>0</v>
      </c>
      <c r="AF40" s="57">
        <f>Construction!$BN41*dm_gems+IF(race="Dwarf",ROUNDDOWN(Military!F40/2,0),0)</f>
        <v>0</v>
      </c>
      <c r="AH40" s="266">
        <f ca="1">MIN(race_platinum_bonus + IF(Magic!AJ40&gt;0,midas_bonus) + Imps!Y40 - BB40*0.02+MAX(tech_production_plat*Techs!Y40,tech_treasure_hunt_plat*Techs!AR40), 0.5)</f>
        <v>0</v>
      </c>
      <c r="AI40" s="455">
        <f ca="1">race_food_bonus + IF(Magic!AO40&gt;0,gaias_blessing_food,IF(Magic!AG40&gt;0,gaias_watch_bonus)) + Imps!AD40+tech_production_food*Techs!W40 + O40/100*prestige_food_bonus</f>
        <v>0.1</v>
      </c>
      <c r="AJ40" s="267">
        <f ca="1">race_lumber_bonus+ IF(Magic!AO40&gt;0,gaias_blessing_lumber)+tech_fruits_of_labor1*Techs!AP40</f>
        <v>0</v>
      </c>
      <c r="AK40" s="267">
        <f ca="1">race_mana_bonus+tech_enchanted_lands_mana*Techs!AT40</f>
        <v>0</v>
      </c>
      <c r="AL40" s="267">
        <f ca="1">race_ore_bonus + IF(Magic!AL40&gt;0,miners_sight_bonus,IF(Magic!AH40&gt;0,mining_strength_bonus))+tech_fruits_of_labor1*Techs!AP40</f>
        <v>0</v>
      </c>
      <c r="AM40" s="193">
        <f ca="1">race_gem_bonus+MAX(tech_production_gems*Techs!X40,tech_fruits_of_labor_gems*Techs!AP40)</f>
        <v>0</v>
      </c>
      <c r="AO40" s="56">
        <f ca="1">I40*food_decay*IF(Magic!AZ40&gt;0,0.5,1)</f>
        <v>1714.02</v>
      </c>
      <c r="AP40" s="26">
        <f ca="1">(1+race_food_consumption)*Population!F40*food_per_person</f>
        <v>2310</v>
      </c>
      <c r="AQ40" s="26">
        <f t="shared" ca="1" si="33"/>
        <v>2861.26</v>
      </c>
      <c r="AR40" s="57">
        <f t="shared" ca="1" si="34"/>
        <v>847.5</v>
      </c>
      <c r="AS40" s="26"/>
      <c r="AT40" s="56">
        <f ca="1">Explore!AH40+Construction!AP40+Military!AU40+Rezone!Y40+Imps!AM40-BE40</f>
        <v>0</v>
      </c>
      <c r="AU40" s="26">
        <f>Construction!AQ40+Imps!AN40-BF40</f>
        <v>0</v>
      </c>
      <c r="AV40" s="26">
        <f>Magic!AD40</f>
        <v>0</v>
      </c>
      <c r="AW40" s="26">
        <f ca="1">Military!AV40+Imps!AO40-BG40</f>
        <v>0</v>
      </c>
      <c r="AX40" s="26">
        <f>Imps!AP40-BH40</f>
        <v>0</v>
      </c>
      <c r="AY40" s="26">
        <f ca="1">Military!AZ40</f>
        <v>0</v>
      </c>
      <c r="AZ40" s="57">
        <f ca="1">Military!BA40</f>
        <v>0</v>
      </c>
      <c r="BB40" s="56" t="b">
        <f t="shared" si="29"/>
        <v>0</v>
      </c>
      <c r="BC40" s="332"/>
      <c r="BD40" s="979">
        <v>38</v>
      </c>
      <c r="BE40" s="332"/>
      <c r="BF40" s="370"/>
      <c r="BG40" s="370"/>
      <c r="BH40" s="744"/>
      <c r="BI40" s="1036">
        <f t="shared" si="35"/>
        <v>43693.541666666577</v>
      </c>
      <c r="BJ40" s="159" t="str">
        <f t="shared" si="22"/>
        <v/>
      </c>
      <c r="BK40" s="26">
        <f t="shared" ca="1" si="18"/>
        <v>3341598</v>
      </c>
      <c r="BL40" s="26">
        <f t="shared" ca="1" si="9"/>
        <v>171402</v>
      </c>
      <c r="BM40" s="26">
        <f t="shared" ca="1" si="10"/>
        <v>286126</v>
      </c>
      <c r="BN40" s="26">
        <f t="shared" ca="1" si="11"/>
        <v>42375</v>
      </c>
      <c r="BO40" s="57">
        <f t="shared" ca="1" si="12"/>
        <v>231000</v>
      </c>
    </row>
    <row r="41" spans="1:67" s="16" customFormat="1">
      <c r="A41" s="987">
        <v>39</v>
      </c>
      <c r="B41" s="816">
        <f>Imps!L41</f>
        <v>43693.583333333241</v>
      </c>
      <c r="C41" s="332"/>
      <c r="D41" s="835"/>
      <c r="E41" s="56">
        <f>Construction!E41</f>
        <v>1000</v>
      </c>
      <c r="F41" s="26">
        <f ca="1">Population!$C41</f>
        <v>3945</v>
      </c>
      <c r="G41" s="26">
        <f ca="1">Military!EM41</f>
        <v>39460</v>
      </c>
      <c r="H41" s="26">
        <f ca="1">H40+S40 - AT41 + IF(C41,Population!C41*4)</f>
        <v>3352249</v>
      </c>
      <c r="I41" s="26">
        <f t="shared" ca="1" si="19"/>
        <v>174418</v>
      </c>
      <c r="J41" s="26">
        <f t="shared" ca="1" si="36"/>
        <v>285765</v>
      </c>
      <c r="K41" s="26">
        <f t="shared" ca="1" si="37"/>
        <v>42778</v>
      </c>
      <c r="L41" s="26">
        <f t="shared" ca="1" si="38"/>
        <v>231000</v>
      </c>
      <c r="M41" s="26">
        <f t="shared" ca="1" si="39"/>
        <v>20000</v>
      </c>
      <c r="N41" s="26">
        <f t="shared" ca="1" si="20"/>
        <v>200</v>
      </c>
      <c r="O41" s="26">
        <f t="shared" si="21"/>
        <v>500</v>
      </c>
      <c r="P41" s="26">
        <f>ROUNDDOWN(P40+MAX(Construction!BO41/2,Construction!BO41*(1-Construction!BO41/(E41-Explore!S41*20)))-Q41*SUM(Techs!AY41:BY41),0)</f>
        <v>0</v>
      </c>
      <c r="Q41" s="166">
        <f>MAX(min_tech_cost,ROUNDDOWN(tech_cost_per_acre*Construction!E41,0))</f>
        <v>6426</v>
      </c>
      <c r="S41" s="152">
        <f t="shared" ca="1" si="23"/>
        <v>10651</v>
      </c>
      <c r="T41" s="164">
        <f t="shared" ca="1" si="30"/>
        <v>2986</v>
      </c>
      <c r="U41" s="164">
        <f t="shared" ca="1" si="31"/>
        <v>-358</v>
      </c>
      <c r="V41" s="164">
        <f t="shared" ca="1" si="32"/>
        <v>394</v>
      </c>
      <c r="W41" s="164">
        <f t="shared" ca="1" si="27"/>
        <v>0</v>
      </c>
      <c r="X41" s="164">
        <f t="shared" ca="1" si="28"/>
        <v>0</v>
      </c>
      <c r="Y41" s="265">
        <f>Construction!BP42*dock_boats_hr</f>
        <v>0</v>
      </c>
      <c r="Z41" s="164"/>
      <c r="AA41" s="152">
        <f ca="1">Population!C41*tax*Population!I41 + (Construction!AY42+Construction!BW42)*(alch_plat+(Magic!AR41&gt;0)*alchemist_flame_bonus)</f>
        <v>10651.5</v>
      </c>
      <c r="AB41" s="164">
        <f>Construction!$AZ41*farm_food + Construction!$BP41*dock_food+IF(race="Growth",ROUNDDOWN(Military!G41*8,0),0)</f>
        <v>6400</v>
      </c>
      <c r="AC41" s="164">
        <f>Construction!$BC41*ly_lumber+IF(race="Ants",ROUNDDOWN(Military!F41/2,0),0)</f>
        <v>2500</v>
      </c>
      <c r="AD41" s="26">
        <f>Construction!$BK42*tower_mana+IF(race="Templars",ROUNDDOWN(Military!F41*0.02,0),0)+IF(race="Black Orc",Military!G41*5,0)+IF(race="Growth",ROUNDDOWN(Military!G41*0.1,0),0)+IF(race="Void",ROUNDDOWN(Military!F41*1.5,0),0)+IF(race="Void",ROUNDDOWN(Military!G41*4,0),0)</f>
        <v>1250</v>
      </c>
      <c r="AE41" s="164">
        <f>Construction!$BE42*om_ore+IF(race="Dwarf",ROUNDDOWN(Military!F41*2,0),0)</f>
        <v>0</v>
      </c>
      <c r="AF41" s="57">
        <f>Construction!$BN42*dm_gems+IF(race="Dwarf",ROUNDDOWN(Military!F41/2,0),0)</f>
        <v>0</v>
      </c>
      <c r="AH41" s="266">
        <f ca="1">MIN(race_platinum_bonus + IF(Magic!AJ41&gt;0,midas_bonus) + Imps!Y41 - BB41*0.02+MAX(tech_production_plat*Techs!Y41,tech_treasure_hunt_plat*Techs!AR41), 0.5)</f>
        <v>0</v>
      </c>
      <c r="AI41" s="455">
        <f ca="1">race_food_bonus + IF(Magic!AO41&gt;0,gaias_blessing_food,IF(Magic!AG41&gt;0,gaias_watch_bonus)) + Imps!AD41+tech_production_food*Techs!W41 + O41/100*prestige_food_bonus</f>
        <v>0.1</v>
      </c>
      <c r="AJ41" s="267">
        <f ca="1">race_lumber_bonus+ IF(Magic!AO41&gt;0,gaias_blessing_lumber)+tech_fruits_of_labor1*Techs!AP41</f>
        <v>0</v>
      </c>
      <c r="AK41" s="267">
        <f ca="1">race_mana_bonus+tech_enchanted_lands_mana*Techs!AT41</f>
        <v>0</v>
      </c>
      <c r="AL41" s="267">
        <f ca="1">race_ore_bonus + IF(Magic!AL41&gt;0,miners_sight_bonus,IF(Magic!AH41&gt;0,mining_strength_bonus))+tech_fruits_of_labor1*Techs!AP41</f>
        <v>0</v>
      </c>
      <c r="AM41" s="193">
        <f ca="1">race_gem_bonus+MAX(tech_production_gems*Techs!X41,tech_fruits_of_labor_gems*Techs!AP41)</f>
        <v>0</v>
      </c>
      <c r="AO41" s="56">
        <f ca="1">I41*food_decay*IF(Magic!AZ41&gt;0,0.5,1)</f>
        <v>1744.18</v>
      </c>
      <c r="AP41" s="26">
        <f ca="1">(1+race_food_consumption)*Population!F41*food_per_person</f>
        <v>2310</v>
      </c>
      <c r="AQ41" s="26">
        <f t="shared" ca="1" si="33"/>
        <v>2857.65</v>
      </c>
      <c r="AR41" s="57">
        <f t="shared" ca="1" si="34"/>
        <v>855.56000000000006</v>
      </c>
      <c r="AS41" s="26"/>
      <c r="AT41" s="56">
        <f ca="1">Explore!AH41+Construction!AP41+Military!AU41+Rezone!Y41+Imps!AM41-BE41</f>
        <v>0</v>
      </c>
      <c r="AU41" s="26">
        <f>Construction!AQ41+Imps!AN41-BF41</f>
        <v>0</v>
      </c>
      <c r="AV41" s="26">
        <f>Magic!AD41</f>
        <v>0</v>
      </c>
      <c r="AW41" s="26">
        <f ca="1">Military!AV41+Imps!AO41-BG41</f>
        <v>0</v>
      </c>
      <c r="AX41" s="26">
        <f>Imps!AP41-BH41</f>
        <v>0</v>
      </c>
      <c r="AY41" s="26">
        <f ca="1">Military!AZ41</f>
        <v>0</v>
      </c>
      <c r="AZ41" s="57">
        <f ca="1">Military!BA41</f>
        <v>0</v>
      </c>
      <c r="BB41" s="56" t="b">
        <f t="shared" si="29"/>
        <v>0</v>
      </c>
      <c r="BC41" s="332"/>
      <c r="BD41" s="979">
        <v>39</v>
      </c>
      <c r="BE41" s="332"/>
      <c r="BF41" s="370"/>
      <c r="BG41" s="370"/>
      <c r="BH41" s="744"/>
      <c r="BI41" s="1036">
        <f t="shared" si="35"/>
        <v>43693.583333333241</v>
      </c>
      <c r="BJ41" s="159" t="str">
        <f t="shared" si="22"/>
        <v/>
      </c>
      <c r="BK41" s="26">
        <f t="shared" ca="1" si="18"/>
        <v>3352249</v>
      </c>
      <c r="BL41" s="26">
        <f t="shared" ca="1" si="9"/>
        <v>174418</v>
      </c>
      <c r="BM41" s="26">
        <f t="shared" ca="1" si="10"/>
        <v>285765</v>
      </c>
      <c r="BN41" s="26">
        <f t="shared" ca="1" si="11"/>
        <v>42778</v>
      </c>
      <c r="BO41" s="57">
        <f t="shared" ca="1" si="12"/>
        <v>231000</v>
      </c>
    </row>
    <row r="42" spans="1:67" s="16" customFormat="1">
      <c r="A42" s="987">
        <v>40</v>
      </c>
      <c r="B42" s="816">
        <f>Imps!L42</f>
        <v>43693.624999999905</v>
      </c>
      <c r="C42" s="332"/>
      <c r="D42" s="835"/>
      <c r="E42" s="56">
        <f>Construction!E42</f>
        <v>1000</v>
      </c>
      <c r="F42" s="26">
        <f ca="1">Population!$C42</f>
        <v>3945</v>
      </c>
      <c r="G42" s="26">
        <f ca="1">Military!EM42</f>
        <v>39460</v>
      </c>
      <c r="H42" s="26">
        <f ca="1">H41+S41 - AT42 + IF(C42,Population!C42*4)</f>
        <v>3362900</v>
      </c>
      <c r="I42" s="26">
        <f t="shared" ca="1" si="19"/>
        <v>177404</v>
      </c>
      <c r="J42" s="26">
        <f t="shared" ca="1" si="36"/>
        <v>285407</v>
      </c>
      <c r="K42" s="26">
        <f t="shared" ca="1" si="37"/>
        <v>43172</v>
      </c>
      <c r="L42" s="26">
        <f t="shared" ca="1" si="38"/>
        <v>231000</v>
      </c>
      <c r="M42" s="26">
        <f t="shared" ca="1" si="39"/>
        <v>20000</v>
      </c>
      <c r="N42" s="26">
        <f t="shared" ca="1" si="20"/>
        <v>200</v>
      </c>
      <c r="O42" s="26">
        <f t="shared" si="21"/>
        <v>500</v>
      </c>
      <c r="P42" s="26">
        <f>ROUNDDOWN(P41+MAX(Construction!BO42/2,Construction!BO42*(1-Construction!BO42/(E42-Explore!S42*20)))-Q42*SUM(Techs!AY42:BY42),0)</f>
        <v>0</v>
      </c>
      <c r="Q42" s="166">
        <f>MAX(min_tech_cost,ROUNDDOWN(tech_cost_per_acre*Construction!E42,0))</f>
        <v>6426</v>
      </c>
      <c r="S42" s="152">
        <f t="shared" ca="1" si="23"/>
        <v>10651</v>
      </c>
      <c r="T42" s="164">
        <f t="shared" ca="1" si="30"/>
        <v>2956</v>
      </c>
      <c r="U42" s="164">
        <f t="shared" ca="1" si="31"/>
        <v>-354</v>
      </c>
      <c r="V42" s="164">
        <f t="shared" ca="1" si="32"/>
        <v>387</v>
      </c>
      <c r="W42" s="164">
        <f t="shared" ca="1" si="27"/>
        <v>0</v>
      </c>
      <c r="X42" s="164">
        <f t="shared" ca="1" si="28"/>
        <v>0</v>
      </c>
      <c r="Y42" s="265">
        <f>Construction!BP43*dock_boats_hr</f>
        <v>0</v>
      </c>
      <c r="Z42" s="164"/>
      <c r="AA42" s="152">
        <f ca="1">Population!C42*tax*Population!I42 + (Construction!AY43+Construction!BW43)*(alch_plat+(Magic!AR42&gt;0)*alchemist_flame_bonus)</f>
        <v>10651.5</v>
      </c>
      <c r="AB42" s="164">
        <f>Construction!$AZ42*farm_food + Construction!$BP42*dock_food+IF(race="Growth",ROUNDDOWN(Military!G42*8,0),0)</f>
        <v>6400</v>
      </c>
      <c r="AC42" s="164">
        <f>Construction!$BC42*ly_lumber+IF(race="Ants",ROUNDDOWN(Military!F42/2,0),0)</f>
        <v>2500</v>
      </c>
      <c r="AD42" s="26">
        <f>Construction!$BK43*tower_mana+IF(race="Templars",ROUNDDOWN(Military!F42*0.02,0),0)+IF(race="Black Orc",Military!G42*5,0)+IF(race="Growth",ROUNDDOWN(Military!G42*0.1,0),0)+IF(race="Void",ROUNDDOWN(Military!F42*1.5,0),0)+IF(race="Void",ROUNDDOWN(Military!G42*4,0),0)</f>
        <v>1250</v>
      </c>
      <c r="AE42" s="164">
        <f>Construction!$BE43*om_ore+IF(race="Dwarf",ROUNDDOWN(Military!F42*2,0),0)</f>
        <v>0</v>
      </c>
      <c r="AF42" s="57">
        <f>Construction!$BN43*dm_gems+IF(race="Dwarf",ROUNDDOWN(Military!F42/2,0),0)</f>
        <v>0</v>
      </c>
      <c r="AH42" s="266">
        <f ca="1">MIN(race_platinum_bonus + IF(Magic!AJ42&gt;0,midas_bonus) + Imps!Y42 - BB42*0.02+MAX(tech_production_plat*Techs!Y42,tech_treasure_hunt_plat*Techs!AR42), 0.5)</f>
        <v>0</v>
      </c>
      <c r="AI42" s="455">
        <f ca="1">race_food_bonus + IF(Magic!AO42&gt;0,gaias_blessing_food,IF(Magic!AG42&gt;0,gaias_watch_bonus)) + Imps!AD42+tech_production_food*Techs!W42 + O42/100*prestige_food_bonus</f>
        <v>0.1</v>
      </c>
      <c r="AJ42" s="267">
        <f ca="1">race_lumber_bonus+ IF(Magic!AO42&gt;0,gaias_blessing_lumber)+tech_fruits_of_labor1*Techs!AP42</f>
        <v>0</v>
      </c>
      <c r="AK42" s="267">
        <f ca="1">race_mana_bonus+tech_enchanted_lands_mana*Techs!AT42</f>
        <v>0</v>
      </c>
      <c r="AL42" s="267">
        <f ca="1">race_ore_bonus + IF(Magic!AL42&gt;0,miners_sight_bonus,IF(Magic!AH42&gt;0,mining_strength_bonus))+tech_fruits_of_labor1*Techs!AP42</f>
        <v>0</v>
      </c>
      <c r="AM42" s="193">
        <f ca="1">race_gem_bonus+MAX(tech_production_gems*Techs!X42,tech_fruits_of_labor_gems*Techs!AP42)</f>
        <v>0</v>
      </c>
      <c r="AO42" s="56">
        <f ca="1">I42*food_decay*IF(Magic!AZ42&gt;0,0.5,1)</f>
        <v>1774.04</v>
      </c>
      <c r="AP42" s="26">
        <f ca="1">(1+race_food_consumption)*Population!F42*food_per_person</f>
        <v>2310</v>
      </c>
      <c r="AQ42" s="26">
        <f t="shared" ca="1" si="33"/>
        <v>2854.07</v>
      </c>
      <c r="AR42" s="57">
        <f t="shared" ca="1" si="34"/>
        <v>863.44</v>
      </c>
      <c r="AS42" s="26"/>
      <c r="AT42" s="56">
        <f ca="1">Explore!AH42+Construction!AP42+Military!AU42+Rezone!Y42+Imps!AM42-BE42</f>
        <v>0</v>
      </c>
      <c r="AU42" s="26">
        <f>Construction!AQ42+Imps!AN42-BF42</f>
        <v>0</v>
      </c>
      <c r="AV42" s="26">
        <f>Magic!AD42</f>
        <v>0</v>
      </c>
      <c r="AW42" s="26">
        <f ca="1">Military!AV42+Imps!AO42-BG42</f>
        <v>0</v>
      </c>
      <c r="AX42" s="26">
        <f>Imps!AP42-BH42</f>
        <v>0</v>
      </c>
      <c r="AY42" s="26">
        <f ca="1">Military!AZ42</f>
        <v>0</v>
      </c>
      <c r="AZ42" s="57">
        <f ca="1">Military!BA42</f>
        <v>0</v>
      </c>
      <c r="BB42" s="56" t="b">
        <f t="shared" si="29"/>
        <v>0</v>
      </c>
      <c r="BC42" s="332"/>
      <c r="BD42" s="979">
        <v>40</v>
      </c>
      <c r="BE42" s="332"/>
      <c r="BF42" s="370"/>
      <c r="BG42" s="370"/>
      <c r="BH42" s="744"/>
      <c r="BI42" s="1036">
        <f t="shared" si="35"/>
        <v>43693.624999999905</v>
      </c>
      <c r="BJ42" s="159" t="str">
        <f t="shared" si="22"/>
        <v/>
      </c>
      <c r="BK42" s="26">
        <f t="shared" ca="1" si="18"/>
        <v>3362900</v>
      </c>
      <c r="BL42" s="26">
        <f t="shared" ca="1" si="9"/>
        <v>177404</v>
      </c>
      <c r="BM42" s="26">
        <f t="shared" ca="1" si="10"/>
        <v>285407</v>
      </c>
      <c r="BN42" s="26">
        <f t="shared" ca="1" si="11"/>
        <v>43172</v>
      </c>
      <c r="BO42" s="57">
        <f t="shared" ca="1" si="12"/>
        <v>231000</v>
      </c>
    </row>
    <row r="43" spans="1:67" s="16" customFormat="1">
      <c r="A43" s="987">
        <v>41</v>
      </c>
      <c r="B43" s="816">
        <f>Imps!L43</f>
        <v>43693.66666666657</v>
      </c>
      <c r="C43" s="332"/>
      <c r="D43" s="835"/>
      <c r="E43" s="56">
        <f>Construction!E43</f>
        <v>1000</v>
      </c>
      <c r="F43" s="26">
        <f ca="1">Population!$C43</f>
        <v>3945</v>
      </c>
      <c r="G43" s="26">
        <f ca="1">Military!EM43</f>
        <v>39460</v>
      </c>
      <c r="H43" s="26">
        <f ca="1">H42+S42 - AT43 + IF(C43,Population!C43*4)</f>
        <v>3373551</v>
      </c>
      <c r="I43" s="26">
        <f t="shared" ca="1" si="19"/>
        <v>180360</v>
      </c>
      <c r="J43" s="26">
        <f t="shared" ca="1" si="36"/>
        <v>285053</v>
      </c>
      <c r="K43" s="26">
        <f t="shared" ca="1" si="37"/>
        <v>43559</v>
      </c>
      <c r="L43" s="26">
        <f t="shared" ca="1" si="38"/>
        <v>231000</v>
      </c>
      <c r="M43" s="26">
        <f t="shared" ca="1" si="39"/>
        <v>20000</v>
      </c>
      <c r="N43" s="26">
        <f t="shared" ca="1" si="20"/>
        <v>200</v>
      </c>
      <c r="O43" s="26">
        <f t="shared" si="21"/>
        <v>500</v>
      </c>
      <c r="P43" s="26">
        <f>ROUNDDOWN(P42+MAX(Construction!BO43/2,Construction!BO43*(1-Construction!BO43/(E43-Explore!S43*20)))-Q43*SUM(Techs!AY43:BY43),0)</f>
        <v>0</v>
      </c>
      <c r="Q43" s="166">
        <f>MAX(min_tech_cost,ROUNDDOWN(tech_cost_per_acre*Construction!E43,0))</f>
        <v>6426</v>
      </c>
      <c r="S43" s="152">
        <f t="shared" ca="1" si="23"/>
        <v>10651</v>
      </c>
      <c r="T43" s="164">
        <f t="shared" ca="1" si="30"/>
        <v>2926</v>
      </c>
      <c r="U43" s="164">
        <f t="shared" ca="1" si="31"/>
        <v>-351</v>
      </c>
      <c r="V43" s="164">
        <f t="shared" ca="1" si="32"/>
        <v>379</v>
      </c>
      <c r="W43" s="164">
        <f t="shared" ca="1" si="27"/>
        <v>0</v>
      </c>
      <c r="X43" s="164">
        <f t="shared" ca="1" si="28"/>
        <v>0</v>
      </c>
      <c r="Y43" s="265">
        <f>Construction!BP44*dock_boats_hr</f>
        <v>0</v>
      </c>
      <c r="Z43" s="164"/>
      <c r="AA43" s="152">
        <f ca="1">Population!C43*tax*Population!I43 + (Construction!AY44+Construction!BW44)*(alch_plat+(Magic!AR43&gt;0)*alchemist_flame_bonus)</f>
        <v>10651.5</v>
      </c>
      <c r="AB43" s="164">
        <f>Construction!$AZ43*farm_food + Construction!$BP43*dock_food+IF(race="Growth",ROUNDDOWN(Military!G43*8,0),0)</f>
        <v>6400</v>
      </c>
      <c r="AC43" s="164">
        <f>Construction!$BC43*ly_lumber+IF(race="Ants",ROUNDDOWN(Military!F43/2,0),0)</f>
        <v>2500</v>
      </c>
      <c r="AD43" s="26">
        <f>Construction!$BK44*tower_mana+IF(race="Templars",ROUNDDOWN(Military!F43*0.02,0),0)+IF(race="Black Orc",Military!G43*5,0)+IF(race="Growth",ROUNDDOWN(Military!G43*0.1,0),0)+IF(race="Void",ROUNDDOWN(Military!F43*1.5,0),0)+IF(race="Void",ROUNDDOWN(Military!G43*4,0),0)</f>
        <v>1250</v>
      </c>
      <c r="AE43" s="164">
        <f>Construction!$BE44*om_ore+IF(race="Dwarf",ROUNDDOWN(Military!F43*2,0),0)</f>
        <v>0</v>
      </c>
      <c r="AF43" s="57">
        <f>Construction!$BN44*dm_gems+IF(race="Dwarf",ROUNDDOWN(Military!F43/2,0),0)</f>
        <v>0</v>
      </c>
      <c r="AH43" s="266">
        <f ca="1">MIN(race_platinum_bonus + IF(Magic!AJ43&gt;0,midas_bonus) + Imps!Y43 - BB43*0.02+MAX(tech_production_plat*Techs!Y43,tech_treasure_hunt_plat*Techs!AR43), 0.5)</f>
        <v>0</v>
      </c>
      <c r="AI43" s="455">
        <f ca="1">race_food_bonus + IF(Magic!AO43&gt;0,gaias_blessing_food,IF(Magic!AG43&gt;0,gaias_watch_bonus)) + Imps!AD43+tech_production_food*Techs!W43 + O43/100*prestige_food_bonus</f>
        <v>0.1</v>
      </c>
      <c r="AJ43" s="267">
        <f ca="1">race_lumber_bonus+ IF(Magic!AO43&gt;0,gaias_blessing_lumber)+tech_fruits_of_labor1*Techs!AP43</f>
        <v>0</v>
      </c>
      <c r="AK43" s="267">
        <f ca="1">race_mana_bonus+tech_enchanted_lands_mana*Techs!AT43</f>
        <v>0</v>
      </c>
      <c r="AL43" s="267">
        <f ca="1">race_ore_bonus + IF(Magic!AL43&gt;0,miners_sight_bonus,IF(Magic!AH43&gt;0,mining_strength_bonus))+tech_fruits_of_labor1*Techs!AP43</f>
        <v>0</v>
      </c>
      <c r="AM43" s="193">
        <f ca="1">race_gem_bonus+MAX(tech_production_gems*Techs!X43,tech_fruits_of_labor_gems*Techs!AP43)</f>
        <v>0</v>
      </c>
      <c r="AO43" s="56">
        <f ca="1">I43*food_decay*IF(Magic!AZ43&gt;0,0.5,1)</f>
        <v>1803.6000000000001</v>
      </c>
      <c r="AP43" s="26">
        <f ca="1">(1+race_food_consumption)*Population!F43*food_per_person</f>
        <v>2310</v>
      </c>
      <c r="AQ43" s="26">
        <f t="shared" ca="1" si="33"/>
        <v>2850.53</v>
      </c>
      <c r="AR43" s="57">
        <f t="shared" ca="1" si="34"/>
        <v>871.18000000000006</v>
      </c>
      <c r="AS43" s="26"/>
      <c r="AT43" s="56">
        <f ca="1">Explore!AH43+Construction!AP43+Military!AU43+Rezone!Y43+Imps!AM43-BE43</f>
        <v>0</v>
      </c>
      <c r="AU43" s="26">
        <f>Construction!AQ43+Imps!AN43-BF43</f>
        <v>0</v>
      </c>
      <c r="AV43" s="26">
        <f>Magic!AD43</f>
        <v>0</v>
      </c>
      <c r="AW43" s="26">
        <f ca="1">Military!AV43+Imps!AO43-BG43</f>
        <v>0</v>
      </c>
      <c r="AX43" s="26">
        <f>Imps!AP43-BH43</f>
        <v>0</v>
      </c>
      <c r="AY43" s="26">
        <f ca="1">Military!AZ43</f>
        <v>0</v>
      </c>
      <c r="AZ43" s="57">
        <f ca="1">Military!BA43</f>
        <v>0</v>
      </c>
      <c r="BB43" s="56" t="b">
        <f t="shared" si="29"/>
        <v>0</v>
      </c>
      <c r="BC43" s="332"/>
      <c r="BD43" s="979">
        <v>41</v>
      </c>
      <c r="BE43" s="332"/>
      <c r="BF43" s="370"/>
      <c r="BG43" s="370"/>
      <c r="BH43" s="744"/>
      <c r="BI43" s="1036">
        <f t="shared" si="35"/>
        <v>43693.66666666657</v>
      </c>
      <c r="BJ43" s="159" t="str">
        <f t="shared" si="22"/>
        <v/>
      </c>
      <c r="BK43" s="26">
        <f t="shared" ca="1" si="18"/>
        <v>3373551</v>
      </c>
      <c r="BL43" s="26">
        <f t="shared" ca="1" si="9"/>
        <v>180360</v>
      </c>
      <c r="BM43" s="26">
        <f t="shared" ca="1" si="10"/>
        <v>285053</v>
      </c>
      <c r="BN43" s="26">
        <f t="shared" ca="1" si="11"/>
        <v>43559</v>
      </c>
      <c r="BO43" s="57">
        <f t="shared" ca="1" si="12"/>
        <v>231000</v>
      </c>
    </row>
    <row r="44" spans="1:67" s="16" customFormat="1">
      <c r="A44" s="987">
        <v>42</v>
      </c>
      <c r="B44" s="816">
        <f>Imps!L44</f>
        <v>43693.708333333234</v>
      </c>
      <c r="C44" s="332"/>
      <c r="D44" s="835"/>
      <c r="E44" s="56">
        <f>Construction!E44</f>
        <v>1000</v>
      </c>
      <c r="F44" s="26">
        <f ca="1">Population!$C44</f>
        <v>3945</v>
      </c>
      <c r="G44" s="26">
        <f ca="1">Military!EM44</f>
        <v>39460</v>
      </c>
      <c r="H44" s="26">
        <f ca="1">H43+S43 - AT44 + IF(C44,Population!C44*4)</f>
        <v>3384202</v>
      </c>
      <c r="I44" s="26">
        <f t="shared" ca="1" si="19"/>
        <v>183286</v>
      </c>
      <c r="J44" s="26">
        <f t="shared" ca="1" si="36"/>
        <v>284702</v>
      </c>
      <c r="K44" s="26">
        <f t="shared" ca="1" si="37"/>
        <v>43938</v>
      </c>
      <c r="L44" s="26">
        <f t="shared" ca="1" si="38"/>
        <v>231000</v>
      </c>
      <c r="M44" s="26">
        <f t="shared" ca="1" si="39"/>
        <v>20000</v>
      </c>
      <c r="N44" s="26">
        <f t="shared" ca="1" si="20"/>
        <v>200</v>
      </c>
      <c r="O44" s="26">
        <f t="shared" si="21"/>
        <v>500</v>
      </c>
      <c r="P44" s="26">
        <f>ROUNDDOWN(P43+MAX(Construction!BO44/2,Construction!BO44*(1-Construction!BO44/(E44-Explore!S44*20)))-Q44*SUM(Techs!AY44:BY44),0)</f>
        <v>0</v>
      </c>
      <c r="Q44" s="166">
        <f>MAX(min_tech_cost,ROUNDDOWN(tech_cost_per_acre*Construction!E44,0))</f>
        <v>6426</v>
      </c>
      <c r="S44" s="152">
        <f t="shared" ca="1" si="23"/>
        <v>10651</v>
      </c>
      <c r="T44" s="164">
        <f t="shared" ca="1" si="30"/>
        <v>2897</v>
      </c>
      <c r="U44" s="164">
        <f t="shared" ca="1" si="31"/>
        <v>-347</v>
      </c>
      <c r="V44" s="164">
        <f t="shared" ca="1" si="32"/>
        <v>371</v>
      </c>
      <c r="W44" s="164">
        <f t="shared" ca="1" si="27"/>
        <v>0</v>
      </c>
      <c r="X44" s="164">
        <f t="shared" ca="1" si="28"/>
        <v>0</v>
      </c>
      <c r="Y44" s="265">
        <f>Construction!BP45*dock_boats_hr</f>
        <v>0</v>
      </c>
      <c r="Z44" s="164"/>
      <c r="AA44" s="152">
        <f ca="1">Population!C44*tax*Population!I44 + (Construction!AY45+Construction!BW45)*(alch_plat+(Magic!AR44&gt;0)*alchemist_flame_bonus)</f>
        <v>10651.5</v>
      </c>
      <c r="AB44" s="164">
        <f>Construction!$AZ44*farm_food + Construction!$BP44*dock_food+IF(race="Growth",ROUNDDOWN(Military!G44*8,0),0)</f>
        <v>6400</v>
      </c>
      <c r="AC44" s="164">
        <f>Construction!$BC44*ly_lumber+IF(race="Ants",ROUNDDOWN(Military!F44/2,0),0)</f>
        <v>2500</v>
      </c>
      <c r="AD44" s="26">
        <f>Construction!$BK45*tower_mana+IF(race="Templars",ROUNDDOWN(Military!F44*0.02,0),0)+IF(race="Black Orc",Military!G44*5,0)+IF(race="Growth",ROUNDDOWN(Military!G44*0.1,0),0)+IF(race="Void",ROUNDDOWN(Military!F44*1.5,0),0)+IF(race="Void",ROUNDDOWN(Military!G44*4,0),0)</f>
        <v>1250</v>
      </c>
      <c r="AE44" s="164">
        <f>Construction!$BE45*om_ore+IF(race="Dwarf",ROUNDDOWN(Military!F44*2,0),0)</f>
        <v>0</v>
      </c>
      <c r="AF44" s="57">
        <f>Construction!$BN45*dm_gems+IF(race="Dwarf",ROUNDDOWN(Military!F44/2,0),0)</f>
        <v>0</v>
      </c>
      <c r="AH44" s="266">
        <f ca="1">MIN(race_platinum_bonus + IF(Magic!AJ44&gt;0,midas_bonus) + Imps!Y44 - BB44*0.02+MAX(tech_production_plat*Techs!Y44,tech_treasure_hunt_plat*Techs!AR44), 0.5)</f>
        <v>0</v>
      </c>
      <c r="AI44" s="455">
        <f ca="1">race_food_bonus + IF(Magic!AO44&gt;0,gaias_blessing_food,IF(Magic!AG44&gt;0,gaias_watch_bonus)) + Imps!AD44+tech_production_food*Techs!W44 + O44/100*prestige_food_bonus</f>
        <v>0.1</v>
      </c>
      <c r="AJ44" s="267">
        <f ca="1">race_lumber_bonus+ IF(Magic!AO44&gt;0,gaias_blessing_lumber)+tech_fruits_of_labor1*Techs!AP44</f>
        <v>0</v>
      </c>
      <c r="AK44" s="267">
        <f ca="1">race_mana_bonus+tech_enchanted_lands_mana*Techs!AT44</f>
        <v>0</v>
      </c>
      <c r="AL44" s="267">
        <f ca="1">race_ore_bonus + IF(Magic!AL44&gt;0,miners_sight_bonus,IF(Magic!AH44&gt;0,mining_strength_bonus))+tech_fruits_of_labor1*Techs!AP44</f>
        <v>0</v>
      </c>
      <c r="AM44" s="193">
        <f ca="1">race_gem_bonus+MAX(tech_production_gems*Techs!X44,tech_fruits_of_labor_gems*Techs!AP44)</f>
        <v>0</v>
      </c>
      <c r="AO44" s="56">
        <f ca="1">I44*food_decay*IF(Magic!AZ44&gt;0,0.5,1)</f>
        <v>1832.8600000000001</v>
      </c>
      <c r="AP44" s="26">
        <f ca="1">(1+race_food_consumption)*Population!F44*food_per_person</f>
        <v>2310</v>
      </c>
      <c r="AQ44" s="26">
        <f t="shared" ca="1" si="33"/>
        <v>2847.02</v>
      </c>
      <c r="AR44" s="57">
        <f t="shared" ca="1" si="34"/>
        <v>878.76</v>
      </c>
      <c r="AS44" s="26"/>
      <c r="AT44" s="56">
        <f ca="1">Explore!AH44+Construction!AP44+Military!AU44+Rezone!Y44+Imps!AM44-BE44</f>
        <v>0</v>
      </c>
      <c r="AU44" s="26">
        <f>Construction!AQ44+Imps!AN44-BF44</f>
        <v>0</v>
      </c>
      <c r="AV44" s="26">
        <f>Magic!AD44</f>
        <v>0</v>
      </c>
      <c r="AW44" s="26">
        <f ca="1">Military!AV44+Imps!AO44-BG44</f>
        <v>0</v>
      </c>
      <c r="AX44" s="26">
        <f>Imps!AP44-BH44</f>
        <v>0</v>
      </c>
      <c r="AY44" s="26">
        <f ca="1">Military!AZ44</f>
        <v>0</v>
      </c>
      <c r="AZ44" s="57">
        <f ca="1">Military!BA44</f>
        <v>0</v>
      </c>
      <c r="BB44" s="56" t="b">
        <f t="shared" si="29"/>
        <v>0</v>
      </c>
      <c r="BC44" s="332"/>
      <c r="BD44" s="979">
        <v>42</v>
      </c>
      <c r="BE44" s="332"/>
      <c r="BF44" s="370"/>
      <c r="BG44" s="370"/>
      <c r="BH44" s="744"/>
      <c r="BI44" s="1036">
        <f t="shared" si="35"/>
        <v>43693.708333333234</v>
      </c>
      <c r="BJ44" s="159" t="str">
        <f t="shared" si="22"/>
        <v/>
      </c>
      <c r="BK44" s="26">
        <f t="shared" ca="1" si="18"/>
        <v>3384202</v>
      </c>
      <c r="BL44" s="26">
        <f t="shared" ca="1" si="9"/>
        <v>183286</v>
      </c>
      <c r="BM44" s="26">
        <f t="shared" ca="1" si="10"/>
        <v>284702</v>
      </c>
      <c r="BN44" s="26">
        <f t="shared" ca="1" si="11"/>
        <v>43938</v>
      </c>
      <c r="BO44" s="57">
        <f t="shared" ca="1" si="12"/>
        <v>231000</v>
      </c>
    </row>
    <row r="45" spans="1:67" s="16" customFormat="1">
      <c r="A45" s="987">
        <v>43</v>
      </c>
      <c r="B45" s="816">
        <f>Imps!L45</f>
        <v>43693.749999999898</v>
      </c>
      <c r="C45" s="332"/>
      <c r="D45" s="835"/>
      <c r="E45" s="56">
        <f>Construction!E45</f>
        <v>1000</v>
      </c>
      <c r="F45" s="26">
        <f ca="1">Population!$C45</f>
        <v>3945</v>
      </c>
      <c r="G45" s="26">
        <f ca="1">Military!EM45</f>
        <v>39460</v>
      </c>
      <c r="H45" s="26">
        <f ca="1">H44+S44 - AT45 + IF(C45,Population!C45*4)</f>
        <v>3394853</v>
      </c>
      <c r="I45" s="26">
        <f t="shared" ca="1" si="19"/>
        <v>186183</v>
      </c>
      <c r="J45" s="26">
        <f t="shared" ca="1" si="36"/>
        <v>284355</v>
      </c>
      <c r="K45" s="26">
        <f t="shared" ca="1" si="37"/>
        <v>44309</v>
      </c>
      <c r="L45" s="26">
        <f t="shared" ca="1" si="38"/>
        <v>231000</v>
      </c>
      <c r="M45" s="26">
        <f t="shared" ca="1" si="39"/>
        <v>20000</v>
      </c>
      <c r="N45" s="26">
        <f t="shared" ca="1" si="20"/>
        <v>200</v>
      </c>
      <c r="O45" s="26">
        <f t="shared" si="21"/>
        <v>500</v>
      </c>
      <c r="P45" s="26">
        <f>ROUNDDOWN(P44+MAX(Construction!BO45/2,Construction!BO45*(1-Construction!BO45/(E45-Explore!S45*20)))-Q45*SUM(Techs!AY45:BY45),0)</f>
        <v>0</v>
      </c>
      <c r="Q45" s="166">
        <f>MAX(min_tech_cost,ROUNDDOWN(tech_cost_per_acre*Construction!E45,0))</f>
        <v>6426</v>
      </c>
      <c r="S45" s="152">
        <f t="shared" ca="1" si="23"/>
        <v>10651</v>
      </c>
      <c r="T45" s="164">
        <f t="shared" ca="1" si="30"/>
        <v>2868</v>
      </c>
      <c r="U45" s="164">
        <f t="shared" ca="1" si="31"/>
        <v>-344</v>
      </c>
      <c r="V45" s="164">
        <f t="shared" ca="1" si="32"/>
        <v>364</v>
      </c>
      <c r="W45" s="164">
        <f t="shared" ca="1" si="27"/>
        <v>0</v>
      </c>
      <c r="X45" s="164">
        <f t="shared" ca="1" si="28"/>
        <v>0</v>
      </c>
      <c r="Y45" s="265">
        <f>Construction!BP46*dock_boats_hr</f>
        <v>0</v>
      </c>
      <c r="Z45" s="164"/>
      <c r="AA45" s="152">
        <f ca="1">Population!C45*tax*Population!I45 + (Construction!AY46+Construction!BW46)*(alch_plat+(Magic!AR45&gt;0)*alchemist_flame_bonus)</f>
        <v>10651.5</v>
      </c>
      <c r="AB45" s="164">
        <f>Construction!$AZ45*farm_food + Construction!$BP45*dock_food+IF(race="Growth",ROUNDDOWN(Military!G45*8,0),0)</f>
        <v>6400</v>
      </c>
      <c r="AC45" s="164">
        <f>Construction!$BC45*ly_lumber+IF(race="Ants",ROUNDDOWN(Military!F45/2,0),0)</f>
        <v>2500</v>
      </c>
      <c r="AD45" s="26">
        <f>Construction!$BK46*tower_mana+IF(race="Templars",ROUNDDOWN(Military!F45*0.02,0),0)+IF(race="Black Orc",Military!G45*5,0)+IF(race="Growth",ROUNDDOWN(Military!G45*0.1,0),0)+IF(race="Void",ROUNDDOWN(Military!F45*1.5,0),0)+IF(race="Void",ROUNDDOWN(Military!G45*4,0),0)</f>
        <v>1250</v>
      </c>
      <c r="AE45" s="164">
        <f>Construction!$BE46*om_ore+IF(race="Dwarf",ROUNDDOWN(Military!F45*2,0),0)</f>
        <v>0</v>
      </c>
      <c r="AF45" s="57">
        <f>Construction!$BN46*dm_gems+IF(race="Dwarf",ROUNDDOWN(Military!F45/2,0),0)</f>
        <v>0</v>
      </c>
      <c r="AH45" s="266">
        <f ca="1">MIN(race_platinum_bonus + IF(Magic!AJ45&gt;0,midas_bonus) + Imps!Y45 - BB45*0.02+MAX(tech_production_plat*Techs!Y45,tech_treasure_hunt_plat*Techs!AR45), 0.5)</f>
        <v>0</v>
      </c>
      <c r="AI45" s="455">
        <f ca="1">race_food_bonus + IF(Magic!AO45&gt;0,gaias_blessing_food,IF(Magic!AG45&gt;0,gaias_watch_bonus)) + Imps!AD45+tech_production_food*Techs!W45 + O45/100*prestige_food_bonus</f>
        <v>0.1</v>
      </c>
      <c r="AJ45" s="267">
        <f ca="1">race_lumber_bonus+ IF(Magic!AO45&gt;0,gaias_blessing_lumber)+tech_fruits_of_labor1*Techs!AP45</f>
        <v>0</v>
      </c>
      <c r="AK45" s="267">
        <f ca="1">race_mana_bonus+tech_enchanted_lands_mana*Techs!AT45</f>
        <v>0</v>
      </c>
      <c r="AL45" s="267">
        <f ca="1">race_ore_bonus + IF(Magic!AL45&gt;0,miners_sight_bonus,IF(Magic!AH45&gt;0,mining_strength_bonus))+tech_fruits_of_labor1*Techs!AP45</f>
        <v>0</v>
      </c>
      <c r="AM45" s="193">
        <f ca="1">race_gem_bonus+MAX(tech_production_gems*Techs!X45,tech_fruits_of_labor_gems*Techs!AP45)</f>
        <v>0</v>
      </c>
      <c r="AO45" s="56">
        <f ca="1">I45*food_decay*IF(Magic!AZ45&gt;0,0.5,1)</f>
        <v>1861.83</v>
      </c>
      <c r="AP45" s="26">
        <f ca="1">(1+race_food_consumption)*Population!F45*food_per_person</f>
        <v>2310</v>
      </c>
      <c r="AQ45" s="26">
        <f t="shared" ca="1" si="33"/>
        <v>2843.55</v>
      </c>
      <c r="AR45" s="57">
        <f t="shared" ca="1" si="34"/>
        <v>886.18000000000006</v>
      </c>
      <c r="AS45" s="26"/>
      <c r="AT45" s="56">
        <f ca="1">Explore!AH45+Construction!AP45+Military!AU45+Rezone!Y45+Imps!AM45-BE45</f>
        <v>0</v>
      </c>
      <c r="AU45" s="26">
        <f>Construction!AQ45+Imps!AN45-BF45</f>
        <v>0</v>
      </c>
      <c r="AV45" s="26">
        <f>Magic!AD45</f>
        <v>0</v>
      </c>
      <c r="AW45" s="26">
        <f ca="1">Military!AV45+Imps!AO45-BG45</f>
        <v>0</v>
      </c>
      <c r="AX45" s="26">
        <f>Imps!AP45-BH45</f>
        <v>0</v>
      </c>
      <c r="AY45" s="26">
        <f ca="1">Military!AZ45</f>
        <v>0</v>
      </c>
      <c r="AZ45" s="57">
        <f ca="1">Military!BA45</f>
        <v>0</v>
      </c>
      <c r="BB45" s="56" t="b">
        <f t="shared" si="29"/>
        <v>0</v>
      </c>
      <c r="BC45" s="332"/>
      <c r="BD45" s="979">
        <v>43</v>
      </c>
      <c r="BE45" s="332"/>
      <c r="BF45" s="370"/>
      <c r="BG45" s="370"/>
      <c r="BH45" s="744"/>
      <c r="BI45" s="1036">
        <f t="shared" si="35"/>
        <v>43693.749999999898</v>
      </c>
      <c r="BJ45" s="159" t="str">
        <f t="shared" si="22"/>
        <v/>
      </c>
      <c r="BK45" s="26">
        <f t="shared" ca="1" si="18"/>
        <v>3394853</v>
      </c>
      <c r="BL45" s="26">
        <f t="shared" ca="1" si="9"/>
        <v>186183</v>
      </c>
      <c r="BM45" s="26">
        <f t="shared" ca="1" si="10"/>
        <v>284355</v>
      </c>
      <c r="BN45" s="26">
        <f t="shared" ca="1" si="11"/>
        <v>44309</v>
      </c>
      <c r="BO45" s="57">
        <f t="shared" ca="1" si="12"/>
        <v>231000</v>
      </c>
    </row>
    <row r="46" spans="1:67" s="16" customFormat="1">
      <c r="A46" s="987">
        <v>44</v>
      </c>
      <c r="B46" s="816">
        <f>Imps!L46</f>
        <v>43693.791666666562</v>
      </c>
      <c r="C46" s="332"/>
      <c r="D46" s="835"/>
      <c r="E46" s="56">
        <f>Construction!E46</f>
        <v>1000</v>
      </c>
      <c r="F46" s="26">
        <f ca="1">Population!$C46</f>
        <v>3945</v>
      </c>
      <c r="G46" s="26">
        <f ca="1">Military!EM46</f>
        <v>39460</v>
      </c>
      <c r="H46" s="26">
        <f ca="1">H45+S45 - AT46 + IF(C46,Population!C46*4)</f>
        <v>3405504</v>
      </c>
      <c r="I46" s="26">
        <f t="shared" ca="1" si="19"/>
        <v>189051</v>
      </c>
      <c r="J46" s="26">
        <f t="shared" ca="1" si="36"/>
        <v>284011</v>
      </c>
      <c r="K46" s="26">
        <f t="shared" ca="1" si="37"/>
        <v>44673</v>
      </c>
      <c r="L46" s="26">
        <f t="shared" ca="1" si="38"/>
        <v>231000</v>
      </c>
      <c r="M46" s="26">
        <f t="shared" ca="1" si="39"/>
        <v>20000</v>
      </c>
      <c r="N46" s="26">
        <f t="shared" ca="1" si="20"/>
        <v>200</v>
      </c>
      <c r="O46" s="26">
        <f t="shared" si="21"/>
        <v>500</v>
      </c>
      <c r="P46" s="26">
        <f>ROUNDDOWN(P45+MAX(Construction!BO46/2,Construction!BO46*(1-Construction!BO46/(E46-Explore!S46*20)))-Q46*SUM(Techs!AY46:BY46),0)</f>
        <v>0</v>
      </c>
      <c r="Q46" s="166">
        <f>MAX(min_tech_cost,ROUNDDOWN(tech_cost_per_acre*Construction!E46,0))</f>
        <v>6426</v>
      </c>
      <c r="S46" s="152">
        <f t="shared" ca="1" si="23"/>
        <v>10651</v>
      </c>
      <c r="T46" s="164">
        <f t="shared" ca="1" si="30"/>
        <v>2839</v>
      </c>
      <c r="U46" s="164">
        <f t="shared" ca="1" si="31"/>
        <v>-340</v>
      </c>
      <c r="V46" s="164">
        <f t="shared" ca="1" si="32"/>
        <v>357</v>
      </c>
      <c r="W46" s="164">
        <f t="shared" ca="1" si="27"/>
        <v>0</v>
      </c>
      <c r="X46" s="164">
        <f t="shared" ca="1" si="28"/>
        <v>0</v>
      </c>
      <c r="Y46" s="265">
        <f>Construction!BP47*dock_boats_hr</f>
        <v>0</v>
      </c>
      <c r="Z46" s="164"/>
      <c r="AA46" s="152">
        <f ca="1">Population!C46*tax*Population!I46 + (Construction!AY47+Construction!BW47)*(alch_plat+(Magic!AR46&gt;0)*alchemist_flame_bonus)</f>
        <v>10651.5</v>
      </c>
      <c r="AB46" s="164">
        <f>Construction!$AZ46*farm_food + Construction!$BP46*dock_food+IF(race="Growth",ROUNDDOWN(Military!G46*8,0),0)</f>
        <v>6400</v>
      </c>
      <c r="AC46" s="164">
        <f>Construction!$BC46*ly_lumber+IF(race="Ants",ROUNDDOWN(Military!F46/2,0),0)</f>
        <v>2500</v>
      </c>
      <c r="AD46" s="26">
        <f>Construction!$BK47*tower_mana+IF(race="Templars",ROUNDDOWN(Military!F46*0.02,0),0)+IF(race="Black Orc",Military!G46*5,0)+IF(race="Growth",ROUNDDOWN(Military!G46*0.1,0),0)+IF(race="Void",ROUNDDOWN(Military!F46*1.5,0),0)+IF(race="Void",ROUNDDOWN(Military!G46*4,0),0)</f>
        <v>1250</v>
      </c>
      <c r="AE46" s="164">
        <f>Construction!$BE47*om_ore+IF(race="Dwarf",ROUNDDOWN(Military!F46*2,0),0)</f>
        <v>0</v>
      </c>
      <c r="AF46" s="57">
        <f>Construction!$BN47*dm_gems+IF(race="Dwarf",ROUNDDOWN(Military!F46/2,0),0)</f>
        <v>0</v>
      </c>
      <c r="AH46" s="266">
        <f ca="1">MIN(race_platinum_bonus + IF(Magic!AJ46&gt;0,midas_bonus) + Imps!Y46 - BB46*0.02+MAX(tech_production_plat*Techs!Y46,tech_treasure_hunt_plat*Techs!AR46), 0.5)</f>
        <v>0</v>
      </c>
      <c r="AI46" s="455">
        <f ca="1">race_food_bonus + IF(Magic!AO46&gt;0,gaias_blessing_food,IF(Magic!AG46&gt;0,gaias_watch_bonus)) + Imps!AD46+tech_production_food*Techs!W46 + O46/100*prestige_food_bonus</f>
        <v>0.1</v>
      </c>
      <c r="AJ46" s="267">
        <f ca="1">race_lumber_bonus+ IF(Magic!AO46&gt;0,gaias_blessing_lumber)+tech_fruits_of_labor1*Techs!AP46</f>
        <v>0</v>
      </c>
      <c r="AK46" s="267">
        <f ca="1">race_mana_bonus+tech_enchanted_lands_mana*Techs!AT46</f>
        <v>0</v>
      </c>
      <c r="AL46" s="267">
        <f ca="1">race_ore_bonus + IF(Magic!AL46&gt;0,miners_sight_bonus,IF(Magic!AH46&gt;0,mining_strength_bonus))+tech_fruits_of_labor1*Techs!AP46</f>
        <v>0</v>
      </c>
      <c r="AM46" s="193">
        <f ca="1">race_gem_bonus+MAX(tech_production_gems*Techs!X46,tech_fruits_of_labor_gems*Techs!AP46)</f>
        <v>0</v>
      </c>
      <c r="AO46" s="56">
        <f ca="1">I46*food_decay*IF(Magic!AZ46&gt;0,0.5,1)</f>
        <v>1890.51</v>
      </c>
      <c r="AP46" s="26">
        <f ca="1">(1+race_food_consumption)*Population!F46*food_per_person</f>
        <v>2310</v>
      </c>
      <c r="AQ46" s="26">
        <f t="shared" ca="1" si="33"/>
        <v>2840.11</v>
      </c>
      <c r="AR46" s="57">
        <f t="shared" ca="1" si="34"/>
        <v>893.46</v>
      </c>
      <c r="AS46" s="26"/>
      <c r="AT46" s="56">
        <f ca="1">Explore!AH46+Construction!AP46+Military!AU46+Rezone!Y46+Imps!AM46-BE46</f>
        <v>0</v>
      </c>
      <c r="AU46" s="26">
        <f>Construction!AQ46+Imps!AN46-BF46</f>
        <v>0</v>
      </c>
      <c r="AV46" s="26">
        <f>Magic!AD46</f>
        <v>0</v>
      </c>
      <c r="AW46" s="26">
        <f ca="1">Military!AV46+Imps!AO46-BG46</f>
        <v>0</v>
      </c>
      <c r="AX46" s="26">
        <f>Imps!AP46-BH46</f>
        <v>0</v>
      </c>
      <c r="AY46" s="26">
        <f ca="1">Military!AZ46</f>
        <v>0</v>
      </c>
      <c r="AZ46" s="57">
        <f ca="1">Military!BA46</f>
        <v>0</v>
      </c>
      <c r="BB46" s="56" t="b">
        <f t="shared" si="29"/>
        <v>0</v>
      </c>
      <c r="BC46" s="332"/>
      <c r="BD46" s="979">
        <v>44</v>
      </c>
      <c r="BE46" s="332"/>
      <c r="BF46" s="370"/>
      <c r="BG46" s="370"/>
      <c r="BH46" s="744"/>
      <c r="BI46" s="1036">
        <f t="shared" si="35"/>
        <v>43693.791666666562</v>
      </c>
      <c r="BJ46" s="159" t="str">
        <f t="shared" si="22"/>
        <v/>
      </c>
      <c r="BK46" s="26">
        <f t="shared" ca="1" si="18"/>
        <v>3405504</v>
      </c>
      <c r="BL46" s="26">
        <f t="shared" ca="1" si="9"/>
        <v>189051</v>
      </c>
      <c r="BM46" s="26">
        <f t="shared" ca="1" si="10"/>
        <v>284011</v>
      </c>
      <c r="BN46" s="26">
        <f t="shared" ca="1" si="11"/>
        <v>44673</v>
      </c>
      <c r="BO46" s="57">
        <f t="shared" ca="1" si="12"/>
        <v>231000</v>
      </c>
    </row>
    <row r="47" spans="1:67" s="16" customFormat="1">
      <c r="A47" s="987">
        <v>45</v>
      </c>
      <c r="B47" s="816">
        <f>Imps!L47</f>
        <v>43693.833333333227</v>
      </c>
      <c r="C47" s="332"/>
      <c r="D47" s="835"/>
      <c r="E47" s="56">
        <f>Construction!E47</f>
        <v>1000</v>
      </c>
      <c r="F47" s="26">
        <f ca="1">Population!$C47</f>
        <v>3945</v>
      </c>
      <c r="G47" s="26">
        <f ca="1">Military!EM47</f>
        <v>39460</v>
      </c>
      <c r="H47" s="26">
        <f ca="1">H46+S46 - AT47 + IF(C47,Population!C47*4)</f>
        <v>3416155</v>
      </c>
      <c r="I47" s="26">
        <f t="shared" ca="1" si="19"/>
        <v>191890</v>
      </c>
      <c r="J47" s="26">
        <f t="shared" ca="1" si="36"/>
        <v>283671</v>
      </c>
      <c r="K47" s="26">
        <f t="shared" ca="1" si="37"/>
        <v>45030</v>
      </c>
      <c r="L47" s="26">
        <f t="shared" ca="1" si="38"/>
        <v>231000</v>
      </c>
      <c r="M47" s="26">
        <f t="shared" ca="1" si="39"/>
        <v>20000</v>
      </c>
      <c r="N47" s="26">
        <f t="shared" ca="1" si="20"/>
        <v>200</v>
      </c>
      <c r="O47" s="26">
        <f t="shared" si="21"/>
        <v>500</v>
      </c>
      <c r="P47" s="26">
        <f>ROUNDDOWN(P46+MAX(Construction!BO47/2,Construction!BO47*(1-Construction!BO47/(E47-Explore!S47*20)))-Q47*SUM(Techs!AY47:BY47),0)</f>
        <v>0</v>
      </c>
      <c r="Q47" s="166">
        <f>MAX(min_tech_cost,ROUNDDOWN(tech_cost_per_acre*Construction!E47,0))</f>
        <v>6426</v>
      </c>
      <c r="S47" s="152">
        <f t="shared" ca="1" si="23"/>
        <v>10651</v>
      </c>
      <c r="T47" s="164">
        <f t="shared" ca="1" si="30"/>
        <v>2811</v>
      </c>
      <c r="U47" s="164">
        <f t="shared" ca="1" si="31"/>
        <v>-337</v>
      </c>
      <c r="V47" s="164">
        <f t="shared" ca="1" si="32"/>
        <v>349</v>
      </c>
      <c r="W47" s="164">
        <f t="shared" ca="1" si="27"/>
        <v>0</v>
      </c>
      <c r="X47" s="164">
        <f t="shared" ca="1" si="28"/>
        <v>0</v>
      </c>
      <c r="Y47" s="265">
        <f>Construction!BP48*dock_boats_hr</f>
        <v>0</v>
      </c>
      <c r="Z47" s="164"/>
      <c r="AA47" s="152">
        <f ca="1">Population!C47*tax*Population!I47 + (Construction!AY48+Construction!BW48)*(alch_plat+(Magic!AR47&gt;0)*alchemist_flame_bonus)</f>
        <v>10651.5</v>
      </c>
      <c r="AB47" s="164">
        <f>Construction!$AZ47*farm_food + Construction!$BP47*dock_food+IF(race="Growth",ROUNDDOWN(Military!G47*8,0),0)</f>
        <v>6400</v>
      </c>
      <c r="AC47" s="164">
        <f>Construction!$BC47*ly_lumber+IF(race="Ants",ROUNDDOWN(Military!F47/2,0),0)</f>
        <v>2500</v>
      </c>
      <c r="AD47" s="26">
        <f>Construction!$BK48*tower_mana+IF(race="Templars",ROUNDDOWN(Military!F47*0.02,0),0)+IF(race="Black Orc",Military!G47*5,0)+IF(race="Growth",ROUNDDOWN(Military!G47*0.1,0),0)+IF(race="Void",ROUNDDOWN(Military!F47*1.5,0),0)+IF(race="Void",ROUNDDOWN(Military!G47*4,0),0)</f>
        <v>1250</v>
      </c>
      <c r="AE47" s="164">
        <f>Construction!$BE48*om_ore+IF(race="Dwarf",ROUNDDOWN(Military!F47*2,0),0)</f>
        <v>0</v>
      </c>
      <c r="AF47" s="57">
        <f>Construction!$BN48*dm_gems+IF(race="Dwarf",ROUNDDOWN(Military!F47/2,0),0)</f>
        <v>0</v>
      </c>
      <c r="AH47" s="266">
        <f ca="1">MIN(race_platinum_bonus + IF(Magic!AJ47&gt;0,midas_bonus) + Imps!Y47 - BB47*0.02+MAX(tech_production_plat*Techs!Y47,tech_treasure_hunt_plat*Techs!AR47), 0.5)</f>
        <v>0</v>
      </c>
      <c r="AI47" s="455">
        <f ca="1">race_food_bonus + IF(Magic!AO47&gt;0,gaias_blessing_food,IF(Magic!AG47&gt;0,gaias_watch_bonus)) + Imps!AD47+tech_production_food*Techs!W47 + O47/100*prestige_food_bonus</f>
        <v>0.1</v>
      </c>
      <c r="AJ47" s="267">
        <f ca="1">race_lumber_bonus+ IF(Magic!AO47&gt;0,gaias_blessing_lumber)+tech_fruits_of_labor1*Techs!AP47</f>
        <v>0</v>
      </c>
      <c r="AK47" s="267">
        <f ca="1">race_mana_bonus+tech_enchanted_lands_mana*Techs!AT47</f>
        <v>0</v>
      </c>
      <c r="AL47" s="267">
        <f ca="1">race_ore_bonus + IF(Magic!AL47&gt;0,miners_sight_bonus,IF(Magic!AH47&gt;0,mining_strength_bonus))+tech_fruits_of_labor1*Techs!AP47</f>
        <v>0</v>
      </c>
      <c r="AM47" s="193">
        <f ca="1">race_gem_bonus+MAX(tech_production_gems*Techs!X47,tech_fruits_of_labor_gems*Techs!AP47)</f>
        <v>0</v>
      </c>
      <c r="AO47" s="56">
        <f ca="1">I47*food_decay*IF(Magic!AZ47&gt;0,0.5,1)</f>
        <v>1918.9</v>
      </c>
      <c r="AP47" s="26">
        <f ca="1">(1+race_food_consumption)*Population!F47*food_per_person</f>
        <v>2310</v>
      </c>
      <c r="AQ47" s="26">
        <f t="shared" ca="1" si="33"/>
        <v>2836.71</v>
      </c>
      <c r="AR47" s="57">
        <f t="shared" ca="1" si="34"/>
        <v>900.6</v>
      </c>
      <c r="AS47" s="26"/>
      <c r="AT47" s="56">
        <f ca="1">Explore!AH47+Construction!AP47+Military!AU47+Rezone!Y47+Imps!AM47-BE47</f>
        <v>0</v>
      </c>
      <c r="AU47" s="26">
        <f>Construction!AQ47+Imps!AN47-BF47</f>
        <v>0</v>
      </c>
      <c r="AV47" s="26">
        <f>Magic!AD47</f>
        <v>0</v>
      </c>
      <c r="AW47" s="26">
        <f ca="1">Military!AV47+Imps!AO47-BG47</f>
        <v>0</v>
      </c>
      <c r="AX47" s="26">
        <f>Imps!AP47-BH47</f>
        <v>0</v>
      </c>
      <c r="AY47" s="26">
        <f ca="1">Military!AZ47</f>
        <v>0</v>
      </c>
      <c r="AZ47" s="57">
        <f ca="1">Military!BA47</f>
        <v>0</v>
      </c>
      <c r="BB47" s="56" t="b">
        <f t="shared" si="29"/>
        <v>0</v>
      </c>
      <c r="BC47" s="332"/>
      <c r="BD47" s="979">
        <v>45</v>
      </c>
      <c r="BE47" s="332"/>
      <c r="BF47" s="370"/>
      <c r="BG47" s="370"/>
      <c r="BH47" s="744"/>
      <c r="BI47" s="1036">
        <f t="shared" si="35"/>
        <v>43693.833333333227</v>
      </c>
      <c r="BJ47" s="159" t="str">
        <f t="shared" si="22"/>
        <v/>
      </c>
      <c r="BK47" s="26">
        <f t="shared" ca="1" si="18"/>
        <v>3416155</v>
      </c>
      <c r="BL47" s="26">
        <f t="shared" ca="1" si="9"/>
        <v>191890</v>
      </c>
      <c r="BM47" s="26">
        <f t="shared" ca="1" si="10"/>
        <v>283671</v>
      </c>
      <c r="BN47" s="26">
        <f t="shared" ca="1" si="11"/>
        <v>45030</v>
      </c>
      <c r="BO47" s="57">
        <f t="shared" ca="1" si="12"/>
        <v>231000</v>
      </c>
    </row>
    <row r="48" spans="1:67" s="16" customFormat="1">
      <c r="A48" s="987">
        <v>46</v>
      </c>
      <c r="B48" s="816">
        <f>Imps!L48</f>
        <v>43693.874999999891</v>
      </c>
      <c r="C48" s="332"/>
      <c r="D48" s="835"/>
      <c r="E48" s="56">
        <f>Construction!E48</f>
        <v>1000</v>
      </c>
      <c r="F48" s="26">
        <f ca="1">Population!$C48</f>
        <v>3945</v>
      </c>
      <c r="G48" s="26">
        <f ca="1">Military!EM48</f>
        <v>39460</v>
      </c>
      <c r="H48" s="26">
        <f ca="1">H47+S47 - AT48 + IF(C48,Population!C48*4)</f>
        <v>3426806</v>
      </c>
      <c r="I48" s="26">
        <f t="shared" ca="1" si="19"/>
        <v>194701</v>
      </c>
      <c r="J48" s="26">
        <f t="shared" ca="1" si="36"/>
        <v>283334</v>
      </c>
      <c r="K48" s="26">
        <f t="shared" ca="1" si="37"/>
        <v>45379</v>
      </c>
      <c r="L48" s="26">
        <f t="shared" ca="1" si="38"/>
        <v>231000</v>
      </c>
      <c r="M48" s="26">
        <f t="shared" ca="1" si="39"/>
        <v>20000</v>
      </c>
      <c r="N48" s="26">
        <f t="shared" ca="1" si="20"/>
        <v>200</v>
      </c>
      <c r="O48" s="26">
        <f t="shared" si="21"/>
        <v>500</v>
      </c>
      <c r="P48" s="26">
        <f>ROUNDDOWN(P47+MAX(Construction!BO48/2,Construction!BO48*(1-Construction!BO48/(E48-Explore!S48*20)))-Q48*SUM(Techs!AY48:BY48),0)</f>
        <v>0</v>
      </c>
      <c r="Q48" s="166">
        <f>MAX(min_tech_cost,ROUNDDOWN(tech_cost_per_acre*Construction!E48,0))</f>
        <v>6426</v>
      </c>
      <c r="S48" s="152">
        <f t="shared" ca="1" si="23"/>
        <v>10651</v>
      </c>
      <c r="T48" s="164">
        <f t="shared" ca="1" si="30"/>
        <v>2783</v>
      </c>
      <c r="U48" s="164">
        <f t="shared" ca="1" si="31"/>
        <v>-333</v>
      </c>
      <c r="V48" s="164">
        <f t="shared" ca="1" si="32"/>
        <v>342</v>
      </c>
      <c r="W48" s="164">
        <f t="shared" ca="1" si="27"/>
        <v>0</v>
      </c>
      <c r="X48" s="164">
        <f t="shared" ca="1" si="28"/>
        <v>0</v>
      </c>
      <c r="Y48" s="265">
        <f>Construction!BP49*dock_boats_hr</f>
        <v>0</v>
      </c>
      <c r="Z48" s="164"/>
      <c r="AA48" s="152">
        <f ca="1">Population!C48*tax*Population!I48 + (Construction!AY49+Construction!BW49)*(alch_plat+(Magic!AR48&gt;0)*alchemist_flame_bonus)</f>
        <v>10651.5</v>
      </c>
      <c r="AB48" s="164">
        <f>Construction!$AZ48*farm_food + Construction!$BP48*dock_food+IF(race="Growth",ROUNDDOWN(Military!G48*8,0),0)</f>
        <v>6400</v>
      </c>
      <c r="AC48" s="164">
        <f>Construction!$BC48*ly_lumber+IF(race="Ants",ROUNDDOWN(Military!F48/2,0),0)</f>
        <v>2500</v>
      </c>
      <c r="AD48" s="26">
        <f>Construction!$BK49*tower_mana+IF(race="Templars",ROUNDDOWN(Military!F48*0.02,0),0)+IF(race="Black Orc",Military!G48*5,0)+IF(race="Growth",ROUNDDOWN(Military!G48*0.1,0),0)+IF(race="Void",ROUNDDOWN(Military!F48*1.5,0),0)+IF(race="Void",ROUNDDOWN(Military!G48*4,0),0)</f>
        <v>1250</v>
      </c>
      <c r="AE48" s="164">
        <f>Construction!$BE49*om_ore+IF(race="Dwarf",ROUNDDOWN(Military!F48*2,0),0)</f>
        <v>0</v>
      </c>
      <c r="AF48" s="57">
        <f>Construction!$BN49*dm_gems+IF(race="Dwarf",ROUNDDOWN(Military!F48/2,0),0)</f>
        <v>0</v>
      </c>
      <c r="AH48" s="266">
        <f ca="1">MIN(race_platinum_bonus + IF(Magic!AJ48&gt;0,midas_bonus) + Imps!Y48 - BB48*0.02+MAX(tech_production_plat*Techs!Y48,tech_treasure_hunt_plat*Techs!AR48), 0.5)</f>
        <v>0</v>
      </c>
      <c r="AI48" s="455">
        <f ca="1">race_food_bonus + IF(Magic!AO48&gt;0,gaias_blessing_food,IF(Magic!AG48&gt;0,gaias_watch_bonus)) + Imps!AD48+tech_production_food*Techs!W48 + O48/100*prestige_food_bonus</f>
        <v>0.1</v>
      </c>
      <c r="AJ48" s="267">
        <f ca="1">race_lumber_bonus+ IF(Magic!AO48&gt;0,gaias_blessing_lumber)+tech_fruits_of_labor1*Techs!AP48</f>
        <v>0</v>
      </c>
      <c r="AK48" s="267">
        <f ca="1">race_mana_bonus+tech_enchanted_lands_mana*Techs!AT48</f>
        <v>0</v>
      </c>
      <c r="AL48" s="267">
        <f ca="1">race_ore_bonus + IF(Magic!AL48&gt;0,miners_sight_bonus,IF(Magic!AH48&gt;0,mining_strength_bonus))+tech_fruits_of_labor1*Techs!AP48</f>
        <v>0</v>
      </c>
      <c r="AM48" s="193">
        <f ca="1">race_gem_bonus+MAX(tech_production_gems*Techs!X48,tech_fruits_of_labor_gems*Techs!AP48)</f>
        <v>0</v>
      </c>
      <c r="AO48" s="56">
        <f ca="1">I48*food_decay*IF(Magic!AZ48&gt;0,0.5,1)</f>
        <v>1947.01</v>
      </c>
      <c r="AP48" s="26">
        <f ca="1">(1+race_food_consumption)*Population!F48*food_per_person</f>
        <v>2310</v>
      </c>
      <c r="AQ48" s="26">
        <f t="shared" ca="1" si="33"/>
        <v>2833.34</v>
      </c>
      <c r="AR48" s="57">
        <f t="shared" ca="1" si="34"/>
        <v>907.58</v>
      </c>
      <c r="AS48" s="26"/>
      <c r="AT48" s="56">
        <f ca="1">Explore!AH48+Construction!AP48+Military!AU48+Rezone!Y48+Imps!AM48-BE48</f>
        <v>0</v>
      </c>
      <c r="AU48" s="26">
        <f>Construction!AQ48+Imps!AN48-BF48</f>
        <v>0</v>
      </c>
      <c r="AV48" s="26">
        <f>Magic!AD48</f>
        <v>0</v>
      </c>
      <c r="AW48" s="26">
        <f ca="1">Military!AV48+Imps!AO48-BG48</f>
        <v>0</v>
      </c>
      <c r="AX48" s="26">
        <f>Imps!AP48-BH48</f>
        <v>0</v>
      </c>
      <c r="AY48" s="26">
        <f ca="1">Military!AZ48</f>
        <v>0</v>
      </c>
      <c r="AZ48" s="57">
        <f ca="1">Military!BA48</f>
        <v>0</v>
      </c>
      <c r="BB48" s="56" t="b">
        <f t="shared" si="29"/>
        <v>0</v>
      </c>
      <c r="BC48" s="332"/>
      <c r="BD48" s="979">
        <v>46</v>
      </c>
      <c r="BE48" s="332"/>
      <c r="BF48" s="370"/>
      <c r="BG48" s="370"/>
      <c r="BH48" s="744"/>
      <c r="BI48" s="1036">
        <f t="shared" si="35"/>
        <v>43693.874999999891</v>
      </c>
      <c r="BJ48" s="159" t="str">
        <f t="shared" si="22"/>
        <v/>
      </c>
      <c r="BK48" s="26">
        <f t="shared" ca="1" si="18"/>
        <v>3426806</v>
      </c>
      <c r="BL48" s="26">
        <f t="shared" ca="1" si="9"/>
        <v>194701</v>
      </c>
      <c r="BM48" s="26">
        <f t="shared" ca="1" si="10"/>
        <v>283334</v>
      </c>
      <c r="BN48" s="26">
        <f t="shared" ca="1" si="11"/>
        <v>45379</v>
      </c>
      <c r="BO48" s="57">
        <f t="shared" ca="1" si="12"/>
        <v>231000</v>
      </c>
    </row>
    <row r="49" spans="1:67" s="16" customFormat="1">
      <c r="A49" s="987">
        <v>47</v>
      </c>
      <c r="B49" s="816">
        <f>Imps!L49</f>
        <v>43693.916666666555</v>
      </c>
      <c r="C49" s="332"/>
      <c r="D49" s="835"/>
      <c r="E49" s="56">
        <f>Construction!E49</f>
        <v>1000</v>
      </c>
      <c r="F49" s="26">
        <f ca="1">Population!$C49</f>
        <v>3945</v>
      </c>
      <c r="G49" s="26">
        <f ca="1">Military!EM49</f>
        <v>39460</v>
      </c>
      <c r="H49" s="26">
        <f ca="1">H48+S48 - AT49 + IF(C49,Population!C49*4)</f>
        <v>3437457</v>
      </c>
      <c r="I49" s="26">
        <f t="shared" ca="1" si="19"/>
        <v>197484</v>
      </c>
      <c r="J49" s="26">
        <f t="shared" ca="1" si="36"/>
        <v>283001</v>
      </c>
      <c r="K49" s="26">
        <f t="shared" ca="1" si="37"/>
        <v>45721</v>
      </c>
      <c r="L49" s="26">
        <f t="shared" ca="1" si="38"/>
        <v>231000</v>
      </c>
      <c r="M49" s="26">
        <f t="shared" ca="1" si="39"/>
        <v>20000</v>
      </c>
      <c r="N49" s="26">
        <f t="shared" ca="1" si="20"/>
        <v>200</v>
      </c>
      <c r="O49" s="26">
        <f t="shared" si="21"/>
        <v>500</v>
      </c>
      <c r="P49" s="26">
        <f>ROUNDDOWN(P48+MAX(Construction!BO49/2,Construction!BO49*(1-Construction!BO49/(E49-Explore!S49*20)))-Q49*SUM(Techs!AY49:BY49),0)</f>
        <v>0</v>
      </c>
      <c r="Q49" s="166">
        <f>MAX(min_tech_cost,ROUNDDOWN(tech_cost_per_acre*Construction!E49,0))</f>
        <v>6426</v>
      </c>
      <c r="S49" s="152">
        <f t="shared" ca="1" si="23"/>
        <v>10651</v>
      </c>
      <c r="T49" s="164">
        <f t="shared" ca="1" si="30"/>
        <v>2755</v>
      </c>
      <c r="U49" s="164">
        <f t="shared" ca="1" si="31"/>
        <v>-330</v>
      </c>
      <c r="V49" s="164">
        <f t="shared" ca="1" si="32"/>
        <v>336</v>
      </c>
      <c r="W49" s="164">
        <f t="shared" ca="1" si="27"/>
        <v>0</v>
      </c>
      <c r="X49" s="164">
        <f t="shared" ca="1" si="28"/>
        <v>0</v>
      </c>
      <c r="Y49" s="265">
        <f>Construction!BP50*dock_boats_hr</f>
        <v>0</v>
      </c>
      <c r="Z49" s="164"/>
      <c r="AA49" s="152">
        <f ca="1">Population!C49*tax*Population!I49 + (Construction!AY50+Construction!BW50)*(alch_plat+(Magic!AR49&gt;0)*alchemist_flame_bonus)</f>
        <v>10651.5</v>
      </c>
      <c r="AB49" s="164">
        <f>Construction!$AZ49*farm_food + Construction!$BP49*dock_food+IF(race="Growth",ROUNDDOWN(Military!G49*8,0),0)</f>
        <v>6400</v>
      </c>
      <c r="AC49" s="164">
        <f>Construction!$BC49*ly_lumber+IF(race="Ants",ROUNDDOWN(Military!F49/2,0),0)</f>
        <v>2500</v>
      </c>
      <c r="AD49" s="26">
        <f>Construction!$BK50*tower_mana+IF(race="Templars",ROUNDDOWN(Military!F49*0.02,0),0)+IF(race="Black Orc",Military!G49*5,0)+IF(race="Growth",ROUNDDOWN(Military!G49*0.1,0),0)+IF(race="Void",ROUNDDOWN(Military!F49*1.5,0),0)+IF(race="Void",ROUNDDOWN(Military!G49*4,0),0)</f>
        <v>1250</v>
      </c>
      <c r="AE49" s="164">
        <f>Construction!$BE50*om_ore+IF(race="Dwarf",ROUNDDOWN(Military!F49*2,0),0)</f>
        <v>0</v>
      </c>
      <c r="AF49" s="57">
        <f>Construction!$BN50*dm_gems+IF(race="Dwarf",ROUNDDOWN(Military!F49/2,0),0)</f>
        <v>0</v>
      </c>
      <c r="AH49" s="266">
        <f ca="1">MIN(race_platinum_bonus + IF(Magic!AJ49&gt;0,midas_bonus) + Imps!Y49 - BB49*0.02+MAX(tech_production_plat*Techs!Y49,tech_treasure_hunt_plat*Techs!AR49), 0.5)</f>
        <v>0</v>
      </c>
      <c r="AI49" s="455">
        <f ca="1">race_food_bonus + IF(Magic!AO49&gt;0,gaias_blessing_food,IF(Magic!AG49&gt;0,gaias_watch_bonus)) + Imps!AD49+tech_production_food*Techs!W49 + O49/100*prestige_food_bonus</f>
        <v>0.1</v>
      </c>
      <c r="AJ49" s="267">
        <f ca="1">race_lumber_bonus+ IF(Magic!AO49&gt;0,gaias_blessing_lumber)+tech_fruits_of_labor1*Techs!AP49</f>
        <v>0</v>
      </c>
      <c r="AK49" s="267">
        <f ca="1">race_mana_bonus+tech_enchanted_lands_mana*Techs!AT49</f>
        <v>0</v>
      </c>
      <c r="AL49" s="267">
        <f ca="1">race_ore_bonus + IF(Magic!AL49&gt;0,miners_sight_bonus,IF(Magic!AH49&gt;0,mining_strength_bonus))+tech_fruits_of_labor1*Techs!AP49</f>
        <v>0</v>
      </c>
      <c r="AM49" s="193">
        <f ca="1">race_gem_bonus+MAX(tech_production_gems*Techs!X49,tech_fruits_of_labor_gems*Techs!AP49)</f>
        <v>0</v>
      </c>
      <c r="AO49" s="56">
        <f ca="1">I49*food_decay*IF(Magic!AZ49&gt;0,0.5,1)</f>
        <v>1974.8400000000001</v>
      </c>
      <c r="AP49" s="26">
        <f ca="1">(1+race_food_consumption)*Population!F49*food_per_person</f>
        <v>2310</v>
      </c>
      <c r="AQ49" s="26">
        <f t="shared" ca="1" si="33"/>
        <v>2830.01</v>
      </c>
      <c r="AR49" s="57">
        <f t="shared" ca="1" si="34"/>
        <v>914.42000000000007</v>
      </c>
      <c r="AS49" s="26"/>
      <c r="AT49" s="56">
        <f ca="1">Explore!AH49+Construction!AP49+Military!AU49+Rezone!Y49+Imps!AM49-BE49</f>
        <v>0</v>
      </c>
      <c r="AU49" s="26">
        <f>Construction!AQ49+Imps!AN49-BF49</f>
        <v>0</v>
      </c>
      <c r="AV49" s="26">
        <f>Magic!AD49</f>
        <v>0</v>
      </c>
      <c r="AW49" s="26">
        <f ca="1">Military!AV49+Imps!AO49-BG49</f>
        <v>0</v>
      </c>
      <c r="AX49" s="26">
        <f>Imps!AP49-BH49</f>
        <v>0</v>
      </c>
      <c r="AY49" s="26">
        <f ca="1">Military!AZ49</f>
        <v>0</v>
      </c>
      <c r="AZ49" s="57">
        <f ca="1">Military!BA49</f>
        <v>0</v>
      </c>
      <c r="BB49" s="56" t="b">
        <f t="shared" si="29"/>
        <v>0</v>
      </c>
      <c r="BC49" s="332"/>
      <c r="BD49" s="979">
        <v>47</v>
      </c>
      <c r="BE49" s="332"/>
      <c r="BF49" s="370"/>
      <c r="BG49" s="370"/>
      <c r="BH49" s="744"/>
      <c r="BI49" s="1036">
        <f t="shared" si="35"/>
        <v>43693.916666666555</v>
      </c>
      <c r="BJ49" s="159" t="str">
        <f t="shared" si="22"/>
        <v/>
      </c>
      <c r="BK49" s="26">
        <f t="shared" ca="1" si="18"/>
        <v>3437457</v>
      </c>
      <c r="BL49" s="26">
        <f t="shared" ca="1" si="9"/>
        <v>197484</v>
      </c>
      <c r="BM49" s="26">
        <f t="shared" ca="1" si="10"/>
        <v>283001</v>
      </c>
      <c r="BN49" s="26">
        <f t="shared" ca="1" si="11"/>
        <v>45721</v>
      </c>
      <c r="BO49" s="57">
        <f t="shared" ca="1" si="12"/>
        <v>231000</v>
      </c>
    </row>
    <row r="50" spans="1:67" s="16" customFormat="1" ht="13.5" thickBot="1">
      <c r="A50" s="987">
        <v>48</v>
      </c>
      <c r="B50" s="532">
        <f>Imps!L50</f>
        <v>43693.958333333219</v>
      </c>
      <c r="C50" s="332"/>
      <c r="D50" s="835"/>
      <c r="E50" s="56">
        <f>Construction!E50</f>
        <v>1000</v>
      </c>
      <c r="F50" s="26">
        <f ca="1">Population!$C50</f>
        <v>3945</v>
      </c>
      <c r="G50" s="26">
        <f ca="1">Military!EM50</f>
        <v>39460</v>
      </c>
      <c r="H50" s="26">
        <f ca="1">H49+S49 - AT50 + IF(C50,Population!C50*4)</f>
        <v>3448108</v>
      </c>
      <c r="I50" s="26">
        <f t="shared" ca="1" si="19"/>
        <v>200239</v>
      </c>
      <c r="J50" s="26">
        <f t="shared" ca="1" si="36"/>
        <v>282671</v>
      </c>
      <c r="K50" s="26">
        <f t="shared" ca="1" si="37"/>
        <v>46057</v>
      </c>
      <c r="L50" s="26">
        <f t="shared" ca="1" si="38"/>
        <v>231000</v>
      </c>
      <c r="M50" s="26">
        <f t="shared" ca="1" si="39"/>
        <v>20000</v>
      </c>
      <c r="N50" s="26">
        <f t="shared" ca="1" si="20"/>
        <v>200</v>
      </c>
      <c r="O50" s="26">
        <f t="shared" si="21"/>
        <v>500</v>
      </c>
      <c r="P50" s="26">
        <f>ROUNDDOWN(P49+MAX(Construction!BO50/2,Construction!BO50*(1-Construction!BO50/(E50-Explore!S50*20)))-Q50*SUM(Techs!AY50:BY50),0)</f>
        <v>0</v>
      </c>
      <c r="Q50" s="166">
        <f>MAX(min_tech_cost,ROUNDDOWN(tech_cost_per_acre*Construction!E50,0))</f>
        <v>6426</v>
      </c>
      <c r="S50" s="152">
        <f t="shared" ca="1" si="23"/>
        <v>10651</v>
      </c>
      <c r="T50" s="164">
        <f t="shared" ca="1" si="30"/>
        <v>2728</v>
      </c>
      <c r="U50" s="164">
        <f t="shared" ca="1" si="31"/>
        <v>-327</v>
      </c>
      <c r="V50" s="164">
        <f t="shared" ca="1" si="32"/>
        <v>329</v>
      </c>
      <c r="W50" s="164">
        <f t="shared" ca="1" si="27"/>
        <v>0</v>
      </c>
      <c r="X50" s="164">
        <f t="shared" ca="1" si="28"/>
        <v>0</v>
      </c>
      <c r="Y50" s="265">
        <f>Construction!BP51*dock_boats_hr</f>
        <v>0</v>
      </c>
      <c r="Z50" s="164"/>
      <c r="AA50" s="152">
        <f ca="1">Population!C50*tax*Population!I50 + (Construction!AY51+Construction!BW51)*(alch_plat+(Magic!AR50&gt;0)*alchemist_flame_bonus)</f>
        <v>10651.5</v>
      </c>
      <c r="AB50" s="164">
        <f>Construction!$AZ50*farm_food + Construction!$BP50*dock_food+IF(race="Growth",ROUNDDOWN(Military!G50*8,0),0)</f>
        <v>6400</v>
      </c>
      <c r="AC50" s="164">
        <f>Construction!$BC50*ly_lumber+IF(race="Ants",ROUNDDOWN(Military!F50/2,0),0)</f>
        <v>2500</v>
      </c>
      <c r="AD50" s="26">
        <f>Construction!$BK51*tower_mana+IF(race="Templars",ROUNDDOWN(Military!F50*0.02,0),0)+IF(race="Black Orc",Military!G50*5,0)+IF(race="Growth",ROUNDDOWN(Military!G50*0.1,0),0)+IF(race="Void",ROUNDDOWN(Military!F50*1.5,0),0)+IF(race="Void",ROUNDDOWN(Military!G50*4,0),0)</f>
        <v>1250</v>
      </c>
      <c r="AE50" s="164">
        <f>Construction!$BE51*om_ore+IF(race="Dwarf",ROUNDDOWN(Military!F50*2,0),0)</f>
        <v>0</v>
      </c>
      <c r="AF50" s="57">
        <f>Construction!$BN51*dm_gems+IF(race="Dwarf",ROUNDDOWN(Military!F50/2,0),0)</f>
        <v>0</v>
      </c>
      <c r="AH50" s="266">
        <f ca="1">MIN(race_platinum_bonus + IF(Magic!AJ50&gt;0,midas_bonus) + Imps!Y50 - BB50*0.02+MAX(tech_production_plat*Techs!Y50,tech_treasure_hunt_plat*Techs!AR50), 0.5)</f>
        <v>0</v>
      </c>
      <c r="AI50" s="455">
        <f ca="1">race_food_bonus + IF(Magic!AO50&gt;0,gaias_blessing_food,IF(Magic!AG50&gt;0,gaias_watch_bonus)) + Imps!AD50+tech_production_food*Techs!W50 + O50/100*prestige_food_bonus</f>
        <v>0.1</v>
      </c>
      <c r="AJ50" s="267">
        <f ca="1">race_lumber_bonus+ IF(Magic!AO50&gt;0,gaias_blessing_lumber)+tech_fruits_of_labor1*Techs!AP50</f>
        <v>0</v>
      </c>
      <c r="AK50" s="267">
        <f ca="1">race_mana_bonus+tech_enchanted_lands_mana*Techs!AT50</f>
        <v>0</v>
      </c>
      <c r="AL50" s="267">
        <f ca="1">race_ore_bonus + IF(Magic!AL50&gt;0,miners_sight_bonus,IF(Magic!AH50&gt;0,mining_strength_bonus))+tech_fruits_of_labor1*Techs!AP50</f>
        <v>0</v>
      </c>
      <c r="AM50" s="193">
        <f ca="1">race_gem_bonus+MAX(tech_production_gems*Techs!X50,tech_fruits_of_labor_gems*Techs!AP50)</f>
        <v>0</v>
      </c>
      <c r="AO50" s="56">
        <f ca="1">I50*food_decay*IF(Magic!AZ50&gt;0,0.5,1)</f>
        <v>2002.39</v>
      </c>
      <c r="AP50" s="26">
        <f ca="1">(1+race_food_consumption)*Population!F50*food_per_person</f>
        <v>2310</v>
      </c>
      <c r="AQ50" s="26">
        <f t="shared" ca="1" si="33"/>
        <v>2826.71</v>
      </c>
      <c r="AR50" s="57">
        <f t="shared" ca="1" si="34"/>
        <v>921.14</v>
      </c>
      <c r="AS50" s="26"/>
      <c r="AT50" s="56">
        <f ca="1">Explore!AH50+Construction!AP50+Military!AU50+Rezone!Y50+Imps!AM50-BE50</f>
        <v>0</v>
      </c>
      <c r="AU50" s="26">
        <f>Construction!AQ50+Imps!AN50-BF50</f>
        <v>0</v>
      </c>
      <c r="AV50" s="26">
        <f>Magic!AD50</f>
        <v>0</v>
      </c>
      <c r="AW50" s="26">
        <f ca="1">Military!AV50+Imps!AO50-BG50</f>
        <v>0</v>
      </c>
      <c r="AX50" s="26">
        <f>Imps!AP50-BH50</f>
        <v>0</v>
      </c>
      <c r="AY50" s="26">
        <f ca="1">Military!AZ50</f>
        <v>0</v>
      </c>
      <c r="AZ50" s="57">
        <f ca="1">Military!BA50</f>
        <v>0</v>
      </c>
      <c r="BB50" s="56" t="b">
        <f t="shared" si="29"/>
        <v>0</v>
      </c>
      <c r="BC50" s="332"/>
      <c r="BD50" s="979">
        <v>48</v>
      </c>
      <c r="BE50" s="332"/>
      <c r="BF50" s="370"/>
      <c r="BG50" s="370"/>
      <c r="BH50" s="744"/>
      <c r="BI50" s="1036">
        <f t="shared" si="35"/>
        <v>43693.958333333219</v>
      </c>
      <c r="BJ50" s="159" t="str">
        <f t="shared" si="22"/>
        <v/>
      </c>
      <c r="BK50" s="26">
        <f t="shared" ca="1" si="18"/>
        <v>3448108</v>
      </c>
      <c r="BL50" s="26">
        <f t="shared" ca="1" si="9"/>
        <v>200239</v>
      </c>
      <c r="BM50" s="26">
        <f t="shared" ca="1" si="10"/>
        <v>282671</v>
      </c>
      <c r="BN50" s="26">
        <f t="shared" ca="1" si="11"/>
        <v>46057</v>
      </c>
      <c r="BO50" s="57">
        <f t="shared" ca="1" si="12"/>
        <v>231000</v>
      </c>
    </row>
    <row r="51" spans="1:67" s="111" customFormat="1" ht="14.25" thickTop="1" thickBot="1">
      <c r="A51" s="991">
        <v>49</v>
      </c>
      <c r="B51" s="782">
        <f>Imps!L51</f>
        <v>43693.999999999884</v>
      </c>
      <c r="C51" s="334"/>
      <c r="D51" s="839"/>
      <c r="E51" s="110">
        <f>Construction!E51</f>
        <v>1000</v>
      </c>
      <c r="F51" s="108">
        <f ca="1">Population!$C51</f>
        <v>3945</v>
      </c>
      <c r="G51" s="108">
        <f ca="1">Military!EM51</f>
        <v>39460</v>
      </c>
      <c r="H51" s="108">
        <f ca="1">H50+S50 - AT51 + IF(C51,Population!C51*4)</f>
        <v>3458759</v>
      </c>
      <c r="I51" s="108">
        <f t="shared" ca="1" si="19"/>
        <v>202967</v>
      </c>
      <c r="J51" s="108">
        <f t="shared" ca="1" si="36"/>
        <v>282344</v>
      </c>
      <c r="K51" s="108">
        <f t="shared" ca="1" si="37"/>
        <v>46386</v>
      </c>
      <c r="L51" s="108">
        <f t="shared" ca="1" si="38"/>
        <v>231000</v>
      </c>
      <c r="M51" s="108">
        <f t="shared" ca="1" si="39"/>
        <v>20000</v>
      </c>
      <c r="N51" s="108">
        <f t="shared" ca="1" si="20"/>
        <v>200</v>
      </c>
      <c r="O51" s="108">
        <f t="shared" si="21"/>
        <v>500</v>
      </c>
      <c r="P51" s="108">
        <f>ROUNDDOWN(P50+MAX(Construction!BO51/2,Construction!BO51*(1-Construction!BO51/(E51-Explore!S51*20)))-Q51*SUM(Techs!AY51:BY51),0)</f>
        <v>0</v>
      </c>
      <c r="Q51" s="109">
        <f>MAX(min_tech_cost,ROUNDDOWN(tech_cost_per_acre*Construction!E51,0))</f>
        <v>6426</v>
      </c>
      <c r="S51" s="273">
        <f t="shared" ca="1" si="23"/>
        <v>10651</v>
      </c>
      <c r="T51" s="277">
        <f t="shared" ca="1" si="30"/>
        <v>2700</v>
      </c>
      <c r="U51" s="277">
        <f t="shared" ca="1" si="31"/>
        <v>-323</v>
      </c>
      <c r="V51" s="277">
        <f t="shared" ca="1" si="32"/>
        <v>322</v>
      </c>
      <c r="W51" s="277">
        <f t="shared" ca="1" si="27"/>
        <v>0</v>
      </c>
      <c r="X51" s="277">
        <f t="shared" ca="1" si="28"/>
        <v>0</v>
      </c>
      <c r="Y51" s="278">
        <f>Construction!BP52*dock_boats_hr</f>
        <v>0</v>
      </c>
      <c r="Z51" s="277"/>
      <c r="AA51" s="273">
        <f ca="1">Population!C51*tax*Population!I51 + (Construction!AY52+Construction!BW52)*(alch_plat+(Magic!AR51&gt;0)*alchemist_flame_bonus)</f>
        <v>10651.5</v>
      </c>
      <c r="AB51" s="277">
        <f>Construction!$AZ51*farm_food + Construction!$BP51*dock_food+IF(race="Growth",ROUNDDOWN(Military!G51*8,0),0)</f>
        <v>6400</v>
      </c>
      <c r="AC51" s="277">
        <f>Construction!$BC51*ly_lumber+IF(race="Ants",ROUNDDOWN(Military!F51/2,0),0)</f>
        <v>2500</v>
      </c>
      <c r="AD51" s="108">
        <f>Construction!$BK52*tower_mana+IF(race="Templars",ROUNDDOWN(Military!F51*0.02,0),0)+IF(race="Black Orc",Military!G51*5,0)+IF(race="Growth",ROUNDDOWN(Military!G51*0.1,0),0)+IF(race="Void",ROUNDDOWN(Military!F51*1.5,0),0)+IF(race="Void",ROUNDDOWN(Military!G51*4,0),0)</f>
        <v>1250</v>
      </c>
      <c r="AE51" s="277">
        <f>Construction!$BE52*om_ore+IF(race="Dwarf",ROUNDDOWN(Military!F51*2,0),0)</f>
        <v>0</v>
      </c>
      <c r="AF51" s="109">
        <f>Construction!$BN52*dm_gems+IF(race="Dwarf",ROUNDDOWN(Military!F51/2,0),0)</f>
        <v>0</v>
      </c>
      <c r="AH51" s="1164">
        <f ca="1">MIN(race_platinum_bonus + IF(Magic!AJ51&gt;0,midas_bonus) + Imps!Y51 - BB51*0.02+MAX(tech_production_plat*Techs!Y51,tech_treasure_hunt_plat*Techs!AR51), 0.5)</f>
        <v>0</v>
      </c>
      <c r="AI51" s="1165">
        <f ca="1">race_food_bonus + IF(Magic!AO51&gt;0,gaias_blessing_food,IF(Magic!AG51&gt;0,gaias_watch_bonus)) + Imps!AD51+tech_production_food*Techs!W51 + O51/100*prestige_food_bonus</f>
        <v>0.1</v>
      </c>
      <c r="AJ51" s="291">
        <f ca="1">race_lumber_bonus+ IF(Magic!AO51&gt;0,gaias_blessing_lumber)+tech_fruits_of_labor1*Techs!AP51</f>
        <v>0</v>
      </c>
      <c r="AK51" s="291">
        <f ca="1">race_mana_bonus+tech_enchanted_lands_mana*Techs!AT51</f>
        <v>0</v>
      </c>
      <c r="AL51" s="291">
        <f ca="1">race_ore_bonus + IF(Magic!AL51&gt;0,miners_sight_bonus,IF(Magic!AH51&gt;0,mining_strength_bonus))+tech_fruits_of_labor1*Techs!AP51</f>
        <v>0</v>
      </c>
      <c r="AM51" s="1166">
        <f ca="1">race_gem_bonus+MAX(tech_production_gems*Techs!X51,tech_fruits_of_labor_gems*Techs!AP51)</f>
        <v>0</v>
      </c>
      <c r="AO51" s="110">
        <f ca="1">I51*food_decay*IF(Magic!AZ51&gt;0,0.5,1)</f>
        <v>2029.67</v>
      </c>
      <c r="AP51" s="108">
        <f ca="1">(1+race_food_consumption)*Population!F51*food_per_person</f>
        <v>2310</v>
      </c>
      <c r="AQ51" s="108">
        <f t="shared" ca="1" si="33"/>
        <v>2823.44</v>
      </c>
      <c r="AR51" s="109">
        <f t="shared" ca="1" si="34"/>
        <v>927.72</v>
      </c>
      <c r="AS51" s="108"/>
      <c r="AT51" s="110">
        <f ca="1">Explore!AH51+Construction!AP51+Military!AU51+Rezone!Y51+Imps!AM51-BE51</f>
        <v>0</v>
      </c>
      <c r="AU51" s="108">
        <f>Construction!AQ51+Imps!AN51-BF51</f>
        <v>0</v>
      </c>
      <c r="AV51" s="108">
        <f>Magic!AD51</f>
        <v>0</v>
      </c>
      <c r="AW51" s="108">
        <f ca="1">Military!AV51+Imps!AO51-BG51</f>
        <v>0</v>
      </c>
      <c r="AX51" s="108">
        <f>Imps!AP51-BH51</f>
        <v>0</v>
      </c>
      <c r="AY51" s="108">
        <f ca="1">Military!AZ51</f>
        <v>0</v>
      </c>
      <c r="AZ51" s="109">
        <f ca="1">Military!BA51</f>
        <v>0</v>
      </c>
      <c r="BB51" s="110" t="b">
        <f t="shared" si="29"/>
        <v>0</v>
      </c>
      <c r="BC51" s="334"/>
      <c r="BD51" s="983">
        <v>49</v>
      </c>
      <c r="BE51" s="334"/>
      <c r="BF51" s="433"/>
      <c r="BG51" s="433"/>
      <c r="BH51" s="748"/>
      <c r="BI51" s="1040">
        <f t="shared" si="35"/>
        <v>43693.999999999884</v>
      </c>
      <c r="BJ51" s="290" t="str">
        <f t="shared" si="22"/>
        <v/>
      </c>
      <c r="BK51" s="108">
        <f t="shared" ca="1" si="18"/>
        <v>3458759</v>
      </c>
      <c r="BL51" s="108">
        <f t="shared" ca="1" si="9"/>
        <v>202967</v>
      </c>
      <c r="BM51" s="108">
        <f t="shared" ca="1" si="10"/>
        <v>282344</v>
      </c>
      <c r="BN51" s="108">
        <f t="shared" ca="1" si="11"/>
        <v>46386</v>
      </c>
      <c r="BO51" s="109">
        <f t="shared" ca="1" si="12"/>
        <v>231000</v>
      </c>
    </row>
    <row r="52" spans="1:67" s="16" customFormat="1" ht="13.5" thickTop="1">
      <c r="A52" s="987">
        <v>50</v>
      </c>
      <c r="B52" s="532">
        <f>Imps!L52</f>
        <v>43694.041666666548</v>
      </c>
      <c r="C52" s="332"/>
      <c r="D52" s="835"/>
      <c r="E52" s="56">
        <f>Construction!E52</f>
        <v>1000</v>
      </c>
      <c r="F52" s="26">
        <f ca="1">Population!$C52</f>
        <v>3945</v>
      </c>
      <c r="G52" s="26">
        <f ca="1">Military!EM52</f>
        <v>39460</v>
      </c>
      <c r="H52" s="26">
        <f ca="1">H51+S51 - AT52 + IF(C52,Population!C52*4)</f>
        <v>3469410</v>
      </c>
      <c r="I52" s="26">
        <f t="shared" ca="1" si="19"/>
        <v>205667</v>
      </c>
      <c r="J52" s="26">
        <f t="shared" ca="1" si="36"/>
        <v>282021</v>
      </c>
      <c r="K52" s="26">
        <f t="shared" ca="1" si="37"/>
        <v>46708</v>
      </c>
      <c r="L52" s="26">
        <f t="shared" ca="1" si="38"/>
        <v>231000</v>
      </c>
      <c r="M52" s="26">
        <f t="shared" ca="1" si="39"/>
        <v>20000</v>
      </c>
      <c r="N52" s="26">
        <f t="shared" ca="1" si="20"/>
        <v>200</v>
      </c>
      <c r="O52" s="26">
        <f t="shared" si="21"/>
        <v>500</v>
      </c>
      <c r="P52" s="26">
        <f>ROUNDDOWN(P51+MAX(Construction!BO52/2,Construction!BO52*(1-Construction!BO52/(E52-Explore!S52*20)))-Q52*SUM(Techs!AY52:BY52),0)</f>
        <v>0</v>
      </c>
      <c r="Q52" s="166">
        <f>MAX(min_tech_cost,ROUNDDOWN(tech_cost_per_acre*Construction!E52,0))</f>
        <v>6426</v>
      </c>
      <c r="S52" s="152">
        <f t="shared" ca="1" si="23"/>
        <v>10651</v>
      </c>
      <c r="T52" s="164">
        <f t="shared" ca="1" si="30"/>
        <v>2673</v>
      </c>
      <c r="U52" s="164">
        <f t="shared" ca="1" si="31"/>
        <v>-320</v>
      </c>
      <c r="V52" s="164">
        <f t="shared" ca="1" si="32"/>
        <v>316</v>
      </c>
      <c r="W52" s="164">
        <f t="shared" ca="1" si="27"/>
        <v>0</v>
      </c>
      <c r="X52" s="164">
        <f t="shared" ca="1" si="28"/>
        <v>0</v>
      </c>
      <c r="Y52" s="265">
        <f>Construction!BP53*dock_boats_hr</f>
        <v>0</v>
      </c>
      <c r="Z52" s="164"/>
      <c r="AA52" s="152">
        <f ca="1">Population!C52*tax*Population!I52 + (Construction!AY53+Construction!BW53)*(alch_plat+(Magic!AR52&gt;0)*alchemist_flame_bonus)</f>
        <v>10651.5</v>
      </c>
      <c r="AB52" s="164">
        <f>Construction!$AZ52*farm_food + Construction!$BP52*dock_food+IF(race="Growth",ROUNDDOWN(Military!G52*8,0),0)</f>
        <v>6400</v>
      </c>
      <c r="AC52" s="164">
        <f>Construction!$BC52*ly_lumber+IF(race="Ants",ROUNDDOWN(Military!F52/2,0),0)</f>
        <v>2500</v>
      </c>
      <c r="AD52" s="26">
        <f>Construction!$BK53*tower_mana+IF(race="Templars",ROUNDDOWN(Military!F52*0.02,0),0)+IF(race="Black Orc",Military!G52*5,0)+IF(race="Growth",ROUNDDOWN(Military!G52*0.1,0),0)+IF(race="Void",ROUNDDOWN(Military!F52*1.5,0),0)+IF(race="Void",ROUNDDOWN(Military!G52*4,0),0)</f>
        <v>1250</v>
      </c>
      <c r="AE52" s="164">
        <f>Construction!$BE53*om_ore+IF(race="Dwarf",ROUNDDOWN(Military!F52*2,0),0)</f>
        <v>0</v>
      </c>
      <c r="AF52" s="57">
        <f>Construction!$BN53*dm_gems+IF(race="Dwarf",ROUNDDOWN(Military!F52/2,0),0)</f>
        <v>0</v>
      </c>
      <c r="AH52" s="266">
        <f ca="1">MIN(race_platinum_bonus + IF(Magic!AJ52&gt;0,midas_bonus) + Imps!Y52 - BB52*0.02+MAX(tech_production_plat*Techs!Y52,tech_treasure_hunt_plat*Techs!AR52), 0.5)</f>
        <v>0</v>
      </c>
      <c r="AI52" s="455">
        <f ca="1">race_food_bonus + IF(Magic!AO52&gt;0,gaias_blessing_food,IF(Magic!AG52&gt;0,gaias_watch_bonus)) + Imps!AD52+tech_production_food*Techs!W52 + O52/100*prestige_food_bonus</f>
        <v>0.1</v>
      </c>
      <c r="AJ52" s="267">
        <f ca="1">race_lumber_bonus+ IF(Magic!AO52&gt;0,gaias_blessing_lumber)+tech_fruits_of_labor1*Techs!AP52</f>
        <v>0</v>
      </c>
      <c r="AK52" s="267">
        <f ca="1">race_mana_bonus+tech_enchanted_lands_mana*Techs!AT52</f>
        <v>0</v>
      </c>
      <c r="AL52" s="267">
        <f ca="1">race_ore_bonus + IF(Magic!AL52&gt;0,miners_sight_bonus,IF(Magic!AH52&gt;0,mining_strength_bonus))+tech_fruits_of_labor1*Techs!AP52</f>
        <v>0</v>
      </c>
      <c r="AM52" s="193">
        <f ca="1">race_gem_bonus+MAX(tech_production_gems*Techs!X52,tech_fruits_of_labor_gems*Techs!AP52)</f>
        <v>0</v>
      </c>
      <c r="AO52" s="56">
        <f ca="1">I52*food_decay*IF(Magic!AZ52&gt;0,0.5,1)</f>
        <v>2056.67</v>
      </c>
      <c r="AP52" s="26">
        <f ca="1">(1+race_food_consumption)*Population!F52*food_per_person</f>
        <v>2310</v>
      </c>
      <c r="AQ52" s="26">
        <f t="shared" ca="1" si="33"/>
        <v>2820.21</v>
      </c>
      <c r="AR52" s="57">
        <f t="shared" ca="1" si="34"/>
        <v>934.16</v>
      </c>
      <c r="AS52" s="26"/>
      <c r="AT52" s="56">
        <f ca="1">Explore!AH52+Construction!AP52+Military!AU52+Rezone!Y52+Imps!AM52-BE52</f>
        <v>0</v>
      </c>
      <c r="AU52" s="26">
        <f>Construction!AQ52+Imps!AN52-BF52</f>
        <v>0</v>
      </c>
      <c r="AV52" s="26">
        <f>Magic!AD52</f>
        <v>0</v>
      </c>
      <c r="AW52" s="26">
        <f ca="1">Military!AV52+Imps!AO52-BG52</f>
        <v>0</v>
      </c>
      <c r="AX52" s="26">
        <f>Imps!AP52-BH52</f>
        <v>0</v>
      </c>
      <c r="AY52" s="26">
        <f ca="1">Military!AZ52</f>
        <v>0</v>
      </c>
      <c r="AZ52" s="57">
        <f ca="1">Military!BA52</f>
        <v>0</v>
      </c>
      <c r="BB52" s="56" t="b">
        <f t="shared" si="29"/>
        <v>0</v>
      </c>
      <c r="BC52" s="332"/>
      <c r="BD52" s="979">
        <v>50</v>
      </c>
      <c r="BE52" s="332"/>
      <c r="BF52" s="370"/>
      <c r="BG52" s="370"/>
      <c r="BH52" s="744"/>
      <c r="BI52" s="1036">
        <f t="shared" si="35"/>
        <v>43694.041666666548</v>
      </c>
      <c r="BJ52" s="159" t="str">
        <f t="shared" si="22"/>
        <v/>
      </c>
      <c r="BK52" s="26">
        <f t="shared" ca="1" si="18"/>
        <v>3469410</v>
      </c>
      <c r="BL52" s="26">
        <f t="shared" ca="1" si="9"/>
        <v>205667</v>
      </c>
      <c r="BM52" s="26">
        <f t="shared" ca="1" si="10"/>
        <v>282021</v>
      </c>
      <c r="BN52" s="26">
        <f t="shared" ca="1" si="11"/>
        <v>46708</v>
      </c>
      <c r="BO52" s="57">
        <f t="shared" ca="1" si="12"/>
        <v>231000</v>
      </c>
    </row>
    <row r="53" spans="1:67" s="16" customFormat="1">
      <c r="A53" s="987">
        <v>51</v>
      </c>
      <c r="B53" s="816">
        <f>Imps!L53</f>
        <v>43694.083333333212</v>
      </c>
      <c r="C53" s="332"/>
      <c r="D53" s="835"/>
      <c r="E53" s="56">
        <f>Construction!E53</f>
        <v>1000</v>
      </c>
      <c r="F53" s="26">
        <f ca="1">Population!$C53</f>
        <v>3945</v>
      </c>
      <c r="G53" s="26">
        <f ca="1">Military!EM53</f>
        <v>39460</v>
      </c>
      <c r="H53" s="26">
        <f ca="1">H52+S52 - AT53 + IF(C53,Population!C53*4)</f>
        <v>3480061</v>
      </c>
      <c r="I53" s="26">
        <f t="shared" ca="1" si="19"/>
        <v>208340</v>
      </c>
      <c r="J53" s="26">
        <f t="shared" ca="1" si="36"/>
        <v>281701</v>
      </c>
      <c r="K53" s="26">
        <f t="shared" ca="1" si="37"/>
        <v>47024</v>
      </c>
      <c r="L53" s="26">
        <f t="shared" ca="1" si="38"/>
        <v>231000</v>
      </c>
      <c r="M53" s="26">
        <f t="shared" ca="1" si="39"/>
        <v>20000</v>
      </c>
      <c r="N53" s="26">
        <f t="shared" ca="1" si="20"/>
        <v>200</v>
      </c>
      <c r="O53" s="26">
        <f t="shared" si="21"/>
        <v>500</v>
      </c>
      <c r="P53" s="26">
        <f>ROUNDDOWN(P52+MAX(Construction!BO53/2,Construction!BO53*(1-Construction!BO53/(E53-Explore!S53*20)))-Q53*SUM(Techs!AY53:BY53),0)</f>
        <v>0</v>
      </c>
      <c r="Q53" s="166">
        <f>MAX(min_tech_cost,ROUNDDOWN(tech_cost_per_acre*Construction!E53,0))</f>
        <v>6426</v>
      </c>
      <c r="S53" s="152">
        <f t="shared" ca="1" si="23"/>
        <v>10651</v>
      </c>
      <c r="T53" s="164">
        <f t="shared" ca="1" si="30"/>
        <v>2647</v>
      </c>
      <c r="U53" s="164">
        <f t="shared" ca="1" si="31"/>
        <v>-317</v>
      </c>
      <c r="V53" s="164">
        <f t="shared" ca="1" si="32"/>
        <v>310</v>
      </c>
      <c r="W53" s="164">
        <f t="shared" ca="1" si="27"/>
        <v>0</v>
      </c>
      <c r="X53" s="164">
        <f t="shared" ca="1" si="28"/>
        <v>0</v>
      </c>
      <c r="Y53" s="265">
        <f>Construction!BP54*dock_boats_hr</f>
        <v>0</v>
      </c>
      <c r="Z53" s="164"/>
      <c r="AA53" s="152">
        <f ca="1">Population!C53*tax*Population!I53 + (Construction!AY54+Construction!BW54)*(alch_plat+(Magic!AR53&gt;0)*alchemist_flame_bonus)</f>
        <v>10651.5</v>
      </c>
      <c r="AB53" s="164">
        <f>Construction!$AZ53*farm_food + Construction!$BP53*dock_food+IF(race="Growth",ROUNDDOWN(Military!G53*8,0),0)</f>
        <v>6400</v>
      </c>
      <c r="AC53" s="164">
        <f>Construction!$BC53*ly_lumber+IF(race="Ants",ROUNDDOWN(Military!F53/2,0),0)</f>
        <v>2500</v>
      </c>
      <c r="AD53" s="26">
        <f>Construction!$BK54*tower_mana+IF(race="Templars",ROUNDDOWN(Military!F53*0.02,0),0)+IF(race="Black Orc",Military!G53*5,0)+IF(race="Growth",ROUNDDOWN(Military!G53*0.1,0),0)+IF(race="Void",ROUNDDOWN(Military!F53*1.5,0),0)+IF(race="Void",ROUNDDOWN(Military!G53*4,0),0)</f>
        <v>1250</v>
      </c>
      <c r="AE53" s="164">
        <f>Construction!$BE54*om_ore+IF(race="Dwarf",ROUNDDOWN(Military!F53*2,0),0)</f>
        <v>0</v>
      </c>
      <c r="AF53" s="57">
        <f>Construction!$BN54*dm_gems+IF(race="Dwarf",ROUNDDOWN(Military!F53/2,0),0)</f>
        <v>0</v>
      </c>
      <c r="AH53" s="266">
        <f ca="1">MIN(race_platinum_bonus + IF(Magic!AJ53&gt;0,midas_bonus) + Imps!Y53 - BB53*0.02+MAX(tech_production_plat*Techs!Y53,tech_treasure_hunt_plat*Techs!AR53), 0.5)</f>
        <v>0</v>
      </c>
      <c r="AI53" s="455">
        <f ca="1">race_food_bonus + IF(Magic!AO53&gt;0,gaias_blessing_food,IF(Magic!AG53&gt;0,gaias_watch_bonus)) + Imps!AD53+tech_production_food*Techs!W53 + O53/100*prestige_food_bonus</f>
        <v>0.1</v>
      </c>
      <c r="AJ53" s="267">
        <f ca="1">race_lumber_bonus+ IF(Magic!AO53&gt;0,gaias_blessing_lumber)+tech_fruits_of_labor1*Techs!AP53</f>
        <v>0</v>
      </c>
      <c r="AK53" s="267">
        <f ca="1">race_mana_bonus+tech_enchanted_lands_mana*Techs!AT53</f>
        <v>0</v>
      </c>
      <c r="AL53" s="267">
        <f ca="1">race_ore_bonus + IF(Magic!AL53&gt;0,miners_sight_bonus,IF(Magic!AH53&gt;0,mining_strength_bonus))+tech_fruits_of_labor1*Techs!AP53</f>
        <v>0</v>
      </c>
      <c r="AM53" s="193">
        <f ca="1">race_gem_bonus+MAX(tech_production_gems*Techs!X53,tech_fruits_of_labor_gems*Techs!AP53)</f>
        <v>0</v>
      </c>
      <c r="AO53" s="56">
        <f ca="1">I53*food_decay*IF(Magic!AZ53&gt;0,0.5,1)</f>
        <v>2083.4</v>
      </c>
      <c r="AP53" s="26">
        <f ca="1">(1+race_food_consumption)*Population!F53*food_per_person</f>
        <v>2310</v>
      </c>
      <c r="AQ53" s="26">
        <f t="shared" ca="1" si="33"/>
        <v>2817.01</v>
      </c>
      <c r="AR53" s="57">
        <f t="shared" ca="1" si="34"/>
        <v>940.48</v>
      </c>
      <c r="AS53" s="26"/>
      <c r="AT53" s="56">
        <f ca="1">Explore!AH53+Construction!AP53+Military!AU53+Rezone!Y53+Imps!AM53-BE53</f>
        <v>0</v>
      </c>
      <c r="AU53" s="26">
        <f>Construction!AQ53+Imps!AN53-BF53</f>
        <v>0</v>
      </c>
      <c r="AV53" s="26">
        <f>Magic!AD53</f>
        <v>0</v>
      </c>
      <c r="AW53" s="26">
        <f ca="1">Military!AV53+Imps!AO53-BG53</f>
        <v>0</v>
      </c>
      <c r="AX53" s="26">
        <f>Imps!AP53-BH53</f>
        <v>0</v>
      </c>
      <c r="AY53" s="26">
        <f ca="1">Military!AZ53</f>
        <v>0</v>
      </c>
      <c r="AZ53" s="57">
        <f ca="1">Military!BA53</f>
        <v>0</v>
      </c>
      <c r="BB53" s="56" t="b">
        <f t="shared" si="29"/>
        <v>0</v>
      </c>
      <c r="BC53" s="332"/>
      <c r="BD53" s="979">
        <v>51</v>
      </c>
      <c r="BE53" s="332"/>
      <c r="BF53" s="370"/>
      <c r="BG53" s="370"/>
      <c r="BH53" s="744"/>
      <c r="BI53" s="1036">
        <f t="shared" si="35"/>
        <v>43694.083333333212</v>
      </c>
      <c r="BJ53" s="159" t="str">
        <f t="shared" si="22"/>
        <v/>
      </c>
      <c r="BK53" s="26">
        <f t="shared" ca="1" si="18"/>
        <v>3480061</v>
      </c>
      <c r="BL53" s="26">
        <f t="shared" ca="1" si="9"/>
        <v>208340</v>
      </c>
      <c r="BM53" s="26">
        <f t="shared" ca="1" si="10"/>
        <v>281701</v>
      </c>
      <c r="BN53" s="26">
        <f t="shared" ca="1" si="11"/>
        <v>47024</v>
      </c>
      <c r="BO53" s="57">
        <f t="shared" ca="1" si="12"/>
        <v>231000</v>
      </c>
    </row>
    <row r="54" spans="1:67" s="16" customFormat="1">
      <c r="A54" s="987">
        <v>52</v>
      </c>
      <c r="B54" s="816">
        <f>Imps!L54</f>
        <v>43694.124999999876</v>
      </c>
      <c r="C54" s="332"/>
      <c r="D54" s="835"/>
      <c r="E54" s="56">
        <f>Construction!E54</f>
        <v>1000</v>
      </c>
      <c r="F54" s="26">
        <f ca="1">Population!$C54</f>
        <v>3945</v>
      </c>
      <c r="G54" s="26">
        <f ca="1">Military!EM54</f>
        <v>39460</v>
      </c>
      <c r="H54" s="26">
        <f ca="1">H53+S53 - AT54 + IF(C54,Population!C54*4)</f>
        <v>3490712</v>
      </c>
      <c r="I54" s="26">
        <f t="shared" ca="1" si="19"/>
        <v>210987</v>
      </c>
      <c r="J54" s="26">
        <f t="shared" ca="1" si="36"/>
        <v>281384</v>
      </c>
      <c r="K54" s="26">
        <f t="shared" ca="1" si="37"/>
        <v>47334</v>
      </c>
      <c r="L54" s="26">
        <f t="shared" ca="1" si="38"/>
        <v>231000</v>
      </c>
      <c r="M54" s="26">
        <f t="shared" ca="1" si="39"/>
        <v>20000</v>
      </c>
      <c r="N54" s="26">
        <f t="shared" ca="1" si="20"/>
        <v>200</v>
      </c>
      <c r="O54" s="26">
        <f t="shared" si="21"/>
        <v>500</v>
      </c>
      <c r="P54" s="26">
        <f>ROUNDDOWN(P53+MAX(Construction!BO54/2,Construction!BO54*(1-Construction!BO54/(E54-Explore!S54*20)))-Q54*SUM(Techs!AY54:BY54),0)</f>
        <v>0</v>
      </c>
      <c r="Q54" s="166">
        <f>MAX(min_tech_cost,ROUNDDOWN(tech_cost_per_acre*Construction!E54,0))</f>
        <v>6426</v>
      </c>
      <c r="S54" s="152">
        <f t="shared" ca="1" si="23"/>
        <v>10651</v>
      </c>
      <c r="T54" s="164">
        <f t="shared" ca="1" si="30"/>
        <v>2620</v>
      </c>
      <c r="U54" s="164">
        <f t="shared" ca="1" si="31"/>
        <v>-314</v>
      </c>
      <c r="V54" s="164">
        <f t="shared" ca="1" si="32"/>
        <v>303</v>
      </c>
      <c r="W54" s="164">
        <f t="shared" ca="1" si="27"/>
        <v>0</v>
      </c>
      <c r="X54" s="164">
        <f t="shared" ca="1" si="28"/>
        <v>0</v>
      </c>
      <c r="Y54" s="265">
        <f>Construction!BP55*dock_boats_hr</f>
        <v>0</v>
      </c>
      <c r="Z54" s="164"/>
      <c r="AA54" s="152">
        <f ca="1">Population!C54*tax*Population!I54 + (Construction!AY55+Construction!BW55)*(alch_plat+(Magic!AR54&gt;0)*alchemist_flame_bonus)</f>
        <v>10651.5</v>
      </c>
      <c r="AB54" s="164">
        <f>Construction!$AZ54*farm_food + Construction!$BP54*dock_food+IF(race="Growth",ROUNDDOWN(Military!G54*8,0),0)</f>
        <v>6400</v>
      </c>
      <c r="AC54" s="164">
        <f>Construction!$BC54*ly_lumber+IF(race="Ants",ROUNDDOWN(Military!F54/2,0),0)</f>
        <v>2500</v>
      </c>
      <c r="AD54" s="26">
        <f>Construction!$BK55*tower_mana+IF(race="Templars",ROUNDDOWN(Military!F54*0.02,0),0)+IF(race="Black Orc",Military!G54*5,0)+IF(race="Growth",ROUNDDOWN(Military!G54*0.1,0),0)+IF(race="Void",ROUNDDOWN(Military!F54*1.5,0),0)+IF(race="Void",ROUNDDOWN(Military!G54*4,0),0)</f>
        <v>1250</v>
      </c>
      <c r="AE54" s="164">
        <f>Construction!$BE55*om_ore+IF(race="Dwarf",ROUNDDOWN(Military!F54*2,0),0)</f>
        <v>0</v>
      </c>
      <c r="AF54" s="57">
        <f>Construction!$BN55*dm_gems+IF(race="Dwarf",ROUNDDOWN(Military!F54/2,0),0)</f>
        <v>0</v>
      </c>
      <c r="AH54" s="266">
        <f ca="1">MIN(race_platinum_bonus + IF(Magic!AJ54&gt;0,midas_bonus) + Imps!Y54 - BB54*0.02+MAX(tech_production_plat*Techs!Y54,tech_treasure_hunt_plat*Techs!AR54), 0.5)</f>
        <v>0</v>
      </c>
      <c r="AI54" s="455">
        <f ca="1">race_food_bonus + IF(Magic!AO54&gt;0,gaias_blessing_food,IF(Magic!AG54&gt;0,gaias_watch_bonus)) + Imps!AD54+tech_production_food*Techs!W54 + O54/100*prestige_food_bonus</f>
        <v>0.1</v>
      </c>
      <c r="AJ54" s="267">
        <f ca="1">race_lumber_bonus+ IF(Magic!AO54&gt;0,gaias_blessing_lumber)+tech_fruits_of_labor1*Techs!AP54</f>
        <v>0</v>
      </c>
      <c r="AK54" s="267">
        <f ca="1">race_mana_bonus+tech_enchanted_lands_mana*Techs!AT54</f>
        <v>0</v>
      </c>
      <c r="AL54" s="267">
        <f ca="1">race_ore_bonus + IF(Magic!AL54&gt;0,miners_sight_bonus,IF(Magic!AH54&gt;0,mining_strength_bonus))+tech_fruits_of_labor1*Techs!AP54</f>
        <v>0</v>
      </c>
      <c r="AM54" s="193">
        <f ca="1">race_gem_bonus+MAX(tech_production_gems*Techs!X54,tech_fruits_of_labor_gems*Techs!AP54)</f>
        <v>0</v>
      </c>
      <c r="AO54" s="56">
        <f ca="1">I54*food_decay*IF(Magic!AZ54&gt;0,0.5,1)</f>
        <v>2109.87</v>
      </c>
      <c r="AP54" s="26">
        <f ca="1">(1+race_food_consumption)*Population!F54*food_per_person</f>
        <v>2310</v>
      </c>
      <c r="AQ54" s="26">
        <f t="shared" ca="1" si="33"/>
        <v>2813.84</v>
      </c>
      <c r="AR54" s="57">
        <f t="shared" ca="1" si="34"/>
        <v>946.68000000000006</v>
      </c>
      <c r="AS54" s="26"/>
      <c r="AT54" s="56">
        <f ca="1">Explore!AH54+Construction!AP54+Military!AU54+Rezone!Y54+Imps!AM54-BE54</f>
        <v>0</v>
      </c>
      <c r="AU54" s="26">
        <f>Construction!AQ54+Imps!AN54-BF54</f>
        <v>0</v>
      </c>
      <c r="AV54" s="26">
        <f>Magic!AD54</f>
        <v>0</v>
      </c>
      <c r="AW54" s="26">
        <f ca="1">Military!AV54+Imps!AO54-BG54</f>
        <v>0</v>
      </c>
      <c r="AX54" s="26">
        <f>Imps!AP54-BH54</f>
        <v>0</v>
      </c>
      <c r="AY54" s="26">
        <f ca="1">Military!AZ54</f>
        <v>0</v>
      </c>
      <c r="AZ54" s="57">
        <f ca="1">Military!BA54</f>
        <v>0</v>
      </c>
      <c r="BB54" s="56" t="b">
        <f t="shared" si="29"/>
        <v>0</v>
      </c>
      <c r="BC54" s="332"/>
      <c r="BD54" s="979">
        <v>52</v>
      </c>
      <c r="BE54" s="332"/>
      <c r="BF54" s="370"/>
      <c r="BG54" s="370"/>
      <c r="BH54" s="744"/>
      <c r="BI54" s="1036">
        <f t="shared" si="35"/>
        <v>43694.124999999876</v>
      </c>
      <c r="BJ54" s="159" t="str">
        <f t="shared" si="22"/>
        <v/>
      </c>
      <c r="BK54" s="26">
        <f t="shared" ca="1" si="18"/>
        <v>3490712</v>
      </c>
      <c r="BL54" s="26">
        <f t="shared" ca="1" si="9"/>
        <v>210987</v>
      </c>
      <c r="BM54" s="26">
        <f t="shared" ca="1" si="10"/>
        <v>281384</v>
      </c>
      <c r="BN54" s="26">
        <f t="shared" ca="1" si="11"/>
        <v>47334</v>
      </c>
      <c r="BO54" s="57">
        <f t="shared" ca="1" si="12"/>
        <v>231000</v>
      </c>
    </row>
    <row r="55" spans="1:67" s="16" customFormat="1">
      <c r="A55" s="987">
        <v>53</v>
      </c>
      <c r="B55" s="816">
        <f>Imps!L55</f>
        <v>43694.166666666541</v>
      </c>
      <c r="C55" s="332"/>
      <c r="D55" s="835"/>
      <c r="E55" s="56">
        <f>Construction!E55</f>
        <v>1000</v>
      </c>
      <c r="F55" s="26">
        <f ca="1">Population!$C55</f>
        <v>3945</v>
      </c>
      <c r="G55" s="26">
        <f ca="1">Military!EM55</f>
        <v>39460</v>
      </c>
      <c r="H55" s="26">
        <f ca="1">H54+S54 - AT55 + IF(C55,Population!C55*4)</f>
        <v>3501363</v>
      </c>
      <c r="I55" s="26">
        <f t="shared" ca="1" si="19"/>
        <v>213607</v>
      </c>
      <c r="J55" s="26">
        <f t="shared" ca="1" si="36"/>
        <v>281070</v>
      </c>
      <c r="K55" s="26">
        <f t="shared" ca="1" si="37"/>
        <v>47637</v>
      </c>
      <c r="L55" s="26">
        <f t="shared" ca="1" si="38"/>
        <v>231000</v>
      </c>
      <c r="M55" s="26">
        <f t="shared" ca="1" si="39"/>
        <v>20000</v>
      </c>
      <c r="N55" s="26">
        <f t="shared" ca="1" si="20"/>
        <v>200</v>
      </c>
      <c r="O55" s="26">
        <f t="shared" si="21"/>
        <v>500</v>
      </c>
      <c r="P55" s="26">
        <f>ROUNDDOWN(P54+MAX(Construction!BO55/2,Construction!BO55*(1-Construction!BO55/(E55-Explore!S55*20)))-Q55*SUM(Techs!AY55:BY55),0)</f>
        <v>0</v>
      </c>
      <c r="Q55" s="166">
        <f>MAX(min_tech_cost,ROUNDDOWN(tech_cost_per_acre*Construction!E55,0))</f>
        <v>6426</v>
      </c>
      <c r="S55" s="152">
        <f t="shared" ca="1" si="23"/>
        <v>10651</v>
      </c>
      <c r="T55" s="164">
        <f t="shared" ca="1" si="30"/>
        <v>2594</v>
      </c>
      <c r="U55" s="164">
        <f t="shared" ca="1" si="31"/>
        <v>-311</v>
      </c>
      <c r="V55" s="164">
        <f t="shared" ca="1" si="32"/>
        <v>297</v>
      </c>
      <c r="W55" s="164">
        <f t="shared" ca="1" si="27"/>
        <v>0</v>
      </c>
      <c r="X55" s="164">
        <f t="shared" ca="1" si="28"/>
        <v>0</v>
      </c>
      <c r="Y55" s="265">
        <f>Construction!BP56*dock_boats_hr</f>
        <v>0</v>
      </c>
      <c r="Z55" s="164"/>
      <c r="AA55" s="152">
        <f ca="1">Population!C55*tax*Population!I55 + (Construction!AY56+Construction!BW56)*(alch_plat+(Magic!AR55&gt;0)*alchemist_flame_bonus)</f>
        <v>10651.5</v>
      </c>
      <c r="AB55" s="164">
        <f>Construction!$AZ55*farm_food + Construction!$BP55*dock_food+IF(race="Growth",ROUNDDOWN(Military!G55*8,0),0)</f>
        <v>6400</v>
      </c>
      <c r="AC55" s="164">
        <f>Construction!$BC55*ly_lumber+IF(race="Ants",ROUNDDOWN(Military!F55/2,0),0)</f>
        <v>2500</v>
      </c>
      <c r="AD55" s="26">
        <f>Construction!$BK56*tower_mana+IF(race="Templars",ROUNDDOWN(Military!F55*0.02,0),0)+IF(race="Black Orc",Military!G55*5,0)+IF(race="Growth",ROUNDDOWN(Military!G55*0.1,0),0)+IF(race="Void",ROUNDDOWN(Military!F55*1.5,0),0)+IF(race="Void",ROUNDDOWN(Military!G55*4,0),0)</f>
        <v>1250</v>
      </c>
      <c r="AE55" s="164">
        <f>Construction!$BE56*om_ore+IF(race="Dwarf",ROUNDDOWN(Military!F55*2,0),0)</f>
        <v>0</v>
      </c>
      <c r="AF55" s="57">
        <f>Construction!$BN56*dm_gems+IF(race="Dwarf",ROUNDDOWN(Military!F55/2,0),0)</f>
        <v>0</v>
      </c>
      <c r="AH55" s="266">
        <f ca="1">MIN(race_platinum_bonus + IF(Magic!AJ55&gt;0,midas_bonus) + Imps!Y55 - BB55*0.02+MAX(tech_production_plat*Techs!Y55,tech_treasure_hunt_plat*Techs!AR55), 0.5)</f>
        <v>0</v>
      </c>
      <c r="AI55" s="455">
        <f ca="1">race_food_bonus + IF(Magic!AO55&gt;0,gaias_blessing_food,IF(Magic!AG55&gt;0,gaias_watch_bonus)) + Imps!AD55+tech_production_food*Techs!W55 + O55/100*prestige_food_bonus</f>
        <v>0.1</v>
      </c>
      <c r="AJ55" s="267">
        <f ca="1">race_lumber_bonus+ IF(Magic!AO55&gt;0,gaias_blessing_lumber)+tech_fruits_of_labor1*Techs!AP55</f>
        <v>0</v>
      </c>
      <c r="AK55" s="267">
        <f ca="1">race_mana_bonus+tech_enchanted_lands_mana*Techs!AT55</f>
        <v>0</v>
      </c>
      <c r="AL55" s="267">
        <f ca="1">race_ore_bonus + IF(Magic!AL55&gt;0,miners_sight_bonus,IF(Magic!AH55&gt;0,mining_strength_bonus))+tech_fruits_of_labor1*Techs!AP55</f>
        <v>0</v>
      </c>
      <c r="AM55" s="193">
        <f ca="1">race_gem_bonus+MAX(tech_production_gems*Techs!X55,tech_fruits_of_labor_gems*Techs!AP55)</f>
        <v>0</v>
      </c>
      <c r="AO55" s="56">
        <f ca="1">I55*food_decay*IF(Magic!AZ55&gt;0,0.5,1)</f>
        <v>2136.0700000000002</v>
      </c>
      <c r="AP55" s="26">
        <f ca="1">(1+race_food_consumption)*Population!F55*food_per_person</f>
        <v>2310</v>
      </c>
      <c r="AQ55" s="26">
        <f t="shared" ca="1" si="33"/>
        <v>2810.7000000000003</v>
      </c>
      <c r="AR55" s="57">
        <f t="shared" ca="1" si="34"/>
        <v>952.74</v>
      </c>
      <c r="AS55" s="26"/>
      <c r="AT55" s="56">
        <f ca="1">Explore!AH55+Construction!AP55+Military!AU55+Rezone!Y55+Imps!AM55-BE55</f>
        <v>0</v>
      </c>
      <c r="AU55" s="26">
        <f>Construction!AQ55+Imps!AN55-BF55</f>
        <v>0</v>
      </c>
      <c r="AV55" s="26">
        <f>Magic!AD55</f>
        <v>0</v>
      </c>
      <c r="AW55" s="26">
        <f ca="1">Military!AV55+Imps!AO55-BG55</f>
        <v>0</v>
      </c>
      <c r="AX55" s="26">
        <f>Imps!AP55-BH55</f>
        <v>0</v>
      </c>
      <c r="AY55" s="26">
        <f ca="1">Military!AZ55</f>
        <v>0</v>
      </c>
      <c r="AZ55" s="57">
        <f ca="1">Military!BA55</f>
        <v>0</v>
      </c>
      <c r="BB55" s="56" t="b">
        <f t="shared" si="29"/>
        <v>0</v>
      </c>
      <c r="BC55" s="332"/>
      <c r="BD55" s="979">
        <v>53</v>
      </c>
      <c r="BE55" s="332"/>
      <c r="BF55" s="370"/>
      <c r="BG55" s="370"/>
      <c r="BH55" s="744"/>
      <c r="BI55" s="1036">
        <f t="shared" si="35"/>
        <v>43694.166666666541</v>
      </c>
      <c r="BJ55" s="159" t="str">
        <f t="shared" si="22"/>
        <v/>
      </c>
      <c r="BK55" s="26">
        <f t="shared" ca="1" si="18"/>
        <v>3501363</v>
      </c>
      <c r="BL55" s="26">
        <f t="shared" ca="1" si="9"/>
        <v>213607</v>
      </c>
      <c r="BM55" s="26">
        <f t="shared" ca="1" si="10"/>
        <v>281070</v>
      </c>
      <c r="BN55" s="26">
        <f t="shared" ca="1" si="11"/>
        <v>47637</v>
      </c>
      <c r="BO55" s="57">
        <f t="shared" ca="1" si="12"/>
        <v>231000</v>
      </c>
    </row>
    <row r="56" spans="1:67" s="16" customFormat="1">
      <c r="A56" s="987">
        <v>54</v>
      </c>
      <c r="B56" s="816">
        <f>Imps!L56</f>
        <v>43694.208333333205</v>
      </c>
      <c r="C56" s="332"/>
      <c r="D56" s="835"/>
      <c r="E56" s="56">
        <f>Construction!E56</f>
        <v>1000</v>
      </c>
      <c r="F56" s="26">
        <f ca="1">Population!$C56</f>
        <v>3945</v>
      </c>
      <c r="G56" s="26">
        <f ca="1">Military!EM56</f>
        <v>39460</v>
      </c>
      <c r="H56" s="26">
        <f ca="1">H55+S55 - AT56 + IF(C56,Population!C56*4)</f>
        <v>3512014</v>
      </c>
      <c r="I56" s="26">
        <f t="shared" ca="1" si="19"/>
        <v>216201</v>
      </c>
      <c r="J56" s="26">
        <f t="shared" ca="1" si="36"/>
        <v>280759</v>
      </c>
      <c r="K56" s="26">
        <f t="shared" ca="1" si="37"/>
        <v>47934</v>
      </c>
      <c r="L56" s="26">
        <f t="shared" ca="1" si="38"/>
        <v>231000</v>
      </c>
      <c r="M56" s="26">
        <f t="shared" ca="1" si="39"/>
        <v>20000</v>
      </c>
      <c r="N56" s="26">
        <f t="shared" ca="1" si="20"/>
        <v>200</v>
      </c>
      <c r="O56" s="26">
        <f t="shared" si="21"/>
        <v>500</v>
      </c>
      <c r="P56" s="26">
        <f>ROUNDDOWN(P55+MAX(Construction!BO56/2,Construction!BO56*(1-Construction!BO56/(E56-Explore!S56*20)))-Q56*SUM(Techs!AY56:BY56),0)</f>
        <v>0</v>
      </c>
      <c r="Q56" s="166">
        <f>MAX(min_tech_cost,ROUNDDOWN(tech_cost_per_acre*Construction!E56,0))</f>
        <v>6426</v>
      </c>
      <c r="S56" s="152">
        <f t="shared" ca="1" si="23"/>
        <v>10651</v>
      </c>
      <c r="T56" s="164">
        <f t="shared" ca="1" si="30"/>
        <v>2568</v>
      </c>
      <c r="U56" s="164">
        <f t="shared" ca="1" si="31"/>
        <v>-308</v>
      </c>
      <c r="V56" s="164">
        <f t="shared" ca="1" si="32"/>
        <v>291</v>
      </c>
      <c r="W56" s="164">
        <f t="shared" ca="1" si="27"/>
        <v>0</v>
      </c>
      <c r="X56" s="164">
        <f t="shared" ca="1" si="28"/>
        <v>0</v>
      </c>
      <c r="Y56" s="265">
        <f>Construction!BP57*dock_boats_hr</f>
        <v>0</v>
      </c>
      <c r="Z56" s="164"/>
      <c r="AA56" s="152">
        <f ca="1">Population!C56*tax*Population!I56 + (Construction!AY57+Construction!BW57)*(alch_plat+(Magic!AR56&gt;0)*alchemist_flame_bonus)</f>
        <v>10651.5</v>
      </c>
      <c r="AB56" s="164">
        <f>Construction!$AZ56*farm_food + Construction!$BP56*dock_food+IF(race="Growth",ROUNDDOWN(Military!G56*8,0),0)</f>
        <v>6400</v>
      </c>
      <c r="AC56" s="164">
        <f>Construction!$BC56*ly_lumber+IF(race="Ants",ROUNDDOWN(Military!F56/2,0),0)</f>
        <v>2500</v>
      </c>
      <c r="AD56" s="26">
        <f>Construction!$BK57*tower_mana+IF(race="Templars",ROUNDDOWN(Military!F56*0.02,0),0)+IF(race="Black Orc",Military!G56*5,0)+IF(race="Growth",ROUNDDOWN(Military!G56*0.1,0),0)+IF(race="Void",ROUNDDOWN(Military!F56*1.5,0),0)+IF(race="Void",ROUNDDOWN(Military!G56*4,0),0)</f>
        <v>1250</v>
      </c>
      <c r="AE56" s="164">
        <f>Construction!$BE57*om_ore+IF(race="Dwarf",ROUNDDOWN(Military!F56*2,0),0)</f>
        <v>0</v>
      </c>
      <c r="AF56" s="57">
        <f>Construction!$BN57*dm_gems+IF(race="Dwarf",ROUNDDOWN(Military!F56/2,0),0)</f>
        <v>0</v>
      </c>
      <c r="AH56" s="266">
        <f ca="1">MIN(race_platinum_bonus + IF(Magic!AJ56&gt;0,midas_bonus) + Imps!Y56 - BB56*0.02+MAX(tech_production_plat*Techs!Y56,tech_treasure_hunt_plat*Techs!AR56), 0.5)</f>
        <v>0</v>
      </c>
      <c r="AI56" s="455">
        <f ca="1">race_food_bonus + IF(Magic!AO56&gt;0,gaias_blessing_food,IF(Magic!AG56&gt;0,gaias_watch_bonus)) + Imps!AD56+tech_production_food*Techs!W56 + O56/100*prestige_food_bonus</f>
        <v>0.1</v>
      </c>
      <c r="AJ56" s="267">
        <f ca="1">race_lumber_bonus+ IF(Magic!AO56&gt;0,gaias_blessing_lumber)+tech_fruits_of_labor1*Techs!AP56</f>
        <v>0</v>
      </c>
      <c r="AK56" s="267">
        <f ca="1">race_mana_bonus+tech_enchanted_lands_mana*Techs!AT56</f>
        <v>0</v>
      </c>
      <c r="AL56" s="267">
        <f ca="1">race_ore_bonus + IF(Magic!AL56&gt;0,miners_sight_bonus,IF(Magic!AH56&gt;0,mining_strength_bonus))+tech_fruits_of_labor1*Techs!AP56</f>
        <v>0</v>
      </c>
      <c r="AM56" s="193">
        <f ca="1">race_gem_bonus+MAX(tech_production_gems*Techs!X56,tech_fruits_of_labor_gems*Techs!AP56)</f>
        <v>0</v>
      </c>
      <c r="AO56" s="56">
        <f ca="1">I56*food_decay*IF(Magic!AZ56&gt;0,0.5,1)</f>
        <v>2162.0100000000002</v>
      </c>
      <c r="AP56" s="26">
        <f ca="1">(1+race_food_consumption)*Population!F56*food_per_person</f>
        <v>2310</v>
      </c>
      <c r="AQ56" s="26">
        <f t="shared" ca="1" si="33"/>
        <v>2807.59</v>
      </c>
      <c r="AR56" s="57">
        <f t="shared" ca="1" si="34"/>
        <v>958.68000000000006</v>
      </c>
      <c r="AS56" s="26"/>
      <c r="AT56" s="56">
        <f ca="1">Explore!AH56+Construction!AP56+Military!AU56+Rezone!Y56+Imps!AM56-BE56</f>
        <v>0</v>
      </c>
      <c r="AU56" s="26">
        <f>Construction!AQ56+Imps!AN56-BF56</f>
        <v>0</v>
      </c>
      <c r="AV56" s="26">
        <f>Magic!AD56</f>
        <v>0</v>
      </c>
      <c r="AW56" s="26">
        <f ca="1">Military!AV56+Imps!AO56-BG56</f>
        <v>0</v>
      </c>
      <c r="AX56" s="26">
        <f>Imps!AP56-BH56</f>
        <v>0</v>
      </c>
      <c r="AY56" s="26">
        <f ca="1">Military!AZ56</f>
        <v>0</v>
      </c>
      <c r="AZ56" s="57">
        <f ca="1">Military!BA56</f>
        <v>0</v>
      </c>
      <c r="BB56" s="56" t="b">
        <f t="shared" si="29"/>
        <v>0</v>
      </c>
      <c r="BC56" s="332"/>
      <c r="BD56" s="979">
        <v>54</v>
      </c>
      <c r="BE56" s="332"/>
      <c r="BF56" s="370"/>
      <c r="BG56" s="370"/>
      <c r="BH56" s="744"/>
      <c r="BI56" s="1036">
        <f t="shared" si="35"/>
        <v>43694.208333333205</v>
      </c>
      <c r="BJ56" s="159" t="str">
        <f t="shared" si="22"/>
        <v/>
      </c>
      <c r="BK56" s="26">
        <f t="shared" ca="1" si="18"/>
        <v>3512014</v>
      </c>
      <c r="BL56" s="26">
        <f t="shared" ca="1" si="9"/>
        <v>216201</v>
      </c>
      <c r="BM56" s="26">
        <f t="shared" ca="1" si="10"/>
        <v>280759</v>
      </c>
      <c r="BN56" s="26">
        <f t="shared" ca="1" si="11"/>
        <v>47934</v>
      </c>
      <c r="BO56" s="57">
        <f t="shared" ca="1" si="12"/>
        <v>231000</v>
      </c>
    </row>
    <row r="57" spans="1:67" s="16" customFormat="1">
      <c r="A57" s="987">
        <v>55</v>
      </c>
      <c r="B57" s="816">
        <f>Imps!L57</f>
        <v>43694.249999999869</v>
      </c>
      <c r="C57" s="332"/>
      <c r="D57" s="835"/>
      <c r="E57" s="56">
        <f>Construction!E57</f>
        <v>1000</v>
      </c>
      <c r="F57" s="26">
        <f ca="1">Population!$C57</f>
        <v>3945</v>
      </c>
      <c r="G57" s="26">
        <f ca="1">Military!EM57</f>
        <v>39460</v>
      </c>
      <c r="H57" s="26">
        <f ca="1">H56+S56 - AT57 + IF(C57,Population!C57*4)</f>
        <v>3522665</v>
      </c>
      <c r="I57" s="26">
        <f t="shared" ca="1" si="19"/>
        <v>218769</v>
      </c>
      <c r="J57" s="26">
        <f t="shared" ca="1" si="36"/>
        <v>280451</v>
      </c>
      <c r="K57" s="26">
        <f t="shared" ca="1" si="37"/>
        <v>48225</v>
      </c>
      <c r="L57" s="26">
        <f t="shared" ca="1" si="38"/>
        <v>231000</v>
      </c>
      <c r="M57" s="26">
        <f t="shared" ca="1" si="39"/>
        <v>20000</v>
      </c>
      <c r="N57" s="26">
        <f t="shared" ca="1" si="20"/>
        <v>200</v>
      </c>
      <c r="O57" s="26">
        <f t="shared" si="21"/>
        <v>500</v>
      </c>
      <c r="P57" s="26">
        <f>ROUNDDOWN(P56+MAX(Construction!BO57/2,Construction!BO57*(1-Construction!BO57/(E57-Explore!S57*20)))-Q57*SUM(Techs!AY57:BY57),0)</f>
        <v>0</v>
      </c>
      <c r="Q57" s="166">
        <f>MAX(min_tech_cost,ROUNDDOWN(tech_cost_per_acre*Construction!E57,0))</f>
        <v>6426</v>
      </c>
      <c r="S57" s="152">
        <f t="shared" ca="1" si="23"/>
        <v>10651</v>
      </c>
      <c r="T57" s="164">
        <f t="shared" ca="1" si="30"/>
        <v>2542</v>
      </c>
      <c r="U57" s="164">
        <f t="shared" ca="1" si="31"/>
        <v>-305</v>
      </c>
      <c r="V57" s="164">
        <f t="shared" ca="1" si="32"/>
        <v>286</v>
      </c>
      <c r="W57" s="164">
        <f t="shared" ca="1" si="27"/>
        <v>0</v>
      </c>
      <c r="X57" s="164">
        <f t="shared" ca="1" si="28"/>
        <v>0</v>
      </c>
      <c r="Y57" s="265">
        <f>Construction!BP58*dock_boats_hr</f>
        <v>0</v>
      </c>
      <c r="Z57" s="164"/>
      <c r="AA57" s="152">
        <f ca="1">Population!C57*tax*Population!I57 + (Construction!AY58+Construction!BW58)*(alch_plat+(Magic!AR57&gt;0)*alchemist_flame_bonus)</f>
        <v>10651.5</v>
      </c>
      <c r="AB57" s="164">
        <f>Construction!$AZ57*farm_food + Construction!$BP57*dock_food+IF(race="Growth",ROUNDDOWN(Military!G57*8,0),0)</f>
        <v>6400</v>
      </c>
      <c r="AC57" s="164">
        <f>Construction!$BC57*ly_lumber+IF(race="Ants",ROUNDDOWN(Military!F57/2,0),0)</f>
        <v>2500</v>
      </c>
      <c r="AD57" s="26">
        <f>Construction!$BK58*tower_mana+IF(race="Templars",ROUNDDOWN(Military!F57*0.02,0),0)+IF(race="Black Orc",Military!G57*5,0)+IF(race="Growth",ROUNDDOWN(Military!G57*0.1,0),0)+IF(race="Void",ROUNDDOWN(Military!F57*1.5,0),0)+IF(race="Void",ROUNDDOWN(Military!G57*4,0),0)</f>
        <v>1250</v>
      </c>
      <c r="AE57" s="164">
        <f>Construction!$BE58*om_ore+IF(race="Dwarf",ROUNDDOWN(Military!F57*2,0),0)</f>
        <v>0</v>
      </c>
      <c r="AF57" s="57">
        <f>Construction!$BN58*dm_gems+IF(race="Dwarf",ROUNDDOWN(Military!F57/2,0),0)</f>
        <v>0</v>
      </c>
      <c r="AH57" s="266">
        <f ca="1">MIN(race_platinum_bonus + IF(Magic!AJ57&gt;0,midas_bonus) + Imps!Y57 - BB57*0.02+MAX(tech_production_plat*Techs!Y57,tech_treasure_hunt_plat*Techs!AR57), 0.5)</f>
        <v>0</v>
      </c>
      <c r="AI57" s="455">
        <f ca="1">race_food_bonus + IF(Magic!AO57&gt;0,gaias_blessing_food,IF(Magic!AG57&gt;0,gaias_watch_bonus)) + Imps!AD57+tech_production_food*Techs!W57 + O57/100*prestige_food_bonus</f>
        <v>0.1</v>
      </c>
      <c r="AJ57" s="267">
        <f ca="1">race_lumber_bonus+ IF(Magic!AO57&gt;0,gaias_blessing_lumber)+tech_fruits_of_labor1*Techs!AP57</f>
        <v>0</v>
      </c>
      <c r="AK57" s="267">
        <f ca="1">race_mana_bonus+tech_enchanted_lands_mana*Techs!AT57</f>
        <v>0</v>
      </c>
      <c r="AL57" s="267">
        <f ca="1">race_ore_bonus + IF(Magic!AL57&gt;0,miners_sight_bonus,IF(Magic!AH57&gt;0,mining_strength_bonus))+tech_fruits_of_labor1*Techs!AP57</f>
        <v>0</v>
      </c>
      <c r="AM57" s="193">
        <f ca="1">race_gem_bonus+MAX(tech_production_gems*Techs!X57,tech_fruits_of_labor_gems*Techs!AP57)</f>
        <v>0</v>
      </c>
      <c r="AO57" s="56">
        <f ca="1">I57*food_decay*IF(Magic!AZ57&gt;0,0.5,1)</f>
        <v>2187.69</v>
      </c>
      <c r="AP57" s="26">
        <f ca="1">(1+race_food_consumption)*Population!F57*food_per_person</f>
        <v>2310</v>
      </c>
      <c r="AQ57" s="26">
        <f t="shared" ca="1" si="33"/>
        <v>2804.51</v>
      </c>
      <c r="AR57" s="57">
        <f t="shared" ca="1" si="34"/>
        <v>964.5</v>
      </c>
      <c r="AS57" s="26"/>
      <c r="AT57" s="56">
        <f ca="1">Explore!AH57+Construction!AP57+Military!AU57+Rezone!Y57+Imps!AM57-BE57</f>
        <v>0</v>
      </c>
      <c r="AU57" s="26">
        <f>Construction!AQ57+Imps!AN57-BF57</f>
        <v>0</v>
      </c>
      <c r="AV57" s="26">
        <f>Magic!AD57</f>
        <v>0</v>
      </c>
      <c r="AW57" s="26">
        <f ca="1">Military!AV57+Imps!AO57-BG57</f>
        <v>0</v>
      </c>
      <c r="AX57" s="26">
        <f>Imps!AP57-BH57</f>
        <v>0</v>
      </c>
      <c r="AY57" s="26">
        <f ca="1">Military!AZ57</f>
        <v>0</v>
      </c>
      <c r="AZ57" s="57">
        <f ca="1">Military!BA57</f>
        <v>0</v>
      </c>
      <c r="BB57" s="56" t="b">
        <f t="shared" si="29"/>
        <v>0</v>
      </c>
      <c r="BC57" s="332"/>
      <c r="BD57" s="979">
        <v>55</v>
      </c>
      <c r="BE57" s="332"/>
      <c r="BF57" s="370"/>
      <c r="BG57" s="370"/>
      <c r="BH57" s="744"/>
      <c r="BI57" s="1036">
        <f t="shared" si="35"/>
        <v>43694.249999999869</v>
      </c>
      <c r="BJ57" s="159" t="str">
        <f t="shared" si="22"/>
        <v/>
      </c>
      <c r="BK57" s="26">
        <f t="shared" ca="1" si="18"/>
        <v>3522665</v>
      </c>
      <c r="BL57" s="26">
        <f t="shared" ca="1" si="9"/>
        <v>218769</v>
      </c>
      <c r="BM57" s="26">
        <f t="shared" ca="1" si="10"/>
        <v>280451</v>
      </c>
      <c r="BN57" s="26">
        <f t="shared" ca="1" si="11"/>
        <v>48225</v>
      </c>
      <c r="BO57" s="57">
        <f t="shared" ca="1" si="12"/>
        <v>231000</v>
      </c>
    </row>
    <row r="58" spans="1:67" s="16" customFormat="1">
      <c r="A58" s="987">
        <v>56</v>
      </c>
      <c r="B58" s="816">
        <f>Imps!L58</f>
        <v>43694.291666666533</v>
      </c>
      <c r="C58" s="332"/>
      <c r="D58" s="835"/>
      <c r="E58" s="56">
        <f>Construction!E58</f>
        <v>1000</v>
      </c>
      <c r="F58" s="26">
        <f ca="1">Population!$C58</f>
        <v>3945</v>
      </c>
      <c r="G58" s="26">
        <f ca="1">Military!EM58</f>
        <v>39460</v>
      </c>
      <c r="H58" s="26">
        <f ca="1">H57+S57 - AT58 + IF(C58,Population!C58*4)</f>
        <v>3533316</v>
      </c>
      <c r="I58" s="26">
        <f t="shared" ca="1" si="19"/>
        <v>221311</v>
      </c>
      <c r="J58" s="26">
        <f t="shared" ca="1" si="36"/>
        <v>280146</v>
      </c>
      <c r="K58" s="26">
        <f t="shared" ca="1" si="37"/>
        <v>48511</v>
      </c>
      <c r="L58" s="26">
        <f t="shared" ca="1" si="38"/>
        <v>231000</v>
      </c>
      <c r="M58" s="26">
        <f t="shared" ca="1" si="39"/>
        <v>20000</v>
      </c>
      <c r="N58" s="26">
        <f t="shared" ca="1" si="20"/>
        <v>200</v>
      </c>
      <c r="O58" s="26">
        <f t="shared" si="21"/>
        <v>500</v>
      </c>
      <c r="P58" s="26">
        <f>ROUNDDOWN(P57+MAX(Construction!BO58/2,Construction!BO58*(1-Construction!BO58/(E58-Explore!S58*20)))-Q58*SUM(Techs!AY58:BY58),0)</f>
        <v>0</v>
      </c>
      <c r="Q58" s="166">
        <f>MAX(min_tech_cost,ROUNDDOWN(tech_cost_per_acre*Construction!E58,0))</f>
        <v>6426</v>
      </c>
      <c r="S58" s="152">
        <f t="shared" ca="1" si="23"/>
        <v>10651</v>
      </c>
      <c r="T58" s="164">
        <f t="shared" ca="1" si="30"/>
        <v>2517</v>
      </c>
      <c r="U58" s="164">
        <f t="shared" ca="1" si="31"/>
        <v>-301</v>
      </c>
      <c r="V58" s="164">
        <f t="shared" ca="1" si="32"/>
        <v>280</v>
      </c>
      <c r="W58" s="164">
        <f t="shared" ca="1" si="27"/>
        <v>0</v>
      </c>
      <c r="X58" s="164">
        <f t="shared" ca="1" si="28"/>
        <v>0</v>
      </c>
      <c r="Y58" s="265">
        <f>Construction!BP59*dock_boats_hr</f>
        <v>0</v>
      </c>
      <c r="Z58" s="164"/>
      <c r="AA58" s="152">
        <f ca="1">Population!C58*tax*Population!I58 + (Construction!AY59+Construction!BW59)*(alch_plat+(Magic!AR58&gt;0)*alchemist_flame_bonus)</f>
        <v>10651.5</v>
      </c>
      <c r="AB58" s="164">
        <f>Construction!$AZ58*farm_food + Construction!$BP58*dock_food+IF(race="Growth",ROUNDDOWN(Military!G58*8,0),0)</f>
        <v>6400</v>
      </c>
      <c r="AC58" s="164">
        <f>Construction!$BC58*ly_lumber+IF(race="Ants",ROUNDDOWN(Military!F58/2,0),0)</f>
        <v>2500</v>
      </c>
      <c r="AD58" s="26">
        <f>Construction!$BK59*tower_mana+IF(race="Templars",ROUNDDOWN(Military!F58*0.02,0),0)+IF(race="Black Orc",Military!G58*5,0)+IF(race="Growth",ROUNDDOWN(Military!G58*0.1,0),0)+IF(race="Void",ROUNDDOWN(Military!F58*1.5,0),0)+IF(race="Void",ROUNDDOWN(Military!G58*4,0),0)</f>
        <v>1250</v>
      </c>
      <c r="AE58" s="164">
        <f>Construction!$BE59*om_ore+IF(race="Dwarf",ROUNDDOWN(Military!F58*2,0),0)</f>
        <v>0</v>
      </c>
      <c r="AF58" s="57">
        <f>Construction!$BN59*dm_gems+IF(race="Dwarf",ROUNDDOWN(Military!F58/2,0),0)</f>
        <v>0</v>
      </c>
      <c r="AH58" s="266">
        <f ca="1">MIN(race_platinum_bonus + IF(Magic!AJ58&gt;0,midas_bonus) + Imps!Y58 - BB58*0.02+MAX(tech_production_plat*Techs!Y58,tech_treasure_hunt_plat*Techs!AR58), 0.5)</f>
        <v>0</v>
      </c>
      <c r="AI58" s="455">
        <f ca="1">race_food_bonus + IF(Magic!AO58&gt;0,gaias_blessing_food,IF(Magic!AG58&gt;0,gaias_watch_bonus)) + Imps!AD58+tech_production_food*Techs!W58 + O58/100*prestige_food_bonus</f>
        <v>0.1</v>
      </c>
      <c r="AJ58" s="267">
        <f ca="1">race_lumber_bonus+ IF(Magic!AO58&gt;0,gaias_blessing_lumber)+tech_fruits_of_labor1*Techs!AP58</f>
        <v>0</v>
      </c>
      <c r="AK58" s="267">
        <f ca="1">race_mana_bonus+tech_enchanted_lands_mana*Techs!AT58</f>
        <v>0</v>
      </c>
      <c r="AL58" s="267">
        <f ca="1">race_ore_bonus + IF(Magic!AL58&gt;0,miners_sight_bonus,IF(Magic!AH58&gt;0,mining_strength_bonus))+tech_fruits_of_labor1*Techs!AP58</f>
        <v>0</v>
      </c>
      <c r="AM58" s="193">
        <f ca="1">race_gem_bonus+MAX(tech_production_gems*Techs!X58,tech_fruits_of_labor_gems*Techs!AP58)</f>
        <v>0</v>
      </c>
      <c r="AO58" s="56">
        <f ca="1">I58*food_decay*IF(Magic!AZ58&gt;0,0.5,1)</f>
        <v>2213.11</v>
      </c>
      <c r="AP58" s="26">
        <f ca="1">(1+race_food_consumption)*Population!F58*food_per_person</f>
        <v>2310</v>
      </c>
      <c r="AQ58" s="26">
        <f t="shared" ca="1" si="33"/>
        <v>2801.46</v>
      </c>
      <c r="AR58" s="57">
        <f t="shared" ca="1" si="34"/>
        <v>970.22</v>
      </c>
      <c r="AS58" s="26"/>
      <c r="AT58" s="56">
        <f ca="1">Explore!AH58+Construction!AP58+Military!AU58+Rezone!Y58+Imps!AM58-BE58</f>
        <v>0</v>
      </c>
      <c r="AU58" s="26">
        <f>Construction!AQ58+Imps!AN58-BF58</f>
        <v>0</v>
      </c>
      <c r="AV58" s="26">
        <f>Magic!AD58</f>
        <v>0</v>
      </c>
      <c r="AW58" s="26">
        <f ca="1">Military!AV58+Imps!AO58-BG58</f>
        <v>0</v>
      </c>
      <c r="AX58" s="26">
        <f>Imps!AP58-BH58</f>
        <v>0</v>
      </c>
      <c r="AY58" s="26">
        <f ca="1">Military!AZ58</f>
        <v>0</v>
      </c>
      <c r="AZ58" s="57">
        <f ca="1">Military!BA58</f>
        <v>0</v>
      </c>
      <c r="BB58" s="56" t="b">
        <f t="shared" si="29"/>
        <v>0</v>
      </c>
      <c r="BC58" s="332"/>
      <c r="BD58" s="979">
        <v>56</v>
      </c>
      <c r="BE58" s="332"/>
      <c r="BF58" s="370"/>
      <c r="BG58" s="370"/>
      <c r="BH58" s="744"/>
      <c r="BI58" s="1036">
        <f t="shared" si="35"/>
        <v>43694.291666666533</v>
      </c>
      <c r="BJ58" s="159" t="str">
        <f t="shared" si="22"/>
        <v/>
      </c>
      <c r="BK58" s="26">
        <f t="shared" ca="1" si="18"/>
        <v>3533316</v>
      </c>
      <c r="BL58" s="26">
        <f t="shared" ca="1" si="9"/>
        <v>221311</v>
      </c>
      <c r="BM58" s="26">
        <f t="shared" ca="1" si="10"/>
        <v>280146</v>
      </c>
      <c r="BN58" s="26">
        <f t="shared" ca="1" si="11"/>
        <v>48511</v>
      </c>
      <c r="BO58" s="57">
        <f t="shared" ca="1" si="12"/>
        <v>231000</v>
      </c>
    </row>
    <row r="59" spans="1:67" s="16" customFormat="1">
      <c r="A59" s="987">
        <v>57</v>
      </c>
      <c r="B59" s="816">
        <f>Imps!L59</f>
        <v>43694.333333333198</v>
      </c>
      <c r="C59" s="332"/>
      <c r="D59" s="835"/>
      <c r="E59" s="56">
        <f>Construction!E59</f>
        <v>1000</v>
      </c>
      <c r="F59" s="26">
        <f ca="1">Population!$C59</f>
        <v>3945</v>
      </c>
      <c r="G59" s="26">
        <f ca="1">Military!EM59</f>
        <v>39460</v>
      </c>
      <c r="H59" s="26">
        <f ca="1">H58+S58 - AT59 + IF(C59,Population!C59*4)</f>
        <v>3543967</v>
      </c>
      <c r="I59" s="26">
        <f t="shared" ca="1" si="19"/>
        <v>223828</v>
      </c>
      <c r="J59" s="26">
        <f t="shared" ca="1" si="36"/>
        <v>279845</v>
      </c>
      <c r="K59" s="26">
        <f t="shared" ca="1" si="37"/>
        <v>48791</v>
      </c>
      <c r="L59" s="26">
        <f t="shared" ca="1" si="38"/>
        <v>231000</v>
      </c>
      <c r="M59" s="26">
        <f t="shared" ca="1" si="39"/>
        <v>20000</v>
      </c>
      <c r="N59" s="26">
        <f t="shared" ca="1" si="20"/>
        <v>200</v>
      </c>
      <c r="O59" s="26">
        <f t="shared" si="21"/>
        <v>500</v>
      </c>
      <c r="P59" s="26">
        <f>ROUNDDOWN(P58+MAX(Construction!BO59/2,Construction!BO59*(1-Construction!BO59/(E59-Explore!S59*20)))-Q59*SUM(Techs!AY59:BY59),0)</f>
        <v>0</v>
      </c>
      <c r="Q59" s="166">
        <f>MAX(min_tech_cost,ROUNDDOWN(tech_cost_per_acre*Construction!E59,0))</f>
        <v>6426</v>
      </c>
      <c r="S59" s="152">
        <f t="shared" ca="1" si="23"/>
        <v>10651</v>
      </c>
      <c r="T59" s="164">
        <f t="shared" ca="1" si="30"/>
        <v>2492</v>
      </c>
      <c r="U59" s="164">
        <f t="shared" ca="1" si="31"/>
        <v>-298</v>
      </c>
      <c r="V59" s="164">
        <f t="shared" ca="1" si="32"/>
        <v>274</v>
      </c>
      <c r="W59" s="164">
        <f t="shared" ca="1" si="27"/>
        <v>0</v>
      </c>
      <c r="X59" s="164">
        <f t="shared" ca="1" si="28"/>
        <v>0</v>
      </c>
      <c r="Y59" s="265">
        <f>Construction!BP60*dock_boats_hr</f>
        <v>0</v>
      </c>
      <c r="Z59" s="164"/>
      <c r="AA59" s="152">
        <f ca="1">Population!C59*tax*Population!I59 + (Construction!AY60+Construction!BW60)*(alch_plat+(Magic!AR59&gt;0)*alchemist_flame_bonus)</f>
        <v>10651.5</v>
      </c>
      <c r="AB59" s="164">
        <f>Construction!$AZ59*farm_food + Construction!$BP59*dock_food+IF(race="Growth",ROUNDDOWN(Military!G59*8,0),0)</f>
        <v>6400</v>
      </c>
      <c r="AC59" s="164">
        <f>Construction!$BC59*ly_lumber+IF(race="Ants",ROUNDDOWN(Military!F59/2,0),0)</f>
        <v>2500</v>
      </c>
      <c r="AD59" s="26">
        <f>Construction!$BK60*tower_mana+IF(race="Templars",ROUNDDOWN(Military!F59*0.02,0),0)+IF(race="Black Orc",Military!G59*5,0)+IF(race="Growth",ROUNDDOWN(Military!G59*0.1,0),0)+IF(race="Void",ROUNDDOWN(Military!F59*1.5,0),0)+IF(race="Void",ROUNDDOWN(Military!G59*4,0),0)</f>
        <v>1250</v>
      </c>
      <c r="AE59" s="164">
        <f>Construction!$BE60*om_ore+IF(race="Dwarf",ROUNDDOWN(Military!F59*2,0),0)</f>
        <v>0</v>
      </c>
      <c r="AF59" s="57">
        <f>Construction!$BN60*dm_gems+IF(race="Dwarf",ROUNDDOWN(Military!F59/2,0),0)</f>
        <v>0</v>
      </c>
      <c r="AH59" s="266">
        <f ca="1">MIN(race_platinum_bonus + IF(Magic!AJ59&gt;0,midas_bonus) + Imps!Y59 - BB59*0.02+MAX(tech_production_plat*Techs!Y59,tech_treasure_hunt_plat*Techs!AR59), 0.5)</f>
        <v>0</v>
      </c>
      <c r="AI59" s="455">
        <f ca="1">race_food_bonus + IF(Magic!AO59&gt;0,gaias_blessing_food,IF(Magic!AG59&gt;0,gaias_watch_bonus)) + Imps!AD59+tech_production_food*Techs!W59 + O59/100*prestige_food_bonus</f>
        <v>0.1</v>
      </c>
      <c r="AJ59" s="267">
        <f ca="1">race_lumber_bonus+ IF(Magic!AO59&gt;0,gaias_blessing_lumber)+tech_fruits_of_labor1*Techs!AP59</f>
        <v>0</v>
      </c>
      <c r="AK59" s="267">
        <f ca="1">race_mana_bonus+tech_enchanted_lands_mana*Techs!AT59</f>
        <v>0</v>
      </c>
      <c r="AL59" s="267">
        <f ca="1">race_ore_bonus + IF(Magic!AL59&gt;0,miners_sight_bonus,IF(Magic!AH59&gt;0,mining_strength_bonus))+tech_fruits_of_labor1*Techs!AP59</f>
        <v>0</v>
      </c>
      <c r="AM59" s="193">
        <f ca="1">race_gem_bonus+MAX(tech_production_gems*Techs!X59,tech_fruits_of_labor_gems*Techs!AP59)</f>
        <v>0</v>
      </c>
      <c r="AO59" s="56">
        <f ca="1">I59*food_decay*IF(Magic!AZ59&gt;0,0.5,1)</f>
        <v>2238.2800000000002</v>
      </c>
      <c r="AP59" s="26">
        <f ca="1">(1+race_food_consumption)*Population!F59*food_per_person</f>
        <v>2310</v>
      </c>
      <c r="AQ59" s="26">
        <f t="shared" ca="1" si="33"/>
        <v>2798.4500000000003</v>
      </c>
      <c r="AR59" s="57">
        <f t="shared" ca="1" si="34"/>
        <v>975.82</v>
      </c>
      <c r="AS59" s="26"/>
      <c r="AT59" s="56">
        <f ca="1">Explore!AH59+Construction!AP59+Military!AU59+Rezone!Y59+Imps!AM59-BE59</f>
        <v>0</v>
      </c>
      <c r="AU59" s="26">
        <f>Construction!AQ59+Imps!AN59-BF59</f>
        <v>0</v>
      </c>
      <c r="AV59" s="26">
        <f>Magic!AD59</f>
        <v>0</v>
      </c>
      <c r="AW59" s="26">
        <f ca="1">Military!AV59+Imps!AO59-BG59</f>
        <v>0</v>
      </c>
      <c r="AX59" s="26">
        <f>Imps!AP59-BH59</f>
        <v>0</v>
      </c>
      <c r="AY59" s="26">
        <f ca="1">Military!AZ59</f>
        <v>0</v>
      </c>
      <c r="AZ59" s="57">
        <f ca="1">Military!BA59</f>
        <v>0</v>
      </c>
      <c r="BB59" s="56" t="b">
        <f t="shared" si="29"/>
        <v>0</v>
      </c>
      <c r="BC59" s="332"/>
      <c r="BD59" s="979">
        <v>57</v>
      </c>
      <c r="BE59" s="332"/>
      <c r="BF59" s="370"/>
      <c r="BG59" s="370"/>
      <c r="BH59" s="744"/>
      <c r="BI59" s="1036">
        <f t="shared" si="35"/>
        <v>43694.333333333198</v>
      </c>
      <c r="BJ59" s="159" t="str">
        <f t="shared" si="22"/>
        <v/>
      </c>
      <c r="BK59" s="26">
        <f t="shared" ca="1" si="18"/>
        <v>3543967</v>
      </c>
      <c r="BL59" s="26">
        <f t="shared" ca="1" si="9"/>
        <v>223828</v>
      </c>
      <c r="BM59" s="26">
        <f t="shared" ca="1" si="10"/>
        <v>279845</v>
      </c>
      <c r="BN59" s="26">
        <f t="shared" ca="1" si="11"/>
        <v>48791</v>
      </c>
      <c r="BO59" s="57">
        <f t="shared" ca="1" si="12"/>
        <v>231000</v>
      </c>
    </row>
    <row r="60" spans="1:67" s="16" customFormat="1">
      <c r="A60" s="987">
        <v>58</v>
      </c>
      <c r="B60" s="816">
        <f>Imps!L60</f>
        <v>43694.374999999862</v>
      </c>
      <c r="C60" s="332"/>
      <c r="D60" s="835"/>
      <c r="E60" s="56">
        <f>Construction!E60</f>
        <v>1000</v>
      </c>
      <c r="F60" s="26">
        <f ca="1">Population!$C60</f>
        <v>3945</v>
      </c>
      <c r="G60" s="26">
        <f ca="1">Military!EM60</f>
        <v>39460</v>
      </c>
      <c r="H60" s="26">
        <f ca="1">H59+S59 - AT60 + IF(C60,Population!C60*4)</f>
        <v>3554618</v>
      </c>
      <c r="I60" s="26">
        <f t="shared" ca="1" si="19"/>
        <v>226320</v>
      </c>
      <c r="J60" s="26">
        <f t="shared" ca="1" si="36"/>
        <v>279547</v>
      </c>
      <c r="K60" s="26">
        <f t="shared" ca="1" si="37"/>
        <v>49065</v>
      </c>
      <c r="L60" s="26">
        <f t="shared" ca="1" si="38"/>
        <v>231000</v>
      </c>
      <c r="M60" s="26">
        <f t="shared" ca="1" si="39"/>
        <v>20000</v>
      </c>
      <c r="N60" s="26">
        <f t="shared" ca="1" si="20"/>
        <v>200</v>
      </c>
      <c r="O60" s="26">
        <f t="shared" si="21"/>
        <v>500</v>
      </c>
      <c r="P60" s="26">
        <f>ROUNDDOWN(P59+MAX(Construction!BO60/2,Construction!BO60*(1-Construction!BO60/(E60-Explore!S60*20)))-Q60*SUM(Techs!AY60:BY60),0)</f>
        <v>0</v>
      </c>
      <c r="Q60" s="166">
        <f>MAX(min_tech_cost,ROUNDDOWN(tech_cost_per_acre*Construction!E60,0))</f>
        <v>6426</v>
      </c>
      <c r="S60" s="152">
        <f t="shared" ca="1" si="23"/>
        <v>10651</v>
      </c>
      <c r="T60" s="164">
        <f t="shared" ca="1" si="30"/>
        <v>2467</v>
      </c>
      <c r="U60" s="164">
        <f t="shared" ca="1" si="31"/>
        <v>-295</v>
      </c>
      <c r="V60" s="164">
        <f t="shared" ca="1" si="32"/>
        <v>269</v>
      </c>
      <c r="W60" s="164">
        <f t="shared" ca="1" si="27"/>
        <v>0</v>
      </c>
      <c r="X60" s="164">
        <f t="shared" ca="1" si="28"/>
        <v>0</v>
      </c>
      <c r="Y60" s="265">
        <f>Construction!BP61*dock_boats_hr</f>
        <v>0</v>
      </c>
      <c r="Z60" s="164"/>
      <c r="AA60" s="152">
        <f ca="1">Population!C60*tax*Population!I60 + (Construction!AY61+Construction!BW61)*(alch_plat+(Magic!AR60&gt;0)*alchemist_flame_bonus)</f>
        <v>10651.5</v>
      </c>
      <c r="AB60" s="164">
        <f>Construction!$AZ60*farm_food + Construction!$BP60*dock_food+IF(race="Growth",ROUNDDOWN(Military!G60*8,0),0)</f>
        <v>6400</v>
      </c>
      <c r="AC60" s="164">
        <f>Construction!$BC60*ly_lumber+IF(race="Ants",ROUNDDOWN(Military!F60/2,0),0)</f>
        <v>2500</v>
      </c>
      <c r="AD60" s="26">
        <f>Construction!$BK61*tower_mana+IF(race="Templars",ROUNDDOWN(Military!F60*0.02,0),0)+IF(race="Black Orc",Military!G60*5,0)+IF(race="Growth",ROUNDDOWN(Military!G60*0.1,0),0)+IF(race="Void",ROUNDDOWN(Military!F60*1.5,0),0)+IF(race="Void",ROUNDDOWN(Military!G60*4,0),0)</f>
        <v>1250</v>
      </c>
      <c r="AE60" s="164">
        <f>Construction!$BE61*om_ore+IF(race="Dwarf",ROUNDDOWN(Military!F60*2,0),0)</f>
        <v>0</v>
      </c>
      <c r="AF60" s="57">
        <f>Construction!$BN61*dm_gems+IF(race="Dwarf",ROUNDDOWN(Military!F60/2,0),0)</f>
        <v>0</v>
      </c>
      <c r="AH60" s="266">
        <f ca="1">MIN(race_platinum_bonus + IF(Magic!AJ60&gt;0,midas_bonus) + Imps!Y60 - BB60*0.02+MAX(tech_production_plat*Techs!Y60,tech_treasure_hunt_plat*Techs!AR60), 0.5)</f>
        <v>0</v>
      </c>
      <c r="AI60" s="455">
        <f ca="1">race_food_bonus + IF(Magic!AO60&gt;0,gaias_blessing_food,IF(Magic!AG60&gt;0,gaias_watch_bonus)) + Imps!AD60+tech_production_food*Techs!W60 + O60/100*prestige_food_bonus</f>
        <v>0.1</v>
      </c>
      <c r="AJ60" s="267">
        <f ca="1">race_lumber_bonus+ IF(Magic!AO60&gt;0,gaias_blessing_lumber)+tech_fruits_of_labor1*Techs!AP60</f>
        <v>0</v>
      </c>
      <c r="AK60" s="267">
        <f ca="1">race_mana_bonus+tech_enchanted_lands_mana*Techs!AT60</f>
        <v>0</v>
      </c>
      <c r="AL60" s="267">
        <f ca="1">race_ore_bonus + IF(Magic!AL60&gt;0,miners_sight_bonus,IF(Magic!AH60&gt;0,mining_strength_bonus))+tech_fruits_of_labor1*Techs!AP60</f>
        <v>0</v>
      </c>
      <c r="AM60" s="193">
        <f ca="1">race_gem_bonus+MAX(tech_production_gems*Techs!X60,tech_fruits_of_labor_gems*Techs!AP60)</f>
        <v>0</v>
      </c>
      <c r="AO60" s="56">
        <f ca="1">I60*food_decay*IF(Magic!AZ60&gt;0,0.5,1)</f>
        <v>2263.2000000000003</v>
      </c>
      <c r="AP60" s="26">
        <f ca="1">(1+race_food_consumption)*Population!F60*food_per_person</f>
        <v>2310</v>
      </c>
      <c r="AQ60" s="26">
        <f t="shared" ca="1" si="33"/>
        <v>2795.4700000000003</v>
      </c>
      <c r="AR60" s="57">
        <f t="shared" ca="1" si="34"/>
        <v>981.30000000000007</v>
      </c>
      <c r="AS60" s="26"/>
      <c r="AT60" s="56">
        <f ca="1">Explore!AH60+Construction!AP60+Military!AU60+Rezone!Y60+Imps!AM60-BE60</f>
        <v>0</v>
      </c>
      <c r="AU60" s="26">
        <f>Construction!AQ60+Imps!AN60-BF60</f>
        <v>0</v>
      </c>
      <c r="AV60" s="26">
        <f>Magic!AD60</f>
        <v>0</v>
      </c>
      <c r="AW60" s="26">
        <f ca="1">Military!AV60+Imps!AO60-BG60</f>
        <v>0</v>
      </c>
      <c r="AX60" s="26">
        <f>Imps!AP60-BH60</f>
        <v>0</v>
      </c>
      <c r="AY60" s="26">
        <f ca="1">Military!AZ60</f>
        <v>0</v>
      </c>
      <c r="AZ60" s="57">
        <f ca="1">Military!BA60</f>
        <v>0</v>
      </c>
      <c r="BB60" s="56" t="b">
        <f t="shared" si="29"/>
        <v>0</v>
      </c>
      <c r="BC60" s="332"/>
      <c r="BD60" s="979">
        <v>58</v>
      </c>
      <c r="BE60" s="332"/>
      <c r="BF60" s="370"/>
      <c r="BG60" s="370"/>
      <c r="BH60" s="744"/>
      <c r="BI60" s="1036">
        <f t="shared" si="35"/>
        <v>43694.374999999862</v>
      </c>
      <c r="BJ60" s="159" t="str">
        <f t="shared" si="22"/>
        <v/>
      </c>
      <c r="BK60" s="26">
        <f t="shared" ca="1" si="18"/>
        <v>3554618</v>
      </c>
      <c r="BL60" s="26">
        <f t="shared" ca="1" si="9"/>
        <v>226320</v>
      </c>
      <c r="BM60" s="26">
        <f t="shared" ca="1" si="10"/>
        <v>279547</v>
      </c>
      <c r="BN60" s="26">
        <f t="shared" ca="1" si="11"/>
        <v>49065</v>
      </c>
      <c r="BO60" s="57">
        <f t="shared" ca="1" si="12"/>
        <v>231000</v>
      </c>
    </row>
    <row r="61" spans="1:67" s="16" customFormat="1">
      <c r="A61" s="987">
        <v>59</v>
      </c>
      <c r="B61" s="816">
        <f>Imps!L61</f>
        <v>43694.416666666526</v>
      </c>
      <c r="C61" s="332"/>
      <c r="D61" s="835"/>
      <c r="E61" s="56">
        <f>Construction!E61</f>
        <v>1000</v>
      </c>
      <c r="F61" s="26">
        <f ca="1">Population!$C61</f>
        <v>3945</v>
      </c>
      <c r="G61" s="26">
        <f ca="1">Military!EM61</f>
        <v>39460</v>
      </c>
      <c r="H61" s="26">
        <f ca="1">H60+S60 - AT61 + IF(C61,Population!C61*4)</f>
        <v>3565269</v>
      </c>
      <c r="I61" s="26">
        <f t="shared" ca="1" si="19"/>
        <v>228787</v>
      </c>
      <c r="J61" s="26">
        <f t="shared" ca="1" si="36"/>
        <v>279252</v>
      </c>
      <c r="K61" s="26">
        <f t="shared" ca="1" si="37"/>
        <v>49334</v>
      </c>
      <c r="L61" s="26">
        <f t="shared" ca="1" si="38"/>
        <v>231000</v>
      </c>
      <c r="M61" s="26">
        <f t="shared" ca="1" si="39"/>
        <v>20000</v>
      </c>
      <c r="N61" s="26">
        <f t="shared" ca="1" si="20"/>
        <v>200</v>
      </c>
      <c r="O61" s="26">
        <f t="shared" si="21"/>
        <v>500</v>
      </c>
      <c r="P61" s="26">
        <f>ROUNDDOWN(P60+MAX(Construction!BO61/2,Construction!BO61*(1-Construction!BO61/(E61-Explore!S61*20)))-Q61*SUM(Techs!AY61:BY61),0)</f>
        <v>0</v>
      </c>
      <c r="Q61" s="166">
        <f>MAX(min_tech_cost,ROUNDDOWN(tech_cost_per_acre*Construction!E61,0))</f>
        <v>6426</v>
      </c>
      <c r="S61" s="152">
        <f t="shared" ca="1" si="23"/>
        <v>10651</v>
      </c>
      <c r="T61" s="164">
        <f t="shared" ca="1" si="30"/>
        <v>2442</v>
      </c>
      <c r="U61" s="164">
        <f t="shared" ca="1" si="31"/>
        <v>-293</v>
      </c>
      <c r="V61" s="164">
        <f t="shared" ca="1" si="32"/>
        <v>263</v>
      </c>
      <c r="W61" s="164">
        <f t="shared" ca="1" si="27"/>
        <v>0</v>
      </c>
      <c r="X61" s="164">
        <f t="shared" ca="1" si="28"/>
        <v>0</v>
      </c>
      <c r="Y61" s="265">
        <f>Construction!BP62*dock_boats_hr</f>
        <v>0</v>
      </c>
      <c r="Z61" s="164"/>
      <c r="AA61" s="152">
        <f ca="1">Population!C61*tax*Population!I61 + (Construction!AY62+Construction!BW62)*(alch_plat+(Magic!AR61&gt;0)*alchemist_flame_bonus)</f>
        <v>10651.5</v>
      </c>
      <c r="AB61" s="164">
        <f>Construction!$AZ61*farm_food + Construction!$BP61*dock_food+IF(race="Growth",ROUNDDOWN(Military!G61*8,0),0)</f>
        <v>6400</v>
      </c>
      <c r="AC61" s="164">
        <f>Construction!$BC61*ly_lumber+IF(race="Ants",ROUNDDOWN(Military!F61/2,0),0)</f>
        <v>2500</v>
      </c>
      <c r="AD61" s="26">
        <f>Construction!$BK62*tower_mana+IF(race="Templars",ROUNDDOWN(Military!F61*0.02,0),0)+IF(race="Black Orc",Military!G61*5,0)+IF(race="Growth",ROUNDDOWN(Military!G61*0.1,0),0)+IF(race="Void",ROUNDDOWN(Military!F61*1.5,0),0)+IF(race="Void",ROUNDDOWN(Military!G61*4,0),0)</f>
        <v>1250</v>
      </c>
      <c r="AE61" s="164">
        <f>Construction!$BE62*om_ore+IF(race="Dwarf",ROUNDDOWN(Military!F61*2,0),0)</f>
        <v>0</v>
      </c>
      <c r="AF61" s="57">
        <f>Construction!$BN62*dm_gems+IF(race="Dwarf",ROUNDDOWN(Military!F61/2,0),0)</f>
        <v>0</v>
      </c>
      <c r="AH61" s="266">
        <f ca="1">MIN(race_platinum_bonus + IF(Magic!AJ61&gt;0,midas_bonus) + Imps!Y61 - BB61*0.02+MAX(tech_production_plat*Techs!Y61,tech_treasure_hunt_plat*Techs!AR61), 0.5)</f>
        <v>0</v>
      </c>
      <c r="AI61" s="455">
        <f ca="1">race_food_bonus + IF(Magic!AO61&gt;0,gaias_blessing_food,IF(Magic!AG61&gt;0,gaias_watch_bonus)) + Imps!AD61+tech_production_food*Techs!W61 + O61/100*prestige_food_bonus</f>
        <v>0.1</v>
      </c>
      <c r="AJ61" s="267">
        <f ca="1">race_lumber_bonus+ IF(Magic!AO61&gt;0,gaias_blessing_lumber)+tech_fruits_of_labor1*Techs!AP61</f>
        <v>0</v>
      </c>
      <c r="AK61" s="267">
        <f ca="1">race_mana_bonus+tech_enchanted_lands_mana*Techs!AT61</f>
        <v>0</v>
      </c>
      <c r="AL61" s="267">
        <f ca="1">race_ore_bonus + IF(Magic!AL61&gt;0,miners_sight_bonus,IF(Magic!AH61&gt;0,mining_strength_bonus))+tech_fruits_of_labor1*Techs!AP61</f>
        <v>0</v>
      </c>
      <c r="AM61" s="193">
        <f ca="1">race_gem_bonus+MAX(tech_production_gems*Techs!X61,tech_fruits_of_labor_gems*Techs!AP61)</f>
        <v>0</v>
      </c>
      <c r="AO61" s="56">
        <f ca="1">I61*food_decay*IF(Magic!AZ61&gt;0,0.5,1)</f>
        <v>2287.87</v>
      </c>
      <c r="AP61" s="26">
        <f ca="1">(1+race_food_consumption)*Population!F61*food_per_person</f>
        <v>2310</v>
      </c>
      <c r="AQ61" s="26">
        <f t="shared" ca="1" si="33"/>
        <v>2792.52</v>
      </c>
      <c r="AR61" s="57">
        <f t="shared" ca="1" si="34"/>
        <v>986.68000000000006</v>
      </c>
      <c r="AS61" s="26"/>
      <c r="AT61" s="56">
        <f ca="1">Explore!AH61+Construction!AP61+Military!AU61+Rezone!Y61+Imps!AM61-BE61</f>
        <v>0</v>
      </c>
      <c r="AU61" s="26">
        <f>Construction!AQ61+Imps!AN61-BF61</f>
        <v>0</v>
      </c>
      <c r="AV61" s="26">
        <f>Magic!AD61</f>
        <v>0</v>
      </c>
      <c r="AW61" s="26">
        <f ca="1">Military!AV61+Imps!AO61-BG61</f>
        <v>0</v>
      </c>
      <c r="AX61" s="26">
        <f>Imps!AP61-BH61</f>
        <v>0</v>
      </c>
      <c r="AY61" s="26">
        <f ca="1">Military!AZ61</f>
        <v>0</v>
      </c>
      <c r="AZ61" s="57">
        <f ca="1">Military!BA61</f>
        <v>0</v>
      </c>
      <c r="BB61" s="56" t="b">
        <f t="shared" si="29"/>
        <v>0</v>
      </c>
      <c r="BC61" s="332"/>
      <c r="BD61" s="979">
        <v>59</v>
      </c>
      <c r="BE61" s="332"/>
      <c r="BF61" s="370"/>
      <c r="BG61" s="370"/>
      <c r="BH61" s="744"/>
      <c r="BI61" s="1036">
        <f t="shared" si="35"/>
        <v>43694.416666666526</v>
      </c>
      <c r="BJ61" s="159" t="str">
        <f t="shared" si="22"/>
        <v/>
      </c>
      <c r="BK61" s="26">
        <f t="shared" ca="1" si="18"/>
        <v>3565269</v>
      </c>
      <c r="BL61" s="26">
        <f t="shared" ca="1" si="9"/>
        <v>228787</v>
      </c>
      <c r="BM61" s="26">
        <f t="shared" ca="1" si="10"/>
        <v>279252</v>
      </c>
      <c r="BN61" s="26">
        <f t="shared" ca="1" si="11"/>
        <v>49334</v>
      </c>
      <c r="BO61" s="57">
        <f t="shared" ca="1" si="12"/>
        <v>231000</v>
      </c>
    </row>
    <row r="62" spans="1:67" s="16" customFormat="1">
      <c r="A62" s="987">
        <v>60</v>
      </c>
      <c r="B62" s="532">
        <f>Imps!L62</f>
        <v>43694.45833333319</v>
      </c>
      <c r="C62" s="332"/>
      <c r="D62" s="835"/>
      <c r="E62" s="56">
        <f>Construction!E62</f>
        <v>1000</v>
      </c>
      <c r="F62" s="26">
        <f ca="1">Population!$C62</f>
        <v>3945</v>
      </c>
      <c r="G62" s="26">
        <f ca="1">Military!EM62</f>
        <v>39460</v>
      </c>
      <c r="H62" s="26">
        <f ca="1">H61+S61 - AT62 + IF(C62,Population!C62*4)</f>
        <v>3575920</v>
      </c>
      <c r="I62" s="26">
        <f t="shared" ca="1" si="19"/>
        <v>231229</v>
      </c>
      <c r="J62" s="26">
        <f t="shared" ca="1" si="36"/>
        <v>278959</v>
      </c>
      <c r="K62" s="26">
        <f t="shared" ca="1" si="37"/>
        <v>49597</v>
      </c>
      <c r="L62" s="26">
        <f t="shared" ca="1" si="38"/>
        <v>231000</v>
      </c>
      <c r="M62" s="26">
        <f t="shared" ca="1" si="39"/>
        <v>20000</v>
      </c>
      <c r="N62" s="26">
        <f t="shared" ca="1" si="20"/>
        <v>200</v>
      </c>
      <c r="O62" s="26">
        <f t="shared" si="21"/>
        <v>500</v>
      </c>
      <c r="P62" s="26">
        <f>ROUNDDOWN(P61+MAX(Construction!BO62/2,Construction!BO62*(1-Construction!BO62/(E62-Explore!S62*20)))-Q62*SUM(Techs!AY62:BY62),0)</f>
        <v>0</v>
      </c>
      <c r="Q62" s="166">
        <f>MAX(min_tech_cost,ROUNDDOWN(tech_cost_per_acre*Construction!E62,0))</f>
        <v>6426</v>
      </c>
      <c r="S62" s="152">
        <f t="shared" ca="1" si="23"/>
        <v>10651</v>
      </c>
      <c r="T62" s="164">
        <f t="shared" ca="1" si="30"/>
        <v>2418</v>
      </c>
      <c r="U62" s="164">
        <f t="shared" ca="1" si="31"/>
        <v>-290</v>
      </c>
      <c r="V62" s="164">
        <f t="shared" ca="1" si="32"/>
        <v>258</v>
      </c>
      <c r="W62" s="164">
        <f t="shared" ca="1" si="27"/>
        <v>0</v>
      </c>
      <c r="X62" s="164">
        <f t="shared" ca="1" si="28"/>
        <v>0</v>
      </c>
      <c r="Y62" s="265">
        <f>Construction!BP63*dock_boats_hr</f>
        <v>0</v>
      </c>
      <c r="Z62" s="164"/>
      <c r="AA62" s="152">
        <f ca="1">Population!C62*tax*Population!I62 + (Construction!AY63+Construction!BW63)*(alch_plat+(Magic!AR62&gt;0)*alchemist_flame_bonus)</f>
        <v>10651.5</v>
      </c>
      <c r="AB62" s="164">
        <f>Construction!$AZ62*farm_food + Construction!$BP62*dock_food+IF(race="Growth",ROUNDDOWN(Military!G62*8,0),0)</f>
        <v>6400</v>
      </c>
      <c r="AC62" s="164">
        <f>Construction!$BC62*ly_lumber+IF(race="Ants",ROUNDDOWN(Military!F62/2,0),0)</f>
        <v>2500</v>
      </c>
      <c r="AD62" s="26">
        <f>Construction!$BK63*tower_mana+IF(race="Templars",ROUNDDOWN(Military!F62*0.02,0),0)+IF(race="Black Orc",Military!G62*5,0)+IF(race="Growth",ROUNDDOWN(Military!G62*0.1,0),0)+IF(race="Void",ROUNDDOWN(Military!F62*1.5,0),0)+IF(race="Void",ROUNDDOWN(Military!G62*4,0),0)</f>
        <v>1250</v>
      </c>
      <c r="AE62" s="164">
        <f>Construction!$BE63*om_ore+IF(race="Dwarf",ROUNDDOWN(Military!F62*2,0),0)</f>
        <v>0</v>
      </c>
      <c r="AF62" s="57">
        <f>Construction!$BN63*dm_gems+IF(race="Dwarf",ROUNDDOWN(Military!F62/2,0),0)</f>
        <v>0</v>
      </c>
      <c r="AH62" s="266">
        <f ca="1">MIN(race_platinum_bonus + IF(Magic!AJ62&gt;0,midas_bonus) + Imps!Y62 - BB62*0.02+MAX(tech_production_plat*Techs!Y62,tech_treasure_hunt_plat*Techs!AR62), 0.5)</f>
        <v>0</v>
      </c>
      <c r="AI62" s="455">
        <f ca="1">race_food_bonus + IF(Magic!AO62&gt;0,gaias_blessing_food,IF(Magic!AG62&gt;0,gaias_watch_bonus)) + Imps!AD62+tech_production_food*Techs!W62 + O62/100*prestige_food_bonus</f>
        <v>0.1</v>
      </c>
      <c r="AJ62" s="267">
        <f ca="1">race_lumber_bonus+ IF(Magic!AO62&gt;0,gaias_blessing_lumber)+tech_fruits_of_labor1*Techs!AP62</f>
        <v>0</v>
      </c>
      <c r="AK62" s="267">
        <f ca="1">race_mana_bonus+tech_enchanted_lands_mana*Techs!AT62</f>
        <v>0</v>
      </c>
      <c r="AL62" s="267">
        <f ca="1">race_ore_bonus + IF(Magic!AL62&gt;0,miners_sight_bonus,IF(Magic!AH62&gt;0,mining_strength_bonus))+tech_fruits_of_labor1*Techs!AP62</f>
        <v>0</v>
      </c>
      <c r="AM62" s="193">
        <f ca="1">race_gem_bonus+MAX(tech_production_gems*Techs!X62,tech_fruits_of_labor_gems*Techs!AP62)</f>
        <v>0</v>
      </c>
      <c r="AO62" s="56">
        <f ca="1">I62*food_decay*IF(Magic!AZ62&gt;0,0.5,1)</f>
        <v>2312.29</v>
      </c>
      <c r="AP62" s="26">
        <f ca="1">(1+race_food_consumption)*Population!F62*food_per_person</f>
        <v>2310</v>
      </c>
      <c r="AQ62" s="26">
        <f t="shared" ca="1" si="33"/>
        <v>2789.59</v>
      </c>
      <c r="AR62" s="57">
        <f t="shared" ca="1" si="34"/>
        <v>991.94</v>
      </c>
      <c r="AS62" s="26"/>
      <c r="AT62" s="56">
        <f ca="1">Explore!AH62+Construction!AP62+Military!AU62+Rezone!Y62+Imps!AM62-BE62</f>
        <v>0</v>
      </c>
      <c r="AU62" s="26">
        <f>Construction!AQ62+Imps!AN62-BF62</f>
        <v>0</v>
      </c>
      <c r="AV62" s="26">
        <f>Magic!AD62</f>
        <v>0</v>
      </c>
      <c r="AW62" s="26">
        <f ca="1">Military!AV62+Imps!AO62-BG62</f>
        <v>0</v>
      </c>
      <c r="AX62" s="26">
        <f>Imps!AP62-BH62</f>
        <v>0</v>
      </c>
      <c r="AY62" s="26">
        <f ca="1">Military!AZ62</f>
        <v>0</v>
      </c>
      <c r="AZ62" s="57">
        <f ca="1">Military!BA62</f>
        <v>0</v>
      </c>
      <c r="BB62" s="56" t="b">
        <f t="shared" si="29"/>
        <v>0</v>
      </c>
      <c r="BC62" s="332"/>
      <c r="BD62" s="979">
        <v>60</v>
      </c>
      <c r="BE62" s="332"/>
      <c r="BF62" s="370"/>
      <c r="BG62" s="370"/>
      <c r="BH62" s="744"/>
      <c r="BI62" s="1036">
        <f t="shared" si="35"/>
        <v>43694.45833333319</v>
      </c>
      <c r="BJ62" s="159" t="str">
        <f t="shared" si="22"/>
        <v/>
      </c>
      <c r="BK62" s="26">
        <f t="shared" ca="1" si="18"/>
        <v>3575920</v>
      </c>
      <c r="BL62" s="26">
        <f t="shared" ca="1" si="9"/>
        <v>231229</v>
      </c>
      <c r="BM62" s="26">
        <f t="shared" ca="1" si="10"/>
        <v>278959</v>
      </c>
      <c r="BN62" s="26">
        <f t="shared" ca="1" si="11"/>
        <v>49597</v>
      </c>
      <c r="BO62" s="57">
        <f t="shared" ca="1" si="12"/>
        <v>231000</v>
      </c>
    </row>
    <row r="63" spans="1:67" s="12" customFormat="1">
      <c r="A63" s="990">
        <v>61</v>
      </c>
      <c r="B63" s="677">
        <f>Imps!L63</f>
        <v>43694.499999999854</v>
      </c>
      <c r="C63" s="333"/>
      <c r="D63" s="838"/>
      <c r="E63" s="54">
        <f>Construction!E63</f>
        <v>1000</v>
      </c>
      <c r="F63" s="153">
        <f ca="1">Population!$C63</f>
        <v>3945</v>
      </c>
      <c r="G63" s="153">
        <f ca="1">Military!EM63</f>
        <v>39460</v>
      </c>
      <c r="H63" s="13">
        <f ca="1">H62+S62 - AT63 + IF(C63,Population!C63*4)</f>
        <v>3586571</v>
      </c>
      <c r="I63" s="13">
        <f t="shared" ca="1" si="19"/>
        <v>233647</v>
      </c>
      <c r="J63" s="13">
        <f t="shared" ca="1" si="36"/>
        <v>278669</v>
      </c>
      <c r="K63" s="13">
        <f t="shared" ca="1" si="37"/>
        <v>49855</v>
      </c>
      <c r="L63" s="13">
        <f t="shared" ca="1" si="38"/>
        <v>231000</v>
      </c>
      <c r="M63" s="13">
        <f t="shared" ca="1" si="39"/>
        <v>20000</v>
      </c>
      <c r="N63" s="13">
        <f t="shared" ca="1" si="20"/>
        <v>200</v>
      </c>
      <c r="O63" s="13">
        <f t="shared" si="21"/>
        <v>500</v>
      </c>
      <c r="P63" s="13">
        <f>ROUNDDOWN(P62+MAX(Construction!BO63/2,Construction!BO63*(1-Construction!BO63/(E63-Explore!S63*20)))-Q63*SUM(Techs!AY63:BY63),0)</f>
        <v>0</v>
      </c>
      <c r="Q63" s="55">
        <f>MAX(min_tech_cost,ROUNDDOWN(tech_cost_per_acre*Construction!E63,0))</f>
        <v>6426</v>
      </c>
      <c r="S63" s="151">
        <f t="shared" ca="1" si="23"/>
        <v>10651</v>
      </c>
      <c r="T63" s="153">
        <f t="shared" ca="1" si="30"/>
        <v>2394</v>
      </c>
      <c r="U63" s="153">
        <f t="shared" ca="1" si="31"/>
        <v>-287</v>
      </c>
      <c r="V63" s="153">
        <f t="shared" ca="1" si="32"/>
        <v>253</v>
      </c>
      <c r="W63" s="153">
        <f t="shared" ca="1" si="27"/>
        <v>0</v>
      </c>
      <c r="X63" s="153">
        <f t="shared" ca="1" si="28"/>
        <v>0</v>
      </c>
      <c r="Y63" s="262">
        <f>Construction!BP64*dock_boats_hr</f>
        <v>0</v>
      </c>
      <c r="Z63" s="203"/>
      <c r="AA63" s="151">
        <f ca="1">Population!C63*tax*Population!I63 + (Construction!AY64+Construction!BW64)*(alch_plat+(Magic!AR63&gt;0)*alchemist_flame_bonus)</f>
        <v>10651.5</v>
      </c>
      <c r="AB63" s="153">
        <f>Construction!$AZ63*farm_food + Construction!$BP63*dock_food+IF(race="Growth",ROUNDDOWN(Military!G63*8,0),0)</f>
        <v>6400</v>
      </c>
      <c r="AC63" s="153">
        <f>Construction!$BC63*ly_lumber+IF(race="Ants",ROUNDDOWN(Military!F63/2,0),0)</f>
        <v>2500</v>
      </c>
      <c r="AD63" s="13">
        <f>Construction!$BK64*tower_mana+IF(race="Templars",ROUNDDOWN(Military!F63*0.02,0),0)+IF(race="Black Orc",Military!G63*5,0)+IF(race="Growth",ROUNDDOWN(Military!G63*0.1,0),0)+IF(race="Void",ROUNDDOWN(Military!F63*1.5,0),0)+IF(race="Void",ROUNDDOWN(Military!G63*4,0),0)</f>
        <v>1250</v>
      </c>
      <c r="AE63" s="153">
        <f>Construction!$BE64*om_ore+IF(race="Dwarf",ROUNDDOWN(Military!F63*2,0),0)</f>
        <v>0</v>
      </c>
      <c r="AF63" s="55">
        <f>Construction!$BN64*dm_gems+IF(race="Dwarf",ROUNDDOWN(Military!F63/2,0),0)</f>
        <v>0</v>
      </c>
      <c r="AH63" s="263">
        <f ca="1">MIN(race_platinum_bonus + IF(Magic!AJ63&gt;0,midas_bonus) + Imps!Y63 - BB63*0.02+MAX(tech_production_plat*Techs!Y63,tech_treasure_hunt_plat*Techs!AR63), 0.5)</f>
        <v>0</v>
      </c>
      <c r="AI63" s="447">
        <f ca="1">race_food_bonus + IF(Magic!AO63&gt;0,gaias_blessing_food,IF(Magic!AG63&gt;0,gaias_watch_bonus)) + Imps!AD63+tech_production_food*Techs!W63 + O63/100*prestige_food_bonus</f>
        <v>0.1</v>
      </c>
      <c r="AJ63" s="264">
        <f ca="1">race_lumber_bonus+ IF(Magic!AO63&gt;0,gaias_blessing_lumber)+tech_fruits_of_labor1*Techs!AP63</f>
        <v>0</v>
      </c>
      <c r="AK63" s="264">
        <f ca="1">race_mana_bonus+tech_enchanted_lands_mana*Techs!AT63</f>
        <v>0</v>
      </c>
      <c r="AL63" s="264">
        <f ca="1">race_ore_bonus + IF(Magic!AL63&gt;0,miners_sight_bonus,IF(Magic!AH63&gt;0,mining_strength_bonus))+tech_fruits_of_labor1*Techs!AP63</f>
        <v>0</v>
      </c>
      <c r="AM63" s="194">
        <f ca="1">race_gem_bonus+MAX(tech_production_gems*Techs!X63,tech_fruits_of_labor_gems*Techs!AP63)</f>
        <v>0</v>
      </c>
      <c r="AO63" s="54">
        <f ca="1">I63*food_decay*IF(Magic!AZ63&gt;0,0.5,1)</f>
        <v>2336.4700000000003</v>
      </c>
      <c r="AP63" s="13">
        <f ca="1">(1+race_food_consumption)*Population!F63*food_per_person</f>
        <v>2310</v>
      </c>
      <c r="AQ63" s="13">
        <f t="shared" ca="1" si="33"/>
        <v>2786.69</v>
      </c>
      <c r="AR63" s="55">
        <f t="shared" ca="1" si="34"/>
        <v>997.1</v>
      </c>
      <c r="AS63" s="13"/>
      <c r="AT63" s="54">
        <f ca="1">Explore!AH63+Construction!AP63+Military!AU63+Rezone!Y63+Imps!AM63-BE63</f>
        <v>0</v>
      </c>
      <c r="AU63" s="13">
        <f>Construction!AQ63+Imps!AN63-BF63</f>
        <v>0</v>
      </c>
      <c r="AV63" s="13">
        <f>Magic!AD63</f>
        <v>0</v>
      </c>
      <c r="AW63" s="13">
        <f ca="1">Military!AV63+Imps!AO63-BG63</f>
        <v>0</v>
      </c>
      <c r="AX63" s="13">
        <f>Imps!AP63-BH63</f>
        <v>0</v>
      </c>
      <c r="AY63" s="13">
        <f ca="1">Military!AZ63</f>
        <v>0</v>
      </c>
      <c r="AZ63" s="55">
        <f ca="1">Military!BA63</f>
        <v>0</v>
      </c>
      <c r="BB63" s="54" t="b">
        <f t="shared" si="29"/>
        <v>0</v>
      </c>
      <c r="BC63" s="333"/>
      <c r="BD63" s="982">
        <v>61</v>
      </c>
      <c r="BE63" s="333"/>
      <c r="BF63" s="429"/>
      <c r="BG63" s="429"/>
      <c r="BH63" s="747"/>
      <c r="BI63" s="1038">
        <f t="shared" si="35"/>
        <v>43694.499999999854</v>
      </c>
      <c r="BJ63" s="287" t="str">
        <f t="shared" si="22"/>
        <v/>
      </c>
      <c r="BK63" s="13">
        <f t="shared" ca="1" si="18"/>
        <v>3586571</v>
      </c>
      <c r="BL63" s="13">
        <f t="shared" ca="1" si="9"/>
        <v>233647</v>
      </c>
      <c r="BM63" s="13">
        <f t="shared" ca="1" si="10"/>
        <v>278669</v>
      </c>
      <c r="BN63" s="13">
        <f t="shared" ca="1" si="11"/>
        <v>49855</v>
      </c>
      <c r="BO63" s="55">
        <f t="shared" ca="1" si="12"/>
        <v>231000</v>
      </c>
    </row>
    <row r="64" spans="1:67" s="16" customFormat="1">
      <c r="A64" s="987">
        <v>62</v>
      </c>
      <c r="B64" s="532">
        <f>Imps!L64</f>
        <v>43694.541666666519</v>
      </c>
      <c r="C64" s="332"/>
      <c r="D64" s="835"/>
      <c r="E64" s="56">
        <f>Construction!E64</f>
        <v>1000</v>
      </c>
      <c r="F64" s="26">
        <f ca="1">Population!$C64</f>
        <v>3945</v>
      </c>
      <c r="G64" s="26">
        <f ca="1">Military!EM64</f>
        <v>39460</v>
      </c>
      <c r="H64" s="26">
        <f ca="1">H63+S63 - AT64 + IF(C64,Population!C64*4)</f>
        <v>3597222</v>
      </c>
      <c r="I64" s="26">
        <f t="shared" ca="1" si="19"/>
        <v>236041</v>
      </c>
      <c r="J64" s="26">
        <f t="shared" ca="1" si="36"/>
        <v>278382</v>
      </c>
      <c r="K64" s="26">
        <f t="shared" ca="1" si="37"/>
        <v>50108</v>
      </c>
      <c r="L64" s="26">
        <f t="shared" ca="1" si="38"/>
        <v>231000</v>
      </c>
      <c r="M64" s="26">
        <f t="shared" ca="1" si="39"/>
        <v>20000</v>
      </c>
      <c r="N64" s="26">
        <f t="shared" ca="1" si="20"/>
        <v>200</v>
      </c>
      <c r="O64" s="26">
        <f t="shared" si="21"/>
        <v>500</v>
      </c>
      <c r="P64" s="26">
        <f>ROUNDDOWN(P63+MAX(Construction!BO64/2,Construction!BO64*(1-Construction!BO64/(E64-Explore!S64*20)))-Q64*SUM(Techs!AY64:BY64),0)</f>
        <v>0</v>
      </c>
      <c r="Q64" s="166">
        <f>MAX(min_tech_cost,ROUNDDOWN(tech_cost_per_acre*Construction!E64,0))</f>
        <v>6426</v>
      </c>
      <c r="S64" s="152">
        <f t="shared" ca="1" si="23"/>
        <v>10651</v>
      </c>
      <c r="T64" s="164">
        <f t="shared" ca="1" si="30"/>
        <v>2370</v>
      </c>
      <c r="U64" s="164">
        <f t="shared" ca="1" si="31"/>
        <v>-284</v>
      </c>
      <c r="V64" s="164">
        <f t="shared" ca="1" si="32"/>
        <v>248</v>
      </c>
      <c r="W64" s="164">
        <f t="shared" ca="1" si="27"/>
        <v>0</v>
      </c>
      <c r="X64" s="164">
        <f t="shared" ca="1" si="28"/>
        <v>0</v>
      </c>
      <c r="Y64" s="265">
        <f>Construction!BP65*dock_boats_hr</f>
        <v>0</v>
      </c>
      <c r="Z64" s="164"/>
      <c r="AA64" s="152">
        <f ca="1">Population!C64*tax*Population!I64 + (Construction!AY65+Construction!BW65)*(alch_plat+(Magic!AR64&gt;0)*alchemist_flame_bonus)</f>
        <v>10651.5</v>
      </c>
      <c r="AB64" s="164">
        <f>Construction!$AZ64*farm_food + Construction!$BP64*dock_food+IF(race="Growth",ROUNDDOWN(Military!G64*8,0),0)</f>
        <v>6400</v>
      </c>
      <c r="AC64" s="164">
        <f>Construction!$BC64*ly_lumber+IF(race="Ants",ROUNDDOWN(Military!F64/2,0),0)</f>
        <v>2500</v>
      </c>
      <c r="AD64" s="26">
        <f>Construction!$BK65*tower_mana+IF(race="Templars",ROUNDDOWN(Military!F64*0.02,0),0)+IF(race="Black Orc",Military!G64*5,0)+IF(race="Growth",ROUNDDOWN(Military!G64*0.1,0),0)+IF(race="Void",ROUNDDOWN(Military!F64*1.5,0),0)+IF(race="Void",ROUNDDOWN(Military!G64*4,0),0)</f>
        <v>1250</v>
      </c>
      <c r="AE64" s="164">
        <f>Construction!$BE65*om_ore+IF(race="Dwarf",ROUNDDOWN(Military!F64*2,0),0)</f>
        <v>0</v>
      </c>
      <c r="AF64" s="57">
        <f>Construction!$BN65*dm_gems+IF(race="Dwarf",ROUNDDOWN(Military!F64/2,0),0)</f>
        <v>0</v>
      </c>
      <c r="AH64" s="266">
        <f ca="1">MIN(race_platinum_bonus + IF(Magic!AJ64&gt;0,midas_bonus) + Imps!Y64 - BB64*0.02+MAX(tech_production_plat*Techs!Y64,tech_treasure_hunt_plat*Techs!AR64), 0.5)</f>
        <v>0</v>
      </c>
      <c r="AI64" s="455">
        <f ca="1">race_food_bonus + IF(Magic!AO64&gt;0,gaias_blessing_food,IF(Magic!AG64&gt;0,gaias_watch_bonus)) + Imps!AD64+tech_production_food*Techs!W64 + O64/100*prestige_food_bonus</f>
        <v>0.1</v>
      </c>
      <c r="AJ64" s="267">
        <f ca="1">race_lumber_bonus+ IF(Magic!AO64&gt;0,gaias_blessing_lumber)+tech_fruits_of_labor1*Techs!AP64</f>
        <v>0</v>
      </c>
      <c r="AK64" s="267">
        <f ca="1">race_mana_bonus+tech_enchanted_lands_mana*Techs!AT64</f>
        <v>0</v>
      </c>
      <c r="AL64" s="267">
        <f ca="1">race_ore_bonus + IF(Magic!AL64&gt;0,miners_sight_bonus,IF(Magic!AH64&gt;0,mining_strength_bonus))+tech_fruits_of_labor1*Techs!AP64</f>
        <v>0</v>
      </c>
      <c r="AM64" s="193">
        <f ca="1">race_gem_bonus+MAX(tech_production_gems*Techs!X64,tech_fruits_of_labor_gems*Techs!AP64)</f>
        <v>0</v>
      </c>
      <c r="AO64" s="56">
        <f ca="1">I64*food_decay*IF(Magic!AZ64&gt;0,0.5,1)</f>
        <v>2360.41</v>
      </c>
      <c r="AP64" s="26">
        <f ca="1">(1+race_food_consumption)*Population!F64*food_per_person</f>
        <v>2310</v>
      </c>
      <c r="AQ64" s="26">
        <f t="shared" ca="1" si="33"/>
        <v>2783.82</v>
      </c>
      <c r="AR64" s="57">
        <f t="shared" ca="1" si="34"/>
        <v>1002.16</v>
      </c>
      <c r="AS64" s="26"/>
      <c r="AT64" s="56">
        <f ca="1">Explore!AH64+Construction!AP64+Military!AU64+Rezone!Y64+Imps!AM64-BE64</f>
        <v>0</v>
      </c>
      <c r="AU64" s="26">
        <f>Construction!AQ64+Imps!AN64-BF64</f>
        <v>0</v>
      </c>
      <c r="AV64" s="26">
        <f>Magic!AD64</f>
        <v>0</v>
      </c>
      <c r="AW64" s="26">
        <f ca="1">Military!AV64+Imps!AO64-BG64</f>
        <v>0</v>
      </c>
      <c r="AX64" s="26">
        <f>Imps!AP64-BH64</f>
        <v>0</v>
      </c>
      <c r="AY64" s="26">
        <f ca="1">Military!AZ64</f>
        <v>0</v>
      </c>
      <c r="AZ64" s="57">
        <f ca="1">Military!BA64</f>
        <v>0</v>
      </c>
      <c r="BB64" s="56" t="b">
        <f t="shared" si="29"/>
        <v>0</v>
      </c>
      <c r="BC64" s="332"/>
      <c r="BD64" s="979">
        <v>62</v>
      </c>
      <c r="BE64" s="332"/>
      <c r="BF64" s="370"/>
      <c r="BG64" s="370"/>
      <c r="BH64" s="744"/>
      <c r="BI64" s="1036">
        <f t="shared" si="35"/>
        <v>43694.541666666519</v>
      </c>
      <c r="BJ64" s="159" t="str">
        <f t="shared" si="22"/>
        <v/>
      </c>
      <c r="BK64" s="26">
        <f t="shared" ca="1" si="18"/>
        <v>3597222</v>
      </c>
      <c r="BL64" s="26">
        <f t="shared" ca="1" si="9"/>
        <v>236041</v>
      </c>
      <c r="BM64" s="26">
        <f t="shared" ca="1" si="10"/>
        <v>278382</v>
      </c>
      <c r="BN64" s="26">
        <f t="shared" ca="1" si="11"/>
        <v>50108</v>
      </c>
      <c r="BO64" s="57">
        <f t="shared" ca="1" si="12"/>
        <v>231000</v>
      </c>
    </row>
    <row r="65" spans="1:67" s="16" customFormat="1">
      <c r="A65" s="987">
        <v>63</v>
      </c>
      <c r="B65" s="816">
        <f>Imps!L65</f>
        <v>43694.583333333183</v>
      </c>
      <c r="C65" s="332"/>
      <c r="D65" s="835"/>
      <c r="E65" s="56">
        <f>Construction!E65</f>
        <v>1000</v>
      </c>
      <c r="F65" s="26">
        <f ca="1">Population!$C65</f>
        <v>3945</v>
      </c>
      <c r="G65" s="26">
        <f ca="1">Military!EM65</f>
        <v>39460</v>
      </c>
      <c r="H65" s="26">
        <f ca="1">H64+S64 - AT65 + IF(C65,Population!C65*4)</f>
        <v>3607873</v>
      </c>
      <c r="I65" s="26">
        <f t="shared" ca="1" si="19"/>
        <v>238411</v>
      </c>
      <c r="J65" s="26">
        <f t="shared" ca="1" si="36"/>
        <v>278098</v>
      </c>
      <c r="K65" s="26">
        <f t="shared" ca="1" si="37"/>
        <v>50356</v>
      </c>
      <c r="L65" s="26">
        <f t="shared" ca="1" si="38"/>
        <v>231000</v>
      </c>
      <c r="M65" s="26">
        <f t="shared" ca="1" si="39"/>
        <v>20000</v>
      </c>
      <c r="N65" s="26">
        <f t="shared" ca="1" si="20"/>
        <v>200</v>
      </c>
      <c r="O65" s="26">
        <f t="shared" si="21"/>
        <v>500</v>
      </c>
      <c r="P65" s="26">
        <f>ROUNDDOWN(P64+MAX(Construction!BO65/2,Construction!BO65*(1-Construction!BO65/(E65-Explore!S65*20)))-Q65*SUM(Techs!AY65:BY65),0)</f>
        <v>0</v>
      </c>
      <c r="Q65" s="166">
        <f>MAX(min_tech_cost,ROUNDDOWN(tech_cost_per_acre*Construction!E65,0))</f>
        <v>6426</v>
      </c>
      <c r="S65" s="152">
        <f t="shared" ca="1" si="23"/>
        <v>10651</v>
      </c>
      <c r="T65" s="164">
        <f t="shared" ca="1" si="30"/>
        <v>2346</v>
      </c>
      <c r="U65" s="164">
        <f t="shared" ca="1" si="31"/>
        <v>-281</v>
      </c>
      <c r="V65" s="164">
        <f t="shared" ca="1" si="32"/>
        <v>243</v>
      </c>
      <c r="W65" s="164">
        <f t="shared" ca="1" si="27"/>
        <v>0</v>
      </c>
      <c r="X65" s="164">
        <f t="shared" ca="1" si="28"/>
        <v>0</v>
      </c>
      <c r="Y65" s="265">
        <f>Construction!BP66*dock_boats_hr</f>
        <v>0</v>
      </c>
      <c r="Z65" s="164"/>
      <c r="AA65" s="152">
        <f ca="1">Population!C65*tax*Population!I65 + (Construction!AY66+Construction!BW66)*(alch_plat+(Magic!AR65&gt;0)*alchemist_flame_bonus)</f>
        <v>10651.5</v>
      </c>
      <c r="AB65" s="164">
        <f>Construction!$AZ65*farm_food + Construction!$BP65*dock_food+IF(race="Growth",ROUNDDOWN(Military!G65*8,0),0)</f>
        <v>6400</v>
      </c>
      <c r="AC65" s="164">
        <f>Construction!$BC65*ly_lumber+IF(race="Ants",ROUNDDOWN(Military!F65/2,0),0)</f>
        <v>2500</v>
      </c>
      <c r="AD65" s="26">
        <f>Construction!$BK66*tower_mana+IF(race="Templars",ROUNDDOWN(Military!F65*0.02,0),0)+IF(race="Black Orc",Military!G65*5,0)+IF(race="Growth",ROUNDDOWN(Military!G65*0.1,0),0)+IF(race="Void",ROUNDDOWN(Military!F65*1.5,0),0)+IF(race="Void",ROUNDDOWN(Military!G65*4,0),0)</f>
        <v>1250</v>
      </c>
      <c r="AE65" s="164">
        <f>Construction!$BE66*om_ore+IF(race="Dwarf",ROUNDDOWN(Military!F65*2,0),0)</f>
        <v>0</v>
      </c>
      <c r="AF65" s="57">
        <f>Construction!$BN66*dm_gems+IF(race="Dwarf",ROUNDDOWN(Military!F65/2,0),0)</f>
        <v>0</v>
      </c>
      <c r="AH65" s="266">
        <f ca="1">MIN(race_platinum_bonus + IF(Magic!AJ65&gt;0,midas_bonus) + Imps!Y65 - BB65*0.02+MAX(tech_production_plat*Techs!Y65,tech_treasure_hunt_plat*Techs!AR65), 0.5)</f>
        <v>0</v>
      </c>
      <c r="AI65" s="455">
        <f ca="1">race_food_bonus + IF(Magic!AO65&gt;0,gaias_blessing_food,IF(Magic!AG65&gt;0,gaias_watch_bonus)) + Imps!AD65+tech_production_food*Techs!W65 + O65/100*prestige_food_bonus</f>
        <v>0.1</v>
      </c>
      <c r="AJ65" s="267">
        <f ca="1">race_lumber_bonus+ IF(Magic!AO65&gt;0,gaias_blessing_lumber)+tech_fruits_of_labor1*Techs!AP65</f>
        <v>0</v>
      </c>
      <c r="AK65" s="267">
        <f ca="1">race_mana_bonus+tech_enchanted_lands_mana*Techs!AT65</f>
        <v>0</v>
      </c>
      <c r="AL65" s="267">
        <f ca="1">race_ore_bonus + IF(Magic!AL65&gt;0,miners_sight_bonus,IF(Magic!AH65&gt;0,mining_strength_bonus))+tech_fruits_of_labor1*Techs!AP65</f>
        <v>0</v>
      </c>
      <c r="AM65" s="193">
        <f ca="1">race_gem_bonus+MAX(tech_production_gems*Techs!X65,tech_fruits_of_labor_gems*Techs!AP65)</f>
        <v>0</v>
      </c>
      <c r="AO65" s="56">
        <f ca="1">I65*food_decay*IF(Magic!AZ65&gt;0,0.5,1)</f>
        <v>2384.11</v>
      </c>
      <c r="AP65" s="26">
        <f ca="1">(1+race_food_consumption)*Population!F65*food_per_person</f>
        <v>2310</v>
      </c>
      <c r="AQ65" s="26">
        <f t="shared" ca="1" si="33"/>
        <v>2780.98</v>
      </c>
      <c r="AR65" s="57">
        <f t="shared" ca="1" si="34"/>
        <v>1007.12</v>
      </c>
      <c r="AS65" s="26"/>
      <c r="AT65" s="56">
        <f ca="1">Explore!AH65+Construction!AP65+Military!AU65+Rezone!Y65+Imps!AM65-BE65</f>
        <v>0</v>
      </c>
      <c r="AU65" s="26">
        <f>Construction!AQ65+Imps!AN65-BF65</f>
        <v>0</v>
      </c>
      <c r="AV65" s="26">
        <f>Magic!AD65</f>
        <v>0</v>
      </c>
      <c r="AW65" s="26">
        <f ca="1">Military!AV65+Imps!AO65-BG65</f>
        <v>0</v>
      </c>
      <c r="AX65" s="26">
        <f>Imps!AP65-BH65</f>
        <v>0</v>
      </c>
      <c r="AY65" s="26">
        <f ca="1">Military!AZ65</f>
        <v>0</v>
      </c>
      <c r="AZ65" s="57">
        <f ca="1">Military!BA65</f>
        <v>0</v>
      </c>
      <c r="BB65" s="56" t="b">
        <f t="shared" si="29"/>
        <v>0</v>
      </c>
      <c r="BC65" s="332"/>
      <c r="BD65" s="979">
        <v>63</v>
      </c>
      <c r="BE65" s="332"/>
      <c r="BF65" s="370"/>
      <c r="BG65" s="370"/>
      <c r="BH65" s="744"/>
      <c r="BI65" s="1036">
        <f t="shared" si="35"/>
        <v>43694.583333333183</v>
      </c>
      <c r="BJ65" s="159" t="str">
        <f t="shared" si="22"/>
        <v/>
      </c>
      <c r="BK65" s="26">
        <f t="shared" ca="1" si="18"/>
        <v>3607873</v>
      </c>
      <c r="BL65" s="26">
        <f t="shared" ca="1" si="9"/>
        <v>238411</v>
      </c>
      <c r="BM65" s="26">
        <f t="shared" ca="1" si="10"/>
        <v>278098</v>
      </c>
      <c r="BN65" s="26">
        <f t="shared" ca="1" si="11"/>
        <v>50356</v>
      </c>
      <c r="BO65" s="57">
        <f t="shared" ca="1" si="12"/>
        <v>231000</v>
      </c>
    </row>
    <row r="66" spans="1:67" s="16" customFormat="1">
      <c r="A66" s="987">
        <v>64</v>
      </c>
      <c r="B66" s="816">
        <f>Imps!L66</f>
        <v>43694.624999999847</v>
      </c>
      <c r="C66" s="332"/>
      <c r="D66" s="835"/>
      <c r="E66" s="56">
        <f>Construction!E66</f>
        <v>1000</v>
      </c>
      <c r="F66" s="26">
        <f ca="1">Population!$C66</f>
        <v>3945</v>
      </c>
      <c r="G66" s="26">
        <f ca="1">Military!EM66</f>
        <v>39460</v>
      </c>
      <c r="H66" s="26">
        <f ca="1">H65+S65 - AT66 + IF(C66,Population!C66*4)</f>
        <v>3618524</v>
      </c>
      <c r="I66" s="26">
        <f t="shared" ca="1" si="19"/>
        <v>240757</v>
      </c>
      <c r="J66" s="26">
        <f t="shared" ca="1" si="36"/>
        <v>277817</v>
      </c>
      <c r="K66" s="26">
        <f t="shared" ca="1" si="37"/>
        <v>50599</v>
      </c>
      <c r="L66" s="26">
        <f t="shared" ca="1" si="38"/>
        <v>231000</v>
      </c>
      <c r="M66" s="26">
        <f t="shared" ca="1" si="39"/>
        <v>20000</v>
      </c>
      <c r="N66" s="26">
        <f t="shared" ca="1" si="20"/>
        <v>200</v>
      </c>
      <c r="O66" s="26">
        <f t="shared" si="21"/>
        <v>500</v>
      </c>
      <c r="P66" s="26">
        <f>ROUNDDOWN(P65+MAX(Construction!BO66/2,Construction!BO66*(1-Construction!BO66/(E66-Explore!S66*20)))-Q66*SUM(Techs!AY66:BY66),0)</f>
        <v>0</v>
      </c>
      <c r="Q66" s="166">
        <f>MAX(min_tech_cost,ROUNDDOWN(tech_cost_per_acre*Construction!E66,0))</f>
        <v>6426</v>
      </c>
      <c r="S66" s="152">
        <f t="shared" ca="1" si="23"/>
        <v>10651</v>
      </c>
      <c r="T66" s="164">
        <f t="shared" ca="1" si="30"/>
        <v>2322</v>
      </c>
      <c r="U66" s="164">
        <f t="shared" ca="1" si="31"/>
        <v>-278</v>
      </c>
      <c r="V66" s="164">
        <f t="shared" ca="1" si="32"/>
        <v>238</v>
      </c>
      <c r="W66" s="164">
        <f t="shared" ca="1" si="27"/>
        <v>0</v>
      </c>
      <c r="X66" s="164">
        <f t="shared" ca="1" si="28"/>
        <v>0</v>
      </c>
      <c r="Y66" s="265">
        <f>Construction!BP67*dock_boats_hr</f>
        <v>0</v>
      </c>
      <c r="Z66" s="164"/>
      <c r="AA66" s="152">
        <f ca="1">Population!C66*tax*Population!I66 + (Construction!AY67+Construction!BW67)*(alch_plat+(Magic!AR66&gt;0)*alchemist_flame_bonus)</f>
        <v>10651.5</v>
      </c>
      <c r="AB66" s="164">
        <f>Construction!$AZ66*farm_food + Construction!$BP66*dock_food+IF(race="Growth",ROUNDDOWN(Military!G66*8,0),0)</f>
        <v>6400</v>
      </c>
      <c r="AC66" s="164">
        <f>Construction!$BC66*ly_lumber+IF(race="Ants",ROUNDDOWN(Military!F66/2,0),0)</f>
        <v>2500</v>
      </c>
      <c r="AD66" s="26">
        <f>Construction!$BK67*tower_mana+IF(race="Templars",ROUNDDOWN(Military!F66*0.02,0),0)+IF(race="Black Orc",Military!G66*5,0)+IF(race="Growth",ROUNDDOWN(Military!G66*0.1,0),0)+IF(race="Void",ROUNDDOWN(Military!F66*1.5,0),0)+IF(race="Void",ROUNDDOWN(Military!G66*4,0),0)</f>
        <v>1250</v>
      </c>
      <c r="AE66" s="164">
        <f>Construction!$BE67*om_ore+IF(race="Dwarf",ROUNDDOWN(Military!F66*2,0),0)</f>
        <v>0</v>
      </c>
      <c r="AF66" s="57">
        <f>Construction!$BN67*dm_gems+IF(race="Dwarf",ROUNDDOWN(Military!F66/2,0),0)</f>
        <v>0</v>
      </c>
      <c r="AH66" s="266">
        <f ca="1">MIN(race_platinum_bonus + IF(Magic!AJ66&gt;0,midas_bonus) + Imps!Y66 - BB66*0.02+MAX(tech_production_plat*Techs!Y66,tech_treasure_hunt_plat*Techs!AR66), 0.5)</f>
        <v>0</v>
      </c>
      <c r="AI66" s="455">
        <f ca="1">race_food_bonus + IF(Magic!AO66&gt;0,gaias_blessing_food,IF(Magic!AG66&gt;0,gaias_watch_bonus)) + Imps!AD66+tech_production_food*Techs!W66 + O66/100*prestige_food_bonus</f>
        <v>0.1</v>
      </c>
      <c r="AJ66" s="267">
        <f ca="1">race_lumber_bonus+ IF(Magic!AO66&gt;0,gaias_blessing_lumber)+tech_fruits_of_labor1*Techs!AP66</f>
        <v>0</v>
      </c>
      <c r="AK66" s="267">
        <f ca="1">race_mana_bonus+tech_enchanted_lands_mana*Techs!AT66</f>
        <v>0</v>
      </c>
      <c r="AL66" s="267">
        <f ca="1">race_ore_bonus + IF(Magic!AL66&gt;0,miners_sight_bonus,IF(Magic!AH66&gt;0,mining_strength_bonus))+tech_fruits_of_labor1*Techs!AP66</f>
        <v>0</v>
      </c>
      <c r="AM66" s="193">
        <f ca="1">race_gem_bonus+MAX(tech_production_gems*Techs!X66,tech_fruits_of_labor_gems*Techs!AP66)</f>
        <v>0</v>
      </c>
      <c r="AO66" s="56">
        <f ca="1">I66*food_decay*IF(Magic!AZ66&gt;0,0.5,1)</f>
        <v>2407.5700000000002</v>
      </c>
      <c r="AP66" s="26">
        <f ca="1">(1+race_food_consumption)*Population!F66*food_per_person</f>
        <v>2310</v>
      </c>
      <c r="AQ66" s="26">
        <f t="shared" ca="1" si="33"/>
        <v>2778.17</v>
      </c>
      <c r="AR66" s="57">
        <f t="shared" ca="1" si="34"/>
        <v>1011.98</v>
      </c>
      <c r="AS66" s="26"/>
      <c r="AT66" s="56">
        <f ca="1">Explore!AH66+Construction!AP66+Military!AU66+Rezone!Y66+Imps!AM66-BE66</f>
        <v>0</v>
      </c>
      <c r="AU66" s="26">
        <f>Construction!AQ66+Imps!AN66-BF66</f>
        <v>0</v>
      </c>
      <c r="AV66" s="26">
        <f>Magic!AD66</f>
        <v>0</v>
      </c>
      <c r="AW66" s="26">
        <f ca="1">Military!AV66+Imps!AO66-BG66</f>
        <v>0</v>
      </c>
      <c r="AX66" s="26">
        <f>Imps!AP66-BH66</f>
        <v>0</v>
      </c>
      <c r="AY66" s="26">
        <f ca="1">Military!AZ66</f>
        <v>0</v>
      </c>
      <c r="AZ66" s="57">
        <f ca="1">Military!BA66</f>
        <v>0</v>
      </c>
      <c r="BB66" s="56" t="b">
        <f t="shared" si="29"/>
        <v>0</v>
      </c>
      <c r="BC66" s="332"/>
      <c r="BD66" s="979">
        <v>64</v>
      </c>
      <c r="BE66" s="332"/>
      <c r="BF66" s="370"/>
      <c r="BG66" s="370"/>
      <c r="BH66" s="744"/>
      <c r="BI66" s="1036">
        <f t="shared" si="35"/>
        <v>43694.624999999847</v>
      </c>
      <c r="BJ66" s="159" t="str">
        <f t="shared" si="22"/>
        <v/>
      </c>
      <c r="BK66" s="26">
        <f t="shared" ca="1" si="18"/>
        <v>3618524</v>
      </c>
      <c r="BL66" s="26">
        <f t="shared" ca="1" si="9"/>
        <v>240757</v>
      </c>
      <c r="BM66" s="26">
        <f t="shared" ca="1" si="10"/>
        <v>277817</v>
      </c>
      <c r="BN66" s="26">
        <f t="shared" ca="1" si="11"/>
        <v>50599</v>
      </c>
      <c r="BO66" s="57">
        <f t="shared" ca="1" si="12"/>
        <v>231000</v>
      </c>
    </row>
    <row r="67" spans="1:67" s="16" customFormat="1">
      <c r="A67" s="987">
        <v>65</v>
      </c>
      <c r="B67" s="816">
        <f>Imps!L67</f>
        <v>43694.666666666511</v>
      </c>
      <c r="C67" s="332"/>
      <c r="D67" s="835"/>
      <c r="E67" s="56">
        <f>Construction!E67</f>
        <v>1000</v>
      </c>
      <c r="F67" s="26">
        <f ca="1">Population!$C67</f>
        <v>3945</v>
      </c>
      <c r="G67" s="26">
        <f ca="1">Military!EM67</f>
        <v>39460</v>
      </c>
      <c r="H67" s="26">
        <f ca="1">H66+S66 - AT67 + IF(C67,Population!C67*4)</f>
        <v>3629175</v>
      </c>
      <c r="I67" s="26">
        <f t="shared" ca="1" si="19"/>
        <v>243079</v>
      </c>
      <c r="J67" s="26">
        <f t="shared" ca="1" si="36"/>
        <v>277539</v>
      </c>
      <c r="K67" s="26">
        <f t="shared" ca="1" si="37"/>
        <v>50837</v>
      </c>
      <c r="L67" s="26">
        <f t="shared" ca="1" si="38"/>
        <v>231000</v>
      </c>
      <c r="M67" s="26">
        <f t="shared" ca="1" si="39"/>
        <v>20000</v>
      </c>
      <c r="N67" s="26">
        <f t="shared" ca="1" si="20"/>
        <v>200</v>
      </c>
      <c r="O67" s="26">
        <f t="shared" si="21"/>
        <v>500</v>
      </c>
      <c r="P67" s="26">
        <f>ROUNDDOWN(P66+MAX(Construction!BO67/2,Construction!BO67*(1-Construction!BO67/(E67-Explore!S67*20)))-Q67*SUM(Techs!AY67:BY67),0)</f>
        <v>0</v>
      </c>
      <c r="Q67" s="166">
        <f>MAX(min_tech_cost,ROUNDDOWN(tech_cost_per_acre*Construction!E67,0))</f>
        <v>6426</v>
      </c>
      <c r="S67" s="152">
        <f t="shared" ca="1" si="23"/>
        <v>10651</v>
      </c>
      <c r="T67" s="164">
        <f t="shared" ref="T67:T130" ca="1" si="40">ROUND(AB67*(1+AI67)-AO67-AP67,0)</f>
        <v>2299</v>
      </c>
      <c r="U67" s="164">
        <f t="shared" ref="U67:U130" ca="1" si="41">ROUND(AC67*(1+AJ67)-AQ67,0)</f>
        <v>-275</v>
      </c>
      <c r="V67" s="164">
        <f t="shared" ref="V67:V130" ca="1" si="42">ROUND(AD67*(1+AK67)-AR67,0)</f>
        <v>233</v>
      </c>
      <c r="W67" s="164">
        <f t="shared" ca="1" si="27"/>
        <v>0</v>
      </c>
      <c r="X67" s="164">
        <f t="shared" ca="1" si="28"/>
        <v>0</v>
      </c>
      <c r="Y67" s="265">
        <f>Construction!BP68*dock_boats_hr</f>
        <v>0</v>
      </c>
      <c r="Z67" s="164"/>
      <c r="AA67" s="152">
        <f ca="1">Population!C67*tax*Population!I67 + (Construction!AY68+Construction!BW68)*(alch_plat+(Magic!AR67&gt;0)*alchemist_flame_bonus)</f>
        <v>10651.5</v>
      </c>
      <c r="AB67" s="164">
        <f>Construction!$AZ67*farm_food + Construction!$BP67*dock_food+IF(race="Growth",ROUNDDOWN(Military!G67*8,0),0)</f>
        <v>6400</v>
      </c>
      <c r="AC67" s="164">
        <f>Construction!$BC67*ly_lumber+IF(race="Ants",ROUNDDOWN(Military!F67/2,0),0)</f>
        <v>2500</v>
      </c>
      <c r="AD67" s="26">
        <f>Construction!$BK68*tower_mana+IF(race="Templars",ROUNDDOWN(Military!F67*0.02,0),0)+IF(race="Black Orc",Military!G67*5,0)+IF(race="Growth",ROUNDDOWN(Military!G67*0.1,0),0)+IF(race="Void",ROUNDDOWN(Military!F67*1.5,0),0)+IF(race="Void",ROUNDDOWN(Military!G67*4,0),0)</f>
        <v>1250</v>
      </c>
      <c r="AE67" s="164">
        <f>Construction!$BE68*om_ore+IF(race="Dwarf",ROUNDDOWN(Military!F67*2,0),0)</f>
        <v>0</v>
      </c>
      <c r="AF67" s="57">
        <f>Construction!$BN68*dm_gems+IF(race="Dwarf",ROUNDDOWN(Military!F67/2,0),0)</f>
        <v>0</v>
      </c>
      <c r="AH67" s="266">
        <f ca="1">MIN(race_platinum_bonus + IF(Magic!AJ67&gt;0,midas_bonus) + Imps!Y67 - BB67*0.02+MAX(tech_production_plat*Techs!Y67,tech_treasure_hunt_plat*Techs!AR67), 0.5)</f>
        <v>0</v>
      </c>
      <c r="AI67" s="455">
        <f ca="1">race_food_bonus + IF(Magic!AO67&gt;0,gaias_blessing_food,IF(Magic!AG67&gt;0,gaias_watch_bonus)) + Imps!AD67+tech_production_food*Techs!W67 + O67/100*prestige_food_bonus</f>
        <v>0.1</v>
      </c>
      <c r="AJ67" s="267">
        <f ca="1">race_lumber_bonus+ IF(Magic!AO67&gt;0,gaias_blessing_lumber)+tech_fruits_of_labor1*Techs!AP67</f>
        <v>0</v>
      </c>
      <c r="AK67" s="267">
        <f ca="1">race_mana_bonus+tech_enchanted_lands_mana*Techs!AT67</f>
        <v>0</v>
      </c>
      <c r="AL67" s="267">
        <f ca="1">race_ore_bonus + IF(Magic!AL67&gt;0,miners_sight_bonus,IF(Magic!AH67&gt;0,mining_strength_bonus))+tech_fruits_of_labor1*Techs!AP67</f>
        <v>0</v>
      </c>
      <c r="AM67" s="193">
        <f ca="1">race_gem_bonus+MAX(tech_production_gems*Techs!X67,tech_fruits_of_labor_gems*Techs!AP67)</f>
        <v>0</v>
      </c>
      <c r="AO67" s="56">
        <f ca="1">I67*food_decay*IF(Magic!AZ67&gt;0,0.5,1)</f>
        <v>2430.79</v>
      </c>
      <c r="AP67" s="26">
        <f ca="1">(1+race_food_consumption)*Population!F67*food_per_person</f>
        <v>2310</v>
      </c>
      <c r="AQ67" s="26">
        <f t="shared" ref="AQ67:AQ98" ca="1" si="43">J67*lumber_rot</f>
        <v>2775.39</v>
      </c>
      <c r="AR67" s="57">
        <f t="shared" ref="AR67:AR98" ca="1" si="44">K67*mana_drain</f>
        <v>1016.74</v>
      </c>
      <c r="AS67" s="26"/>
      <c r="AT67" s="56">
        <f ca="1">Explore!AH67+Construction!AP67+Military!AU67+Rezone!Y67+Imps!AM67-BE67</f>
        <v>0</v>
      </c>
      <c r="AU67" s="26">
        <f>Construction!AQ67+Imps!AN67-BF67</f>
        <v>0</v>
      </c>
      <c r="AV67" s="26">
        <f>Magic!AD67</f>
        <v>0</v>
      </c>
      <c r="AW67" s="26">
        <f ca="1">Military!AV67+Imps!AO67-BG67</f>
        <v>0</v>
      </c>
      <c r="AX67" s="26">
        <f>Imps!AP67-BH67</f>
        <v>0</v>
      </c>
      <c r="AY67" s="26">
        <f ca="1">Military!AZ67</f>
        <v>0</v>
      </c>
      <c r="AZ67" s="57">
        <f ca="1">Military!BA67</f>
        <v>0</v>
      </c>
      <c r="BB67" s="56" t="b">
        <f t="shared" si="29"/>
        <v>0</v>
      </c>
      <c r="BC67" s="332"/>
      <c r="BD67" s="979">
        <v>65</v>
      </c>
      <c r="BE67" s="332"/>
      <c r="BF67" s="370"/>
      <c r="BG67" s="370"/>
      <c r="BH67" s="744"/>
      <c r="BI67" s="1036">
        <f t="shared" ref="BI67:BI130" si="45">B67</f>
        <v>43694.666666666511</v>
      </c>
      <c r="BJ67" s="159" t="str">
        <f t="shared" si="22"/>
        <v/>
      </c>
      <c r="BK67" s="26">
        <f t="shared" ca="1" si="18"/>
        <v>3629175</v>
      </c>
      <c r="BL67" s="26">
        <f t="shared" ref="BL67:BL130" ca="1" si="46">I67</f>
        <v>243079</v>
      </c>
      <c r="BM67" s="26">
        <f t="shared" ref="BM67:BM130" ca="1" si="47">J67</f>
        <v>277539</v>
      </c>
      <c r="BN67" s="26">
        <f t="shared" ref="BN67:BN130" ca="1" si="48">K67</f>
        <v>50837</v>
      </c>
      <c r="BO67" s="57">
        <f t="shared" ref="BO67:BO130" ca="1" si="49">L67</f>
        <v>231000</v>
      </c>
    </row>
    <row r="68" spans="1:67" s="16" customFormat="1">
      <c r="A68" s="987">
        <v>66</v>
      </c>
      <c r="B68" s="816">
        <f>Imps!L68</f>
        <v>43694.708333333176</v>
      </c>
      <c r="C68" s="332"/>
      <c r="D68" s="835"/>
      <c r="E68" s="56">
        <f>Construction!E68</f>
        <v>1000</v>
      </c>
      <c r="F68" s="26">
        <f ca="1">Population!$C68</f>
        <v>3945</v>
      </c>
      <c r="G68" s="26">
        <f ca="1">Military!EM68</f>
        <v>39460</v>
      </c>
      <c r="H68" s="26">
        <f ca="1">H67+S67 - AT68 + IF(C68,Population!C68*4)</f>
        <v>3639826</v>
      </c>
      <c r="I68" s="26">
        <f t="shared" ca="1" si="19"/>
        <v>245378</v>
      </c>
      <c r="J68" s="26">
        <f t="shared" ref="J68:J131" ca="1" si="50">J67+U67 - AU68</f>
        <v>277264</v>
      </c>
      <c r="K68" s="26">
        <f t="shared" ref="K68:K131" ca="1" si="51">K67+V67 - AV68</f>
        <v>51070</v>
      </c>
      <c r="L68" s="26">
        <f t="shared" ref="L68:L131" ca="1" si="52">L67+W67 - AW68</f>
        <v>231000</v>
      </c>
      <c r="M68" s="26">
        <f t="shared" ref="M68:M99" ca="1" si="53">M67+X67 - AX68</f>
        <v>20000</v>
      </c>
      <c r="N68" s="26">
        <f t="shared" ca="1" si="20"/>
        <v>200</v>
      </c>
      <c r="O68" s="26">
        <f t="shared" si="21"/>
        <v>500</v>
      </c>
      <c r="P68" s="26">
        <f>ROUNDDOWN(P67+MAX(Construction!BO68/2,Construction!BO68*(1-Construction!BO68/(E68-Explore!S68*20)))-Q68*SUM(Techs!AY68:BY68),0)</f>
        <v>0</v>
      </c>
      <c r="Q68" s="166">
        <f>MAX(min_tech_cost,ROUNDDOWN(tech_cost_per_acre*Construction!E68,0))</f>
        <v>6426</v>
      </c>
      <c r="S68" s="152">
        <f t="shared" ref="S68:S131" ca="1" si="54">ROUNDDOWN(AA68*(1+AH68),0)</f>
        <v>10651</v>
      </c>
      <c r="T68" s="164">
        <f t="shared" ca="1" si="40"/>
        <v>2276</v>
      </c>
      <c r="U68" s="164">
        <f t="shared" ca="1" si="41"/>
        <v>-273</v>
      </c>
      <c r="V68" s="164">
        <f t="shared" ca="1" si="42"/>
        <v>229</v>
      </c>
      <c r="W68" s="164">
        <f t="shared" ref="W68:W131" ca="1" si="55">ROUNDDOWN(AE68*(1+AL68),0)</f>
        <v>0</v>
      </c>
      <c r="X68" s="164">
        <f t="shared" ref="X68:X131" ca="1" si="56">ROUNDDOWN(AF68*(1+AM68),0)</f>
        <v>0</v>
      </c>
      <c r="Y68" s="265">
        <f>Construction!BP69*dock_boats_hr</f>
        <v>0</v>
      </c>
      <c r="Z68" s="164"/>
      <c r="AA68" s="152">
        <f ca="1">Population!C68*tax*Population!I68 + (Construction!AY69+Construction!BW69)*(alch_plat+(Magic!AR68&gt;0)*alchemist_flame_bonus)</f>
        <v>10651.5</v>
      </c>
      <c r="AB68" s="164">
        <f>Construction!$AZ68*farm_food + Construction!$BP68*dock_food+IF(race="Growth",ROUNDDOWN(Military!G68*8,0),0)</f>
        <v>6400</v>
      </c>
      <c r="AC68" s="164">
        <f>Construction!$BC68*ly_lumber+IF(race="Ants",ROUNDDOWN(Military!F68/2,0),0)</f>
        <v>2500</v>
      </c>
      <c r="AD68" s="26">
        <f>Construction!$BK69*tower_mana+IF(race="Templars",ROUNDDOWN(Military!F68*0.02,0),0)+IF(race="Black Orc",Military!G68*5,0)+IF(race="Growth",ROUNDDOWN(Military!G68*0.1,0),0)+IF(race="Void",ROUNDDOWN(Military!F68*1.5,0),0)+IF(race="Void",ROUNDDOWN(Military!G68*4,0),0)</f>
        <v>1250</v>
      </c>
      <c r="AE68" s="164">
        <f>Construction!$BE69*om_ore+IF(race="Dwarf",ROUNDDOWN(Military!F68*2,0),0)</f>
        <v>0</v>
      </c>
      <c r="AF68" s="57">
        <f>Construction!$BN69*dm_gems+IF(race="Dwarf",ROUNDDOWN(Military!F68/2,0),0)</f>
        <v>0</v>
      </c>
      <c r="AH68" s="266">
        <f ca="1">MIN(race_platinum_bonus + IF(Magic!AJ68&gt;0,midas_bonus) + Imps!Y68 - BB68*0.02+MAX(tech_production_plat*Techs!Y68,tech_treasure_hunt_plat*Techs!AR68), 0.5)</f>
        <v>0</v>
      </c>
      <c r="AI68" s="455">
        <f ca="1">race_food_bonus + IF(Magic!AO68&gt;0,gaias_blessing_food,IF(Magic!AG68&gt;0,gaias_watch_bonus)) + Imps!AD68+tech_production_food*Techs!W68 + O68/100*prestige_food_bonus</f>
        <v>0.1</v>
      </c>
      <c r="AJ68" s="267">
        <f ca="1">race_lumber_bonus+ IF(Magic!AO68&gt;0,gaias_blessing_lumber)+tech_fruits_of_labor1*Techs!AP68</f>
        <v>0</v>
      </c>
      <c r="AK68" s="267">
        <f ca="1">race_mana_bonus+tech_enchanted_lands_mana*Techs!AT68</f>
        <v>0</v>
      </c>
      <c r="AL68" s="267">
        <f ca="1">race_ore_bonus + IF(Magic!AL68&gt;0,miners_sight_bonus,IF(Magic!AH68&gt;0,mining_strength_bonus))+tech_fruits_of_labor1*Techs!AP68</f>
        <v>0</v>
      </c>
      <c r="AM68" s="193">
        <f ca="1">race_gem_bonus+MAX(tech_production_gems*Techs!X68,tech_fruits_of_labor_gems*Techs!AP68)</f>
        <v>0</v>
      </c>
      <c r="AO68" s="56">
        <f ca="1">I68*food_decay*IF(Magic!AZ68&gt;0,0.5,1)</f>
        <v>2453.7800000000002</v>
      </c>
      <c r="AP68" s="26">
        <f ca="1">(1+race_food_consumption)*Population!F68*food_per_person</f>
        <v>2310</v>
      </c>
      <c r="AQ68" s="26">
        <f t="shared" ca="1" si="43"/>
        <v>2772.64</v>
      </c>
      <c r="AR68" s="57">
        <f t="shared" ca="1" si="44"/>
        <v>1021.4</v>
      </c>
      <c r="AS68" s="26"/>
      <c r="AT68" s="56">
        <f ca="1">Explore!AH68+Construction!AP68+Military!AU68+Rezone!Y68+Imps!AM68-BE68</f>
        <v>0</v>
      </c>
      <c r="AU68" s="26">
        <f>Construction!AQ68+Imps!AN68-BF68</f>
        <v>0</v>
      </c>
      <c r="AV68" s="26">
        <f>Magic!AD68</f>
        <v>0</v>
      </c>
      <c r="AW68" s="26">
        <f ca="1">Military!AV68+Imps!AO68-BG68</f>
        <v>0</v>
      </c>
      <c r="AX68" s="26">
        <f>Imps!AP68-BH68</f>
        <v>0</v>
      </c>
      <c r="AY68" s="26">
        <f ca="1">Military!AZ68</f>
        <v>0</v>
      </c>
      <c r="AZ68" s="57">
        <f ca="1">Military!BA68</f>
        <v>0</v>
      </c>
      <c r="BB68" s="56" t="b">
        <f t="shared" si="29"/>
        <v>0</v>
      </c>
      <c r="BC68" s="332"/>
      <c r="BD68" s="979">
        <v>66</v>
      </c>
      <c r="BE68" s="332"/>
      <c r="BF68" s="370"/>
      <c r="BG68" s="370"/>
      <c r="BH68" s="744"/>
      <c r="BI68" s="1036">
        <f t="shared" si="45"/>
        <v>43694.708333333176</v>
      </c>
      <c r="BJ68" s="159" t="str">
        <f t="shared" si="22"/>
        <v/>
      </c>
      <c r="BK68" s="26">
        <f t="shared" ref="BK68:BK131" ca="1" si="57">H68</f>
        <v>3639826</v>
      </c>
      <c r="BL68" s="26">
        <f t="shared" ca="1" si="46"/>
        <v>245378</v>
      </c>
      <c r="BM68" s="26">
        <f t="shared" ca="1" si="47"/>
        <v>277264</v>
      </c>
      <c r="BN68" s="26">
        <f t="shared" ca="1" si="48"/>
        <v>51070</v>
      </c>
      <c r="BO68" s="57">
        <f t="shared" ca="1" si="49"/>
        <v>231000</v>
      </c>
    </row>
    <row r="69" spans="1:67" s="16" customFormat="1">
      <c r="A69" s="987">
        <v>67</v>
      </c>
      <c r="B69" s="816">
        <f>Imps!L69</f>
        <v>43694.74999999984</v>
      </c>
      <c r="C69" s="332"/>
      <c r="D69" s="835"/>
      <c r="E69" s="56">
        <f>Construction!E69</f>
        <v>1000</v>
      </c>
      <c r="F69" s="26">
        <f ca="1">Population!$C69</f>
        <v>3945</v>
      </c>
      <c r="G69" s="26">
        <f ca="1">Military!EM69</f>
        <v>39460</v>
      </c>
      <c r="H69" s="26">
        <f ca="1">H68+S68 - AT69 + IF(C69,Population!C69*4)</f>
        <v>3650477</v>
      </c>
      <c r="I69" s="26">
        <f t="shared" ref="I69:I132" ca="1" si="58">I68+T68-AY69</f>
        <v>247654</v>
      </c>
      <c r="J69" s="26">
        <f t="shared" ca="1" si="50"/>
        <v>276991</v>
      </c>
      <c r="K69" s="26">
        <f t="shared" ca="1" si="51"/>
        <v>51299</v>
      </c>
      <c r="L69" s="26">
        <f t="shared" ca="1" si="52"/>
        <v>231000</v>
      </c>
      <c r="M69" s="26">
        <f t="shared" ca="1" si="53"/>
        <v>20000</v>
      </c>
      <c r="N69" s="26">
        <f t="shared" ref="N69:N132" ca="1" si="59">N68+Y68-AZ69</f>
        <v>200</v>
      </c>
      <c r="O69" s="26">
        <f t="shared" ref="O69:O76" si="60">O68</f>
        <v>500</v>
      </c>
      <c r="P69" s="26">
        <f>ROUNDDOWN(P68+MAX(Construction!BO69/2,Construction!BO69*(1-Construction!BO69/(E69-Explore!S69*20)))-Q69*SUM(Techs!AY69:BY69),0)</f>
        <v>0</v>
      </c>
      <c r="Q69" s="166">
        <f>MAX(min_tech_cost,ROUNDDOWN(tech_cost_per_acre*Construction!E69,0))</f>
        <v>6426</v>
      </c>
      <c r="S69" s="152">
        <f t="shared" ca="1" si="54"/>
        <v>10651</v>
      </c>
      <c r="T69" s="164">
        <f t="shared" ca="1" si="40"/>
        <v>2253</v>
      </c>
      <c r="U69" s="164">
        <f t="shared" ca="1" si="41"/>
        <v>-270</v>
      </c>
      <c r="V69" s="164">
        <f t="shared" ca="1" si="42"/>
        <v>224</v>
      </c>
      <c r="W69" s="164">
        <f t="shared" ca="1" si="55"/>
        <v>0</v>
      </c>
      <c r="X69" s="164">
        <f t="shared" ca="1" si="56"/>
        <v>0</v>
      </c>
      <c r="Y69" s="265">
        <f>Construction!BP70*dock_boats_hr</f>
        <v>0</v>
      </c>
      <c r="Z69" s="164"/>
      <c r="AA69" s="152">
        <f ca="1">Population!C69*tax*Population!I69 + (Construction!AY70+Construction!BW70)*(alch_plat+(Magic!AR69&gt;0)*alchemist_flame_bonus)</f>
        <v>10651.5</v>
      </c>
      <c r="AB69" s="164">
        <f>Construction!$AZ69*farm_food + Construction!$BP69*dock_food+IF(race="Growth",ROUNDDOWN(Military!G69*8,0),0)</f>
        <v>6400</v>
      </c>
      <c r="AC69" s="164">
        <f>Construction!$BC69*ly_lumber+IF(race="Ants",ROUNDDOWN(Military!F69/2,0),0)</f>
        <v>2500</v>
      </c>
      <c r="AD69" s="26">
        <f>Construction!$BK70*tower_mana+IF(race="Templars",ROUNDDOWN(Military!F69*0.02,0),0)+IF(race="Black Orc",Military!G69*5,0)+IF(race="Growth",ROUNDDOWN(Military!G69*0.1,0),0)+IF(race="Void",ROUNDDOWN(Military!F69*1.5,0),0)+IF(race="Void",ROUNDDOWN(Military!G69*4,0),0)</f>
        <v>1250</v>
      </c>
      <c r="AE69" s="164">
        <f>Construction!$BE70*om_ore+IF(race="Dwarf",ROUNDDOWN(Military!F69*2,0),0)</f>
        <v>0</v>
      </c>
      <c r="AF69" s="57">
        <f>Construction!$BN70*dm_gems+IF(race="Dwarf",ROUNDDOWN(Military!F69/2,0),0)</f>
        <v>0</v>
      </c>
      <c r="AH69" s="266">
        <f ca="1">MIN(race_platinum_bonus + IF(Magic!AJ69&gt;0,midas_bonus) + Imps!Y69 - BB69*0.02+MAX(tech_production_plat*Techs!Y69,tech_treasure_hunt_plat*Techs!AR69), 0.5)</f>
        <v>0</v>
      </c>
      <c r="AI69" s="455">
        <f ca="1">race_food_bonus + IF(Magic!AO69&gt;0,gaias_blessing_food,IF(Magic!AG69&gt;0,gaias_watch_bonus)) + Imps!AD69+tech_production_food*Techs!W69 + O69/100*prestige_food_bonus</f>
        <v>0.1</v>
      </c>
      <c r="AJ69" s="267">
        <f ca="1">race_lumber_bonus+ IF(Magic!AO69&gt;0,gaias_blessing_lumber)+tech_fruits_of_labor1*Techs!AP69</f>
        <v>0</v>
      </c>
      <c r="AK69" s="267">
        <f ca="1">race_mana_bonus+tech_enchanted_lands_mana*Techs!AT69</f>
        <v>0</v>
      </c>
      <c r="AL69" s="267">
        <f ca="1">race_ore_bonus + IF(Magic!AL69&gt;0,miners_sight_bonus,IF(Magic!AH69&gt;0,mining_strength_bonus))+tech_fruits_of_labor1*Techs!AP69</f>
        <v>0</v>
      </c>
      <c r="AM69" s="193">
        <f ca="1">race_gem_bonus+MAX(tech_production_gems*Techs!X69,tech_fruits_of_labor_gems*Techs!AP69)</f>
        <v>0</v>
      </c>
      <c r="AO69" s="56">
        <f ca="1">I69*food_decay*IF(Magic!AZ69&gt;0,0.5,1)</f>
        <v>2476.54</v>
      </c>
      <c r="AP69" s="26">
        <f ca="1">(1+race_food_consumption)*Population!F69*food_per_person</f>
        <v>2310</v>
      </c>
      <c r="AQ69" s="26">
        <f t="shared" ca="1" si="43"/>
        <v>2769.91</v>
      </c>
      <c r="AR69" s="57">
        <f t="shared" ca="1" si="44"/>
        <v>1025.98</v>
      </c>
      <c r="AS69" s="26"/>
      <c r="AT69" s="56">
        <f ca="1">Explore!AH69+Construction!AP69+Military!AU69+Rezone!Y69+Imps!AM69-BE69</f>
        <v>0</v>
      </c>
      <c r="AU69" s="26">
        <f>Construction!AQ69+Imps!AN69-BF69</f>
        <v>0</v>
      </c>
      <c r="AV69" s="26">
        <f>Magic!AD69</f>
        <v>0</v>
      </c>
      <c r="AW69" s="26">
        <f ca="1">Military!AV69+Imps!AO69-BG69</f>
        <v>0</v>
      </c>
      <c r="AX69" s="26">
        <f>Imps!AP69-BH69</f>
        <v>0</v>
      </c>
      <c r="AY69" s="26">
        <f ca="1">Military!AZ69</f>
        <v>0</v>
      </c>
      <c r="AZ69" s="57">
        <f ca="1">Military!BA69</f>
        <v>0</v>
      </c>
      <c r="BB69" s="56" t="b">
        <f t="shared" si="29"/>
        <v>0</v>
      </c>
      <c r="BC69" s="332"/>
      <c r="BD69" s="979">
        <v>67</v>
      </c>
      <c r="BE69" s="332"/>
      <c r="BF69" s="370"/>
      <c r="BG69" s="370"/>
      <c r="BH69" s="744"/>
      <c r="BI69" s="1036">
        <f t="shared" si="45"/>
        <v>43694.74999999984</v>
      </c>
      <c r="BJ69" s="159" t="str">
        <f t="shared" si="22"/>
        <v/>
      </c>
      <c r="BK69" s="26">
        <f t="shared" ca="1" si="57"/>
        <v>3650477</v>
      </c>
      <c r="BL69" s="26">
        <f t="shared" ca="1" si="46"/>
        <v>247654</v>
      </c>
      <c r="BM69" s="26">
        <f t="shared" ca="1" si="47"/>
        <v>276991</v>
      </c>
      <c r="BN69" s="26">
        <f t="shared" ca="1" si="48"/>
        <v>51299</v>
      </c>
      <c r="BO69" s="57">
        <f t="shared" ca="1" si="49"/>
        <v>231000</v>
      </c>
    </row>
    <row r="70" spans="1:67" s="16" customFormat="1">
      <c r="A70" s="987">
        <v>68</v>
      </c>
      <c r="B70" s="816">
        <f>Imps!L70</f>
        <v>43694.791666666504</v>
      </c>
      <c r="C70" s="332"/>
      <c r="D70" s="835"/>
      <c r="E70" s="56">
        <f>Construction!E70</f>
        <v>1000</v>
      </c>
      <c r="F70" s="26">
        <f ca="1">Population!$C70</f>
        <v>3945</v>
      </c>
      <c r="G70" s="26">
        <f ca="1">Military!EM70</f>
        <v>39460</v>
      </c>
      <c r="H70" s="26">
        <f ca="1">H69+S69 - AT70 + IF(C70,Population!C70*4)</f>
        <v>3661128</v>
      </c>
      <c r="I70" s="26">
        <f t="shared" ca="1" si="58"/>
        <v>249907</v>
      </c>
      <c r="J70" s="26">
        <f t="shared" ca="1" si="50"/>
        <v>276721</v>
      </c>
      <c r="K70" s="26">
        <f t="shared" ca="1" si="51"/>
        <v>51523</v>
      </c>
      <c r="L70" s="26">
        <f t="shared" ca="1" si="52"/>
        <v>231000</v>
      </c>
      <c r="M70" s="26">
        <f t="shared" ca="1" si="53"/>
        <v>20000</v>
      </c>
      <c r="N70" s="26">
        <f t="shared" ca="1" si="59"/>
        <v>200</v>
      </c>
      <c r="O70" s="26">
        <f t="shared" si="60"/>
        <v>500</v>
      </c>
      <c r="P70" s="26">
        <f>ROUNDDOWN(P69+MAX(Construction!BO70/2,Construction!BO70*(1-Construction!BO70/(E70-Explore!S70*20)))-Q70*SUM(Techs!AY70:BY70),0)</f>
        <v>0</v>
      </c>
      <c r="Q70" s="166">
        <f>MAX(min_tech_cost,ROUNDDOWN(tech_cost_per_acre*Construction!E70,0))</f>
        <v>6426</v>
      </c>
      <c r="S70" s="152">
        <f t="shared" ca="1" si="54"/>
        <v>10651</v>
      </c>
      <c r="T70" s="164">
        <f t="shared" ca="1" si="40"/>
        <v>2231</v>
      </c>
      <c r="U70" s="164">
        <f t="shared" ca="1" si="41"/>
        <v>-267</v>
      </c>
      <c r="V70" s="164">
        <f t="shared" ca="1" si="42"/>
        <v>220</v>
      </c>
      <c r="W70" s="164">
        <f t="shared" ca="1" si="55"/>
        <v>0</v>
      </c>
      <c r="X70" s="164">
        <f t="shared" ca="1" si="56"/>
        <v>0</v>
      </c>
      <c r="Y70" s="265">
        <f>Construction!BP71*dock_boats_hr</f>
        <v>0</v>
      </c>
      <c r="Z70" s="164"/>
      <c r="AA70" s="152">
        <f ca="1">Population!C70*tax*Population!I70 + (Construction!AY71+Construction!BW71)*(alch_plat+(Magic!AR70&gt;0)*alchemist_flame_bonus)</f>
        <v>10651.5</v>
      </c>
      <c r="AB70" s="164">
        <f>Construction!$AZ70*farm_food + Construction!$BP70*dock_food+IF(race="Growth",ROUNDDOWN(Military!G70*8,0),0)</f>
        <v>6400</v>
      </c>
      <c r="AC70" s="164">
        <f>Construction!$BC70*ly_lumber+IF(race="Ants",ROUNDDOWN(Military!F70/2,0),0)</f>
        <v>2500</v>
      </c>
      <c r="AD70" s="26">
        <f>Construction!$BK71*tower_mana+IF(race="Templars",ROUNDDOWN(Military!F70*0.02,0),0)+IF(race="Black Orc",Military!G70*5,0)+IF(race="Growth",ROUNDDOWN(Military!G70*0.1,0),0)+IF(race="Void",ROUNDDOWN(Military!F70*1.5,0),0)+IF(race="Void",ROUNDDOWN(Military!G70*4,0),0)</f>
        <v>1250</v>
      </c>
      <c r="AE70" s="164">
        <f>Construction!$BE71*om_ore+IF(race="Dwarf",ROUNDDOWN(Military!F70*2,0),0)</f>
        <v>0</v>
      </c>
      <c r="AF70" s="57">
        <f>Construction!$BN71*dm_gems+IF(race="Dwarf",ROUNDDOWN(Military!F70/2,0),0)</f>
        <v>0</v>
      </c>
      <c r="AH70" s="266">
        <f ca="1">MIN(race_platinum_bonus + IF(Magic!AJ70&gt;0,midas_bonus) + Imps!Y70 - BB70*0.02+MAX(tech_production_plat*Techs!Y70,tech_treasure_hunt_plat*Techs!AR70), 0.5)</f>
        <v>0</v>
      </c>
      <c r="AI70" s="455">
        <f ca="1">race_food_bonus + IF(Magic!AO70&gt;0,gaias_blessing_food,IF(Magic!AG70&gt;0,gaias_watch_bonus)) + Imps!AD70+tech_production_food*Techs!W70 + O70/100*prestige_food_bonus</f>
        <v>0.1</v>
      </c>
      <c r="AJ70" s="267">
        <f ca="1">race_lumber_bonus+ IF(Magic!AO70&gt;0,gaias_blessing_lumber)+tech_fruits_of_labor1*Techs!AP70</f>
        <v>0</v>
      </c>
      <c r="AK70" s="267">
        <f ca="1">race_mana_bonus+tech_enchanted_lands_mana*Techs!AT70</f>
        <v>0</v>
      </c>
      <c r="AL70" s="267">
        <f ca="1">race_ore_bonus + IF(Magic!AL70&gt;0,miners_sight_bonus,IF(Magic!AH70&gt;0,mining_strength_bonus))+tech_fruits_of_labor1*Techs!AP70</f>
        <v>0</v>
      </c>
      <c r="AM70" s="193">
        <f ca="1">race_gem_bonus+MAX(tech_production_gems*Techs!X70,tech_fruits_of_labor_gems*Techs!AP70)</f>
        <v>0</v>
      </c>
      <c r="AO70" s="56">
        <f ca="1">I70*food_decay*IF(Magic!AZ70&gt;0,0.5,1)</f>
        <v>2499.0700000000002</v>
      </c>
      <c r="AP70" s="26">
        <f ca="1">(1+race_food_consumption)*Population!F70*food_per_person</f>
        <v>2310</v>
      </c>
      <c r="AQ70" s="26">
        <f t="shared" ca="1" si="43"/>
        <v>2767.21</v>
      </c>
      <c r="AR70" s="57">
        <f t="shared" ca="1" si="44"/>
        <v>1030.46</v>
      </c>
      <c r="AS70" s="26"/>
      <c r="AT70" s="56">
        <f ca="1">Explore!AH70+Construction!AP70+Military!AU70+Rezone!Y70+Imps!AM70-BE70</f>
        <v>0</v>
      </c>
      <c r="AU70" s="26">
        <f>Construction!AQ70+Imps!AN70-BF70</f>
        <v>0</v>
      </c>
      <c r="AV70" s="26">
        <f>Magic!AD70</f>
        <v>0</v>
      </c>
      <c r="AW70" s="26">
        <f ca="1">Military!AV70+Imps!AO70-BG70</f>
        <v>0</v>
      </c>
      <c r="AX70" s="26">
        <f>Imps!AP70-BH70</f>
        <v>0</v>
      </c>
      <c r="AY70" s="26">
        <f ca="1">Military!AZ70</f>
        <v>0</v>
      </c>
      <c r="AZ70" s="57">
        <f ca="1">Military!BA70</f>
        <v>0</v>
      </c>
      <c r="BB70" s="56" t="b">
        <f t="shared" si="29"/>
        <v>0</v>
      </c>
      <c r="BC70" s="332"/>
      <c r="BD70" s="979">
        <v>68</v>
      </c>
      <c r="BE70" s="332"/>
      <c r="BF70" s="370"/>
      <c r="BG70" s="370"/>
      <c r="BH70" s="744"/>
      <c r="BI70" s="1036">
        <f t="shared" si="45"/>
        <v>43694.791666666504</v>
      </c>
      <c r="BJ70" s="159" t="str">
        <f t="shared" ref="BJ70:BJ133" si="61">IF(AND(BE70=0,BF70=0,BG70=0,BH70=0),"",IF(BE70&gt;0,IF((BF70+BG70)/2+BH70*2+BE70=0,"Ok","Nope"),IF(BF70&gt;0,IF((BE70+BG70)/2+BH70*2+BF70=0,"Ok","Nope"),IF(BG70&gt;0,IF((BE70+BF70)/2+BH70*2+BG70=0,"Ok","Nope")))))</f>
        <v/>
      </c>
      <c r="BK70" s="26">
        <f t="shared" ca="1" si="57"/>
        <v>3661128</v>
      </c>
      <c r="BL70" s="26">
        <f t="shared" ca="1" si="46"/>
        <v>249907</v>
      </c>
      <c r="BM70" s="26">
        <f t="shared" ca="1" si="47"/>
        <v>276721</v>
      </c>
      <c r="BN70" s="26">
        <f t="shared" ca="1" si="48"/>
        <v>51523</v>
      </c>
      <c r="BO70" s="57">
        <f t="shared" ca="1" si="49"/>
        <v>231000</v>
      </c>
    </row>
    <row r="71" spans="1:67" s="16" customFormat="1">
      <c r="A71" s="987">
        <v>69</v>
      </c>
      <c r="B71" s="816">
        <f>Imps!L71</f>
        <v>43694.833333333168</v>
      </c>
      <c r="C71" s="332"/>
      <c r="D71" s="835"/>
      <c r="E71" s="56">
        <f>Construction!E71</f>
        <v>1000</v>
      </c>
      <c r="F71" s="26">
        <f ca="1">Population!$C71</f>
        <v>3945</v>
      </c>
      <c r="G71" s="26">
        <f ca="1">Military!EM71</f>
        <v>39460</v>
      </c>
      <c r="H71" s="26">
        <f ca="1">H70+S70 - AT71 + IF(C71,Population!C71*4)</f>
        <v>3671779</v>
      </c>
      <c r="I71" s="26">
        <f t="shared" ca="1" si="58"/>
        <v>252138</v>
      </c>
      <c r="J71" s="26">
        <f t="shared" ca="1" si="50"/>
        <v>276454</v>
      </c>
      <c r="K71" s="26">
        <f t="shared" ca="1" si="51"/>
        <v>51743</v>
      </c>
      <c r="L71" s="26">
        <f t="shared" ca="1" si="52"/>
        <v>231000</v>
      </c>
      <c r="M71" s="26">
        <f t="shared" ca="1" si="53"/>
        <v>20000</v>
      </c>
      <c r="N71" s="26">
        <f t="shared" ca="1" si="59"/>
        <v>200</v>
      </c>
      <c r="O71" s="26">
        <f t="shared" si="60"/>
        <v>500</v>
      </c>
      <c r="P71" s="26">
        <f>ROUNDDOWN(P70+MAX(Construction!BO71/2,Construction!BO71*(1-Construction!BO71/(E71-Explore!S71*20)))-Q71*SUM(Techs!AY71:BY71),0)</f>
        <v>0</v>
      </c>
      <c r="Q71" s="166">
        <f>MAX(min_tech_cost,ROUNDDOWN(tech_cost_per_acre*Construction!E71,0))</f>
        <v>6426</v>
      </c>
      <c r="S71" s="152">
        <f t="shared" ca="1" si="54"/>
        <v>10651</v>
      </c>
      <c r="T71" s="164">
        <f t="shared" ca="1" si="40"/>
        <v>2209</v>
      </c>
      <c r="U71" s="164">
        <f t="shared" ca="1" si="41"/>
        <v>-265</v>
      </c>
      <c r="V71" s="164">
        <f t="shared" ca="1" si="42"/>
        <v>215</v>
      </c>
      <c r="W71" s="164">
        <f t="shared" ca="1" si="55"/>
        <v>0</v>
      </c>
      <c r="X71" s="164">
        <f t="shared" ca="1" si="56"/>
        <v>0</v>
      </c>
      <c r="Y71" s="265">
        <f>Construction!BP72*dock_boats_hr</f>
        <v>0</v>
      </c>
      <c r="Z71" s="164"/>
      <c r="AA71" s="152">
        <f ca="1">Population!C71*tax*Population!I71 + (Construction!AY72+Construction!BW72)*(alch_plat+(Magic!AR71&gt;0)*alchemist_flame_bonus)</f>
        <v>10651.5</v>
      </c>
      <c r="AB71" s="164">
        <f>Construction!$AZ71*farm_food + Construction!$BP71*dock_food+IF(race="Growth",ROUNDDOWN(Military!G71*8,0),0)</f>
        <v>6400</v>
      </c>
      <c r="AC71" s="164">
        <f>Construction!$BC71*ly_lumber+IF(race="Ants",ROUNDDOWN(Military!F71/2,0),0)</f>
        <v>2500</v>
      </c>
      <c r="AD71" s="26">
        <f>Construction!$BK72*tower_mana+IF(race="Templars",ROUNDDOWN(Military!F71*0.02,0),0)+IF(race="Black Orc",Military!G71*5,0)+IF(race="Growth",ROUNDDOWN(Military!G71*0.1,0),0)+IF(race="Void",ROUNDDOWN(Military!F71*1.5,0),0)+IF(race="Void",ROUNDDOWN(Military!G71*4,0),0)</f>
        <v>1250</v>
      </c>
      <c r="AE71" s="164">
        <f>Construction!$BE72*om_ore+IF(race="Dwarf",ROUNDDOWN(Military!F71*2,0),0)</f>
        <v>0</v>
      </c>
      <c r="AF71" s="57">
        <f>Construction!$BN72*dm_gems+IF(race="Dwarf",ROUNDDOWN(Military!F71/2,0),0)</f>
        <v>0</v>
      </c>
      <c r="AH71" s="266">
        <f ca="1">MIN(race_platinum_bonus + IF(Magic!AJ71&gt;0,midas_bonus) + Imps!Y71 - BB71*0.02+MAX(tech_production_plat*Techs!Y71,tech_treasure_hunt_plat*Techs!AR71), 0.5)</f>
        <v>0</v>
      </c>
      <c r="AI71" s="455">
        <f ca="1">race_food_bonus + IF(Magic!AO71&gt;0,gaias_blessing_food,IF(Magic!AG71&gt;0,gaias_watch_bonus)) + Imps!AD71+tech_production_food*Techs!W71 + O71/100*prestige_food_bonus</f>
        <v>0.1</v>
      </c>
      <c r="AJ71" s="267">
        <f ca="1">race_lumber_bonus+ IF(Magic!AO71&gt;0,gaias_blessing_lumber)+tech_fruits_of_labor1*Techs!AP71</f>
        <v>0</v>
      </c>
      <c r="AK71" s="267">
        <f ca="1">race_mana_bonus+tech_enchanted_lands_mana*Techs!AT71</f>
        <v>0</v>
      </c>
      <c r="AL71" s="267">
        <f ca="1">race_ore_bonus + IF(Magic!AL71&gt;0,miners_sight_bonus,IF(Magic!AH71&gt;0,mining_strength_bonus))+tech_fruits_of_labor1*Techs!AP71</f>
        <v>0</v>
      </c>
      <c r="AM71" s="193">
        <f ca="1">race_gem_bonus+MAX(tech_production_gems*Techs!X71,tech_fruits_of_labor_gems*Techs!AP71)</f>
        <v>0</v>
      </c>
      <c r="AO71" s="56">
        <f ca="1">I71*food_decay*IF(Magic!AZ71&gt;0,0.5,1)</f>
        <v>2521.38</v>
      </c>
      <c r="AP71" s="26">
        <f ca="1">(1+race_food_consumption)*Population!F71*food_per_person</f>
        <v>2310</v>
      </c>
      <c r="AQ71" s="26">
        <f t="shared" ca="1" si="43"/>
        <v>2764.54</v>
      </c>
      <c r="AR71" s="57">
        <f t="shared" ca="1" si="44"/>
        <v>1034.8600000000001</v>
      </c>
      <c r="AS71" s="26"/>
      <c r="AT71" s="56">
        <f ca="1">Explore!AH71+Construction!AP71+Military!AU71+Rezone!Y71+Imps!AM71-BE71</f>
        <v>0</v>
      </c>
      <c r="AU71" s="26">
        <f>Construction!AQ71+Imps!AN71-BF71</f>
        <v>0</v>
      </c>
      <c r="AV71" s="26">
        <f>Magic!AD71</f>
        <v>0</v>
      </c>
      <c r="AW71" s="26">
        <f ca="1">Military!AV71+Imps!AO71-BG71</f>
        <v>0</v>
      </c>
      <c r="AX71" s="26">
        <f>Imps!AP71-BH71</f>
        <v>0</v>
      </c>
      <c r="AY71" s="26">
        <f ca="1">Military!AZ71</f>
        <v>0</v>
      </c>
      <c r="AZ71" s="57">
        <f ca="1">Military!BA71</f>
        <v>0</v>
      </c>
      <c r="BB71" s="56" t="b">
        <f t="shared" si="29"/>
        <v>0</v>
      </c>
      <c r="BC71" s="332"/>
      <c r="BD71" s="979">
        <v>69</v>
      </c>
      <c r="BE71" s="332"/>
      <c r="BF71" s="370"/>
      <c r="BG71" s="370"/>
      <c r="BH71" s="744"/>
      <c r="BI71" s="1036">
        <f t="shared" si="45"/>
        <v>43694.833333333168</v>
      </c>
      <c r="BJ71" s="159" t="str">
        <f t="shared" si="61"/>
        <v/>
      </c>
      <c r="BK71" s="26">
        <f t="shared" ca="1" si="57"/>
        <v>3671779</v>
      </c>
      <c r="BL71" s="26">
        <f t="shared" ca="1" si="46"/>
        <v>252138</v>
      </c>
      <c r="BM71" s="26">
        <f t="shared" ca="1" si="47"/>
        <v>276454</v>
      </c>
      <c r="BN71" s="26">
        <f t="shared" ca="1" si="48"/>
        <v>51743</v>
      </c>
      <c r="BO71" s="57">
        <f t="shared" ca="1" si="49"/>
        <v>231000</v>
      </c>
    </row>
    <row r="72" spans="1:67" s="16" customFormat="1">
      <c r="A72" s="987">
        <v>70</v>
      </c>
      <c r="B72" s="816">
        <f>Imps!L72</f>
        <v>43694.874999999833</v>
      </c>
      <c r="C72" s="332"/>
      <c r="D72" s="835"/>
      <c r="E72" s="56">
        <f>Construction!E72</f>
        <v>1000</v>
      </c>
      <c r="F72" s="26">
        <f ca="1">Population!$C72</f>
        <v>3945</v>
      </c>
      <c r="G72" s="26">
        <f ca="1">Military!EM72</f>
        <v>39460</v>
      </c>
      <c r="H72" s="26">
        <f ca="1">H71+S71 - AT72 + IF(C72,Population!C72*4)</f>
        <v>3682430</v>
      </c>
      <c r="I72" s="26">
        <f t="shared" ca="1" si="58"/>
        <v>254347</v>
      </c>
      <c r="J72" s="26">
        <f t="shared" ca="1" si="50"/>
        <v>276189</v>
      </c>
      <c r="K72" s="26">
        <f t="shared" ca="1" si="51"/>
        <v>51958</v>
      </c>
      <c r="L72" s="26">
        <f t="shared" ca="1" si="52"/>
        <v>231000</v>
      </c>
      <c r="M72" s="26">
        <f t="shared" ca="1" si="53"/>
        <v>20000</v>
      </c>
      <c r="N72" s="26">
        <f t="shared" ca="1" si="59"/>
        <v>200</v>
      </c>
      <c r="O72" s="26">
        <f t="shared" si="60"/>
        <v>500</v>
      </c>
      <c r="P72" s="26">
        <f>ROUNDDOWN(P71+MAX(Construction!BO72/2,Construction!BO72*(1-Construction!BO72/(E72-Explore!S72*20)))-Q72*SUM(Techs!AY72:BY72),0)</f>
        <v>0</v>
      </c>
      <c r="Q72" s="166">
        <f>MAX(min_tech_cost,ROUNDDOWN(tech_cost_per_acre*Construction!E72,0))</f>
        <v>6426</v>
      </c>
      <c r="S72" s="152">
        <f t="shared" ca="1" si="54"/>
        <v>10651</v>
      </c>
      <c r="T72" s="164">
        <f t="shared" ca="1" si="40"/>
        <v>2187</v>
      </c>
      <c r="U72" s="164">
        <f t="shared" ca="1" si="41"/>
        <v>-262</v>
      </c>
      <c r="V72" s="164">
        <f t="shared" ca="1" si="42"/>
        <v>211</v>
      </c>
      <c r="W72" s="164">
        <f t="shared" ca="1" si="55"/>
        <v>0</v>
      </c>
      <c r="X72" s="164">
        <f t="shared" ca="1" si="56"/>
        <v>0</v>
      </c>
      <c r="Y72" s="265">
        <f>Construction!BP73*dock_boats_hr</f>
        <v>0</v>
      </c>
      <c r="Z72" s="164"/>
      <c r="AA72" s="152">
        <f ca="1">Population!C72*tax*Population!I72 + (Construction!AY73+Construction!BW73)*(alch_plat+(Magic!AR72&gt;0)*alchemist_flame_bonus)</f>
        <v>10651.5</v>
      </c>
      <c r="AB72" s="164">
        <f>Construction!$AZ72*farm_food + Construction!$BP72*dock_food+IF(race="Growth",ROUNDDOWN(Military!G72*8,0),0)</f>
        <v>6400</v>
      </c>
      <c r="AC72" s="164">
        <f>Construction!$BC72*ly_lumber+IF(race="Ants",ROUNDDOWN(Military!F72/2,0),0)</f>
        <v>2500</v>
      </c>
      <c r="AD72" s="26">
        <f>Construction!$BK73*tower_mana+IF(race="Templars",ROUNDDOWN(Military!F72*0.02,0),0)+IF(race="Black Orc",Military!G72*5,0)+IF(race="Growth",ROUNDDOWN(Military!G72*0.1,0),0)+IF(race="Void",ROUNDDOWN(Military!F72*1.5,0),0)+IF(race="Void",ROUNDDOWN(Military!G72*4,0),0)</f>
        <v>1250</v>
      </c>
      <c r="AE72" s="164">
        <f>Construction!$BE73*om_ore+IF(race="Dwarf",ROUNDDOWN(Military!F72*2,0),0)</f>
        <v>0</v>
      </c>
      <c r="AF72" s="57">
        <f>Construction!$BN73*dm_gems+IF(race="Dwarf",ROUNDDOWN(Military!F72/2,0),0)</f>
        <v>0</v>
      </c>
      <c r="AH72" s="266">
        <f ca="1">MIN(race_platinum_bonus + IF(Magic!AJ72&gt;0,midas_bonus) + Imps!Y72 - BB72*0.02+MAX(tech_production_plat*Techs!Y72,tech_treasure_hunt_plat*Techs!AR72), 0.5)</f>
        <v>0</v>
      </c>
      <c r="AI72" s="455">
        <f ca="1">race_food_bonus + IF(Magic!AO72&gt;0,gaias_blessing_food,IF(Magic!AG72&gt;0,gaias_watch_bonus)) + Imps!AD72+tech_production_food*Techs!W72 + O72/100*prestige_food_bonus</f>
        <v>0.1</v>
      </c>
      <c r="AJ72" s="267">
        <f ca="1">race_lumber_bonus+ IF(Magic!AO72&gt;0,gaias_blessing_lumber)+tech_fruits_of_labor1*Techs!AP72</f>
        <v>0</v>
      </c>
      <c r="AK72" s="267">
        <f ca="1">race_mana_bonus+tech_enchanted_lands_mana*Techs!AT72</f>
        <v>0</v>
      </c>
      <c r="AL72" s="267">
        <f ca="1">race_ore_bonus + IF(Magic!AL72&gt;0,miners_sight_bonus,IF(Magic!AH72&gt;0,mining_strength_bonus))+tech_fruits_of_labor1*Techs!AP72</f>
        <v>0</v>
      </c>
      <c r="AM72" s="193">
        <f ca="1">race_gem_bonus+MAX(tech_production_gems*Techs!X72,tech_fruits_of_labor_gems*Techs!AP72)</f>
        <v>0</v>
      </c>
      <c r="AO72" s="56">
        <f ca="1">I72*food_decay*IF(Magic!AZ72&gt;0,0.5,1)</f>
        <v>2543.4700000000003</v>
      </c>
      <c r="AP72" s="26">
        <f ca="1">(1+race_food_consumption)*Population!F72*food_per_person</f>
        <v>2310</v>
      </c>
      <c r="AQ72" s="26">
        <f t="shared" ca="1" si="43"/>
        <v>2761.89</v>
      </c>
      <c r="AR72" s="57">
        <f t="shared" ca="1" si="44"/>
        <v>1039.1600000000001</v>
      </c>
      <c r="AS72" s="26"/>
      <c r="AT72" s="56">
        <f ca="1">Explore!AH72+Construction!AP72+Military!AU72+Rezone!Y72+Imps!AM72-BE72</f>
        <v>0</v>
      </c>
      <c r="AU72" s="26">
        <f>Construction!AQ72+Imps!AN72-BF72</f>
        <v>0</v>
      </c>
      <c r="AV72" s="26">
        <f>Magic!AD72</f>
        <v>0</v>
      </c>
      <c r="AW72" s="26">
        <f ca="1">Military!AV72+Imps!AO72-BG72</f>
        <v>0</v>
      </c>
      <c r="AX72" s="26">
        <f>Imps!AP72-BH72</f>
        <v>0</v>
      </c>
      <c r="AY72" s="26">
        <f ca="1">Military!AZ72</f>
        <v>0</v>
      </c>
      <c r="AZ72" s="57">
        <f ca="1">Military!BA72</f>
        <v>0</v>
      </c>
      <c r="BB72" s="56" t="b">
        <f t="shared" si="29"/>
        <v>0</v>
      </c>
      <c r="BC72" s="332"/>
      <c r="BD72" s="979">
        <v>70</v>
      </c>
      <c r="BE72" s="332"/>
      <c r="BF72" s="370"/>
      <c r="BG72" s="370"/>
      <c r="BH72" s="744"/>
      <c r="BI72" s="1036">
        <f t="shared" si="45"/>
        <v>43694.874999999833</v>
      </c>
      <c r="BJ72" s="159" t="str">
        <f t="shared" si="61"/>
        <v/>
      </c>
      <c r="BK72" s="26">
        <f t="shared" ca="1" si="57"/>
        <v>3682430</v>
      </c>
      <c r="BL72" s="26">
        <f t="shared" ca="1" si="46"/>
        <v>254347</v>
      </c>
      <c r="BM72" s="26">
        <f t="shared" ca="1" si="47"/>
        <v>276189</v>
      </c>
      <c r="BN72" s="26">
        <f t="shared" ca="1" si="48"/>
        <v>51958</v>
      </c>
      <c r="BO72" s="57">
        <f t="shared" ca="1" si="49"/>
        <v>231000</v>
      </c>
    </row>
    <row r="73" spans="1:67" s="16" customFormat="1">
      <c r="A73" s="987">
        <v>71</v>
      </c>
      <c r="B73" s="816">
        <f>Imps!L73</f>
        <v>43694.916666666497</v>
      </c>
      <c r="C73" s="332"/>
      <c r="D73" s="835"/>
      <c r="E73" s="56">
        <f>Construction!E73</f>
        <v>1000</v>
      </c>
      <c r="F73" s="26">
        <f ca="1">Population!$C73</f>
        <v>3945</v>
      </c>
      <c r="G73" s="26">
        <f ca="1">Military!EM73</f>
        <v>39460</v>
      </c>
      <c r="H73" s="26">
        <f ca="1">H72+S72 - AT73 + IF(C73,Population!C73*4)</f>
        <v>3693081</v>
      </c>
      <c r="I73" s="26">
        <f t="shared" ca="1" si="58"/>
        <v>256534</v>
      </c>
      <c r="J73" s="26">
        <f t="shared" ca="1" si="50"/>
        <v>275927</v>
      </c>
      <c r="K73" s="26">
        <f t="shared" ca="1" si="51"/>
        <v>52169</v>
      </c>
      <c r="L73" s="26">
        <f t="shared" ca="1" si="52"/>
        <v>231000</v>
      </c>
      <c r="M73" s="26">
        <f t="shared" ca="1" si="53"/>
        <v>20000</v>
      </c>
      <c r="N73" s="26">
        <f t="shared" ca="1" si="59"/>
        <v>200</v>
      </c>
      <c r="O73" s="26">
        <f t="shared" si="60"/>
        <v>500</v>
      </c>
      <c r="P73" s="26">
        <f>ROUNDDOWN(P72+MAX(Construction!BO73/2,Construction!BO73*(1-Construction!BO73/(E73-Explore!S73*20)))-Q73*SUM(Techs!AY73:BY73),0)</f>
        <v>0</v>
      </c>
      <c r="Q73" s="166">
        <f>MAX(min_tech_cost,ROUNDDOWN(tech_cost_per_acre*Construction!E73,0))</f>
        <v>6426</v>
      </c>
      <c r="S73" s="152">
        <f t="shared" ca="1" si="54"/>
        <v>10651</v>
      </c>
      <c r="T73" s="164">
        <f t="shared" ca="1" si="40"/>
        <v>2165</v>
      </c>
      <c r="U73" s="164">
        <f t="shared" ca="1" si="41"/>
        <v>-259</v>
      </c>
      <c r="V73" s="164">
        <f t="shared" ca="1" si="42"/>
        <v>207</v>
      </c>
      <c r="W73" s="164">
        <f t="shared" ca="1" si="55"/>
        <v>0</v>
      </c>
      <c r="X73" s="164">
        <f t="shared" ca="1" si="56"/>
        <v>0</v>
      </c>
      <c r="Y73" s="265">
        <f>Construction!BP74*dock_boats_hr</f>
        <v>0</v>
      </c>
      <c r="Z73" s="164"/>
      <c r="AA73" s="152">
        <f ca="1">Population!C73*tax*Population!I73 + (Construction!AY74+Construction!BW74)*(alch_plat+(Magic!AR73&gt;0)*alchemist_flame_bonus)</f>
        <v>10651.5</v>
      </c>
      <c r="AB73" s="164">
        <f>Construction!$AZ73*farm_food + Construction!$BP73*dock_food+IF(race="Growth",ROUNDDOWN(Military!G73*8,0),0)</f>
        <v>6400</v>
      </c>
      <c r="AC73" s="164">
        <f>Construction!$BC73*ly_lumber+IF(race="Ants",ROUNDDOWN(Military!F73/2,0),0)</f>
        <v>2500</v>
      </c>
      <c r="AD73" s="26">
        <f>Construction!$BK74*tower_mana+IF(race="Templars",ROUNDDOWN(Military!F73*0.02,0),0)+IF(race="Black Orc",Military!G73*5,0)+IF(race="Growth",ROUNDDOWN(Military!G73*0.1,0),0)+IF(race="Void",ROUNDDOWN(Military!F73*1.5,0),0)+IF(race="Void",ROUNDDOWN(Military!G73*4,0),0)</f>
        <v>1250</v>
      </c>
      <c r="AE73" s="164">
        <f>Construction!$BE74*om_ore+IF(race="Dwarf",ROUNDDOWN(Military!F73*2,0),0)</f>
        <v>0</v>
      </c>
      <c r="AF73" s="57">
        <f>Construction!$BN74*dm_gems+IF(race="Dwarf",ROUNDDOWN(Military!F73/2,0),0)</f>
        <v>0</v>
      </c>
      <c r="AH73" s="266">
        <f ca="1">MIN(race_platinum_bonus + IF(Magic!AJ73&gt;0,midas_bonus) + Imps!Y73 - BB73*0.02+MAX(tech_production_plat*Techs!Y73,tech_treasure_hunt_plat*Techs!AR73), 0.5)</f>
        <v>0</v>
      </c>
      <c r="AI73" s="455">
        <f ca="1">race_food_bonus + IF(Magic!AO73&gt;0,gaias_blessing_food,IF(Magic!AG73&gt;0,gaias_watch_bonus)) + Imps!AD73+tech_production_food*Techs!W73 + O73/100*prestige_food_bonus</f>
        <v>0.1</v>
      </c>
      <c r="AJ73" s="267">
        <f ca="1">race_lumber_bonus+ IF(Magic!AO73&gt;0,gaias_blessing_lumber)+tech_fruits_of_labor1*Techs!AP73</f>
        <v>0</v>
      </c>
      <c r="AK73" s="267">
        <f ca="1">race_mana_bonus+tech_enchanted_lands_mana*Techs!AT73</f>
        <v>0</v>
      </c>
      <c r="AL73" s="267">
        <f ca="1">race_ore_bonus + IF(Magic!AL73&gt;0,miners_sight_bonus,IF(Magic!AH73&gt;0,mining_strength_bonus))+tech_fruits_of_labor1*Techs!AP73</f>
        <v>0</v>
      </c>
      <c r="AM73" s="193">
        <f ca="1">race_gem_bonus+MAX(tech_production_gems*Techs!X73,tech_fruits_of_labor_gems*Techs!AP73)</f>
        <v>0</v>
      </c>
      <c r="AO73" s="56">
        <f ca="1">I73*food_decay*IF(Magic!AZ73&gt;0,0.5,1)</f>
        <v>2565.34</v>
      </c>
      <c r="AP73" s="26">
        <f ca="1">(1+race_food_consumption)*Population!F73*food_per_person</f>
        <v>2310</v>
      </c>
      <c r="AQ73" s="26">
        <f t="shared" ca="1" si="43"/>
        <v>2759.27</v>
      </c>
      <c r="AR73" s="57">
        <f t="shared" ca="1" si="44"/>
        <v>1043.3800000000001</v>
      </c>
      <c r="AS73" s="26"/>
      <c r="AT73" s="56">
        <f ca="1">Explore!AH73+Construction!AP73+Military!AU73+Rezone!Y73+Imps!AM73-BE73</f>
        <v>0</v>
      </c>
      <c r="AU73" s="26">
        <f>Construction!AQ73+Imps!AN73-BF73</f>
        <v>0</v>
      </c>
      <c r="AV73" s="26">
        <f>Magic!AD73</f>
        <v>0</v>
      </c>
      <c r="AW73" s="26">
        <f ca="1">Military!AV73+Imps!AO73-BG73</f>
        <v>0</v>
      </c>
      <c r="AX73" s="26">
        <f>Imps!AP73-BH73</f>
        <v>0</v>
      </c>
      <c r="AY73" s="26">
        <f ca="1">Military!AZ73</f>
        <v>0</v>
      </c>
      <c r="AZ73" s="57">
        <f ca="1">Military!BA73</f>
        <v>0</v>
      </c>
      <c r="BB73" s="56" t="b">
        <f t="shared" si="29"/>
        <v>0</v>
      </c>
      <c r="BC73" s="332"/>
      <c r="BD73" s="979">
        <v>71</v>
      </c>
      <c r="BE73" s="332"/>
      <c r="BF73" s="370"/>
      <c r="BG73" s="370"/>
      <c r="BH73" s="744"/>
      <c r="BI73" s="1036">
        <f t="shared" si="45"/>
        <v>43694.916666666497</v>
      </c>
      <c r="BJ73" s="159" t="str">
        <f t="shared" si="61"/>
        <v/>
      </c>
      <c r="BK73" s="26">
        <f t="shared" ca="1" si="57"/>
        <v>3693081</v>
      </c>
      <c r="BL73" s="26">
        <f t="shared" ca="1" si="46"/>
        <v>256534</v>
      </c>
      <c r="BM73" s="26">
        <f t="shared" ca="1" si="47"/>
        <v>275927</v>
      </c>
      <c r="BN73" s="26">
        <f t="shared" ca="1" si="48"/>
        <v>52169</v>
      </c>
      <c r="BO73" s="57">
        <f t="shared" ca="1" si="49"/>
        <v>231000</v>
      </c>
    </row>
    <row r="74" spans="1:67" s="16" customFormat="1" ht="13.5" thickBot="1">
      <c r="A74" s="987">
        <v>72</v>
      </c>
      <c r="B74" s="532">
        <f>Imps!L74</f>
        <v>43694.958333333161</v>
      </c>
      <c r="C74" s="332"/>
      <c r="D74" s="840"/>
      <c r="E74" s="56">
        <f>Construction!E74</f>
        <v>1000</v>
      </c>
      <c r="F74" s="26">
        <f ca="1">Population!$C74</f>
        <v>3945</v>
      </c>
      <c r="G74" s="26">
        <f ca="1">Military!EM74</f>
        <v>39460</v>
      </c>
      <c r="H74" s="26">
        <f ca="1">H73+S73 - AT74 + IF(C74,Population!C74*4)</f>
        <v>3703732</v>
      </c>
      <c r="I74" s="26">
        <f t="shared" ca="1" si="58"/>
        <v>258699</v>
      </c>
      <c r="J74" s="26">
        <f t="shared" ca="1" si="50"/>
        <v>275668</v>
      </c>
      <c r="K74" s="26">
        <f t="shared" ca="1" si="51"/>
        <v>52376</v>
      </c>
      <c r="L74" s="26">
        <f t="shared" ca="1" si="52"/>
        <v>231000</v>
      </c>
      <c r="M74" s="26">
        <f t="shared" ca="1" si="53"/>
        <v>20000</v>
      </c>
      <c r="N74" s="26">
        <f t="shared" ca="1" si="59"/>
        <v>200</v>
      </c>
      <c r="O74" s="26">
        <f t="shared" si="60"/>
        <v>500</v>
      </c>
      <c r="P74" s="26">
        <f>ROUNDDOWN(P73+MAX(Construction!BO74/2,Construction!BO74*(1-Construction!BO74/(E74-Explore!S74*20)))-Q74*SUM(Techs!AY74:BY74),0)</f>
        <v>0</v>
      </c>
      <c r="Q74" s="166">
        <f>MAX(min_tech_cost,ROUNDDOWN(tech_cost_per_acre*Construction!E74,0))</f>
        <v>6426</v>
      </c>
      <c r="S74" s="152">
        <f t="shared" ca="1" si="54"/>
        <v>10651</v>
      </c>
      <c r="T74" s="164">
        <f t="shared" ca="1" si="40"/>
        <v>2143</v>
      </c>
      <c r="U74" s="164">
        <f t="shared" ca="1" si="41"/>
        <v>-257</v>
      </c>
      <c r="V74" s="164">
        <f t="shared" ca="1" si="42"/>
        <v>202</v>
      </c>
      <c r="W74" s="164">
        <f t="shared" ca="1" si="55"/>
        <v>0</v>
      </c>
      <c r="X74" s="164">
        <f t="shared" ca="1" si="56"/>
        <v>0</v>
      </c>
      <c r="Y74" s="265">
        <f>Construction!BP75*dock_boats_hr</f>
        <v>0</v>
      </c>
      <c r="Z74" s="164"/>
      <c r="AA74" s="152">
        <f ca="1">Population!C74*tax*Population!I74 + (Construction!AY75+Construction!BW75)*(alch_plat+(Magic!AR74&gt;0)*alchemist_flame_bonus)</f>
        <v>10651.5</v>
      </c>
      <c r="AB74" s="164">
        <f>Construction!$AZ74*farm_food + Construction!$BP74*dock_food+IF(race="Growth",ROUNDDOWN(Military!G74*8,0),0)</f>
        <v>6400</v>
      </c>
      <c r="AC74" s="164">
        <f>Construction!$BC74*ly_lumber+IF(race="Ants",ROUNDDOWN(Military!F74/2,0),0)</f>
        <v>2500</v>
      </c>
      <c r="AD74" s="26">
        <f>Construction!$BK75*tower_mana+IF(race="Templars",ROUNDDOWN(Military!F74*0.02,0),0)+IF(race="Black Orc",Military!G74*5,0)+IF(race="Growth",ROUNDDOWN(Military!G74*0.1,0),0)+IF(race="Void",ROUNDDOWN(Military!F74*1.5,0),0)+IF(race="Void",ROUNDDOWN(Military!G74*4,0),0)</f>
        <v>1250</v>
      </c>
      <c r="AE74" s="164">
        <f>Construction!$BE75*om_ore+IF(race="Dwarf",ROUNDDOWN(Military!F74*2,0),0)</f>
        <v>0</v>
      </c>
      <c r="AF74" s="57">
        <f>Construction!$BN75*dm_gems+IF(race="Dwarf",ROUNDDOWN(Military!F74/2,0),0)</f>
        <v>0</v>
      </c>
      <c r="AH74" s="266">
        <f ca="1">MIN(race_platinum_bonus + IF(Magic!AJ74&gt;0,midas_bonus) + Imps!Y74 - BB74*0.02+MAX(tech_production_plat*Techs!Y74,tech_treasure_hunt_plat*Techs!AR74), 0.5)</f>
        <v>0</v>
      </c>
      <c r="AI74" s="455">
        <f ca="1">race_food_bonus + IF(Magic!AO74&gt;0,gaias_blessing_food,IF(Magic!AG74&gt;0,gaias_watch_bonus)) + Imps!AD74+tech_production_food*Techs!W74 + O74/100*prestige_food_bonus</f>
        <v>0.1</v>
      </c>
      <c r="AJ74" s="267">
        <f ca="1">race_lumber_bonus+ IF(Magic!AO74&gt;0,gaias_blessing_lumber)+tech_fruits_of_labor1*Techs!AP74</f>
        <v>0</v>
      </c>
      <c r="AK74" s="267">
        <f ca="1">race_mana_bonus+tech_enchanted_lands_mana*Techs!AT74</f>
        <v>0</v>
      </c>
      <c r="AL74" s="267">
        <f ca="1">race_ore_bonus + IF(Magic!AL74&gt;0,miners_sight_bonus,IF(Magic!AH74&gt;0,mining_strength_bonus))+tech_fruits_of_labor1*Techs!AP74</f>
        <v>0</v>
      </c>
      <c r="AM74" s="193">
        <f ca="1">race_gem_bonus+MAX(tech_production_gems*Techs!X74,tech_fruits_of_labor_gems*Techs!AP74)</f>
        <v>0</v>
      </c>
      <c r="AO74" s="56">
        <f ca="1">I74*food_decay*IF(Magic!AZ74&gt;0,0.5,1)</f>
        <v>2586.9900000000002</v>
      </c>
      <c r="AP74" s="26">
        <f ca="1">(1+race_food_consumption)*Population!F74*food_per_person</f>
        <v>2310</v>
      </c>
      <c r="AQ74" s="26">
        <f t="shared" ca="1" si="43"/>
        <v>2756.68</v>
      </c>
      <c r="AR74" s="57">
        <f t="shared" ca="1" si="44"/>
        <v>1047.52</v>
      </c>
      <c r="AS74" s="26"/>
      <c r="AT74" s="139">
        <f ca="1">Explore!AH74+Construction!AP74+Military!AU74+Rezone!Y74+Imps!AM74-BE74</f>
        <v>0</v>
      </c>
      <c r="AU74" s="140">
        <f>Construction!AQ74+Imps!AN74-BF74</f>
        <v>0</v>
      </c>
      <c r="AV74" s="140">
        <f>Magic!AD74</f>
        <v>0</v>
      </c>
      <c r="AW74" s="140">
        <f ca="1">Military!AV74+Imps!AO74-BG74</f>
        <v>0</v>
      </c>
      <c r="AX74" s="140">
        <f>Imps!AP74-BH74</f>
        <v>0</v>
      </c>
      <c r="AY74" s="26">
        <f ca="1">Military!AZ74</f>
        <v>0</v>
      </c>
      <c r="AZ74" s="57">
        <f ca="1">Military!BA74</f>
        <v>0</v>
      </c>
      <c r="BB74" s="139" t="b">
        <f t="shared" si="29"/>
        <v>0</v>
      </c>
      <c r="BC74" s="332"/>
      <c r="BD74" s="979">
        <v>72</v>
      </c>
      <c r="BE74" s="332"/>
      <c r="BF74" s="370"/>
      <c r="BG74" s="749"/>
      <c r="BH74" s="750"/>
      <c r="BI74" s="1036">
        <f t="shared" si="45"/>
        <v>43694.958333333161</v>
      </c>
      <c r="BJ74" s="159" t="str">
        <f t="shared" si="61"/>
        <v/>
      </c>
      <c r="BK74" s="26">
        <f t="shared" ca="1" si="57"/>
        <v>3703732</v>
      </c>
      <c r="BL74" s="26">
        <f t="shared" ca="1" si="46"/>
        <v>258699</v>
      </c>
      <c r="BM74" s="26">
        <f t="shared" ca="1" si="47"/>
        <v>275668</v>
      </c>
      <c r="BN74" s="26">
        <f t="shared" ca="1" si="48"/>
        <v>52376</v>
      </c>
      <c r="BO74" s="57">
        <f t="shared" ca="1" si="49"/>
        <v>231000</v>
      </c>
    </row>
    <row r="75" spans="1:67" s="601" customFormat="1" ht="14.25" thickTop="1" thickBot="1">
      <c r="A75" s="992" t="s">
        <v>243</v>
      </c>
      <c r="B75" s="797">
        <f>Imps!L75</f>
        <v>43694.999999999825</v>
      </c>
      <c r="C75" s="780"/>
      <c r="D75" s="841"/>
      <c r="E75" s="599">
        <f>Construction!E75</f>
        <v>1000</v>
      </c>
      <c r="F75" s="600">
        <f ca="1">Population!$C75</f>
        <v>3945</v>
      </c>
      <c r="G75" s="600">
        <f ca="1">Military!EM75</f>
        <v>39460</v>
      </c>
      <c r="H75" s="600">
        <f ca="1">H74+S74 - AT75 + IF(C75,Population!C75*4)</f>
        <v>3714383</v>
      </c>
      <c r="I75" s="600">
        <f t="shared" ca="1" si="58"/>
        <v>260842</v>
      </c>
      <c r="J75" s="600">
        <f t="shared" ca="1" si="50"/>
        <v>275411</v>
      </c>
      <c r="K75" s="600">
        <f t="shared" ca="1" si="51"/>
        <v>52578</v>
      </c>
      <c r="L75" s="600">
        <f t="shared" ca="1" si="52"/>
        <v>231000</v>
      </c>
      <c r="M75" s="600">
        <f t="shared" ca="1" si="53"/>
        <v>20000</v>
      </c>
      <c r="N75" s="600">
        <f t="shared" ca="1" si="59"/>
        <v>200</v>
      </c>
      <c r="O75" s="600">
        <f t="shared" si="60"/>
        <v>500</v>
      </c>
      <c r="P75" s="600">
        <f>ROUNDDOWN(P74+MAX(Construction!BO75/2,Construction!BO75*(1-Construction!BO75/(E75-Explore!S75*20)))-Q75*SUM(Techs!AY75:BY75),0)</f>
        <v>0</v>
      </c>
      <c r="Q75" s="598">
        <f>MAX(min_tech_cost,ROUNDDOWN(tech_cost_per_acre*Construction!E75,0))</f>
        <v>6426</v>
      </c>
      <c r="S75" s="599">
        <f t="shared" ca="1" si="54"/>
        <v>10651</v>
      </c>
      <c r="T75" s="600">
        <f t="shared" ca="1" si="40"/>
        <v>2122</v>
      </c>
      <c r="U75" s="600">
        <f t="shared" ca="1" si="41"/>
        <v>-254</v>
      </c>
      <c r="V75" s="600">
        <f t="shared" ca="1" si="42"/>
        <v>198</v>
      </c>
      <c r="W75" s="600">
        <f t="shared" ca="1" si="55"/>
        <v>0</v>
      </c>
      <c r="X75" s="600">
        <f t="shared" ca="1" si="56"/>
        <v>0</v>
      </c>
      <c r="Y75" s="602">
        <f>Construction!BP76*dock_boats_hr</f>
        <v>0</v>
      </c>
      <c r="Z75" s="600"/>
      <c r="AA75" s="599">
        <f ca="1">Population!C75*tax*Population!I75 + (Construction!AY76+Construction!BW76)*(alch_plat+(Magic!AR75&gt;0)*alchemist_flame_bonus)</f>
        <v>10651.5</v>
      </c>
      <c r="AB75" s="600">
        <f>Construction!$AZ75*farm_food + Construction!$BP75*dock_food+IF(race="Growth",ROUNDDOWN(Military!G75*8,0),0)</f>
        <v>6400</v>
      </c>
      <c r="AC75" s="600">
        <f>Construction!$BC75*ly_lumber+IF(race="Ants",ROUNDDOWN(Military!F75/2,0),0)</f>
        <v>2500</v>
      </c>
      <c r="AD75" s="600">
        <f>Construction!$BK76*tower_mana+IF(race="Templars",ROUNDDOWN(Military!F75*0.02,0),0)+IF(race="Black Orc",Military!G75*5,0)+IF(race="Growth",ROUNDDOWN(Military!G75*0.1,0),0)+IF(race="Void",ROUNDDOWN(Military!F75*1.5,0),0)+IF(race="Void",ROUNDDOWN(Military!G75*4,0),0)</f>
        <v>1250</v>
      </c>
      <c r="AE75" s="600">
        <f>Construction!$BE76*om_ore+IF(race="Dwarf",ROUNDDOWN(Military!F75*2,0),0)</f>
        <v>0</v>
      </c>
      <c r="AF75" s="598">
        <f>Construction!$BN76*dm_gems+IF(race="Dwarf",ROUNDDOWN(Military!F75/2,0),0)</f>
        <v>0</v>
      </c>
      <c r="AH75" s="603">
        <f ca="1">MIN(race_platinum_bonus + IF(Magic!AJ75&gt;0,midas_bonus) + Imps!Y75 - BB75*0.02+MAX(tech_production_plat*Techs!Y75,tech_treasure_hunt_plat*Techs!AR75), 0.5)</f>
        <v>0</v>
      </c>
      <c r="AI75" s="608">
        <f ca="1">race_food_bonus + IF(Magic!AO75&gt;0,gaias_blessing_food,IF(Magic!AG75&gt;0,gaias_watch_bonus)) + Imps!AD75+tech_production_food*Techs!W75 + O75/100*prestige_food_bonus</f>
        <v>0.1</v>
      </c>
      <c r="AJ75" s="604">
        <f ca="1">race_lumber_bonus+ IF(Magic!AO75&gt;0,gaias_blessing_lumber)+tech_fruits_of_labor1*Techs!AP75</f>
        <v>0</v>
      </c>
      <c r="AK75" s="604">
        <f ca="1">race_mana_bonus+tech_enchanted_lands_mana*Techs!AT75</f>
        <v>0</v>
      </c>
      <c r="AL75" s="604">
        <f ca="1">race_ore_bonus + IF(Magic!AL75&gt;0,miners_sight_bonus,IF(Magic!AH75&gt;0,mining_strength_bonus))+tech_fruits_of_labor1*Techs!AP75</f>
        <v>0</v>
      </c>
      <c r="AM75" s="605">
        <f ca="1">race_gem_bonus+MAX(tech_production_gems*Techs!X75,tech_fruits_of_labor_gems*Techs!AP75)</f>
        <v>0</v>
      </c>
      <c r="AO75" s="599">
        <f ca="1">I75*food_decay*IF(Magic!AZ75&gt;0,0.5,1)</f>
        <v>2608.42</v>
      </c>
      <c r="AP75" s="600">
        <f ca="1">(1+race_food_consumption)*Population!F75*food_per_person</f>
        <v>2310</v>
      </c>
      <c r="AQ75" s="600">
        <f t="shared" ca="1" si="43"/>
        <v>2754.11</v>
      </c>
      <c r="AR75" s="598">
        <f t="shared" ca="1" si="44"/>
        <v>1051.56</v>
      </c>
      <c r="AS75" s="600"/>
      <c r="AT75" s="599">
        <f ca="1">Explore!AH75+Construction!AP75+Military!AU75+Rezone!Y75+Imps!AM75-BE75</f>
        <v>0</v>
      </c>
      <c r="AU75" s="600">
        <f>Construction!AQ75+Imps!AN75-BF75</f>
        <v>0</v>
      </c>
      <c r="AV75" s="600">
        <f>Magic!AD75</f>
        <v>0</v>
      </c>
      <c r="AW75" s="600">
        <f ca="1">Military!AV75+Imps!AO75-BG75</f>
        <v>0</v>
      </c>
      <c r="AX75" s="600">
        <f>Imps!AP75-BH75</f>
        <v>0</v>
      </c>
      <c r="AY75" s="600">
        <f ca="1">Military!AZ75</f>
        <v>0</v>
      </c>
      <c r="AZ75" s="598">
        <f ca="1">Military!BA75</f>
        <v>0</v>
      </c>
      <c r="BB75" s="599" t="b">
        <f t="shared" si="29"/>
        <v>0</v>
      </c>
      <c r="BC75" s="780"/>
      <c r="BD75" s="984" t="s">
        <v>243</v>
      </c>
      <c r="BE75" s="780"/>
      <c r="BF75" s="600"/>
      <c r="BG75" s="600"/>
      <c r="BH75" s="781"/>
      <c r="BI75" s="1041">
        <f t="shared" si="45"/>
        <v>43694.999999999825</v>
      </c>
      <c r="BJ75" s="1043" t="str">
        <f t="shared" si="61"/>
        <v/>
      </c>
      <c r="BK75" s="600">
        <f t="shared" ca="1" si="57"/>
        <v>3714383</v>
      </c>
      <c r="BL75" s="600">
        <f t="shared" ca="1" si="46"/>
        <v>260842</v>
      </c>
      <c r="BM75" s="600">
        <f t="shared" ca="1" si="47"/>
        <v>275411</v>
      </c>
      <c r="BN75" s="600">
        <f t="shared" ca="1" si="48"/>
        <v>52578</v>
      </c>
      <c r="BO75" s="598">
        <f t="shared" ca="1" si="49"/>
        <v>231000</v>
      </c>
    </row>
    <row r="76" spans="1:67" s="191" customFormat="1" ht="13.5" thickTop="1">
      <c r="A76" s="995">
        <v>2</v>
      </c>
      <c r="B76" s="678">
        <f>Imps!L76</f>
        <v>43695.04166666649</v>
      </c>
      <c r="C76" s="329"/>
      <c r="D76" s="834"/>
      <c r="E76" s="152">
        <f>Construction!E76</f>
        <v>1000</v>
      </c>
      <c r="F76" s="164">
        <f ca="1">Population!$C76</f>
        <v>3945</v>
      </c>
      <c r="G76" s="164">
        <f ca="1">Military!EM76</f>
        <v>39460</v>
      </c>
      <c r="H76" s="26">
        <f ca="1">H75+S75 - AT76 + IF(C76,Population!C76*4)</f>
        <v>3725034</v>
      </c>
      <c r="I76" s="168">
        <f t="shared" ca="1" si="58"/>
        <v>262964</v>
      </c>
      <c r="J76" s="168">
        <f t="shared" ca="1" si="50"/>
        <v>275157</v>
      </c>
      <c r="K76" s="168">
        <f t="shared" ca="1" si="51"/>
        <v>52776</v>
      </c>
      <c r="L76" s="168">
        <f t="shared" ca="1" si="52"/>
        <v>231000</v>
      </c>
      <c r="M76" s="164">
        <f t="shared" ca="1" si="53"/>
        <v>20000</v>
      </c>
      <c r="N76" s="168">
        <f t="shared" ca="1" si="59"/>
        <v>200</v>
      </c>
      <c r="O76" s="168">
        <f t="shared" si="60"/>
        <v>500</v>
      </c>
      <c r="P76" s="164">
        <f>ROUNDDOWN(P75+MAX(Construction!BO76/2,Construction!BO76*(1-Construction!BO76/(E76-Explore!S76*20)))-Q76*SUM(Techs!AY76:BY76),0)</f>
        <v>0</v>
      </c>
      <c r="Q76" s="166">
        <f>MAX(min_tech_cost,ROUNDDOWN(tech_cost_per_acre*Construction!E76,0))</f>
        <v>6426</v>
      </c>
      <c r="R76" s="170"/>
      <c r="S76" s="152">
        <f t="shared" ca="1" si="54"/>
        <v>10651</v>
      </c>
      <c r="T76" s="164">
        <f t="shared" ca="1" si="40"/>
        <v>2100</v>
      </c>
      <c r="U76" s="164">
        <f t="shared" ca="1" si="41"/>
        <v>-252</v>
      </c>
      <c r="V76" s="164">
        <f t="shared" ca="1" si="42"/>
        <v>194</v>
      </c>
      <c r="W76" s="164">
        <f t="shared" ca="1" si="55"/>
        <v>0</v>
      </c>
      <c r="X76" s="164">
        <f t="shared" ca="1" si="56"/>
        <v>0</v>
      </c>
      <c r="Y76" s="265">
        <f>Construction!BP77*dock_boats_hr</f>
        <v>0</v>
      </c>
      <c r="Z76" s="164"/>
      <c r="AA76" s="152">
        <f ca="1">Population!C76*tax*Population!I76 + (Construction!AY77+Construction!BW77)*(alch_plat+(Magic!AR76&gt;0)*alchemist_flame_bonus)</f>
        <v>10651.5</v>
      </c>
      <c r="AB76" s="164">
        <f>Construction!$AZ76*farm_food + Construction!$BP76*dock_food+IF(race="Growth",ROUNDDOWN(Military!G76*8,0),0)</f>
        <v>6400</v>
      </c>
      <c r="AC76" s="164">
        <f>Construction!$BC76*ly_lumber+IF(race="Ants",ROUNDDOWN(Military!F76/2,0),0)</f>
        <v>2500</v>
      </c>
      <c r="AD76" s="164">
        <f>Construction!$BK77*tower_mana+IF(race="Templars",ROUNDDOWN(Military!F76*0.02,0),0)+IF(race="Black Orc",Military!G76*5,0)+IF(race="Growth",ROUNDDOWN(Military!G76*0.1,0),0)+IF(race="Void",ROUNDDOWN(Military!F76*1.5,0),0)+IF(race="Void",ROUNDDOWN(Military!G76*4,0),0)</f>
        <v>1250</v>
      </c>
      <c r="AE76" s="164">
        <f>Construction!$BE77*om_ore+IF(race="Dwarf",ROUNDDOWN(Military!F76*2,0),0)</f>
        <v>0</v>
      </c>
      <c r="AF76" s="166">
        <f>Construction!$BN77*dm_gems+IF(race="Dwarf",ROUNDDOWN(Military!F76/2,0),0)</f>
        <v>0</v>
      </c>
      <c r="AG76" s="170"/>
      <c r="AH76" s="266">
        <f ca="1">MIN(race_platinum_bonus + IF(Magic!AJ76&gt;0,midas_bonus) + Imps!Y76 - BB76*0.02+MAX(tech_production_plat*Techs!Y76,tech_treasure_hunt_plat*Techs!AR76), 0.5)</f>
        <v>0</v>
      </c>
      <c r="AI76" s="455">
        <f ca="1">race_food_bonus + IF(Magic!AO76&gt;0,gaias_blessing_food,IF(Magic!AG76&gt;0,gaias_watch_bonus)) + Imps!AD76+tech_production_food*Techs!W76 + O76/100*prestige_food_bonus</f>
        <v>0.1</v>
      </c>
      <c r="AJ76" s="267">
        <f ca="1">race_lumber_bonus+ IF(Magic!AO76&gt;0,gaias_blessing_lumber)+tech_fruits_of_labor1*Techs!AP76</f>
        <v>0</v>
      </c>
      <c r="AK76" s="267">
        <f ca="1">race_mana_bonus+tech_enchanted_lands_mana*Techs!AT76</f>
        <v>0</v>
      </c>
      <c r="AL76" s="267">
        <f ca="1">race_ore_bonus + IF(Magic!AL76&gt;0,miners_sight_bonus,IF(Magic!AH76&gt;0,mining_strength_bonus))+tech_fruits_of_labor1*Techs!AP76</f>
        <v>0</v>
      </c>
      <c r="AM76" s="193">
        <f ca="1">race_gem_bonus+MAX(tech_production_gems*Techs!X76,tech_fruits_of_labor_gems*Techs!AP76)</f>
        <v>0</v>
      </c>
      <c r="AN76" s="170"/>
      <c r="AO76" s="172">
        <f ca="1">I76*food_decay*IF(Magic!AZ76&gt;0,0.5,1)</f>
        <v>2629.64</v>
      </c>
      <c r="AP76" s="26">
        <f ca="1">(1+race_food_consumption)*Population!F76*food_per_person</f>
        <v>2310</v>
      </c>
      <c r="AQ76" s="168">
        <f t="shared" ca="1" si="43"/>
        <v>2751.57</v>
      </c>
      <c r="AR76" s="167">
        <f t="shared" ca="1" si="44"/>
        <v>1055.52</v>
      </c>
      <c r="AS76" s="164"/>
      <c r="AT76" s="152">
        <f ca="1">Explore!AH76+Construction!AP76+Military!AU76+Rezone!Y76+Imps!AM76-BE76</f>
        <v>0</v>
      </c>
      <c r="AU76" s="164">
        <f>Construction!AQ76+Imps!AN76-BF76</f>
        <v>0</v>
      </c>
      <c r="AV76" s="164">
        <f>Magic!AD76</f>
        <v>0</v>
      </c>
      <c r="AW76" s="164">
        <f ca="1">Military!AV76+Imps!AO76-BG76</f>
        <v>0</v>
      </c>
      <c r="AX76" s="164">
        <f>Imps!AP76-BH76</f>
        <v>0</v>
      </c>
      <c r="AY76" s="164">
        <f ca="1">Military!AZ76</f>
        <v>0</v>
      </c>
      <c r="AZ76" s="166">
        <f ca="1">Military!BA76</f>
        <v>0</v>
      </c>
      <c r="BB76" s="152" t="b">
        <f t="shared" si="29"/>
        <v>0</v>
      </c>
      <c r="BC76" s="329"/>
      <c r="BD76" s="977">
        <v>2</v>
      </c>
      <c r="BE76" s="329"/>
      <c r="BF76" s="407"/>
      <c r="BG76" s="407"/>
      <c r="BH76" s="743"/>
      <c r="BI76" s="1035">
        <f t="shared" si="45"/>
        <v>43695.04166666649</v>
      </c>
      <c r="BJ76" s="159" t="str">
        <f t="shared" si="61"/>
        <v/>
      </c>
      <c r="BK76" s="26">
        <f t="shared" ca="1" si="57"/>
        <v>3725034</v>
      </c>
      <c r="BL76" s="168">
        <f t="shared" ca="1" si="46"/>
        <v>262964</v>
      </c>
      <c r="BM76" s="168">
        <f t="shared" ca="1" si="47"/>
        <v>275157</v>
      </c>
      <c r="BN76" s="168">
        <f t="shared" ca="1" si="48"/>
        <v>52776</v>
      </c>
      <c r="BO76" s="167">
        <f t="shared" ca="1" si="49"/>
        <v>231000</v>
      </c>
    </row>
    <row r="77" spans="1:67" s="170" customFormat="1">
      <c r="A77" s="986">
        <v>3</v>
      </c>
      <c r="B77" s="816">
        <f>Imps!L77</f>
        <v>43695.083333333154</v>
      </c>
      <c r="C77" s="329"/>
      <c r="D77" s="834"/>
      <c r="E77" s="152">
        <f>Construction!E77</f>
        <v>1000</v>
      </c>
      <c r="F77" s="164">
        <f ca="1">Population!$C77</f>
        <v>3945</v>
      </c>
      <c r="G77" s="164">
        <f ca="1">Military!EM77</f>
        <v>39460</v>
      </c>
      <c r="H77" s="26">
        <f ca="1">H76+S76 - AT77 + IF(C77,Population!C77*4)</f>
        <v>3735685</v>
      </c>
      <c r="I77" s="164">
        <f t="shared" ca="1" si="58"/>
        <v>265064</v>
      </c>
      <c r="J77" s="164">
        <f t="shared" ca="1" si="50"/>
        <v>274905</v>
      </c>
      <c r="K77" s="164">
        <f t="shared" ca="1" si="51"/>
        <v>52970</v>
      </c>
      <c r="L77" s="164">
        <f t="shared" ca="1" si="52"/>
        <v>231000</v>
      </c>
      <c r="M77" s="164">
        <f t="shared" ca="1" si="53"/>
        <v>20000</v>
      </c>
      <c r="N77" s="164">
        <f t="shared" ca="1" si="59"/>
        <v>200</v>
      </c>
      <c r="O77" s="164">
        <f t="shared" ref="O77:O135" si="62">O76</f>
        <v>500</v>
      </c>
      <c r="P77" s="164">
        <f>ROUNDDOWN(P76+MAX(Construction!BO77/2,Construction!BO77*(1-Construction!BO77/(E77-Explore!S77*20)))-Q77*SUM(Techs!AY77:BY77),0)</f>
        <v>0</v>
      </c>
      <c r="Q77" s="166">
        <f>MAX(min_tech_cost,ROUNDDOWN(tech_cost_per_acre*Construction!E77,0))</f>
        <v>6426</v>
      </c>
      <c r="S77" s="152">
        <f t="shared" ca="1" si="54"/>
        <v>10651</v>
      </c>
      <c r="T77" s="164">
        <f t="shared" ca="1" si="40"/>
        <v>2079</v>
      </c>
      <c r="U77" s="164">
        <f t="shared" ca="1" si="41"/>
        <v>-249</v>
      </c>
      <c r="V77" s="164">
        <f t="shared" ca="1" si="42"/>
        <v>191</v>
      </c>
      <c r="W77" s="164">
        <f t="shared" ca="1" si="55"/>
        <v>0</v>
      </c>
      <c r="X77" s="164">
        <f t="shared" ca="1" si="56"/>
        <v>0</v>
      </c>
      <c r="Y77" s="265">
        <f>Construction!BP78*dock_boats_hr</f>
        <v>0</v>
      </c>
      <c r="Z77" s="164"/>
      <c r="AA77" s="152">
        <f ca="1">Population!C77*tax*Population!I77 + (Construction!AY78+Construction!BW78)*(alch_plat+(Magic!AR77&gt;0)*alchemist_flame_bonus)</f>
        <v>10651.5</v>
      </c>
      <c r="AB77" s="164">
        <f>Construction!$AZ77*farm_food + Construction!$BP77*dock_food+IF(race="Growth",ROUNDDOWN(Military!G77*8,0),0)</f>
        <v>6400</v>
      </c>
      <c r="AC77" s="164">
        <f>Construction!$BC77*ly_lumber+IF(race="Ants",ROUNDDOWN(Military!F77/2,0),0)</f>
        <v>2500</v>
      </c>
      <c r="AD77" s="164">
        <f>Construction!$BK78*tower_mana+IF(race="Templars",ROUNDDOWN(Military!F77*0.02,0),0)+IF(race="Black Orc",Military!G77*5,0)+IF(race="Growth",ROUNDDOWN(Military!G77*0.1,0),0)+IF(race="Void",ROUNDDOWN(Military!F77*1.5,0),0)+IF(race="Void",ROUNDDOWN(Military!G77*4,0),0)</f>
        <v>1250</v>
      </c>
      <c r="AE77" s="164">
        <f>Construction!$BE78*om_ore+IF(race="Dwarf",ROUNDDOWN(Military!F77*2,0),0)</f>
        <v>0</v>
      </c>
      <c r="AF77" s="166">
        <f>Construction!$BN78*dm_gems+IF(race="Dwarf",ROUNDDOWN(Military!F77/2,0),0)</f>
        <v>0</v>
      </c>
      <c r="AH77" s="266">
        <f ca="1">MIN(race_platinum_bonus + IF(Magic!AJ77&gt;0,midas_bonus) + Imps!Y77 - BB77*0.02+MAX(tech_production_plat*Techs!Y77,tech_treasure_hunt_plat*Techs!AR77), 0.5)</f>
        <v>0</v>
      </c>
      <c r="AI77" s="455">
        <f ca="1">race_food_bonus + IF(Magic!AO77&gt;0,gaias_blessing_food,IF(Magic!AG77&gt;0,gaias_watch_bonus)) + Imps!AD77+tech_production_food*Techs!W77 + O77/100*prestige_food_bonus</f>
        <v>0.1</v>
      </c>
      <c r="AJ77" s="267">
        <f ca="1">race_lumber_bonus+ IF(Magic!AO77&gt;0,gaias_blessing_lumber)+tech_fruits_of_labor1*Techs!AP77</f>
        <v>0</v>
      </c>
      <c r="AK77" s="267">
        <f ca="1">race_mana_bonus+tech_enchanted_lands_mana*Techs!AT77</f>
        <v>0</v>
      </c>
      <c r="AL77" s="267">
        <f ca="1">race_ore_bonus + IF(Magic!AL77&gt;0,miners_sight_bonus,IF(Magic!AH77&gt;0,mining_strength_bonus))+tech_fruits_of_labor1*Techs!AP77</f>
        <v>0</v>
      </c>
      <c r="AM77" s="193">
        <f ca="1">race_gem_bonus+MAX(tech_production_gems*Techs!X77,tech_fruits_of_labor_gems*Techs!AP77)</f>
        <v>0</v>
      </c>
      <c r="AO77" s="152">
        <f ca="1">I77*food_decay*IF(Magic!AZ77&gt;0,0.5,1)</f>
        <v>2650.64</v>
      </c>
      <c r="AP77" s="26">
        <f ca="1">(1+race_food_consumption)*Population!F77*food_per_person</f>
        <v>2310</v>
      </c>
      <c r="AQ77" s="164">
        <f t="shared" ca="1" si="43"/>
        <v>2749.05</v>
      </c>
      <c r="AR77" s="166">
        <f t="shared" ca="1" si="44"/>
        <v>1059.4000000000001</v>
      </c>
      <c r="AS77" s="164"/>
      <c r="AT77" s="152">
        <f ca="1">Explore!AH77+Construction!AP77+Military!AU77+Rezone!Y77+Imps!AM77-BE77</f>
        <v>0</v>
      </c>
      <c r="AU77" s="164">
        <f>Construction!AQ77+Imps!AN77-BF77</f>
        <v>0</v>
      </c>
      <c r="AV77" s="164">
        <f>Magic!AD77</f>
        <v>0</v>
      </c>
      <c r="AW77" s="164">
        <f ca="1">Military!AV77+Imps!AO77-BG77</f>
        <v>0</v>
      </c>
      <c r="AX77" s="164">
        <f>Imps!AP77-BH77</f>
        <v>0</v>
      </c>
      <c r="AY77" s="164">
        <f ca="1">Military!AZ77</f>
        <v>0</v>
      </c>
      <c r="AZ77" s="166">
        <f ca="1">Military!BA77</f>
        <v>0</v>
      </c>
      <c r="BB77" s="152" t="b">
        <f t="shared" si="29"/>
        <v>0</v>
      </c>
      <c r="BC77" s="329"/>
      <c r="BD77" s="978">
        <v>3</v>
      </c>
      <c r="BE77" s="329"/>
      <c r="BF77" s="407"/>
      <c r="BG77" s="407"/>
      <c r="BH77" s="743"/>
      <c r="BI77" s="1036">
        <f t="shared" si="45"/>
        <v>43695.083333333154</v>
      </c>
      <c r="BJ77" s="159" t="str">
        <f t="shared" si="61"/>
        <v/>
      </c>
      <c r="BK77" s="26">
        <f t="shared" ca="1" si="57"/>
        <v>3735685</v>
      </c>
      <c r="BL77" s="164">
        <f t="shared" ca="1" si="46"/>
        <v>265064</v>
      </c>
      <c r="BM77" s="164">
        <f t="shared" ca="1" si="47"/>
        <v>274905</v>
      </c>
      <c r="BN77" s="164">
        <f t="shared" ca="1" si="48"/>
        <v>52970</v>
      </c>
      <c r="BO77" s="166">
        <f t="shared" ca="1" si="49"/>
        <v>231000</v>
      </c>
    </row>
    <row r="78" spans="1:67" s="16" customFormat="1">
      <c r="A78" s="987">
        <v>4</v>
      </c>
      <c r="B78" s="816">
        <f>Imps!L78</f>
        <v>43695.124999999818</v>
      </c>
      <c r="C78" s="332"/>
      <c r="D78" s="835"/>
      <c r="E78" s="56">
        <f>Construction!E78</f>
        <v>1000</v>
      </c>
      <c r="F78" s="26">
        <f ca="1">Population!$C78</f>
        <v>3945</v>
      </c>
      <c r="G78" s="26">
        <f ca="1">Military!EM78</f>
        <v>39460</v>
      </c>
      <c r="H78" s="26">
        <f ca="1">H77+S77 - AT78 + IF(C78,Population!C78*4)</f>
        <v>3746336</v>
      </c>
      <c r="I78" s="26">
        <f t="shared" ca="1" si="58"/>
        <v>267143</v>
      </c>
      <c r="J78" s="26">
        <f t="shared" ca="1" si="50"/>
        <v>274656</v>
      </c>
      <c r="K78" s="26">
        <f t="shared" ca="1" si="51"/>
        <v>53161</v>
      </c>
      <c r="L78" s="26">
        <f t="shared" ca="1" si="52"/>
        <v>231000</v>
      </c>
      <c r="M78" s="26">
        <f t="shared" ca="1" si="53"/>
        <v>20000</v>
      </c>
      <c r="N78" s="26">
        <f t="shared" ca="1" si="59"/>
        <v>200</v>
      </c>
      <c r="O78" s="26">
        <f t="shared" si="62"/>
        <v>500</v>
      </c>
      <c r="P78" s="26">
        <f>ROUNDDOWN(P77+MAX(Construction!BO78/2,Construction!BO78*(1-Construction!BO78/(E78-Explore!S78*20)))-Q78*SUM(Techs!AY78:BY78),0)</f>
        <v>0</v>
      </c>
      <c r="Q78" s="166">
        <f>MAX(min_tech_cost,ROUNDDOWN(tech_cost_per_acre*Construction!E78,0))</f>
        <v>6426</v>
      </c>
      <c r="S78" s="152">
        <f t="shared" ca="1" si="54"/>
        <v>10651</v>
      </c>
      <c r="T78" s="164">
        <f t="shared" ca="1" si="40"/>
        <v>2059</v>
      </c>
      <c r="U78" s="164">
        <f t="shared" ca="1" si="41"/>
        <v>-247</v>
      </c>
      <c r="V78" s="164">
        <f t="shared" ca="1" si="42"/>
        <v>187</v>
      </c>
      <c r="W78" s="164">
        <f t="shared" ca="1" si="55"/>
        <v>0</v>
      </c>
      <c r="X78" s="164">
        <f t="shared" ca="1" si="56"/>
        <v>0</v>
      </c>
      <c r="Y78" s="265">
        <f>Construction!BP79*dock_boats_hr</f>
        <v>0</v>
      </c>
      <c r="Z78" s="164"/>
      <c r="AA78" s="152">
        <f ca="1">Population!C78*tax*Population!I78 + (Construction!AY79+Construction!BW79)*(alch_plat+(Magic!AR78&gt;0)*alchemist_flame_bonus)</f>
        <v>10651.5</v>
      </c>
      <c r="AB78" s="164">
        <f>Construction!$AZ78*farm_food + Construction!$BP78*dock_food+IF(race="Growth",ROUNDDOWN(Military!G78*8,0),0)</f>
        <v>6400</v>
      </c>
      <c r="AC78" s="164">
        <f>Construction!$BC78*ly_lumber+IF(race="Ants",ROUNDDOWN(Military!F78/2,0),0)</f>
        <v>2500</v>
      </c>
      <c r="AD78" s="26">
        <f>Construction!$BK79*tower_mana+IF(race="Templars",ROUNDDOWN(Military!F78*0.02,0),0)+IF(race="Black Orc",Military!G78*5,0)+IF(race="Growth",ROUNDDOWN(Military!G78*0.1,0),0)+IF(race="Void",ROUNDDOWN(Military!F78*1.5,0),0)+IF(race="Void",ROUNDDOWN(Military!G78*4,0),0)</f>
        <v>1250</v>
      </c>
      <c r="AE78" s="164">
        <f>Construction!$BE79*om_ore+IF(race="Dwarf",ROUNDDOWN(Military!F78*2,0),0)</f>
        <v>0</v>
      </c>
      <c r="AF78" s="57">
        <f>Construction!$BN79*dm_gems+IF(race="Dwarf",ROUNDDOWN(Military!F78/2,0),0)</f>
        <v>0</v>
      </c>
      <c r="AH78" s="266">
        <f ca="1">MIN(race_platinum_bonus + IF(Magic!AJ78&gt;0,midas_bonus) + Imps!Y78 - BB78*0.02+MAX(tech_production_plat*Techs!Y78,tech_treasure_hunt_plat*Techs!AR78), 0.5)</f>
        <v>0</v>
      </c>
      <c r="AI78" s="455">
        <f ca="1">race_food_bonus + IF(Magic!AO78&gt;0,gaias_blessing_food,IF(Magic!AG78&gt;0,gaias_watch_bonus)) + Imps!AD78+tech_production_food*Techs!W78 + O78/100*prestige_food_bonus</f>
        <v>0.1</v>
      </c>
      <c r="AJ78" s="267">
        <f ca="1">race_lumber_bonus+ IF(Magic!AO78&gt;0,gaias_blessing_lumber)+tech_fruits_of_labor1*Techs!AP78</f>
        <v>0</v>
      </c>
      <c r="AK78" s="267">
        <f ca="1">race_mana_bonus+tech_enchanted_lands_mana*Techs!AT78</f>
        <v>0</v>
      </c>
      <c r="AL78" s="267">
        <f ca="1">race_ore_bonus + IF(Magic!AL78&gt;0,miners_sight_bonus,IF(Magic!AH78&gt;0,mining_strength_bonus))+tech_fruits_of_labor1*Techs!AP78</f>
        <v>0</v>
      </c>
      <c r="AM78" s="193">
        <f ca="1">race_gem_bonus+MAX(tech_production_gems*Techs!X78,tech_fruits_of_labor_gems*Techs!AP78)</f>
        <v>0</v>
      </c>
      <c r="AO78" s="56">
        <f ca="1">I78*food_decay*IF(Magic!AZ78&gt;0,0.5,1)</f>
        <v>2671.43</v>
      </c>
      <c r="AP78" s="26">
        <f ca="1">(1+race_food_consumption)*Population!F78*food_per_person</f>
        <v>2310</v>
      </c>
      <c r="AQ78" s="26">
        <f t="shared" ca="1" si="43"/>
        <v>2746.56</v>
      </c>
      <c r="AR78" s="57">
        <f t="shared" ca="1" si="44"/>
        <v>1063.22</v>
      </c>
      <c r="AS78" s="26"/>
      <c r="AT78" s="56">
        <f ca="1">Explore!AH78+Construction!AP78+Military!AU78+Rezone!Y78+Imps!AM78-BE78</f>
        <v>0</v>
      </c>
      <c r="AU78" s="26">
        <f>Construction!AQ78+Imps!AN78-BF78</f>
        <v>0</v>
      </c>
      <c r="AV78" s="26">
        <f>Magic!AD78</f>
        <v>0</v>
      </c>
      <c r="AW78" s="26">
        <f ca="1">Military!AV78+Imps!AO78-BG78</f>
        <v>0</v>
      </c>
      <c r="AX78" s="26">
        <f>Imps!AP78-BH78</f>
        <v>0</v>
      </c>
      <c r="AY78" s="26">
        <f ca="1">Military!AZ78</f>
        <v>0</v>
      </c>
      <c r="AZ78" s="57">
        <f ca="1">Military!BA78</f>
        <v>0</v>
      </c>
      <c r="BB78" s="56" t="b">
        <f t="shared" si="29"/>
        <v>0</v>
      </c>
      <c r="BC78" s="332"/>
      <c r="BD78" s="979">
        <v>4</v>
      </c>
      <c r="BE78" s="332"/>
      <c r="BF78" s="370"/>
      <c r="BG78" s="370"/>
      <c r="BH78" s="744"/>
      <c r="BI78" s="1036">
        <f t="shared" si="45"/>
        <v>43695.124999999818</v>
      </c>
      <c r="BJ78" s="159" t="str">
        <f t="shared" si="61"/>
        <v/>
      </c>
      <c r="BK78" s="26">
        <f t="shared" ca="1" si="57"/>
        <v>3746336</v>
      </c>
      <c r="BL78" s="26">
        <f t="shared" ca="1" si="46"/>
        <v>267143</v>
      </c>
      <c r="BM78" s="26">
        <f t="shared" ca="1" si="47"/>
        <v>274656</v>
      </c>
      <c r="BN78" s="26">
        <f t="shared" ca="1" si="48"/>
        <v>53161</v>
      </c>
      <c r="BO78" s="57">
        <f t="shared" ca="1" si="49"/>
        <v>231000</v>
      </c>
    </row>
    <row r="79" spans="1:67" s="16" customFormat="1">
      <c r="A79" s="987">
        <v>5</v>
      </c>
      <c r="B79" s="816">
        <f>Imps!L79</f>
        <v>43695.166666666482</v>
      </c>
      <c r="C79" s="332"/>
      <c r="D79" s="835"/>
      <c r="E79" s="56">
        <f>Construction!E79</f>
        <v>1000</v>
      </c>
      <c r="F79" s="26">
        <f ca="1">Population!$C79</f>
        <v>3945</v>
      </c>
      <c r="G79" s="26">
        <f ca="1">Military!EM79</f>
        <v>39460</v>
      </c>
      <c r="H79" s="26">
        <f ca="1">H78+S78 - AT79 + IF(C79,Population!C79*4)</f>
        <v>3756987</v>
      </c>
      <c r="I79" s="26">
        <f t="shared" ca="1" si="58"/>
        <v>269202</v>
      </c>
      <c r="J79" s="26">
        <f t="shared" ca="1" si="50"/>
        <v>274409</v>
      </c>
      <c r="K79" s="26">
        <f t="shared" ca="1" si="51"/>
        <v>53348</v>
      </c>
      <c r="L79" s="26">
        <f t="shared" ca="1" si="52"/>
        <v>231000</v>
      </c>
      <c r="M79" s="26">
        <f t="shared" ca="1" si="53"/>
        <v>20000</v>
      </c>
      <c r="N79" s="26">
        <f t="shared" ca="1" si="59"/>
        <v>200</v>
      </c>
      <c r="O79" s="26">
        <f t="shared" si="62"/>
        <v>500</v>
      </c>
      <c r="P79" s="26">
        <f>ROUNDDOWN(P78+MAX(Construction!BO79/2,Construction!BO79*(1-Construction!BO79/(E79-Explore!S79*20)))-Q79*SUM(Techs!AY79:BY79),0)</f>
        <v>0</v>
      </c>
      <c r="Q79" s="166">
        <f>MAX(min_tech_cost,ROUNDDOWN(tech_cost_per_acre*Construction!E79,0))</f>
        <v>6426</v>
      </c>
      <c r="S79" s="152">
        <f t="shared" ca="1" si="54"/>
        <v>10651</v>
      </c>
      <c r="T79" s="164">
        <f t="shared" ca="1" si="40"/>
        <v>2038</v>
      </c>
      <c r="U79" s="164">
        <f t="shared" ca="1" si="41"/>
        <v>-244</v>
      </c>
      <c r="V79" s="164">
        <f t="shared" ca="1" si="42"/>
        <v>183</v>
      </c>
      <c r="W79" s="164">
        <f t="shared" ca="1" si="55"/>
        <v>0</v>
      </c>
      <c r="X79" s="164">
        <f t="shared" ca="1" si="56"/>
        <v>0</v>
      </c>
      <c r="Y79" s="265">
        <f>Construction!BP80*dock_boats_hr</f>
        <v>0</v>
      </c>
      <c r="Z79" s="164"/>
      <c r="AA79" s="152">
        <f ca="1">Population!C79*tax*Population!I79 + (Construction!AY80+Construction!BW80)*(alch_plat+(Magic!AR79&gt;0)*alchemist_flame_bonus)</f>
        <v>10651.5</v>
      </c>
      <c r="AB79" s="164">
        <f>Construction!$AZ79*farm_food + Construction!$BP79*dock_food+IF(race="Growth",ROUNDDOWN(Military!G79*8,0),0)</f>
        <v>6400</v>
      </c>
      <c r="AC79" s="164">
        <f>Construction!$BC79*ly_lumber+IF(race="Ants",ROUNDDOWN(Military!F79/2,0),0)</f>
        <v>2500</v>
      </c>
      <c r="AD79" s="26">
        <f>Construction!$BK80*tower_mana+IF(race="Templars",ROUNDDOWN(Military!F79*0.02,0),0)+IF(race="Black Orc",Military!G79*5,0)+IF(race="Growth",ROUNDDOWN(Military!G79*0.1,0),0)+IF(race="Void",ROUNDDOWN(Military!F79*1.5,0),0)+IF(race="Void",ROUNDDOWN(Military!G79*4,0),0)</f>
        <v>1250</v>
      </c>
      <c r="AE79" s="164">
        <f>Construction!$BE80*om_ore+IF(race="Dwarf",ROUNDDOWN(Military!F79*2,0),0)</f>
        <v>0</v>
      </c>
      <c r="AF79" s="57">
        <f>Construction!$BN80*dm_gems+IF(race="Dwarf",ROUNDDOWN(Military!F79/2,0),0)</f>
        <v>0</v>
      </c>
      <c r="AH79" s="266">
        <f ca="1">MIN(race_platinum_bonus + IF(Magic!AJ79&gt;0,midas_bonus) + Imps!Y79 - BB79*0.02+MAX(tech_production_plat*Techs!Y79,tech_treasure_hunt_plat*Techs!AR79), 0.5)</f>
        <v>0</v>
      </c>
      <c r="AI79" s="455">
        <f ca="1">race_food_bonus + IF(Magic!AO79&gt;0,gaias_blessing_food,IF(Magic!AG79&gt;0,gaias_watch_bonus)) + Imps!AD79+tech_production_food*Techs!W79 + O79/100*prestige_food_bonus</f>
        <v>0.1</v>
      </c>
      <c r="AJ79" s="267">
        <f ca="1">race_lumber_bonus+ IF(Magic!AO79&gt;0,gaias_blessing_lumber)+tech_fruits_of_labor1*Techs!AP79</f>
        <v>0</v>
      </c>
      <c r="AK79" s="267">
        <f ca="1">race_mana_bonus+tech_enchanted_lands_mana*Techs!AT79</f>
        <v>0</v>
      </c>
      <c r="AL79" s="267">
        <f ca="1">race_ore_bonus + IF(Magic!AL79&gt;0,miners_sight_bonus,IF(Magic!AH79&gt;0,mining_strength_bonus))+tech_fruits_of_labor1*Techs!AP79</f>
        <v>0</v>
      </c>
      <c r="AM79" s="193">
        <f ca="1">race_gem_bonus+MAX(tech_production_gems*Techs!X79,tech_fruits_of_labor_gems*Techs!AP79)</f>
        <v>0</v>
      </c>
      <c r="AO79" s="56">
        <f ca="1">I79*food_decay*IF(Magic!AZ79&gt;0,0.5,1)</f>
        <v>2692.02</v>
      </c>
      <c r="AP79" s="26">
        <f ca="1">(1+race_food_consumption)*Population!F79*food_per_person</f>
        <v>2310</v>
      </c>
      <c r="AQ79" s="26">
        <f t="shared" ca="1" si="43"/>
        <v>2744.09</v>
      </c>
      <c r="AR79" s="57">
        <f t="shared" ca="1" si="44"/>
        <v>1066.96</v>
      </c>
      <c r="AS79" s="26"/>
      <c r="AT79" s="56">
        <f ca="1">Explore!AH79+Construction!AP79+Military!AU79+Rezone!Y79+Imps!AM79-BE79</f>
        <v>0</v>
      </c>
      <c r="AU79" s="26">
        <f>Construction!AQ79+Imps!AN79-BF79</f>
        <v>0</v>
      </c>
      <c r="AV79" s="26">
        <f>Magic!AD79</f>
        <v>0</v>
      </c>
      <c r="AW79" s="26">
        <f ca="1">Military!AV79+Imps!AO79-BG79</f>
        <v>0</v>
      </c>
      <c r="AX79" s="26">
        <f>Imps!AP79-BH79</f>
        <v>0</v>
      </c>
      <c r="AY79" s="26">
        <f ca="1">Military!AZ79</f>
        <v>0</v>
      </c>
      <c r="AZ79" s="57">
        <f ca="1">Military!BA79</f>
        <v>0</v>
      </c>
      <c r="BB79" s="56" t="b">
        <f t="shared" si="29"/>
        <v>0</v>
      </c>
      <c r="BC79" s="332"/>
      <c r="BD79" s="979">
        <v>5</v>
      </c>
      <c r="BE79" s="332"/>
      <c r="BF79" s="370"/>
      <c r="BG79" s="370"/>
      <c r="BH79" s="744"/>
      <c r="BI79" s="1036">
        <f t="shared" si="45"/>
        <v>43695.166666666482</v>
      </c>
      <c r="BJ79" s="159" t="str">
        <f t="shared" si="61"/>
        <v/>
      </c>
      <c r="BK79" s="26">
        <f t="shared" ca="1" si="57"/>
        <v>3756987</v>
      </c>
      <c r="BL79" s="26">
        <f t="shared" ca="1" si="46"/>
        <v>269202</v>
      </c>
      <c r="BM79" s="26">
        <f t="shared" ca="1" si="47"/>
        <v>274409</v>
      </c>
      <c r="BN79" s="26">
        <f t="shared" ca="1" si="48"/>
        <v>53348</v>
      </c>
      <c r="BO79" s="57">
        <f t="shared" ca="1" si="49"/>
        <v>231000</v>
      </c>
    </row>
    <row r="80" spans="1:67" s="16" customFormat="1">
      <c r="A80" s="987">
        <v>6</v>
      </c>
      <c r="B80" s="816">
        <f>Imps!L80</f>
        <v>43695.208333333147</v>
      </c>
      <c r="C80" s="332"/>
      <c r="D80" s="835"/>
      <c r="E80" s="56">
        <f>Construction!E80</f>
        <v>1000</v>
      </c>
      <c r="F80" s="26">
        <f ca="1">Population!$C80</f>
        <v>3945</v>
      </c>
      <c r="G80" s="26">
        <f ca="1">Military!EM80</f>
        <v>39460</v>
      </c>
      <c r="H80" s="26">
        <f ca="1">H79+S79 - AT80 + IF(C80,Population!C80*4)</f>
        <v>3767638</v>
      </c>
      <c r="I80" s="26">
        <f t="shared" ca="1" si="58"/>
        <v>271240</v>
      </c>
      <c r="J80" s="26">
        <f t="shared" ca="1" si="50"/>
        <v>274165</v>
      </c>
      <c r="K80" s="26">
        <f t="shared" ca="1" si="51"/>
        <v>53531</v>
      </c>
      <c r="L80" s="26">
        <f t="shared" ca="1" si="52"/>
        <v>231000</v>
      </c>
      <c r="M80" s="26">
        <f t="shared" ca="1" si="53"/>
        <v>20000</v>
      </c>
      <c r="N80" s="26">
        <f t="shared" ca="1" si="59"/>
        <v>200</v>
      </c>
      <c r="O80" s="26">
        <f t="shared" si="62"/>
        <v>500</v>
      </c>
      <c r="P80" s="26">
        <f>ROUNDDOWN(P79+MAX(Construction!BO80/2,Construction!BO80*(1-Construction!BO80/(E80-Explore!S80*20)))-Q80*SUM(Techs!AY80:BY80),0)</f>
        <v>0</v>
      </c>
      <c r="Q80" s="166">
        <f>MAX(min_tech_cost,ROUNDDOWN(tech_cost_per_acre*Construction!E80,0))</f>
        <v>6426</v>
      </c>
      <c r="S80" s="152">
        <f t="shared" ca="1" si="54"/>
        <v>10651</v>
      </c>
      <c r="T80" s="164">
        <f t="shared" ca="1" si="40"/>
        <v>2018</v>
      </c>
      <c r="U80" s="164">
        <f t="shared" ca="1" si="41"/>
        <v>-242</v>
      </c>
      <c r="V80" s="164">
        <f t="shared" ca="1" si="42"/>
        <v>179</v>
      </c>
      <c r="W80" s="164">
        <f t="shared" ca="1" si="55"/>
        <v>0</v>
      </c>
      <c r="X80" s="164">
        <f t="shared" ca="1" si="56"/>
        <v>0</v>
      </c>
      <c r="Y80" s="265">
        <f>Construction!BP81*dock_boats_hr</f>
        <v>0</v>
      </c>
      <c r="Z80" s="164"/>
      <c r="AA80" s="152">
        <f ca="1">Population!C80*tax*Population!I80 + (Construction!AY81+Construction!BW81)*(alch_plat+(Magic!AR80&gt;0)*alchemist_flame_bonus)</f>
        <v>10651.5</v>
      </c>
      <c r="AB80" s="164">
        <f>Construction!$AZ80*farm_food + Construction!$BP80*dock_food+IF(race="Growth",ROUNDDOWN(Military!G80*8,0),0)</f>
        <v>6400</v>
      </c>
      <c r="AC80" s="164">
        <f>Construction!$BC80*ly_lumber+IF(race="Ants",ROUNDDOWN(Military!F80/2,0),0)</f>
        <v>2500</v>
      </c>
      <c r="AD80" s="26">
        <f>Construction!$BK81*tower_mana+IF(race="Templars",ROUNDDOWN(Military!F80*0.02,0),0)+IF(race="Black Orc",Military!G80*5,0)+IF(race="Growth",ROUNDDOWN(Military!G80*0.1,0),0)+IF(race="Void",ROUNDDOWN(Military!F80*1.5,0),0)+IF(race="Void",ROUNDDOWN(Military!G80*4,0),0)</f>
        <v>1250</v>
      </c>
      <c r="AE80" s="164">
        <f>Construction!$BE81*om_ore+IF(race="Dwarf",ROUNDDOWN(Military!F80*2,0),0)</f>
        <v>0</v>
      </c>
      <c r="AF80" s="57">
        <f>Construction!$BN81*dm_gems+IF(race="Dwarf",ROUNDDOWN(Military!F80/2,0),0)</f>
        <v>0</v>
      </c>
      <c r="AH80" s="266">
        <f ca="1">MIN(race_platinum_bonus + IF(Magic!AJ80&gt;0,midas_bonus) + Imps!Y80 - BB80*0.02+MAX(tech_production_plat*Techs!Y80,tech_treasure_hunt_plat*Techs!AR80), 0.5)</f>
        <v>0</v>
      </c>
      <c r="AI80" s="455">
        <f ca="1">race_food_bonus + IF(Magic!AO80&gt;0,gaias_blessing_food,IF(Magic!AG80&gt;0,gaias_watch_bonus)) + Imps!AD80+tech_production_food*Techs!W80 + O80/100*prestige_food_bonus</f>
        <v>0.1</v>
      </c>
      <c r="AJ80" s="267">
        <f ca="1">race_lumber_bonus+ IF(Magic!AO80&gt;0,gaias_blessing_lumber)+tech_fruits_of_labor1*Techs!AP80</f>
        <v>0</v>
      </c>
      <c r="AK80" s="267">
        <f ca="1">race_mana_bonus+tech_enchanted_lands_mana*Techs!AT80</f>
        <v>0</v>
      </c>
      <c r="AL80" s="267">
        <f ca="1">race_ore_bonus + IF(Magic!AL80&gt;0,miners_sight_bonus,IF(Magic!AH80&gt;0,mining_strength_bonus))+tech_fruits_of_labor1*Techs!AP80</f>
        <v>0</v>
      </c>
      <c r="AM80" s="193">
        <f ca="1">race_gem_bonus+MAX(tech_production_gems*Techs!X80,tech_fruits_of_labor_gems*Techs!AP80)</f>
        <v>0</v>
      </c>
      <c r="AO80" s="56">
        <f ca="1">I80*food_decay*IF(Magic!AZ80&gt;0,0.5,1)</f>
        <v>2712.4</v>
      </c>
      <c r="AP80" s="26">
        <f ca="1">(1+race_food_consumption)*Population!F80*food_per_person</f>
        <v>2310</v>
      </c>
      <c r="AQ80" s="26">
        <f t="shared" ca="1" si="43"/>
        <v>2741.65</v>
      </c>
      <c r="AR80" s="57">
        <f t="shared" ca="1" si="44"/>
        <v>1070.6200000000001</v>
      </c>
      <c r="AS80" s="26"/>
      <c r="AT80" s="56">
        <f ca="1">Explore!AH80+Construction!AP80+Military!AU80+Rezone!Y80+Imps!AM80-BE80</f>
        <v>0</v>
      </c>
      <c r="AU80" s="26">
        <f>Construction!AQ80+Imps!AN80-BF80</f>
        <v>0</v>
      </c>
      <c r="AV80" s="26">
        <f>Magic!AD80</f>
        <v>0</v>
      </c>
      <c r="AW80" s="26">
        <f ca="1">Military!AV80+Imps!AO80-BG80</f>
        <v>0</v>
      </c>
      <c r="AX80" s="26">
        <f>Imps!AP80-BH80</f>
        <v>0</v>
      </c>
      <c r="AY80" s="26">
        <f ca="1">Military!AZ80</f>
        <v>0</v>
      </c>
      <c r="AZ80" s="57">
        <f ca="1">Military!BA80</f>
        <v>0</v>
      </c>
      <c r="BB80" s="56" t="b">
        <f t="shared" ref="BB80:BB86" si="63">IF(BC80&lt;&gt;"",BC80,BB79)</f>
        <v>0</v>
      </c>
      <c r="BC80" s="332"/>
      <c r="BD80" s="979">
        <v>6</v>
      </c>
      <c r="BE80" s="332"/>
      <c r="BF80" s="370"/>
      <c r="BG80" s="370"/>
      <c r="BH80" s="744"/>
      <c r="BI80" s="1036">
        <f t="shared" si="45"/>
        <v>43695.208333333147</v>
      </c>
      <c r="BJ80" s="159" t="str">
        <f t="shared" si="61"/>
        <v/>
      </c>
      <c r="BK80" s="26">
        <f t="shared" ca="1" si="57"/>
        <v>3767638</v>
      </c>
      <c r="BL80" s="26">
        <f t="shared" ca="1" si="46"/>
        <v>271240</v>
      </c>
      <c r="BM80" s="26">
        <f t="shared" ca="1" si="47"/>
        <v>274165</v>
      </c>
      <c r="BN80" s="26">
        <f t="shared" ca="1" si="48"/>
        <v>53531</v>
      </c>
      <c r="BO80" s="57">
        <f t="shared" ca="1" si="49"/>
        <v>231000</v>
      </c>
    </row>
    <row r="81" spans="1:67" s="16" customFormat="1">
      <c r="A81" s="987">
        <v>7</v>
      </c>
      <c r="B81" s="816">
        <f>Imps!L81</f>
        <v>43695.249999999811</v>
      </c>
      <c r="C81" s="332"/>
      <c r="D81" s="835"/>
      <c r="E81" s="56">
        <f>Construction!E81</f>
        <v>1000</v>
      </c>
      <c r="F81" s="26">
        <f ca="1">Population!$C81</f>
        <v>3945</v>
      </c>
      <c r="G81" s="26">
        <f ca="1">Military!EM81</f>
        <v>39460</v>
      </c>
      <c r="H81" s="26">
        <f ca="1">H80+S80 - AT81 + IF(C81,Population!C81*4)</f>
        <v>3778289</v>
      </c>
      <c r="I81" s="26">
        <f t="shared" ca="1" si="58"/>
        <v>273258</v>
      </c>
      <c r="J81" s="26">
        <f t="shared" ca="1" si="50"/>
        <v>273923</v>
      </c>
      <c r="K81" s="26">
        <f t="shared" ca="1" si="51"/>
        <v>53710</v>
      </c>
      <c r="L81" s="26">
        <f t="shared" ca="1" si="52"/>
        <v>231000</v>
      </c>
      <c r="M81" s="26">
        <f t="shared" ca="1" si="53"/>
        <v>20000</v>
      </c>
      <c r="N81" s="26">
        <f t="shared" ca="1" si="59"/>
        <v>200</v>
      </c>
      <c r="O81" s="26">
        <f t="shared" si="62"/>
        <v>500</v>
      </c>
      <c r="P81" s="26">
        <f>ROUNDDOWN(P80+MAX(Construction!BO81/2,Construction!BO81*(1-Construction!BO81/(E81-Explore!S81*20)))-Q81*SUM(Techs!AY81:BY81),0)</f>
        <v>0</v>
      </c>
      <c r="Q81" s="166">
        <f>MAX(min_tech_cost,ROUNDDOWN(tech_cost_per_acre*Construction!E81,0))</f>
        <v>6426</v>
      </c>
      <c r="S81" s="152">
        <f t="shared" ca="1" si="54"/>
        <v>10651</v>
      </c>
      <c r="T81" s="164">
        <f t="shared" ca="1" si="40"/>
        <v>1997</v>
      </c>
      <c r="U81" s="164">
        <f t="shared" ca="1" si="41"/>
        <v>-239</v>
      </c>
      <c r="V81" s="164">
        <f t="shared" ca="1" si="42"/>
        <v>176</v>
      </c>
      <c r="W81" s="164">
        <f t="shared" ca="1" si="55"/>
        <v>0</v>
      </c>
      <c r="X81" s="164">
        <f t="shared" ca="1" si="56"/>
        <v>0</v>
      </c>
      <c r="Y81" s="265">
        <f>Construction!BP82*dock_boats_hr</f>
        <v>0</v>
      </c>
      <c r="Z81" s="164"/>
      <c r="AA81" s="152">
        <f ca="1">Population!C81*tax*Population!I81 + (Construction!AY82+Construction!BW82)*(alch_plat+(Magic!AR81&gt;0)*alchemist_flame_bonus)</f>
        <v>10651.5</v>
      </c>
      <c r="AB81" s="164">
        <f>Construction!$AZ81*farm_food + Construction!$BP81*dock_food+IF(race="Growth",ROUNDDOWN(Military!G81*8,0),0)</f>
        <v>6400</v>
      </c>
      <c r="AC81" s="164">
        <f>Construction!$BC81*ly_lumber+IF(race="Ants",ROUNDDOWN(Military!F81/2,0),0)</f>
        <v>2500</v>
      </c>
      <c r="AD81" s="26">
        <f>Construction!$BK82*tower_mana+IF(race="Templars",ROUNDDOWN(Military!F81*0.02,0),0)+IF(race="Black Orc",Military!G81*5,0)+IF(race="Growth",ROUNDDOWN(Military!G81*0.1,0),0)+IF(race="Void",ROUNDDOWN(Military!F81*1.5,0),0)+IF(race="Void",ROUNDDOWN(Military!G81*4,0),0)</f>
        <v>1250</v>
      </c>
      <c r="AE81" s="164">
        <f>Construction!$BE82*om_ore+IF(race="Dwarf",ROUNDDOWN(Military!F81*2,0),0)</f>
        <v>0</v>
      </c>
      <c r="AF81" s="57">
        <f>Construction!$BN82*dm_gems+IF(race="Dwarf",ROUNDDOWN(Military!F81/2,0),0)</f>
        <v>0</v>
      </c>
      <c r="AH81" s="266">
        <f ca="1">MIN(race_platinum_bonus + IF(Magic!AJ81&gt;0,midas_bonus) + Imps!Y81 - BB81*0.02+MAX(tech_production_plat*Techs!Y81,tech_treasure_hunt_plat*Techs!AR81), 0.5)</f>
        <v>0</v>
      </c>
      <c r="AI81" s="455">
        <f ca="1">race_food_bonus + IF(Magic!AO81&gt;0,gaias_blessing_food,IF(Magic!AG81&gt;0,gaias_watch_bonus)) + Imps!AD81+tech_production_food*Techs!W81 + O81/100*prestige_food_bonus</f>
        <v>0.1</v>
      </c>
      <c r="AJ81" s="267">
        <f ca="1">race_lumber_bonus+ IF(Magic!AO81&gt;0,gaias_blessing_lumber)+tech_fruits_of_labor1*Techs!AP81</f>
        <v>0</v>
      </c>
      <c r="AK81" s="267">
        <f ca="1">race_mana_bonus+tech_enchanted_lands_mana*Techs!AT81</f>
        <v>0</v>
      </c>
      <c r="AL81" s="267">
        <f ca="1">race_ore_bonus + IF(Magic!AL81&gt;0,miners_sight_bonus,IF(Magic!AH81&gt;0,mining_strength_bonus))+tech_fruits_of_labor1*Techs!AP81</f>
        <v>0</v>
      </c>
      <c r="AM81" s="193">
        <f ca="1">race_gem_bonus+MAX(tech_production_gems*Techs!X81,tech_fruits_of_labor_gems*Techs!AP81)</f>
        <v>0</v>
      </c>
      <c r="AO81" s="56">
        <f ca="1">I81*food_decay*IF(Magic!AZ81&gt;0,0.5,1)</f>
        <v>2732.58</v>
      </c>
      <c r="AP81" s="26">
        <f ca="1">(1+race_food_consumption)*Population!F81*food_per_person</f>
        <v>2310</v>
      </c>
      <c r="AQ81" s="26">
        <f t="shared" ca="1" si="43"/>
        <v>2739.23</v>
      </c>
      <c r="AR81" s="57">
        <f t="shared" ca="1" si="44"/>
        <v>1074.2</v>
      </c>
      <c r="AS81" s="26"/>
      <c r="AT81" s="56">
        <f ca="1">Explore!AH81+Construction!AP81+Military!AU81+Rezone!Y81+Imps!AM81-BE81</f>
        <v>0</v>
      </c>
      <c r="AU81" s="26">
        <f>Construction!AQ81+Imps!AN81-BF81</f>
        <v>0</v>
      </c>
      <c r="AV81" s="26">
        <f>Magic!AD81</f>
        <v>0</v>
      </c>
      <c r="AW81" s="26">
        <f ca="1">Military!AV81+Imps!AO81-BG81</f>
        <v>0</v>
      </c>
      <c r="AX81" s="26">
        <f>Imps!AP81-BH81</f>
        <v>0</v>
      </c>
      <c r="AY81" s="26">
        <f ca="1">Military!AZ81</f>
        <v>0</v>
      </c>
      <c r="AZ81" s="57">
        <f ca="1">Military!BA81</f>
        <v>0</v>
      </c>
      <c r="BB81" s="56" t="b">
        <f t="shared" si="63"/>
        <v>0</v>
      </c>
      <c r="BC81" s="332"/>
      <c r="BD81" s="979">
        <v>7</v>
      </c>
      <c r="BE81" s="332"/>
      <c r="BF81" s="370"/>
      <c r="BG81" s="370"/>
      <c r="BH81" s="744"/>
      <c r="BI81" s="1036">
        <f t="shared" si="45"/>
        <v>43695.249999999811</v>
      </c>
      <c r="BJ81" s="159" t="str">
        <f t="shared" si="61"/>
        <v/>
      </c>
      <c r="BK81" s="26">
        <f t="shared" ca="1" si="57"/>
        <v>3778289</v>
      </c>
      <c r="BL81" s="26">
        <f t="shared" ca="1" si="46"/>
        <v>273258</v>
      </c>
      <c r="BM81" s="26">
        <f t="shared" ca="1" si="47"/>
        <v>273923</v>
      </c>
      <c r="BN81" s="26">
        <f t="shared" ca="1" si="48"/>
        <v>53710</v>
      </c>
      <c r="BO81" s="57">
        <f t="shared" ca="1" si="49"/>
        <v>231000</v>
      </c>
    </row>
    <row r="82" spans="1:67" s="16" customFormat="1">
      <c r="A82" s="987">
        <v>8</v>
      </c>
      <c r="B82" s="816">
        <f>Imps!L82</f>
        <v>43695.291666666475</v>
      </c>
      <c r="C82" s="332"/>
      <c r="D82" s="835"/>
      <c r="E82" s="56">
        <f>Construction!E82</f>
        <v>1000</v>
      </c>
      <c r="F82" s="26">
        <f ca="1">Population!$C82</f>
        <v>3945</v>
      </c>
      <c r="G82" s="26">
        <f ca="1">Military!EM82</f>
        <v>39460</v>
      </c>
      <c r="H82" s="26">
        <f ca="1">H81+S81 - AT82 + IF(C82,Population!C82*4)</f>
        <v>3788940</v>
      </c>
      <c r="I82" s="26">
        <f t="shared" ca="1" si="58"/>
        <v>275255</v>
      </c>
      <c r="J82" s="26">
        <f t="shared" ca="1" si="50"/>
        <v>273684</v>
      </c>
      <c r="K82" s="26">
        <f t="shared" ca="1" si="51"/>
        <v>53886</v>
      </c>
      <c r="L82" s="26">
        <f t="shared" ca="1" si="52"/>
        <v>231000</v>
      </c>
      <c r="M82" s="26">
        <f t="shared" ca="1" si="53"/>
        <v>20000</v>
      </c>
      <c r="N82" s="26">
        <f t="shared" ca="1" si="59"/>
        <v>200</v>
      </c>
      <c r="O82" s="26">
        <f t="shared" si="62"/>
        <v>500</v>
      </c>
      <c r="P82" s="26">
        <f>ROUNDDOWN(P81+MAX(Construction!BO82/2,Construction!BO82*(1-Construction!BO82/(E82-Explore!S82*20)))-Q82*SUM(Techs!AY82:BY82),0)</f>
        <v>0</v>
      </c>
      <c r="Q82" s="166">
        <f>MAX(min_tech_cost,ROUNDDOWN(tech_cost_per_acre*Construction!E82,0))</f>
        <v>6426</v>
      </c>
      <c r="S82" s="152">
        <f t="shared" ca="1" si="54"/>
        <v>10651</v>
      </c>
      <c r="T82" s="164">
        <f t="shared" ca="1" si="40"/>
        <v>1977</v>
      </c>
      <c r="U82" s="164">
        <f t="shared" ca="1" si="41"/>
        <v>-237</v>
      </c>
      <c r="V82" s="164">
        <f t="shared" ca="1" si="42"/>
        <v>172</v>
      </c>
      <c r="W82" s="164">
        <f t="shared" ca="1" si="55"/>
        <v>0</v>
      </c>
      <c r="X82" s="164">
        <f t="shared" ca="1" si="56"/>
        <v>0</v>
      </c>
      <c r="Y82" s="265">
        <f>Construction!BP83*dock_boats_hr</f>
        <v>0</v>
      </c>
      <c r="Z82" s="164"/>
      <c r="AA82" s="152">
        <f ca="1">Population!C82*tax*Population!I82 + (Construction!AY83+Construction!BW83)*(alch_plat+(Magic!AR82&gt;0)*alchemist_flame_bonus)</f>
        <v>10651.5</v>
      </c>
      <c r="AB82" s="164">
        <f>Construction!$AZ82*farm_food + Construction!$BP82*dock_food+IF(race="Growth",ROUNDDOWN(Military!G82*8,0),0)</f>
        <v>6400</v>
      </c>
      <c r="AC82" s="164">
        <f>Construction!$BC82*ly_lumber+IF(race="Ants",ROUNDDOWN(Military!F82/2,0),0)</f>
        <v>2500</v>
      </c>
      <c r="AD82" s="26">
        <f>Construction!$BK83*tower_mana+IF(race="Templars",ROUNDDOWN(Military!F82*0.02,0),0)+IF(race="Black Orc",Military!G82*5,0)+IF(race="Growth",ROUNDDOWN(Military!G82*0.1,0),0)+IF(race="Void",ROUNDDOWN(Military!F82*1.5,0),0)+IF(race="Void",ROUNDDOWN(Military!G82*4,0),0)</f>
        <v>1250</v>
      </c>
      <c r="AE82" s="164">
        <f>Construction!$BE83*om_ore+IF(race="Dwarf",ROUNDDOWN(Military!F82*2,0),0)</f>
        <v>0</v>
      </c>
      <c r="AF82" s="57">
        <f>Construction!$BN83*dm_gems+IF(race="Dwarf",ROUNDDOWN(Military!F82/2,0),0)</f>
        <v>0</v>
      </c>
      <c r="AH82" s="266">
        <f ca="1">MIN(race_platinum_bonus + IF(Magic!AJ82&gt;0,midas_bonus) + Imps!Y82 - BB82*0.02+MAX(tech_production_plat*Techs!Y82,tech_treasure_hunt_plat*Techs!AR82), 0.5)</f>
        <v>0</v>
      </c>
      <c r="AI82" s="455">
        <f ca="1">race_food_bonus + IF(Magic!AO82&gt;0,gaias_blessing_food,IF(Magic!AG82&gt;0,gaias_watch_bonus)) + Imps!AD82+tech_production_food*Techs!W82 + O82/100*prestige_food_bonus</f>
        <v>0.1</v>
      </c>
      <c r="AJ82" s="267">
        <f ca="1">race_lumber_bonus+ IF(Magic!AO82&gt;0,gaias_blessing_lumber)+tech_fruits_of_labor1*Techs!AP82</f>
        <v>0</v>
      </c>
      <c r="AK82" s="267">
        <f ca="1">race_mana_bonus+tech_enchanted_lands_mana*Techs!AT82</f>
        <v>0</v>
      </c>
      <c r="AL82" s="267">
        <f ca="1">race_ore_bonus + IF(Magic!AL82&gt;0,miners_sight_bonus,IF(Magic!AH82&gt;0,mining_strength_bonus))+tech_fruits_of_labor1*Techs!AP82</f>
        <v>0</v>
      </c>
      <c r="AM82" s="193">
        <f ca="1">race_gem_bonus+MAX(tech_production_gems*Techs!X82,tech_fruits_of_labor_gems*Techs!AP82)</f>
        <v>0</v>
      </c>
      <c r="AO82" s="56">
        <f ca="1">I82*food_decay*IF(Magic!AZ82&gt;0,0.5,1)</f>
        <v>2752.55</v>
      </c>
      <c r="AP82" s="26">
        <f ca="1">(1+race_food_consumption)*Population!F82*food_per_person</f>
        <v>2310</v>
      </c>
      <c r="AQ82" s="26">
        <f t="shared" ca="1" si="43"/>
        <v>2736.84</v>
      </c>
      <c r="AR82" s="57">
        <f t="shared" ca="1" si="44"/>
        <v>1077.72</v>
      </c>
      <c r="AS82" s="26"/>
      <c r="AT82" s="56">
        <f ca="1">Explore!AH82+Construction!AP82+Military!AU82+Rezone!Y82+Imps!AM82-BE82</f>
        <v>0</v>
      </c>
      <c r="AU82" s="26">
        <f>Construction!AQ82+Imps!AN82-BF82</f>
        <v>0</v>
      </c>
      <c r="AV82" s="26">
        <f>Magic!AD82</f>
        <v>0</v>
      </c>
      <c r="AW82" s="26">
        <f ca="1">Military!AV82+Imps!AO82-BG82</f>
        <v>0</v>
      </c>
      <c r="AX82" s="26">
        <f>Imps!AP82-BH82</f>
        <v>0</v>
      </c>
      <c r="AY82" s="26">
        <f ca="1">Military!AZ82</f>
        <v>0</v>
      </c>
      <c r="AZ82" s="57">
        <f ca="1">Military!BA82</f>
        <v>0</v>
      </c>
      <c r="BB82" s="56" t="b">
        <f t="shared" si="63"/>
        <v>0</v>
      </c>
      <c r="BC82" s="332"/>
      <c r="BD82" s="979">
        <v>8</v>
      </c>
      <c r="BE82" s="332"/>
      <c r="BF82" s="370"/>
      <c r="BG82" s="370"/>
      <c r="BH82" s="744"/>
      <c r="BI82" s="1036">
        <f t="shared" si="45"/>
        <v>43695.291666666475</v>
      </c>
      <c r="BJ82" s="159" t="str">
        <f t="shared" si="61"/>
        <v/>
      </c>
      <c r="BK82" s="26">
        <f t="shared" ca="1" si="57"/>
        <v>3788940</v>
      </c>
      <c r="BL82" s="26">
        <f t="shared" ca="1" si="46"/>
        <v>275255</v>
      </c>
      <c r="BM82" s="26">
        <f t="shared" ca="1" si="47"/>
        <v>273684</v>
      </c>
      <c r="BN82" s="26">
        <f t="shared" ca="1" si="48"/>
        <v>53886</v>
      </c>
      <c r="BO82" s="57">
        <f t="shared" ca="1" si="49"/>
        <v>231000</v>
      </c>
    </row>
    <row r="83" spans="1:67" s="16" customFormat="1">
      <c r="A83" s="987">
        <v>9</v>
      </c>
      <c r="B83" s="816">
        <f>Imps!L83</f>
        <v>43695.333333333139</v>
      </c>
      <c r="C83" s="332"/>
      <c r="D83" s="835"/>
      <c r="E83" s="56">
        <f>Construction!E83</f>
        <v>1000</v>
      </c>
      <c r="F83" s="26">
        <f ca="1">Population!$C83</f>
        <v>3945</v>
      </c>
      <c r="G83" s="26">
        <f ca="1">Military!EM83</f>
        <v>39460</v>
      </c>
      <c r="H83" s="26">
        <f ca="1">H82+S82 - AT83 + IF(C83,Population!C83*4)</f>
        <v>3799591</v>
      </c>
      <c r="I83" s="26">
        <f t="shared" ca="1" si="58"/>
        <v>277232</v>
      </c>
      <c r="J83" s="26">
        <f t="shared" ca="1" si="50"/>
        <v>273447</v>
      </c>
      <c r="K83" s="26">
        <f t="shared" ca="1" si="51"/>
        <v>54058</v>
      </c>
      <c r="L83" s="26">
        <f t="shared" ca="1" si="52"/>
        <v>231000</v>
      </c>
      <c r="M83" s="26">
        <f t="shared" ca="1" si="53"/>
        <v>20000</v>
      </c>
      <c r="N83" s="26">
        <f t="shared" ca="1" si="59"/>
        <v>200</v>
      </c>
      <c r="O83" s="26">
        <f t="shared" si="62"/>
        <v>500</v>
      </c>
      <c r="P83" s="26">
        <f>ROUNDDOWN(P82+MAX(Construction!BO83/2,Construction!BO83*(1-Construction!BO83/(E83-Explore!S83*20)))-Q83*SUM(Techs!AY83:BY83),0)</f>
        <v>0</v>
      </c>
      <c r="Q83" s="166">
        <f>MAX(min_tech_cost,ROUNDDOWN(tech_cost_per_acre*Construction!E83,0))</f>
        <v>6426</v>
      </c>
      <c r="S83" s="152">
        <f t="shared" ca="1" si="54"/>
        <v>10651</v>
      </c>
      <c r="T83" s="164">
        <f t="shared" ca="1" si="40"/>
        <v>1958</v>
      </c>
      <c r="U83" s="164">
        <f t="shared" ca="1" si="41"/>
        <v>-234</v>
      </c>
      <c r="V83" s="164">
        <f t="shared" ca="1" si="42"/>
        <v>169</v>
      </c>
      <c r="W83" s="164">
        <f t="shared" ca="1" si="55"/>
        <v>0</v>
      </c>
      <c r="X83" s="164">
        <f t="shared" ca="1" si="56"/>
        <v>0</v>
      </c>
      <c r="Y83" s="265">
        <f>Construction!BP84*dock_boats_hr</f>
        <v>0</v>
      </c>
      <c r="Z83" s="164"/>
      <c r="AA83" s="152">
        <f ca="1">Population!C83*tax*Population!I83 + (Construction!AY84+Construction!BW84)*(alch_plat+(Magic!AR83&gt;0)*alchemist_flame_bonus)</f>
        <v>10651.5</v>
      </c>
      <c r="AB83" s="164">
        <f>Construction!$AZ83*farm_food + Construction!$BP83*dock_food+IF(race="Growth",ROUNDDOWN(Military!G83*8,0),0)</f>
        <v>6400</v>
      </c>
      <c r="AC83" s="164">
        <f>Construction!$BC83*ly_lumber+IF(race="Ants",ROUNDDOWN(Military!F83/2,0),0)</f>
        <v>2500</v>
      </c>
      <c r="AD83" s="26">
        <f>Construction!$BK84*tower_mana+IF(race="Templars",ROUNDDOWN(Military!F83*0.02,0),0)+IF(race="Black Orc",Military!G83*5,0)+IF(race="Growth",ROUNDDOWN(Military!G83*0.1,0),0)+IF(race="Void",ROUNDDOWN(Military!F83*1.5,0),0)+IF(race="Void",ROUNDDOWN(Military!G83*4,0),0)</f>
        <v>1250</v>
      </c>
      <c r="AE83" s="164">
        <f>Construction!$BE84*om_ore+IF(race="Dwarf",ROUNDDOWN(Military!F83*2,0),0)</f>
        <v>0</v>
      </c>
      <c r="AF83" s="57">
        <f>Construction!$BN84*dm_gems+IF(race="Dwarf",ROUNDDOWN(Military!F83/2,0),0)</f>
        <v>0</v>
      </c>
      <c r="AH83" s="266">
        <f ca="1">MIN(race_platinum_bonus + IF(Magic!AJ83&gt;0,midas_bonus) + Imps!Y83 - BB83*0.02+MAX(tech_production_plat*Techs!Y83,tech_treasure_hunt_plat*Techs!AR83), 0.5)</f>
        <v>0</v>
      </c>
      <c r="AI83" s="455">
        <f ca="1">race_food_bonus + IF(Magic!AO83&gt;0,gaias_blessing_food,IF(Magic!AG83&gt;0,gaias_watch_bonus)) + Imps!AD83+tech_production_food*Techs!W83 + O83/100*prestige_food_bonus</f>
        <v>0.1</v>
      </c>
      <c r="AJ83" s="267">
        <f ca="1">race_lumber_bonus+ IF(Magic!AO83&gt;0,gaias_blessing_lumber)+tech_fruits_of_labor1*Techs!AP83</f>
        <v>0</v>
      </c>
      <c r="AK83" s="267">
        <f ca="1">race_mana_bonus+tech_enchanted_lands_mana*Techs!AT83</f>
        <v>0</v>
      </c>
      <c r="AL83" s="267">
        <f ca="1">race_ore_bonus + IF(Magic!AL83&gt;0,miners_sight_bonus,IF(Magic!AH83&gt;0,mining_strength_bonus))+tech_fruits_of_labor1*Techs!AP83</f>
        <v>0</v>
      </c>
      <c r="AM83" s="193">
        <f ca="1">race_gem_bonus+MAX(tech_production_gems*Techs!X83,tech_fruits_of_labor_gems*Techs!AP83)</f>
        <v>0</v>
      </c>
      <c r="AO83" s="56">
        <f ca="1">I83*food_decay*IF(Magic!AZ83&gt;0,0.5,1)</f>
        <v>2772.32</v>
      </c>
      <c r="AP83" s="26">
        <f ca="1">(1+race_food_consumption)*Population!F83*food_per_person</f>
        <v>2310</v>
      </c>
      <c r="AQ83" s="26">
        <f t="shared" ca="1" si="43"/>
        <v>2734.4700000000003</v>
      </c>
      <c r="AR83" s="57">
        <f t="shared" ca="1" si="44"/>
        <v>1081.1600000000001</v>
      </c>
      <c r="AS83" s="26"/>
      <c r="AT83" s="56">
        <f ca="1">Explore!AH83+Construction!AP83+Military!AU83+Rezone!Y83+Imps!AM83-BE83</f>
        <v>0</v>
      </c>
      <c r="AU83" s="26">
        <f>Construction!AQ83+Imps!AN83-BF83</f>
        <v>0</v>
      </c>
      <c r="AV83" s="26">
        <f>Magic!AD83</f>
        <v>0</v>
      </c>
      <c r="AW83" s="26">
        <f ca="1">Military!AV83+Imps!AO83-BG83</f>
        <v>0</v>
      </c>
      <c r="AX83" s="26">
        <f>Imps!AP83-BH83</f>
        <v>0</v>
      </c>
      <c r="AY83" s="26">
        <f ca="1">Military!AZ83</f>
        <v>0</v>
      </c>
      <c r="AZ83" s="57">
        <f ca="1">Military!BA83</f>
        <v>0</v>
      </c>
      <c r="BB83" s="56" t="b">
        <f t="shared" si="63"/>
        <v>0</v>
      </c>
      <c r="BC83" s="332"/>
      <c r="BD83" s="979">
        <v>9</v>
      </c>
      <c r="BE83" s="332"/>
      <c r="BF83" s="370"/>
      <c r="BG83" s="370"/>
      <c r="BH83" s="744"/>
      <c r="BI83" s="1036">
        <f t="shared" si="45"/>
        <v>43695.333333333139</v>
      </c>
      <c r="BJ83" s="159" t="str">
        <f t="shared" si="61"/>
        <v/>
      </c>
      <c r="BK83" s="26">
        <f t="shared" ca="1" si="57"/>
        <v>3799591</v>
      </c>
      <c r="BL83" s="26">
        <f t="shared" ca="1" si="46"/>
        <v>277232</v>
      </c>
      <c r="BM83" s="26">
        <f t="shared" ca="1" si="47"/>
        <v>273447</v>
      </c>
      <c r="BN83" s="26">
        <f t="shared" ca="1" si="48"/>
        <v>54058</v>
      </c>
      <c r="BO83" s="57">
        <f t="shared" ca="1" si="49"/>
        <v>231000</v>
      </c>
    </row>
    <row r="84" spans="1:67" s="16" customFormat="1">
      <c r="A84" s="987">
        <v>10</v>
      </c>
      <c r="B84" s="816">
        <f>Imps!L84</f>
        <v>43695.374999999804</v>
      </c>
      <c r="C84" s="332"/>
      <c r="D84" s="835"/>
      <c r="E84" s="56">
        <f>Construction!E84</f>
        <v>1000</v>
      </c>
      <c r="F84" s="26">
        <f ca="1">Population!$C84</f>
        <v>3945</v>
      </c>
      <c r="G84" s="26">
        <f ca="1">Military!EM84</f>
        <v>39460</v>
      </c>
      <c r="H84" s="26">
        <f ca="1">H83+S83 - AT84 + IF(C84,Population!C84*4)</f>
        <v>3810242</v>
      </c>
      <c r="I84" s="26">
        <f t="shared" ca="1" si="58"/>
        <v>279190</v>
      </c>
      <c r="J84" s="26">
        <f t="shared" ca="1" si="50"/>
        <v>273213</v>
      </c>
      <c r="K84" s="26">
        <f t="shared" ca="1" si="51"/>
        <v>54227</v>
      </c>
      <c r="L84" s="26">
        <f t="shared" ca="1" si="52"/>
        <v>231000</v>
      </c>
      <c r="M84" s="26">
        <f t="shared" ca="1" si="53"/>
        <v>20000</v>
      </c>
      <c r="N84" s="26">
        <f t="shared" ca="1" si="59"/>
        <v>200</v>
      </c>
      <c r="O84" s="26">
        <f t="shared" si="62"/>
        <v>500</v>
      </c>
      <c r="P84" s="26">
        <f>ROUNDDOWN(P83+MAX(Construction!BO84/2,Construction!BO84*(1-Construction!BO84/(E84-Explore!S84*20)))-Q84*SUM(Techs!AY84:BY84),0)</f>
        <v>0</v>
      </c>
      <c r="Q84" s="166">
        <f>MAX(min_tech_cost,ROUNDDOWN(tech_cost_per_acre*Construction!E84,0))</f>
        <v>6426</v>
      </c>
      <c r="S84" s="152">
        <f t="shared" ca="1" si="54"/>
        <v>10651</v>
      </c>
      <c r="T84" s="164">
        <f t="shared" ca="1" si="40"/>
        <v>1938</v>
      </c>
      <c r="U84" s="164">
        <f t="shared" ca="1" si="41"/>
        <v>-232</v>
      </c>
      <c r="V84" s="164">
        <f t="shared" ca="1" si="42"/>
        <v>165</v>
      </c>
      <c r="W84" s="164">
        <f t="shared" ca="1" si="55"/>
        <v>0</v>
      </c>
      <c r="X84" s="164">
        <f t="shared" ca="1" si="56"/>
        <v>0</v>
      </c>
      <c r="Y84" s="265">
        <f>Construction!BP85*dock_boats_hr</f>
        <v>0</v>
      </c>
      <c r="Z84" s="164"/>
      <c r="AA84" s="152">
        <f ca="1">Population!C84*tax*Population!I84 + (Construction!AY85+Construction!BW85)*(alch_plat+(Magic!AR84&gt;0)*alchemist_flame_bonus)</f>
        <v>10651.5</v>
      </c>
      <c r="AB84" s="164">
        <f>Construction!$AZ84*farm_food + Construction!$BP84*dock_food+IF(race="Growth",ROUNDDOWN(Military!G84*8,0),0)</f>
        <v>6400</v>
      </c>
      <c r="AC84" s="164">
        <f>Construction!$BC84*ly_lumber+IF(race="Ants",ROUNDDOWN(Military!F84/2,0),0)</f>
        <v>2500</v>
      </c>
      <c r="AD84" s="26">
        <f>Construction!$BK85*tower_mana+IF(race="Templars",ROUNDDOWN(Military!F84*0.02,0),0)+IF(race="Black Orc",Military!G84*5,0)+IF(race="Growth",ROUNDDOWN(Military!G84*0.1,0),0)+IF(race="Void",ROUNDDOWN(Military!F84*1.5,0),0)+IF(race="Void",ROUNDDOWN(Military!G84*4,0),0)</f>
        <v>1250</v>
      </c>
      <c r="AE84" s="164">
        <f>Construction!$BE85*om_ore+IF(race="Dwarf",ROUNDDOWN(Military!F84*2,0),0)</f>
        <v>0</v>
      </c>
      <c r="AF84" s="57">
        <f>Construction!$BN85*dm_gems+IF(race="Dwarf",ROUNDDOWN(Military!F84/2,0),0)</f>
        <v>0</v>
      </c>
      <c r="AH84" s="266">
        <f ca="1">MIN(race_platinum_bonus + IF(Magic!AJ84&gt;0,midas_bonus) + Imps!Y84 - BB84*0.02+MAX(tech_production_plat*Techs!Y84,tech_treasure_hunt_plat*Techs!AR84), 0.5)</f>
        <v>0</v>
      </c>
      <c r="AI84" s="455">
        <f ca="1">race_food_bonus + IF(Magic!AO84&gt;0,gaias_blessing_food,IF(Magic!AG84&gt;0,gaias_watch_bonus)) + Imps!AD84+tech_production_food*Techs!W84 + O84/100*prestige_food_bonus</f>
        <v>0.1</v>
      </c>
      <c r="AJ84" s="267">
        <f ca="1">race_lumber_bonus+ IF(Magic!AO84&gt;0,gaias_blessing_lumber)+tech_fruits_of_labor1*Techs!AP84</f>
        <v>0</v>
      </c>
      <c r="AK84" s="267">
        <f ca="1">race_mana_bonus+tech_enchanted_lands_mana*Techs!AT84</f>
        <v>0</v>
      </c>
      <c r="AL84" s="267">
        <f ca="1">race_ore_bonus + IF(Magic!AL84&gt;0,miners_sight_bonus,IF(Magic!AH84&gt;0,mining_strength_bonus))+tech_fruits_of_labor1*Techs!AP84</f>
        <v>0</v>
      </c>
      <c r="AM84" s="193">
        <f ca="1">race_gem_bonus+MAX(tech_production_gems*Techs!X84,tech_fruits_of_labor_gems*Techs!AP84)</f>
        <v>0</v>
      </c>
      <c r="AO84" s="56">
        <f ca="1">I84*food_decay*IF(Magic!AZ84&gt;0,0.5,1)</f>
        <v>2791.9</v>
      </c>
      <c r="AP84" s="26">
        <f ca="1">(1+race_food_consumption)*Population!F84*food_per_person</f>
        <v>2310</v>
      </c>
      <c r="AQ84" s="26">
        <f t="shared" ca="1" si="43"/>
        <v>2732.13</v>
      </c>
      <c r="AR84" s="57">
        <f t="shared" ca="1" si="44"/>
        <v>1084.54</v>
      </c>
      <c r="AS84" s="26"/>
      <c r="AT84" s="56">
        <f ca="1">Explore!AH84+Construction!AP84+Military!AU84+Rezone!Y84+Imps!AM84-BE84</f>
        <v>0</v>
      </c>
      <c r="AU84" s="26">
        <f>Construction!AQ84+Imps!AN84-BF84</f>
        <v>0</v>
      </c>
      <c r="AV84" s="26">
        <f>Magic!AD84</f>
        <v>0</v>
      </c>
      <c r="AW84" s="26">
        <f ca="1">Military!AV84+Imps!AO84-BG84</f>
        <v>0</v>
      </c>
      <c r="AX84" s="26">
        <f>Imps!AP84-BH84</f>
        <v>0</v>
      </c>
      <c r="AY84" s="26">
        <f ca="1">Military!AZ84</f>
        <v>0</v>
      </c>
      <c r="AZ84" s="57">
        <f ca="1">Military!BA84</f>
        <v>0</v>
      </c>
      <c r="BB84" s="56" t="b">
        <f t="shared" si="63"/>
        <v>0</v>
      </c>
      <c r="BC84" s="332"/>
      <c r="BD84" s="979">
        <v>10</v>
      </c>
      <c r="BE84" s="332"/>
      <c r="BF84" s="370"/>
      <c r="BG84" s="370"/>
      <c r="BH84" s="744"/>
      <c r="BI84" s="1036">
        <f t="shared" si="45"/>
        <v>43695.374999999804</v>
      </c>
      <c r="BJ84" s="159" t="str">
        <f t="shared" si="61"/>
        <v/>
      </c>
      <c r="BK84" s="26">
        <f t="shared" ca="1" si="57"/>
        <v>3810242</v>
      </c>
      <c r="BL84" s="26">
        <f t="shared" ca="1" si="46"/>
        <v>279190</v>
      </c>
      <c r="BM84" s="26">
        <f t="shared" ca="1" si="47"/>
        <v>273213</v>
      </c>
      <c r="BN84" s="26">
        <f t="shared" ca="1" si="48"/>
        <v>54227</v>
      </c>
      <c r="BO84" s="57">
        <f t="shared" ca="1" si="49"/>
        <v>231000</v>
      </c>
    </row>
    <row r="85" spans="1:67" s="16" customFormat="1">
      <c r="A85" s="987">
        <v>11</v>
      </c>
      <c r="B85" s="816">
        <f>Imps!L85</f>
        <v>43695.416666666468</v>
      </c>
      <c r="C85" s="332"/>
      <c r="D85" s="835"/>
      <c r="E85" s="56">
        <f>Construction!E85</f>
        <v>1000</v>
      </c>
      <c r="F85" s="26">
        <f ca="1">Population!$C85</f>
        <v>3945</v>
      </c>
      <c r="G85" s="26">
        <f ca="1">Military!EM85</f>
        <v>39460</v>
      </c>
      <c r="H85" s="26">
        <f ca="1">H84+S84 - AT85 + IF(C85,Population!C85*4)</f>
        <v>3820893</v>
      </c>
      <c r="I85" s="26">
        <f t="shared" ca="1" si="58"/>
        <v>281128</v>
      </c>
      <c r="J85" s="26">
        <f t="shared" ca="1" si="50"/>
        <v>272981</v>
      </c>
      <c r="K85" s="26">
        <f t="shared" ca="1" si="51"/>
        <v>54392</v>
      </c>
      <c r="L85" s="26">
        <f t="shared" ca="1" si="52"/>
        <v>231000</v>
      </c>
      <c r="M85" s="26">
        <f t="shared" ca="1" si="53"/>
        <v>20000</v>
      </c>
      <c r="N85" s="26">
        <f t="shared" ca="1" si="59"/>
        <v>200</v>
      </c>
      <c r="O85" s="26">
        <f t="shared" si="62"/>
        <v>500</v>
      </c>
      <c r="P85" s="26">
        <f>ROUNDDOWN(P84+MAX(Construction!BO85/2,Construction!BO85*(1-Construction!BO85/(E85-Explore!S85*20)))-Q85*SUM(Techs!AY85:BY85),0)</f>
        <v>0</v>
      </c>
      <c r="Q85" s="166">
        <f>MAX(min_tech_cost,ROUNDDOWN(tech_cost_per_acre*Construction!E85,0))</f>
        <v>6426</v>
      </c>
      <c r="S85" s="152">
        <f t="shared" ca="1" si="54"/>
        <v>10651</v>
      </c>
      <c r="T85" s="164">
        <f t="shared" ca="1" si="40"/>
        <v>1919</v>
      </c>
      <c r="U85" s="164">
        <f t="shared" ca="1" si="41"/>
        <v>-230</v>
      </c>
      <c r="V85" s="164">
        <f t="shared" ca="1" si="42"/>
        <v>162</v>
      </c>
      <c r="W85" s="164">
        <f t="shared" ca="1" si="55"/>
        <v>0</v>
      </c>
      <c r="X85" s="164">
        <f t="shared" ca="1" si="56"/>
        <v>0</v>
      </c>
      <c r="Y85" s="265">
        <f>Construction!BP86*dock_boats_hr</f>
        <v>0</v>
      </c>
      <c r="Z85" s="164"/>
      <c r="AA85" s="152">
        <f ca="1">Population!C85*tax*Population!I85 + (Construction!AY86+Construction!BW86)*(alch_plat+(Magic!AR85&gt;0)*alchemist_flame_bonus)</f>
        <v>10651.5</v>
      </c>
      <c r="AB85" s="164">
        <f>Construction!$AZ85*farm_food + Construction!$BP85*dock_food+IF(race="Growth",ROUNDDOWN(Military!G85*8,0),0)</f>
        <v>6400</v>
      </c>
      <c r="AC85" s="164">
        <f>Construction!$BC85*ly_lumber+IF(race="Ants",ROUNDDOWN(Military!F85/2,0),0)</f>
        <v>2500</v>
      </c>
      <c r="AD85" s="26">
        <f>Construction!$BK86*tower_mana+IF(race="Templars",ROUNDDOWN(Military!F85*0.02,0),0)+IF(race="Black Orc",Military!G85*5,0)+IF(race="Growth",ROUNDDOWN(Military!G85*0.1,0),0)+IF(race="Void",ROUNDDOWN(Military!F85*1.5,0),0)+IF(race="Void",ROUNDDOWN(Military!G85*4,0),0)</f>
        <v>1250</v>
      </c>
      <c r="AE85" s="164">
        <f>Construction!$BE86*om_ore+IF(race="Dwarf",ROUNDDOWN(Military!F85*2,0),0)</f>
        <v>0</v>
      </c>
      <c r="AF85" s="57">
        <f>Construction!$BN86*dm_gems+IF(race="Dwarf",ROUNDDOWN(Military!F85/2,0),0)</f>
        <v>0</v>
      </c>
      <c r="AH85" s="266">
        <f ca="1">MIN(race_platinum_bonus + IF(Magic!AJ85&gt;0,midas_bonus) + Imps!Y85 - BB85*0.02+MAX(tech_production_plat*Techs!Y85,tech_treasure_hunt_plat*Techs!AR85), 0.5)</f>
        <v>0</v>
      </c>
      <c r="AI85" s="455">
        <f ca="1">race_food_bonus + IF(Magic!AO85&gt;0,gaias_blessing_food,IF(Magic!AG85&gt;0,gaias_watch_bonus)) + Imps!AD85+tech_production_food*Techs!W85 + O85/100*prestige_food_bonus</f>
        <v>0.1</v>
      </c>
      <c r="AJ85" s="267">
        <f ca="1">race_lumber_bonus+ IF(Magic!AO85&gt;0,gaias_blessing_lumber)+tech_fruits_of_labor1*Techs!AP85</f>
        <v>0</v>
      </c>
      <c r="AK85" s="267">
        <f ca="1">race_mana_bonus+tech_enchanted_lands_mana*Techs!AT85</f>
        <v>0</v>
      </c>
      <c r="AL85" s="267">
        <f ca="1">race_ore_bonus + IF(Magic!AL85&gt;0,miners_sight_bonus,IF(Magic!AH85&gt;0,mining_strength_bonus))+tech_fruits_of_labor1*Techs!AP85</f>
        <v>0</v>
      </c>
      <c r="AM85" s="193">
        <f ca="1">race_gem_bonus+MAX(tech_production_gems*Techs!X85,tech_fruits_of_labor_gems*Techs!AP85)</f>
        <v>0</v>
      </c>
      <c r="AO85" s="56">
        <f ca="1">I85*food_decay*IF(Magic!AZ85&gt;0,0.5,1)</f>
        <v>2811.28</v>
      </c>
      <c r="AP85" s="26">
        <f ca="1">(1+race_food_consumption)*Population!F85*food_per_person</f>
        <v>2310</v>
      </c>
      <c r="AQ85" s="26">
        <f t="shared" ca="1" si="43"/>
        <v>2729.81</v>
      </c>
      <c r="AR85" s="57">
        <f t="shared" ca="1" si="44"/>
        <v>1087.8399999999999</v>
      </c>
      <c r="AS85" s="26"/>
      <c r="AT85" s="56">
        <f ca="1">Explore!AH85+Construction!AP85+Military!AU85+Rezone!Y85+Imps!AM85-BE85</f>
        <v>0</v>
      </c>
      <c r="AU85" s="26">
        <f>Construction!AQ85+Imps!AN85-BF85</f>
        <v>0</v>
      </c>
      <c r="AV85" s="26">
        <f>Magic!AD85</f>
        <v>0</v>
      </c>
      <c r="AW85" s="26">
        <f ca="1">Military!AV85+Imps!AO85-BG85</f>
        <v>0</v>
      </c>
      <c r="AX85" s="26">
        <f>Imps!AP85-BH85</f>
        <v>0</v>
      </c>
      <c r="AY85" s="26">
        <f ca="1">Military!AZ85</f>
        <v>0</v>
      </c>
      <c r="AZ85" s="57">
        <f ca="1">Military!BA85</f>
        <v>0</v>
      </c>
      <c r="BB85" s="56" t="b">
        <f t="shared" si="63"/>
        <v>0</v>
      </c>
      <c r="BC85" s="332"/>
      <c r="BD85" s="979">
        <v>11</v>
      </c>
      <c r="BE85" s="332"/>
      <c r="BF85" s="370"/>
      <c r="BG85" s="370"/>
      <c r="BH85" s="744"/>
      <c r="BI85" s="1036">
        <f t="shared" si="45"/>
        <v>43695.416666666468</v>
      </c>
      <c r="BJ85" s="159" t="str">
        <f t="shared" si="61"/>
        <v/>
      </c>
      <c r="BK85" s="26">
        <f t="shared" ca="1" si="57"/>
        <v>3820893</v>
      </c>
      <c r="BL85" s="26">
        <f t="shared" ca="1" si="46"/>
        <v>281128</v>
      </c>
      <c r="BM85" s="26">
        <f t="shared" ca="1" si="47"/>
        <v>272981</v>
      </c>
      <c r="BN85" s="26">
        <f t="shared" ca="1" si="48"/>
        <v>54392</v>
      </c>
      <c r="BO85" s="57">
        <f t="shared" ca="1" si="49"/>
        <v>231000</v>
      </c>
    </row>
    <row r="86" spans="1:67" s="170" customFormat="1">
      <c r="A86" s="986">
        <v>12</v>
      </c>
      <c r="B86" s="532">
        <f>Imps!L86</f>
        <v>43695.458333333132</v>
      </c>
      <c r="C86" s="329"/>
      <c r="D86" s="834"/>
      <c r="E86" s="152">
        <f>Construction!E86</f>
        <v>1000</v>
      </c>
      <c r="F86" s="164">
        <f ca="1">Population!$C86</f>
        <v>3945</v>
      </c>
      <c r="G86" s="164">
        <f ca="1">Military!EM86</f>
        <v>39460</v>
      </c>
      <c r="H86" s="164">
        <f ca="1">H85+S85 - AT86 + IF(C86,Population!C86*4)</f>
        <v>3831544</v>
      </c>
      <c r="I86" s="164">
        <f t="shared" ca="1" si="58"/>
        <v>283047</v>
      </c>
      <c r="J86" s="164">
        <f t="shared" ca="1" si="50"/>
        <v>272751</v>
      </c>
      <c r="K86" s="164">
        <f t="shared" ca="1" si="51"/>
        <v>54554</v>
      </c>
      <c r="L86" s="164">
        <f t="shared" ca="1" si="52"/>
        <v>231000</v>
      </c>
      <c r="M86" s="164">
        <f t="shared" ca="1" si="53"/>
        <v>20000</v>
      </c>
      <c r="N86" s="164">
        <f t="shared" ca="1" si="59"/>
        <v>200</v>
      </c>
      <c r="O86" s="164">
        <f t="shared" si="62"/>
        <v>500</v>
      </c>
      <c r="P86" s="164">
        <f>ROUNDDOWN(P85+MAX(Construction!BO86/2,Construction!BO86*(1-Construction!BO86/(E86-Explore!S86*20)))-Q86*SUM(Techs!AY86:BY86),0)</f>
        <v>0</v>
      </c>
      <c r="Q86" s="166">
        <f>MAX(min_tech_cost,ROUNDDOWN(tech_cost_per_acre*Construction!E86,0))</f>
        <v>6426</v>
      </c>
      <c r="S86" s="152">
        <f t="shared" ca="1" si="54"/>
        <v>10651</v>
      </c>
      <c r="T86" s="164">
        <f t="shared" ca="1" si="40"/>
        <v>1900</v>
      </c>
      <c r="U86" s="164">
        <f t="shared" ca="1" si="41"/>
        <v>-228</v>
      </c>
      <c r="V86" s="164">
        <f t="shared" ca="1" si="42"/>
        <v>159</v>
      </c>
      <c r="W86" s="164">
        <f t="shared" ca="1" si="55"/>
        <v>0</v>
      </c>
      <c r="X86" s="164">
        <f t="shared" ca="1" si="56"/>
        <v>0</v>
      </c>
      <c r="Y86" s="265">
        <f>Construction!BP87*dock_boats_hr</f>
        <v>0</v>
      </c>
      <c r="Z86" s="164"/>
      <c r="AA86" s="152">
        <f ca="1">Population!C86*tax*Population!I86 + (Construction!AY87+Construction!BW87)*(alch_plat+(Magic!AR86&gt;0)*alchemist_flame_bonus)</f>
        <v>10651.5</v>
      </c>
      <c r="AB86" s="164">
        <f>Construction!$AZ86*farm_food + Construction!$BP86*dock_food+IF(race="Growth",ROUNDDOWN(Military!G86*8,0),0)</f>
        <v>6400</v>
      </c>
      <c r="AC86" s="164">
        <f>Construction!$BC86*ly_lumber+IF(race="Ants",ROUNDDOWN(Military!F86/2,0),0)</f>
        <v>2500</v>
      </c>
      <c r="AD86" s="164">
        <f>Construction!$BK87*tower_mana+IF(race="Templars",ROUNDDOWN(Military!F86*0.02,0),0)+IF(race="Black Orc",Military!G86*5,0)+IF(race="Growth",ROUNDDOWN(Military!G86*0.1,0),0)+IF(race="Void",ROUNDDOWN(Military!F86*1.5,0),0)+IF(race="Void",ROUNDDOWN(Military!G86*4,0),0)</f>
        <v>1250</v>
      </c>
      <c r="AE86" s="164">
        <f>Construction!$BE87*om_ore+IF(race="Dwarf",ROUNDDOWN(Military!F86*2,0),0)</f>
        <v>0</v>
      </c>
      <c r="AF86" s="166">
        <f>Construction!$BN87*dm_gems+IF(race="Dwarf",ROUNDDOWN(Military!F86/2,0),0)</f>
        <v>0</v>
      </c>
      <c r="AH86" s="266">
        <f ca="1">MIN(race_platinum_bonus + IF(Magic!AJ86&gt;0,midas_bonus) + Imps!Y86 - BB86*0.02+MAX(tech_production_plat*Techs!Y86,tech_treasure_hunt_plat*Techs!AR86), 0.5)</f>
        <v>0</v>
      </c>
      <c r="AI86" s="455">
        <f ca="1">race_food_bonus + IF(Magic!AO86&gt;0,gaias_blessing_food,IF(Magic!AG86&gt;0,gaias_watch_bonus)) + Imps!AD86+tech_production_food*Techs!W86 + O86/100*prestige_food_bonus</f>
        <v>0.1</v>
      </c>
      <c r="AJ86" s="267">
        <f ca="1">race_lumber_bonus+ IF(Magic!AO86&gt;0,gaias_blessing_lumber)+tech_fruits_of_labor1*Techs!AP86</f>
        <v>0</v>
      </c>
      <c r="AK86" s="267">
        <f ca="1">race_mana_bonus+tech_enchanted_lands_mana*Techs!AT86</f>
        <v>0</v>
      </c>
      <c r="AL86" s="267">
        <f ca="1">race_ore_bonus + IF(Magic!AL86&gt;0,miners_sight_bonus,IF(Magic!AH86&gt;0,mining_strength_bonus))+tech_fruits_of_labor1*Techs!AP86</f>
        <v>0</v>
      </c>
      <c r="AM86" s="193">
        <f ca="1">race_gem_bonus+MAX(tech_production_gems*Techs!X86,tech_fruits_of_labor_gems*Techs!AP86)</f>
        <v>0</v>
      </c>
      <c r="AO86" s="152">
        <f ca="1">I86*food_decay*IF(Magic!AZ86&gt;0,0.5,1)</f>
        <v>2830.4700000000003</v>
      </c>
      <c r="AP86" s="26">
        <f ca="1">(1+race_food_consumption)*Population!F86*food_per_person</f>
        <v>2310</v>
      </c>
      <c r="AQ86" s="164">
        <f t="shared" ca="1" si="43"/>
        <v>2727.51</v>
      </c>
      <c r="AR86" s="166">
        <f t="shared" ca="1" si="44"/>
        <v>1091.08</v>
      </c>
      <c r="AS86" s="164"/>
      <c r="AT86" s="152">
        <f ca="1">Explore!AH86+Construction!AP86+Military!AU86+Rezone!Y86+Imps!AM86-BE86</f>
        <v>0</v>
      </c>
      <c r="AU86" s="164">
        <f>Construction!AQ86+Imps!AN86-BF86</f>
        <v>0</v>
      </c>
      <c r="AV86" s="164">
        <f>Magic!AD86</f>
        <v>0</v>
      </c>
      <c r="AW86" s="164">
        <f ca="1">Military!AV86+Imps!AO86-BG86</f>
        <v>0</v>
      </c>
      <c r="AX86" s="164">
        <f>Imps!AP86-BH86</f>
        <v>0</v>
      </c>
      <c r="AY86" s="164">
        <f ca="1">Military!AZ86</f>
        <v>0</v>
      </c>
      <c r="AZ86" s="166">
        <f ca="1">Military!BA86</f>
        <v>0</v>
      </c>
      <c r="BB86" s="152" t="b">
        <f t="shared" si="63"/>
        <v>0</v>
      </c>
      <c r="BC86" s="329"/>
      <c r="BD86" s="978">
        <v>12</v>
      </c>
      <c r="BE86" s="332"/>
      <c r="BF86" s="370"/>
      <c r="BG86" s="407"/>
      <c r="BH86" s="743"/>
      <c r="BI86" s="1036">
        <f t="shared" si="45"/>
        <v>43695.458333333132</v>
      </c>
      <c r="BJ86" s="159" t="str">
        <f t="shared" si="61"/>
        <v/>
      </c>
      <c r="BK86" s="164">
        <f t="shared" ca="1" si="57"/>
        <v>3831544</v>
      </c>
      <c r="BL86" s="164">
        <f t="shared" ca="1" si="46"/>
        <v>283047</v>
      </c>
      <c r="BM86" s="164">
        <f t="shared" ca="1" si="47"/>
        <v>272751</v>
      </c>
      <c r="BN86" s="164">
        <f t="shared" ca="1" si="48"/>
        <v>54554</v>
      </c>
      <c r="BO86" s="166">
        <f t="shared" ca="1" si="49"/>
        <v>231000</v>
      </c>
    </row>
    <row r="87" spans="1:67" s="163" customFormat="1">
      <c r="A87" s="988">
        <v>13</v>
      </c>
      <c r="B87" s="677">
        <f>Imps!L87</f>
        <v>43695.499999999796</v>
      </c>
      <c r="C87" s="330"/>
      <c r="D87" s="836"/>
      <c r="E87" s="151">
        <f>Construction!E87</f>
        <v>1000</v>
      </c>
      <c r="F87" s="153">
        <f ca="1">Population!$C87</f>
        <v>3945</v>
      </c>
      <c r="G87" s="153">
        <f ca="1">Military!EM87</f>
        <v>39460</v>
      </c>
      <c r="H87" s="153">
        <f ca="1">H86+S86 - AT87 + IF(C87,Population!C87*4)</f>
        <v>3842195</v>
      </c>
      <c r="I87" s="153">
        <f t="shared" ca="1" si="58"/>
        <v>284947</v>
      </c>
      <c r="J87" s="153">
        <f t="shared" ca="1" si="50"/>
        <v>272523</v>
      </c>
      <c r="K87" s="153">
        <f t="shared" ca="1" si="51"/>
        <v>54713</v>
      </c>
      <c r="L87" s="153">
        <f t="shared" ca="1" si="52"/>
        <v>231000</v>
      </c>
      <c r="M87" s="153">
        <f t="shared" ca="1" si="53"/>
        <v>20000</v>
      </c>
      <c r="N87" s="153">
        <f t="shared" ca="1" si="59"/>
        <v>200</v>
      </c>
      <c r="O87" s="153">
        <f t="shared" si="62"/>
        <v>500</v>
      </c>
      <c r="P87" s="153">
        <f>ROUNDDOWN(P86+MAX(Construction!BO87/2,Construction!BO87*(1-Construction!BO87/(E87-Explore!S87*20)))-Q87*SUM(Techs!AY87:BY87),0)</f>
        <v>0</v>
      </c>
      <c r="Q87" s="158">
        <f>MAX(min_tech_cost,ROUNDDOWN(tech_cost_per_acre*Construction!E87,0))</f>
        <v>6426</v>
      </c>
      <c r="S87" s="151">
        <f t="shared" ca="1" si="54"/>
        <v>10651</v>
      </c>
      <c r="T87" s="153">
        <f t="shared" ca="1" si="40"/>
        <v>1881</v>
      </c>
      <c r="U87" s="153">
        <f t="shared" ca="1" si="41"/>
        <v>-225</v>
      </c>
      <c r="V87" s="153">
        <f t="shared" ca="1" si="42"/>
        <v>156</v>
      </c>
      <c r="W87" s="153">
        <f t="shared" ca="1" si="55"/>
        <v>0</v>
      </c>
      <c r="X87" s="153">
        <f t="shared" ca="1" si="56"/>
        <v>0</v>
      </c>
      <c r="Y87" s="262">
        <f>Construction!BP88*dock_boats_hr</f>
        <v>0</v>
      </c>
      <c r="Z87" s="203"/>
      <c r="AA87" s="151">
        <f ca="1">Population!C87*tax*Population!I87 + (Construction!AY88+Construction!BW88)*(alch_plat+(Magic!AR87&gt;0)*alchemist_flame_bonus)</f>
        <v>10651.5</v>
      </c>
      <c r="AB87" s="153">
        <f>Construction!$AZ87*farm_food + Construction!$BP87*dock_food+IF(race="Growth",ROUNDDOWN(Military!G87*8,0),0)</f>
        <v>6400</v>
      </c>
      <c r="AC87" s="153">
        <f>Construction!$BC87*ly_lumber+IF(race="Ants",ROUNDDOWN(Military!F87/2,0),0)</f>
        <v>2500</v>
      </c>
      <c r="AD87" s="153">
        <f>Construction!$BK88*tower_mana+IF(race="Templars",ROUNDDOWN(Military!F87*0.02,0),0)+IF(race="Black Orc",Military!G87*5,0)+IF(race="Growth",ROUNDDOWN(Military!G87*0.1,0),0)+IF(race="Void",ROUNDDOWN(Military!F87*1.5,0),0)+IF(race="Void",ROUNDDOWN(Military!G87*4,0),0)</f>
        <v>1250</v>
      </c>
      <c r="AE87" s="153">
        <f>Construction!$BE88*om_ore+IF(race="Dwarf",ROUNDDOWN(Military!F87*2,0),0)</f>
        <v>0</v>
      </c>
      <c r="AF87" s="158">
        <f>Construction!$BN88*dm_gems+IF(race="Dwarf",ROUNDDOWN(Military!F87/2,0),0)</f>
        <v>0</v>
      </c>
      <c r="AH87" s="263">
        <f ca="1">MIN(race_platinum_bonus + IF(Magic!AJ87&gt;0,midas_bonus) + Imps!Y87 - BB87*0.02+MAX(tech_production_plat*Techs!Y87,tech_treasure_hunt_plat*Techs!AR87), 0.5)</f>
        <v>0</v>
      </c>
      <c r="AI87" s="447">
        <f ca="1">race_food_bonus + IF(Magic!AO87&gt;0,gaias_blessing_food,IF(Magic!AG87&gt;0,gaias_watch_bonus)) + Imps!AD87+tech_production_food*Techs!W87 + O87/100*prestige_food_bonus</f>
        <v>0.1</v>
      </c>
      <c r="AJ87" s="264">
        <f ca="1">race_lumber_bonus+ IF(Magic!AO87&gt;0,gaias_blessing_lumber)+tech_fruits_of_labor1*Techs!AP87</f>
        <v>0</v>
      </c>
      <c r="AK87" s="264">
        <f ca="1">race_mana_bonus+tech_enchanted_lands_mana*Techs!AT87</f>
        <v>0</v>
      </c>
      <c r="AL87" s="264">
        <f ca="1">race_ore_bonus + IF(Magic!AL87&gt;0,miners_sight_bonus,IF(Magic!AH87&gt;0,mining_strength_bonus))+tech_fruits_of_labor1*Techs!AP87</f>
        <v>0</v>
      </c>
      <c r="AM87" s="194">
        <f ca="1">race_gem_bonus+MAX(tech_production_gems*Techs!X87,tech_fruits_of_labor_gems*Techs!AP87)</f>
        <v>0</v>
      </c>
      <c r="AO87" s="151">
        <f ca="1">I87*food_decay*IF(Magic!AZ87&gt;0,0.5,1)</f>
        <v>2849.4700000000003</v>
      </c>
      <c r="AP87" s="13">
        <f ca="1">(1+race_food_consumption)*Population!F87*food_per_person</f>
        <v>2310</v>
      </c>
      <c r="AQ87" s="153">
        <f t="shared" ca="1" si="43"/>
        <v>2725.23</v>
      </c>
      <c r="AR87" s="158">
        <f t="shared" ca="1" si="44"/>
        <v>1094.26</v>
      </c>
      <c r="AS87" s="153"/>
      <c r="AT87" s="151">
        <f ca="1">Explore!AH87+Construction!AP87+Military!AU87+Rezone!Y87+Imps!AM87-BE87</f>
        <v>0</v>
      </c>
      <c r="AU87" s="153">
        <f>Construction!AQ87+Imps!AN87-BF87</f>
        <v>0</v>
      </c>
      <c r="AV87" s="153">
        <f>Magic!AD87</f>
        <v>0</v>
      </c>
      <c r="AW87" s="153">
        <f ca="1">Military!AV87+Imps!AO87-BG87</f>
        <v>0</v>
      </c>
      <c r="AX87" s="153">
        <f>Imps!AP87-BH87</f>
        <v>0</v>
      </c>
      <c r="AY87" s="153">
        <f ca="1">Military!AZ87</f>
        <v>0</v>
      </c>
      <c r="AZ87" s="158">
        <f ca="1">Military!BA87</f>
        <v>0</v>
      </c>
      <c r="BB87" s="151" t="b">
        <f>IF(BC87&lt;&gt;"",BC87,BB86)</f>
        <v>0</v>
      </c>
      <c r="BC87" s="330"/>
      <c r="BD87" s="980">
        <v>13</v>
      </c>
      <c r="BE87" s="330"/>
      <c r="BF87" s="410"/>
      <c r="BG87" s="410"/>
      <c r="BH87" s="745"/>
      <c r="BI87" s="1038">
        <f t="shared" si="45"/>
        <v>43695.499999999796</v>
      </c>
      <c r="BJ87" s="287" t="str">
        <f t="shared" si="61"/>
        <v/>
      </c>
      <c r="BK87" s="153">
        <f t="shared" ca="1" si="57"/>
        <v>3842195</v>
      </c>
      <c r="BL87" s="153">
        <f t="shared" ca="1" si="46"/>
        <v>284947</v>
      </c>
      <c r="BM87" s="153">
        <f t="shared" ca="1" si="47"/>
        <v>272523</v>
      </c>
      <c r="BN87" s="153">
        <f t="shared" ca="1" si="48"/>
        <v>54713</v>
      </c>
      <c r="BO87" s="158">
        <f t="shared" ca="1" si="49"/>
        <v>231000</v>
      </c>
    </row>
    <row r="88" spans="1:67" s="170" customFormat="1">
      <c r="A88" s="986">
        <v>14</v>
      </c>
      <c r="B88" s="532">
        <f>Imps!L88</f>
        <v>43695.541666666461</v>
      </c>
      <c r="C88" s="329"/>
      <c r="D88" s="834"/>
      <c r="E88" s="152">
        <f>Construction!E88</f>
        <v>1000</v>
      </c>
      <c r="F88" s="164">
        <f ca="1">Population!$C88</f>
        <v>3945</v>
      </c>
      <c r="G88" s="164">
        <f ca="1">Military!EM88</f>
        <v>39460</v>
      </c>
      <c r="H88" s="26">
        <f ca="1">H87+S87 - AT88 + IF(C88,Population!C88*4)</f>
        <v>3852846</v>
      </c>
      <c r="I88" s="164">
        <f t="shared" ca="1" si="58"/>
        <v>286828</v>
      </c>
      <c r="J88" s="164">
        <f t="shared" ca="1" si="50"/>
        <v>272298</v>
      </c>
      <c r="K88" s="164">
        <f t="shared" ca="1" si="51"/>
        <v>54869</v>
      </c>
      <c r="L88" s="164">
        <f t="shared" ca="1" si="52"/>
        <v>231000</v>
      </c>
      <c r="M88" s="164">
        <f t="shared" ca="1" si="53"/>
        <v>20000</v>
      </c>
      <c r="N88" s="164">
        <f t="shared" ca="1" si="59"/>
        <v>200</v>
      </c>
      <c r="O88" s="164">
        <f t="shared" si="62"/>
        <v>500</v>
      </c>
      <c r="P88" s="164">
        <f>ROUNDDOWN(P87+MAX(Construction!BO88/2,Construction!BO88*(1-Construction!BO88/(E88-Explore!S88*20)))-Q88*SUM(Techs!AY88:BY88),0)</f>
        <v>0</v>
      </c>
      <c r="Q88" s="166">
        <f>MAX(min_tech_cost,ROUNDDOWN(tech_cost_per_acre*Construction!E88,0))</f>
        <v>6426</v>
      </c>
      <c r="S88" s="152">
        <f t="shared" ca="1" si="54"/>
        <v>10651</v>
      </c>
      <c r="T88" s="164">
        <f t="shared" ca="1" si="40"/>
        <v>1862</v>
      </c>
      <c r="U88" s="164">
        <f t="shared" ca="1" si="41"/>
        <v>-223</v>
      </c>
      <c r="V88" s="164">
        <f t="shared" ca="1" si="42"/>
        <v>153</v>
      </c>
      <c r="W88" s="164">
        <f t="shared" ca="1" si="55"/>
        <v>0</v>
      </c>
      <c r="X88" s="164">
        <f t="shared" ca="1" si="56"/>
        <v>0</v>
      </c>
      <c r="Y88" s="265">
        <f>Construction!BP89*dock_boats_hr</f>
        <v>0</v>
      </c>
      <c r="Z88" s="164"/>
      <c r="AA88" s="152">
        <f ca="1">Population!C88*tax*Population!I88 + (Construction!AY89+Construction!BW89)*(alch_plat+(Magic!AR88&gt;0)*alchemist_flame_bonus)</f>
        <v>10651.5</v>
      </c>
      <c r="AB88" s="164">
        <f>Construction!$AZ88*farm_food + Construction!$BP88*dock_food+IF(race="Growth",ROUNDDOWN(Military!G88*8,0),0)</f>
        <v>6400</v>
      </c>
      <c r="AC88" s="164">
        <f>Construction!$BC88*ly_lumber+IF(race="Ants",ROUNDDOWN(Military!F88/2,0),0)</f>
        <v>2500</v>
      </c>
      <c r="AD88" s="164">
        <f>Construction!$BK89*tower_mana+IF(race="Templars",ROUNDDOWN(Military!F88*0.02,0),0)+IF(race="Black Orc",Military!G88*5,0)+IF(race="Growth",ROUNDDOWN(Military!G88*0.1,0),0)+IF(race="Void",ROUNDDOWN(Military!F88*1.5,0),0)+IF(race="Void",ROUNDDOWN(Military!G88*4,0),0)</f>
        <v>1250</v>
      </c>
      <c r="AE88" s="164">
        <f>Construction!$BE89*om_ore+IF(race="Dwarf",ROUNDDOWN(Military!F88*2,0),0)</f>
        <v>0</v>
      </c>
      <c r="AF88" s="166">
        <f>Construction!$BN89*dm_gems+IF(race="Dwarf",ROUNDDOWN(Military!F88/2,0),0)</f>
        <v>0</v>
      </c>
      <c r="AH88" s="266">
        <f ca="1">MIN(race_platinum_bonus + IF(Magic!AJ88&gt;0,midas_bonus) + Imps!Y88 - BB88*0.02+MAX(tech_production_plat*Techs!Y88,tech_treasure_hunt_plat*Techs!AR88), 0.5)</f>
        <v>0</v>
      </c>
      <c r="AI88" s="455">
        <f ca="1">race_food_bonus + IF(Magic!AO88&gt;0,gaias_blessing_food,IF(Magic!AG88&gt;0,gaias_watch_bonus)) + Imps!AD88+tech_production_food*Techs!W88 + O88/100*prestige_food_bonus</f>
        <v>0.1</v>
      </c>
      <c r="AJ88" s="267">
        <f ca="1">race_lumber_bonus+ IF(Magic!AO88&gt;0,gaias_blessing_lumber)+tech_fruits_of_labor1*Techs!AP88</f>
        <v>0</v>
      </c>
      <c r="AK88" s="267">
        <f ca="1">race_mana_bonus+tech_enchanted_lands_mana*Techs!AT88</f>
        <v>0</v>
      </c>
      <c r="AL88" s="267">
        <f ca="1">race_ore_bonus + IF(Magic!AL88&gt;0,miners_sight_bonus,IF(Magic!AH88&gt;0,mining_strength_bonus))+tech_fruits_of_labor1*Techs!AP88</f>
        <v>0</v>
      </c>
      <c r="AM88" s="193">
        <f ca="1">race_gem_bonus+MAX(tech_production_gems*Techs!X88,tech_fruits_of_labor_gems*Techs!AP88)</f>
        <v>0</v>
      </c>
      <c r="AO88" s="152">
        <f ca="1">I88*food_decay*IF(Magic!AZ88&gt;0,0.5,1)</f>
        <v>2868.28</v>
      </c>
      <c r="AP88" s="26">
        <f ca="1">(1+race_food_consumption)*Population!F88*food_per_person</f>
        <v>2310</v>
      </c>
      <c r="AQ88" s="164">
        <f t="shared" ca="1" si="43"/>
        <v>2722.98</v>
      </c>
      <c r="AR88" s="166">
        <f t="shared" ca="1" si="44"/>
        <v>1097.3800000000001</v>
      </c>
      <c r="AS88" s="164"/>
      <c r="AT88" s="152">
        <f ca="1">Explore!AH88+Construction!AP88+Military!AU88+Rezone!Y88+Imps!AM88-BE88</f>
        <v>0</v>
      </c>
      <c r="AU88" s="164">
        <f>Construction!AQ88+Imps!AN88-BF88</f>
        <v>0</v>
      </c>
      <c r="AV88" s="164">
        <f>Magic!AD88</f>
        <v>0</v>
      </c>
      <c r="AW88" s="164">
        <f ca="1">Military!AV88+Imps!AO88-BG88</f>
        <v>0</v>
      </c>
      <c r="AX88" s="164">
        <f>Imps!AP88-BH88</f>
        <v>0</v>
      </c>
      <c r="AY88" s="164">
        <f ca="1">Military!AZ88</f>
        <v>0</v>
      </c>
      <c r="AZ88" s="166">
        <f ca="1">Military!BA88</f>
        <v>0</v>
      </c>
      <c r="BB88" s="152" t="b">
        <f t="shared" ref="BB88:BB135" si="64">IF(BC88&lt;&gt;"",BC88,BB87)</f>
        <v>0</v>
      </c>
      <c r="BC88" s="329"/>
      <c r="BD88" s="978">
        <v>14</v>
      </c>
      <c r="BE88" s="329"/>
      <c r="BF88" s="407"/>
      <c r="BG88" s="407"/>
      <c r="BH88" s="743"/>
      <c r="BI88" s="1036">
        <f t="shared" si="45"/>
        <v>43695.541666666461</v>
      </c>
      <c r="BJ88" s="159" t="str">
        <f t="shared" si="61"/>
        <v/>
      </c>
      <c r="BK88" s="26">
        <f t="shared" ca="1" si="57"/>
        <v>3852846</v>
      </c>
      <c r="BL88" s="164">
        <f t="shared" ca="1" si="46"/>
        <v>286828</v>
      </c>
      <c r="BM88" s="164">
        <f t="shared" ca="1" si="47"/>
        <v>272298</v>
      </c>
      <c r="BN88" s="164">
        <f t="shared" ca="1" si="48"/>
        <v>54869</v>
      </c>
      <c r="BO88" s="166">
        <f t="shared" ca="1" si="49"/>
        <v>231000</v>
      </c>
    </row>
    <row r="89" spans="1:67" s="170" customFormat="1">
      <c r="A89" s="986">
        <v>15</v>
      </c>
      <c r="B89" s="816">
        <f>Imps!L89</f>
        <v>43695.583333333125</v>
      </c>
      <c r="C89" s="329"/>
      <c r="D89" s="834"/>
      <c r="E89" s="152">
        <f>Construction!E89</f>
        <v>1000</v>
      </c>
      <c r="F89" s="164">
        <f ca="1">Population!$C89</f>
        <v>3945</v>
      </c>
      <c r="G89" s="164">
        <f ca="1">Military!EM89</f>
        <v>39460</v>
      </c>
      <c r="H89" s="26">
        <f ca="1">H88+S88 - AT89 + IF(C89,Population!C89*4)</f>
        <v>3863497</v>
      </c>
      <c r="I89" s="164">
        <f t="shared" ca="1" si="58"/>
        <v>288690</v>
      </c>
      <c r="J89" s="164">
        <f t="shared" ca="1" si="50"/>
        <v>272075</v>
      </c>
      <c r="K89" s="164">
        <f t="shared" ca="1" si="51"/>
        <v>55022</v>
      </c>
      <c r="L89" s="164">
        <f t="shared" ca="1" si="52"/>
        <v>231000</v>
      </c>
      <c r="M89" s="164">
        <f t="shared" ca="1" si="53"/>
        <v>20000</v>
      </c>
      <c r="N89" s="164">
        <f t="shared" ca="1" si="59"/>
        <v>200</v>
      </c>
      <c r="O89" s="164">
        <f t="shared" si="62"/>
        <v>500</v>
      </c>
      <c r="P89" s="164">
        <f>ROUNDDOWN(P88+MAX(Construction!BO89/2,Construction!BO89*(1-Construction!BO89/(E89-Explore!S89*20)))-Q89*SUM(Techs!AY89:BY89),0)</f>
        <v>0</v>
      </c>
      <c r="Q89" s="166">
        <f>MAX(min_tech_cost,ROUNDDOWN(tech_cost_per_acre*Construction!E89,0))</f>
        <v>6426</v>
      </c>
      <c r="S89" s="152">
        <f t="shared" ca="1" si="54"/>
        <v>10651</v>
      </c>
      <c r="T89" s="164">
        <f t="shared" ca="1" si="40"/>
        <v>1843</v>
      </c>
      <c r="U89" s="164">
        <f t="shared" ca="1" si="41"/>
        <v>-221</v>
      </c>
      <c r="V89" s="164">
        <f t="shared" ca="1" si="42"/>
        <v>150</v>
      </c>
      <c r="W89" s="164">
        <f t="shared" ca="1" si="55"/>
        <v>0</v>
      </c>
      <c r="X89" s="164">
        <f t="shared" ca="1" si="56"/>
        <v>0</v>
      </c>
      <c r="Y89" s="265">
        <f>Construction!BP90*dock_boats_hr</f>
        <v>0</v>
      </c>
      <c r="Z89" s="164"/>
      <c r="AA89" s="152">
        <f ca="1">Population!C89*tax*Population!I89 + (Construction!AY90+Construction!BW90)*(alch_plat+(Magic!AR89&gt;0)*alchemist_flame_bonus)</f>
        <v>10651.5</v>
      </c>
      <c r="AB89" s="164">
        <f>Construction!$AZ89*farm_food + Construction!$BP89*dock_food+IF(race="Growth",ROUNDDOWN(Military!G89*8,0),0)</f>
        <v>6400</v>
      </c>
      <c r="AC89" s="164">
        <f>Construction!$BC89*ly_lumber+IF(race="Ants",ROUNDDOWN(Military!F89/2,0),0)</f>
        <v>2500</v>
      </c>
      <c r="AD89" s="164">
        <f>Construction!$BK90*tower_mana+IF(race="Templars",ROUNDDOWN(Military!F89*0.02,0),0)+IF(race="Black Orc",Military!G89*5,0)+IF(race="Growth",ROUNDDOWN(Military!G89*0.1,0),0)+IF(race="Void",ROUNDDOWN(Military!F89*1.5,0),0)+IF(race="Void",ROUNDDOWN(Military!G89*4,0),0)</f>
        <v>1250</v>
      </c>
      <c r="AE89" s="164">
        <f>Construction!$BE90*om_ore+IF(race="Dwarf",ROUNDDOWN(Military!F89*2,0),0)</f>
        <v>0</v>
      </c>
      <c r="AF89" s="166">
        <f>Construction!$BN90*dm_gems+IF(race="Dwarf",ROUNDDOWN(Military!F89/2,0),0)</f>
        <v>0</v>
      </c>
      <c r="AH89" s="266">
        <f ca="1">MIN(race_platinum_bonus + IF(Magic!AJ89&gt;0,midas_bonus) + Imps!Y89 - BB89*0.02+MAX(tech_production_plat*Techs!Y89,tech_treasure_hunt_plat*Techs!AR89), 0.5)</f>
        <v>0</v>
      </c>
      <c r="AI89" s="455">
        <f ca="1">race_food_bonus + IF(Magic!AO89&gt;0,gaias_blessing_food,IF(Magic!AG89&gt;0,gaias_watch_bonus)) + Imps!AD89+tech_production_food*Techs!W89 + O89/100*prestige_food_bonus</f>
        <v>0.1</v>
      </c>
      <c r="AJ89" s="267">
        <f ca="1">race_lumber_bonus+ IF(Magic!AO89&gt;0,gaias_blessing_lumber)+tech_fruits_of_labor1*Techs!AP89</f>
        <v>0</v>
      </c>
      <c r="AK89" s="267">
        <f ca="1">race_mana_bonus+tech_enchanted_lands_mana*Techs!AT89</f>
        <v>0</v>
      </c>
      <c r="AL89" s="267">
        <f ca="1">race_ore_bonus + IF(Magic!AL89&gt;0,miners_sight_bonus,IF(Magic!AH89&gt;0,mining_strength_bonus))+tech_fruits_of_labor1*Techs!AP89</f>
        <v>0</v>
      </c>
      <c r="AM89" s="193">
        <f ca="1">race_gem_bonus+MAX(tech_production_gems*Techs!X89,tech_fruits_of_labor_gems*Techs!AP89)</f>
        <v>0</v>
      </c>
      <c r="AO89" s="152">
        <f ca="1">I89*food_decay*IF(Magic!AZ89&gt;0,0.5,1)</f>
        <v>2886.9</v>
      </c>
      <c r="AP89" s="26">
        <f ca="1">(1+race_food_consumption)*Population!F89*food_per_person</f>
        <v>2310</v>
      </c>
      <c r="AQ89" s="164">
        <f t="shared" ca="1" si="43"/>
        <v>2720.75</v>
      </c>
      <c r="AR89" s="166">
        <f t="shared" ca="1" si="44"/>
        <v>1100.44</v>
      </c>
      <c r="AS89" s="164"/>
      <c r="AT89" s="152">
        <f ca="1">Explore!AH89+Construction!AP89+Military!AU89+Rezone!Y89+Imps!AM89-BE89</f>
        <v>0</v>
      </c>
      <c r="AU89" s="164">
        <f>Construction!AQ89+Imps!AN89-BF89</f>
        <v>0</v>
      </c>
      <c r="AV89" s="164">
        <f>Magic!AD89</f>
        <v>0</v>
      </c>
      <c r="AW89" s="164">
        <f ca="1">Military!AV89+Imps!AO89-BG89</f>
        <v>0</v>
      </c>
      <c r="AX89" s="164">
        <f>Imps!AP89-BH89</f>
        <v>0</v>
      </c>
      <c r="AY89" s="164">
        <f ca="1">Military!AZ89</f>
        <v>0</v>
      </c>
      <c r="AZ89" s="166">
        <f ca="1">Military!BA89</f>
        <v>0</v>
      </c>
      <c r="BB89" s="152" t="b">
        <f t="shared" si="64"/>
        <v>0</v>
      </c>
      <c r="BC89" s="329"/>
      <c r="BD89" s="978">
        <v>15</v>
      </c>
      <c r="BE89" s="329"/>
      <c r="BF89" s="407"/>
      <c r="BG89" s="407"/>
      <c r="BH89" s="743"/>
      <c r="BI89" s="1036">
        <f t="shared" si="45"/>
        <v>43695.583333333125</v>
      </c>
      <c r="BJ89" s="159" t="str">
        <f t="shared" si="61"/>
        <v/>
      </c>
      <c r="BK89" s="26">
        <f t="shared" ca="1" si="57"/>
        <v>3863497</v>
      </c>
      <c r="BL89" s="164">
        <f t="shared" ca="1" si="46"/>
        <v>288690</v>
      </c>
      <c r="BM89" s="164">
        <f t="shared" ca="1" si="47"/>
        <v>272075</v>
      </c>
      <c r="BN89" s="164">
        <f t="shared" ca="1" si="48"/>
        <v>55022</v>
      </c>
      <c r="BO89" s="166">
        <f t="shared" ca="1" si="49"/>
        <v>231000</v>
      </c>
    </row>
    <row r="90" spans="1:67" s="16" customFormat="1">
      <c r="A90" s="987">
        <v>16</v>
      </c>
      <c r="B90" s="816">
        <f>Imps!L90</f>
        <v>43695.624999999789</v>
      </c>
      <c r="C90" s="332"/>
      <c r="D90" s="835"/>
      <c r="E90" s="56">
        <f>Construction!E90</f>
        <v>1000</v>
      </c>
      <c r="F90" s="26">
        <f ca="1">Population!$C90</f>
        <v>3945</v>
      </c>
      <c r="G90" s="26">
        <f ca="1">Military!EM90</f>
        <v>39460</v>
      </c>
      <c r="H90" s="26">
        <f ca="1">H89+S89 - AT90 + IF(C90,Population!C90*4)</f>
        <v>3874148</v>
      </c>
      <c r="I90" s="26">
        <f t="shared" ca="1" si="58"/>
        <v>290533</v>
      </c>
      <c r="J90" s="26">
        <f t="shared" ca="1" si="50"/>
        <v>271854</v>
      </c>
      <c r="K90" s="26">
        <f t="shared" ca="1" si="51"/>
        <v>55172</v>
      </c>
      <c r="L90" s="26">
        <f t="shared" ca="1" si="52"/>
        <v>231000</v>
      </c>
      <c r="M90" s="26">
        <f t="shared" ca="1" si="53"/>
        <v>20000</v>
      </c>
      <c r="N90" s="26">
        <f t="shared" ca="1" si="59"/>
        <v>200</v>
      </c>
      <c r="O90" s="26">
        <f t="shared" si="62"/>
        <v>500</v>
      </c>
      <c r="P90" s="26">
        <f>ROUNDDOWN(P89+MAX(Construction!BO90/2,Construction!BO90*(1-Construction!BO90/(E90-Explore!S90*20)))-Q90*SUM(Techs!AY90:BY90),0)</f>
        <v>0</v>
      </c>
      <c r="Q90" s="166">
        <f>MAX(min_tech_cost,ROUNDDOWN(tech_cost_per_acre*Construction!E90,0))</f>
        <v>6426</v>
      </c>
      <c r="S90" s="152">
        <f t="shared" ca="1" si="54"/>
        <v>10651</v>
      </c>
      <c r="T90" s="164">
        <f t="shared" ca="1" si="40"/>
        <v>1825</v>
      </c>
      <c r="U90" s="164">
        <f t="shared" ca="1" si="41"/>
        <v>-219</v>
      </c>
      <c r="V90" s="164">
        <f t="shared" ca="1" si="42"/>
        <v>147</v>
      </c>
      <c r="W90" s="164">
        <f t="shared" ca="1" si="55"/>
        <v>0</v>
      </c>
      <c r="X90" s="164">
        <f t="shared" ca="1" si="56"/>
        <v>0</v>
      </c>
      <c r="Y90" s="265">
        <f>Construction!BP91*dock_boats_hr</f>
        <v>0</v>
      </c>
      <c r="Z90" s="164"/>
      <c r="AA90" s="152">
        <f ca="1">Population!C90*tax*Population!I90 + (Construction!AY91+Construction!BW91)*(alch_plat+(Magic!AR90&gt;0)*alchemist_flame_bonus)</f>
        <v>10651.5</v>
      </c>
      <c r="AB90" s="164">
        <f>Construction!$AZ90*farm_food + Construction!$BP90*dock_food+IF(race="Growth",ROUNDDOWN(Military!G90*8,0),0)</f>
        <v>6400</v>
      </c>
      <c r="AC90" s="164">
        <f>Construction!$BC90*ly_lumber+IF(race="Ants",ROUNDDOWN(Military!F90/2,0),0)</f>
        <v>2500</v>
      </c>
      <c r="AD90" s="26">
        <f>Construction!$BK91*tower_mana+IF(race="Templars",ROUNDDOWN(Military!F90*0.02,0),0)+IF(race="Black Orc",Military!G90*5,0)+IF(race="Growth",ROUNDDOWN(Military!G90*0.1,0),0)+IF(race="Void",ROUNDDOWN(Military!F90*1.5,0),0)+IF(race="Void",ROUNDDOWN(Military!G90*4,0),0)</f>
        <v>1250</v>
      </c>
      <c r="AE90" s="164">
        <f>Construction!$BE91*om_ore+IF(race="Dwarf",ROUNDDOWN(Military!F90*2,0),0)</f>
        <v>0</v>
      </c>
      <c r="AF90" s="57">
        <f>Construction!$BN91*dm_gems+IF(race="Dwarf",ROUNDDOWN(Military!F90/2,0),0)</f>
        <v>0</v>
      </c>
      <c r="AH90" s="266">
        <f ca="1">MIN(race_platinum_bonus + IF(Magic!AJ90&gt;0,midas_bonus) + Imps!Y90 - BB90*0.02+MAX(tech_production_plat*Techs!Y90,tech_treasure_hunt_plat*Techs!AR90), 0.5)</f>
        <v>0</v>
      </c>
      <c r="AI90" s="455">
        <f ca="1">race_food_bonus + IF(Magic!AO90&gt;0,gaias_blessing_food,IF(Magic!AG90&gt;0,gaias_watch_bonus)) + Imps!AD90+tech_production_food*Techs!W90 + O90/100*prestige_food_bonus</f>
        <v>0.1</v>
      </c>
      <c r="AJ90" s="267">
        <f ca="1">race_lumber_bonus+ IF(Magic!AO90&gt;0,gaias_blessing_lumber)+tech_fruits_of_labor1*Techs!AP90</f>
        <v>0</v>
      </c>
      <c r="AK90" s="267">
        <f ca="1">race_mana_bonus+tech_enchanted_lands_mana*Techs!AT90</f>
        <v>0</v>
      </c>
      <c r="AL90" s="267">
        <f ca="1">race_ore_bonus + IF(Magic!AL90&gt;0,miners_sight_bonus,IF(Magic!AH90&gt;0,mining_strength_bonus))+tech_fruits_of_labor1*Techs!AP90</f>
        <v>0</v>
      </c>
      <c r="AM90" s="193">
        <f ca="1">race_gem_bonus+MAX(tech_production_gems*Techs!X90,tech_fruits_of_labor_gems*Techs!AP90)</f>
        <v>0</v>
      </c>
      <c r="AO90" s="56">
        <f ca="1">I90*food_decay*IF(Magic!AZ90&gt;0,0.5,1)</f>
        <v>2905.33</v>
      </c>
      <c r="AP90" s="26">
        <f ca="1">(1+race_food_consumption)*Population!F90*food_per_person</f>
        <v>2310</v>
      </c>
      <c r="AQ90" s="26">
        <f t="shared" ca="1" si="43"/>
        <v>2718.54</v>
      </c>
      <c r="AR90" s="57">
        <f t="shared" ca="1" si="44"/>
        <v>1103.44</v>
      </c>
      <c r="AS90" s="26"/>
      <c r="AT90" s="56">
        <f ca="1">Explore!AH90+Construction!AP90+Military!AU90+Rezone!Y90+Imps!AM90-BE90</f>
        <v>0</v>
      </c>
      <c r="AU90" s="26">
        <f>Construction!AQ90+Imps!AN90-BF90</f>
        <v>0</v>
      </c>
      <c r="AV90" s="26">
        <f>Magic!AD90</f>
        <v>0</v>
      </c>
      <c r="AW90" s="26">
        <f ca="1">Military!AV90+Imps!AO90-BG90</f>
        <v>0</v>
      </c>
      <c r="AX90" s="26">
        <f>Imps!AP90-BH90</f>
        <v>0</v>
      </c>
      <c r="AY90" s="26">
        <f ca="1">Military!AZ90</f>
        <v>0</v>
      </c>
      <c r="AZ90" s="57">
        <f ca="1">Military!BA90</f>
        <v>0</v>
      </c>
      <c r="BB90" s="56" t="b">
        <f t="shared" si="64"/>
        <v>0</v>
      </c>
      <c r="BC90" s="332"/>
      <c r="BD90" s="979">
        <v>16</v>
      </c>
      <c r="BE90" s="332"/>
      <c r="BF90" s="370"/>
      <c r="BG90" s="370"/>
      <c r="BH90" s="744"/>
      <c r="BI90" s="1036">
        <f t="shared" si="45"/>
        <v>43695.624999999789</v>
      </c>
      <c r="BJ90" s="159" t="str">
        <f t="shared" si="61"/>
        <v/>
      </c>
      <c r="BK90" s="26">
        <f t="shared" ca="1" si="57"/>
        <v>3874148</v>
      </c>
      <c r="BL90" s="26">
        <f t="shared" ca="1" si="46"/>
        <v>290533</v>
      </c>
      <c r="BM90" s="26">
        <f t="shared" ca="1" si="47"/>
        <v>271854</v>
      </c>
      <c r="BN90" s="26">
        <f t="shared" ca="1" si="48"/>
        <v>55172</v>
      </c>
      <c r="BO90" s="57">
        <f t="shared" ca="1" si="49"/>
        <v>231000</v>
      </c>
    </row>
    <row r="91" spans="1:67" s="16" customFormat="1">
      <c r="A91" s="987">
        <v>17</v>
      </c>
      <c r="B91" s="816">
        <f>Imps!L91</f>
        <v>43695.666666666453</v>
      </c>
      <c r="C91" s="332"/>
      <c r="D91" s="835"/>
      <c r="E91" s="56">
        <f>Construction!E91</f>
        <v>1000</v>
      </c>
      <c r="F91" s="26">
        <f ca="1">Population!$C91</f>
        <v>3945</v>
      </c>
      <c r="G91" s="26">
        <f ca="1">Military!EM91</f>
        <v>39460</v>
      </c>
      <c r="H91" s="26">
        <f ca="1">H90+S90 - AT91 + IF(C91,Population!C91*4)</f>
        <v>3884799</v>
      </c>
      <c r="I91" s="26">
        <f t="shared" ca="1" si="58"/>
        <v>292358</v>
      </c>
      <c r="J91" s="26">
        <f t="shared" ca="1" si="50"/>
        <v>271635</v>
      </c>
      <c r="K91" s="26">
        <f t="shared" ca="1" si="51"/>
        <v>55319</v>
      </c>
      <c r="L91" s="26">
        <f t="shared" ca="1" si="52"/>
        <v>231000</v>
      </c>
      <c r="M91" s="26">
        <f t="shared" ca="1" si="53"/>
        <v>20000</v>
      </c>
      <c r="N91" s="26">
        <f t="shared" ca="1" si="59"/>
        <v>200</v>
      </c>
      <c r="O91" s="26">
        <f t="shared" si="62"/>
        <v>500</v>
      </c>
      <c r="P91" s="26">
        <f>ROUNDDOWN(P90+MAX(Construction!BO91/2,Construction!BO91*(1-Construction!BO91/(E91-Explore!S91*20)))-Q91*SUM(Techs!AY91:BY91),0)</f>
        <v>0</v>
      </c>
      <c r="Q91" s="166">
        <f>MAX(min_tech_cost,ROUNDDOWN(tech_cost_per_acre*Construction!E91,0))</f>
        <v>6426</v>
      </c>
      <c r="S91" s="152">
        <f t="shared" ca="1" si="54"/>
        <v>10651</v>
      </c>
      <c r="T91" s="164">
        <f t="shared" ca="1" si="40"/>
        <v>1806</v>
      </c>
      <c r="U91" s="164">
        <f t="shared" ca="1" si="41"/>
        <v>-216</v>
      </c>
      <c r="V91" s="164">
        <f t="shared" ca="1" si="42"/>
        <v>144</v>
      </c>
      <c r="W91" s="164">
        <f t="shared" ca="1" si="55"/>
        <v>0</v>
      </c>
      <c r="X91" s="164">
        <f t="shared" ca="1" si="56"/>
        <v>0</v>
      </c>
      <c r="Y91" s="265">
        <f>Construction!BP92*dock_boats_hr</f>
        <v>0</v>
      </c>
      <c r="Z91" s="164"/>
      <c r="AA91" s="152">
        <f ca="1">Population!C91*tax*Population!I91 + (Construction!AY92+Construction!BW92)*(alch_plat+(Magic!AR91&gt;0)*alchemist_flame_bonus)</f>
        <v>10651.5</v>
      </c>
      <c r="AB91" s="164">
        <f>Construction!$AZ91*farm_food + Construction!$BP91*dock_food+IF(race="Growth",ROUNDDOWN(Military!G91*8,0),0)</f>
        <v>6400</v>
      </c>
      <c r="AC91" s="164">
        <f>Construction!$BC91*ly_lumber+IF(race="Ants",ROUNDDOWN(Military!F91/2,0),0)</f>
        <v>2500</v>
      </c>
      <c r="AD91" s="26">
        <f>Construction!$BK92*tower_mana+IF(race="Templars",ROUNDDOWN(Military!F91*0.02,0),0)+IF(race="Black Orc",Military!G91*5,0)+IF(race="Growth",ROUNDDOWN(Military!G91*0.1,0),0)+IF(race="Void",ROUNDDOWN(Military!F91*1.5,0),0)+IF(race="Void",ROUNDDOWN(Military!G91*4,0),0)</f>
        <v>1250</v>
      </c>
      <c r="AE91" s="164">
        <f>Construction!$BE92*om_ore+IF(race="Dwarf",ROUNDDOWN(Military!F91*2,0),0)</f>
        <v>0</v>
      </c>
      <c r="AF91" s="57">
        <f>Construction!$BN92*dm_gems+IF(race="Dwarf",ROUNDDOWN(Military!F91/2,0),0)</f>
        <v>0</v>
      </c>
      <c r="AH91" s="266">
        <f ca="1">MIN(race_platinum_bonus + IF(Magic!AJ91&gt;0,midas_bonus) + Imps!Y91 - BB91*0.02+MAX(tech_production_plat*Techs!Y91,tech_treasure_hunt_plat*Techs!AR91), 0.5)</f>
        <v>0</v>
      </c>
      <c r="AI91" s="455">
        <f ca="1">race_food_bonus + IF(Magic!AO91&gt;0,gaias_blessing_food,IF(Magic!AG91&gt;0,gaias_watch_bonus)) + Imps!AD91+tech_production_food*Techs!W91 + O91/100*prestige_food_bonus</f>
        <v>0.1</v>
      </c>
      <c r="AJ91" s="267">
        <f ca="1">race_lumber_bonus+ IF(Magic!AO91&gt;0,gaias_blessing_lumber)+tech_fruits_of_labor1*Techs!AP91</f>
        <v>0</v>
      </c>
      <c r="AK91" s="267">
        <f ca="1">race_mana_bonus+tech_enchanted_lands_mana*Techs!AT91</f>
        <v>0</v>
      </c>
      <c r="AL91" s="267">
        <f ca="1">race_ore_bonus + IF(Magic!AL91&gt;0,miners_sight_bonus,IF(Magic!AH91&gt;0,mining_strength_bonus))+tech_fruits_of_labor1*Techs!AP91</f>
        <v>0</v>
      </c>
      <c r="AM91" s="193">
        <f ca="1">race_gem_bonus+MAX(tech_production_gems*Techs!X91,tech_fruits_of_labor_gems*Techs!AP91)</f>
        <v>0</v>
      </c>
      <c r="AO91" s="56">
        <f ca="1">I91*food_decay*IF(Magic!AZ91&gt;0,0.5,1)</f>
        <v>2923.58</v>
      </c>
      <c r="AP91" s="26">
        <f ca="1">(1+race_food_consumption)*Population!F91*food_per_person</f>
        <v>2310</v>
      </c>
      <c r="AQ91" s="26">
        <f t="shared" ca="1" si="43"/>
        <v>2716.35</v>
      </c>
      <c r="AR91" s="57">
        <f t="shared" ca="1" si="44"/>
        <v>1106.3800000000001</v>
      </c>
      <c r="AS91" s="26"/>
      <c r="AT91" s="56">
        <f ca="1">Explore!AH91+Construction!AP91+Military!AU91+Rezone!Y91+Imps!AM91-BE91</f>
        <v>0</v>
      </c>
      <c r="AU91" s="26">
        <f>Construction!AQ91+Imps!AN91-BF91</f>
        <v>0</v>
      </c>
      <c r="AV91" s="26">
        <f>Magic!AD91</f>
        <v>0</v>
      </c>
      <c r="AW91" s="26">
        <f ca="1">Military!AV91+Imps!AO91-BG91</f>
        <v>0</v>
      </c>
      <c r="AX91" s="26">
        <f>Imps!AP91-BH91</f>
        <v>0</v>
      </c>
      <c r="AY91" s="26">
        <f ca="1">Military!AZ91</f>
        <v>0</v>
      </c>
      <c r="AZ91" s="57">
        <f ca="1">Military!BA91</f>
        <v>0</v>
      </c>
      <c r="BB91" s="56" t="b">
        <f t="shared" si="64"/>
        <v>0</v>
      </c>
      <c r="BC91" s="332"/>
      <c r="BD91" s="979">
        <v>17</v>
      </c>
      <c r="BE91" s="332"/>
      <c r="BF91" s="370"/>
      <c r="BG91" s="370"/>
      <c r="BH91" s="744"/>
      <c r="BI91" s="1036">
        <f t="shared" si="45"/>
        <v>43695.666666666453</v>
      </c>
      <c r="BJ91" s="159" t="str">
        <f t="shared" si="61"/>
        <v/>
      </c>
      <c r="BK91" s="26">
        <f t="shared" ca="1" si="57"/>
        <v>3884799</v>
      </c>
      <c r="BL91" s="26">
        <f t="shared" ca="1" si="46"/>
        <v>292358</v>
      </c>
      <c r="BM91" s="26">
        <f t="shared" ca="1" si="47"/>
        <v>271635</v>
      </c>
      <c r="BN91" s="26">
        <f t="shared" ca="1" si="48"/>
        <v>55319</v>
      </c>
      <c r="BO91" s="57">
        <f t="shared" ca="1" si="49"/>
        <v>231000</v>
      </c>
    </row>
    <row r="92" spans="1:67" s="16" customFormat="1">
      <c r="A92" s="987">
        <v>18</v>
      </c>
      <c r="B92" s="816">
        <f>Imps!L92</f>
        <v>43695.708333333117</v>
      </c>
      <c r="C92" s="332"/>
      <c r="D92" s="835"/>
      <c r="E92" s="56">
        <f>Construction!E92</f>
        <v>1000</v>
      </c>
      <c r="F92" s="26">
        <f ca="1">Population!$C92</f>
        <v>3945</v>
      </c>
      <c r="G92" s="26">
        <f ca="1">Military!EM92</f>
        <v>39460</v>
      </c>
      <c r="H92" s="26">
        <f ca="1">H91+S91 - AT92 + IF(C92,Population!C92*4)</f>
        <v>3895450</v>
      </c>
      <c r="I92" s="26">
        <f t="shared" ca="1" si="58"/>
        <v>294164</v>
      </c>
      <c r="J92" s="26">
        <f t="shared" ca="1" si="50"/>
        <v>271419</v>
      </c>
      <c r="K92" s="26">
        <f t="shared" ca="1" si="51"/>
        <v>55463</v>
      </c>
      <c r="L92" s="26">
        <f t="shared" ca="1" si="52"/>
        <v>231000</v>
      </c>
      <c r="M92" s="26">
        <f t="shared" ca="1" si="53"/>
        <v>20000</v>
      </c>
      <c r="N92" s="26">
        <f t="shared" ca="1" si="59"/>
        <v>200</v>
      </c>
      <c r="O92" s="26">
        <f t="shared" si="62"/>
        <v>500</v>
      </c>
      <c r="P92" s="26">
        <f>ROUNDDOWN(P91+MAX(Construction!BO92/2,Construction!BO92*(1-Construction!BO92/(E92-Explore!S92*20)))-Q92*SUM(Techs!AY92:BY92),0)</f>
        <v>0</v>
      </c>
      <c r="Q92" s="166">
        <f>MAX(min_tech_cost,ROUNDDOWN(tech_cost_per_acre*Construction!E92,0))</f>
        <v>6426</v>
      </c>
      <c r="S92" s="152">
        <f t="shared" ca="1" si="54"/>
        <v>10651</v>
      </c>
      <c r="T92" s="164">
        <f t="shared" ca="1" si="40"/>
        <v>1788</v>
      </c>
      <c r="U92" s="164">
        <f t="shared" ca="1" si="41"/>
        <v>-214</v>
      </c>
      <c r="V92" s="164">
        <f t="shared" ca="1" si="42"/>
        <v>141</v>
      </c>
      <c r="W92" s="164">
        <f t="shared" ca="1" si="55"/>
        <v>0</v>
      </c>
      <c r="X92" s="164">
        <f t="shared" ca="1" si="56"/>
        <v>0</v>
      </c>
      <c r="Y92" s="265">
        <f>Construction!BP93*dock_boats_hr</f>
        <v>0</v>
      </c>
      <c r="Z92" s="164"/>
      <c r="AA92" s="152">
        <f ca="1">Population!C92*tax*Population!I92 + (Construction!AY93+Construction!BW93)*(alch_plat+(Magic!AR92&gt;0)*alchemist_flame_bonus)</f>
        <v>10651.5</v>
      </c>
      <c r="AB92" s="164">
        <f>Construction!$AZ92*farm_food + Construction!$BP92*dock_food+IF(race="Growth",ROUNDDOWN(Military!G92*8,0),0)</f>
        <v>6400</v>
      </c>
      <c r="AC92" s="164">
        <f>Construction!$BC92*ly_lumber+IF(race="Ants",ROUNDDOWN(Military!F92/2,0),0)</f>
        <v>2500</v>
      </c>
      <c r="AD92" s="26">
        <f>Construction!$BK93*tower_mana+IF(race="Templars",ROUNDDOWN(Military!F92*0.02,0),0)+IF(race="Black Orc",Military!G92*5,0)+IF(race="Growth",ROUNDDOWN(Military!G92*0.1,0),0)+IF(race="Void",ROUNDDOWN(Military!F92*1.5,0),0)+IF(race="Void",ROUNDDOWN(Military!G92*4,0),0)</f>
        <v>1250</v>
      </c>
      <c r="AE92" s="164">
        <f>Construction!$BE93*om_ore+IF(race="Dwarf",ROUNDDOWN(Military!F92*2,0),0)</f>
        <v>0</v>
      </c>
      <c r="AF92" s="57">
        <f>Construction!$BN93*dm_gems+IF(race="Dwarf",ROUNDDOWN(Military!F92/2,0),0)</f>
        <v>0</v>
      </c>
      <c r="AH92" s="266">
        <f ca="1">MIN(race_platinum_bonus + IF(Magic!AJ92&gt;0,midas_bonus) + Imps!Y92 - BB92*0.02+MAX(tech_production_plat*Techs!Y92,tech_treasure_hunt_plat*Techs!AR92), 0.5)</f>
        <v>0</v>
      </c>
      <c r="AI92" s="455">
        <f ca="1">race_food_bonus + IF(Magic!AO92&gt;0,gaias_blessing_food,IF(Magic!AG92&gt;0,gaias_watch_bonus)) + Imps!AD92+tech_production_food*Techs!W92 + O92/100*prestige_food_bonus</f>
        <v>0.1</v>
      </c>
      <c r="AJ92" s="267">
        <f ca="1">race_lumber_bonus+ IF(Magic!AO92&gt;0,gaias_blessing_lumber)+tech_fruits_of_labor1*Techs!AP92</f>
        <v>0</v>
      </c>
      <c r="AK92" s="267">
        <f ca="1">race_mana_bonus+tech_enchanted_lands_mana*Techs!AT92</f>
        <v>0</v>
      </c>
      <c r="AL92" s="267">
        <f ca="1">race_ore_bonus + IF(Magic!AL92&gt;0,miners_sight_bonus,IF(Magic!AH92&gt;0,mining_strength_bonus))+tech_fruits_of_labor1*Techs!AP92</f>
        <v>0</v>
      </c>
      <c r="AM92" s="193">
        <f ca="1">race_gem_bonus+MAX(tech_production_gems*Techs!X92,tech_fruits_of_labor_gems*Techs!AP92)</f>
        <v>0</v>
      </c>
      <c r="AO92" s="56">
        <f ca="1">I92*food_decay*IF(Magic!AZ92&gt;0,0.5,1)</f>
        <v>2941.64</v>
      </c>
      <c r="AP92" s="26">
        <f ca="1">(1+race_food_consumption)*Population!F92*food_per_person</f>
        <v>2310</v>
      </c>
      <c r="AQ92" s="26">
        <f t="shared" ca="1" si="43"/>
        <v>2714.19</v>
      </c>
      <c r="AR92" s="57">
        <f t="shared" ca="1" si="44"/>
        <v>1109.26</v>
      </c>
      <c r="AS92" s="26"/>
      <c r="AT92" s="56">
        <f ca="1">Explore!AH92+Construction!AP92+Military!AU92+Rezone!Y92+Imps!AM92-BE92</f>
        <v>0</v>
      </c>
      <c r="AU92" s="26">
        <f>Construction!AQ92+Imps!AN92-BF92</f>
        <v>0</v>
      </c>
      <c r="AV92" s="26">
        <f>Magic!AD92</f>
        <v>0</v>
      </c>
      <c r="AW92" s="26">
        <f ca="1">Military!AV92+Imps!AO92-BG92</f>
        <v>0</v>
      </c>
      <c r="AX92" s="26">
        <f>Imps!AP92-BH92</f>
        <v>0</v>
      </c>
      <c r="AY92" s="26">
        <f ca="1">Military!AZ92</f>
        <v>0</v>
      </c>
      <c r="AZ92" s="57">
        <f ca="1">Military!BA92</f>
        <v>0</v>
      </c>
      <c r="BB92" s="56" t="b">
        <f t="shared" si="64"/>
        <v>0</v>
      </c>
      <c r="BC92" s="332"/>
      <c r="BD92" s="979">
        <v>18</v>
      </c>
      <c r="BE92" s="332"/>
      <c r="BF92" s="370"/>
      <c r="BG92" s="370"/>
      <c r="BH92" s="744"/>
      <c r="BI92" s="1036">
        <f t="shared" si="45"/>
        <v>43695.708333333117</v>
      </c>
      <c r="BJ92" s="159" t="str">
        <f t="shared" si="61"/>
        <v/>
      </c>
      <c r="BK92" s="26">
        <f t="shared" ca="1" si="57"/>
        <v>3895450</v>
      </c>
      <c r="BL92" s="26">
        <f t="shared" ca="1" si="46"/>
        <v>294164</v>
      </c>
      <c r="BM92" s="26">
        <f t="shared" ca="1" si="47"/>
        <v>271419</v>
      </c>
      <c r="BN92" s="26">
        <f t="shared" ca="1" si="48"/>
        <v>55463</v>
      </c>
      <c r="BO92" s="57">
        <f t="shared" ca="1" si="49"/>
        <v>231000</v>
      </c>
    </row>
    <row r="93" spans="1:67" s="16" customFormat="1">
      <c r="A93" s="987">
        <v>19</v>
      </c>
      <c r="B93" s="816">
        <f>Imps!L93</f>
        <v>43695.749999999782</v>
      </c>
      <c r="C93" s="332"/>
      <c r="D93" s="835"/>
      <c r="E93" s="56">
        <f>Construction!E93</f>
        <v>1000</v>
      </c>
      <c r="F93" s="26">
        <f ca="1">Population!$C93</f>
        <v>3945</v>
      </c>
      <c r="G93" s="26">
        <f ca="1">Military!EM93</f>
        <v>39460</v>
      </c>
      <c r="H93" s="26">
        <f ca="1">H92+S92 - AT93 + IF(C93,Population!C93*4)</f>
        <v>3906101</v>
      </c>
      <c r="I93" s="26">
        <f t="shared" ca="1" si="58"/>
        <v>295952</v>
      </c>
      <c r="J93" s="26">
        <f t="shared" ca="1" si="50"/>
        <v>271205</v>
      </c>
      <c r="K93" s="26">
        <f t="shared" ca="1" si="51"/>
        <v>55604</v>
      </c>
      <c r="L93" s="26">
        <f t="shared" ca="1" si="52"/>
        <v>231000</v>
      </c>
      <c r="M93" s="26">
        <f t="shared" ca="1" si="53"/>
        <v>20000</v>
      </c>
      <c r="N93" s="26">
        <f t="shared" ca="1" si="59"/>
        <v>200</v>
      </c>
      <c r="O93" s="26">
        <f t="shared" si="62"/>
        <v>500</v>
      </c>
      <c r="P93" s="26">
        <f>ROUNDDOWN(P92+MAX(Construction!BO93/2,Construction!BO93*(1-Construction!BO93/(E93-Explore!S93*20)))-Q93*SUM(Techs!AY93:BY93),0)</f>
        <v>0</v>
      </c>
      <c r="Q93" s="166">
        <f>MAX(min_tech_cost,ROUNDDOWN(tech_cost_per_acre*Construction!E93,0))</f>
        <v>6426</v>
      </c>
      <c r="S93" s="152">
        <f t="shared" ca="1" si="54"/>
        <v>10651</v>
      </c>
      <c r="T93" s="164">
        <f t="shared" ca="1" si="40"/>
        <v>1770</v>
      </c>
      <c r="U93" s="164">
        <f t="shared" ca="1" si="41"/>
        <v>-212</v>
      </c>
      <c r="V93" s="164">
        <f t="shared" ca="1" si="42"/>
        <v>138</v>
      </c>
      <c r="W93" s="164">
        <f t="shared" ca="1" si="55"/>
        <v>0</v>
      </c>
      <c r="X93" s="164">
        <f t="shared" ca="1" si="56"/>
        <v>0</v>
      </c>
      <c r="Y93" s="265">
        <f>Construction!BP94*dock_boats_hr</f>
        <v>0</v>
      </c>
      <c r="Z93" s="164"/>
      <c r="AA93" s="152">
        <f ca="1">Population!C93*tax*Population!I93 + (Construction!AY94+Construction!BW94)*(alch_plat+(Magic!AR93&gt;0)*alchemist_flame_bonus)</f>
        <v>10651.5</v>
      </c>
      <c r="AB93" s="164">
        <f>Construction!$AZ93*farm_food + Construction!$BP93*dock_food+IF(race="Growth",ROUNDDOWN(Military!G93*8,0),0)</f>
        <v>6400</v>
      </c>
      <c r="AC93" s="164">
        <f>Construction!$BC93*ly_lumber+IF(race="Ants",ROUNDDOWN(Military!F93/2,0),0)</f>
        <v>2500</v>
      </c>
      <c r="AD93" s="26">
        <f>Construction!$BK94*tower_mana+IF(race="Templars",ROUNDDOWN(Military!F93*0.02,0),0)+IF(race="Black Orc",Military!G93*5,0)+IF(race="Growth",ROUNDDOWN(Military!G93*0.1,0),0)+IF(race="Void",ROUNDDOWN(Military!F93*1.5,0),0)+IF(race="Void",ROUNDDOWN(Military!G93*4,0),0)</f>
        <v>1250</v>
      </c>
      <c r="AE93" s="164">
        <f>Construction!$BE94*om_ore+IF(race="Dwarf",ROUNDDOWN(Military!F93*2,0),0)</f>
        <v>0</v>
      </c>
      <c r="AF93" s="57">
        <f>Construction!$BN94*dm_gems+IF(race="Dwarf",ROUNDDOWN(Military!F93/2,0),0)</f>
        <v>0</v>
      </c>
      <c r="AH93" s="266">
        <f ca="1">MIN(race_platinum_bonus + IF(Magic!AJ93&gt;0,midas_bonus) + Imps!Y93 - BB93*0.02+MAX(tech_production_plat*Techs!Y93,tech_treasure_hunt_plat*Techs!AR93), 0.5)</f>
        <v>0</v>
      </c>
      <c r="AI93" s="455">
        <f ca="1">race_food_bonus + IF(Magic!AO93&gt;0,gaias_blessing_food,IF(Magic!AG93&gt;0,gaias_watch_bonus)) + Imps!AD93+tech_production_food*Techs!W93 + O93/100*prestige_food_bonus</f>
        <v>0.1</v>
      </c>
      <c r="AJ93" s="267">
        <f ca="1">race_lumber_bonus+ IF(Magic!AO93&gt;0,gaias_blessing_lumber)+tech_fruits_of_labor1*Techs!AP93</f>
        <v>0</v>
      </c>
      <c r="AK93" s="267">
        <f ca="1">race_mana_bonus+tech_enchanted_lands_mana*Techs!AT93</f>
        <v>0</v>
      </c>
      <c r="AL93" s="267">
        <f ca="1">race_ore_bonus + IF(Magic!AL93&gt;0,miners_sight_bonus,IF(Magic!AH93&gt;0,mining_strength_bonus))+tech_fruits_of_labor1*Techs!AP93</f>
        <v>0</v>
      </c>
      <c r="AM93" s="193">
        <f ca="1">race_gem_bonus+MAX(tech_production_gems*Techs!X93,tech_fruits_of_labor_gems*Techs!AP93)</f>
        <v>0</v>
      </c>
      <c r="AO93" s="56">
        <f ca="1">I93*food_decay*IF(Magic!AZ93&gt;0,0.5,1)</f>
        <v>2959.52</v>
      </c>
      <c r="AP93" s="26">
        <f ca="1">(1+race_food_consumption)*Population!F93*food_per_person</f>
        <v>2310</v>
      </c>
      <c r="AQ93" s="26">
        <f t="shared" ca="1" si="43"/>
        <v>2712.05</v>
      </c>
      <c r="AR93" s="57">
        <f t="shared" ca="1" si="44"/>
        <v>1112.08</v>
      </c>
      <c r="AS93" s="26"/>
      <c r="AT93" s="56">
        <f ca="1">Explore!AH93+Construction!AP93+Military!AU93+Rezone!Y93+Imps!AM93-BE93</f>
        <v>0</v>
      </c>
      <c r="AU93" s="26">
        <f>Construction!AQ93+Imps!AN93-BF93</f>
        <v>0</v>
      </c>
      <c r="AV93" s="26">
        <f>Magic!AD93</f>
        <v>0</v>
      </c>
      <c r="AW93" s="26">
        <f ca="1">Military!AV93+Imps!AO93-BG93</f>
        <v>0</v>
      </c>
      <c r="AX93" s="26">
        <f>Imps!AP93-BH93</f>
        <v>0</v>
      </c>
      <c r="AY93" s="26">
        <f ca="1">Military!AZ93</f>
        <v>0</v>
      </c>
      <c r="AZ93" s="57">
        <f ca="1">Military!BA93</f>
        <v>0</v>
      </c>
      <c r="BB93" s="56" t="b">
        <f t="shared" si="64"/>
        <v>0</v>
      </c>
      <c r="BC93" s="332"/>
      <c r="BD93" s="979">
        <v>19</v>
      </c>
      <c r="BE93" s="332"/>
      <c r="BF93" s="370"/>
      <c r="BG93" s="370"/>
      <c r="BH93" s="744"/>
      <c r="BI93" s="1036">
        <f t="shared" si="45"/>
        <v>43695.749999999782</v>
      </c>
      <c r="BJ93" s="159" t="str">
        <f t="shared" si="61"/>
        <v/>
      </c>
      <c r="BK93" s="26">
        <f t="shared" ca="1" si="57"/>
        <v>3906101</v>
      </c>
      <c r="BL93" s="26">
        <f t="shared" ca="1" si="46"/>
        <v>295952</v>
      </c>
      <c r="BM93" s="26">
        <f t="shared" ca="1" si="47"/>
        <v>271205</v>
      </c>
      <c r="BN93" s="26">
        <f t="shared" ca="1" si="48"/>
        <v>55604</v>
      </c>
      <c r="BO93" s="57">
        <f t="shared" ca="1" si="49"/>
        <v>231000</v>
      </c>
    </row>
    <row r="94" spans="1:67" s="16" customFormat="1">
      <c r="A94" s="987">
        <v>20</v>
      </c>
      <c r="B94" s="816">
        <f>Imps!L94</f>
        <v>43695.791666666446</v>
      </c>
      <c r="C94" s="332"/>
      <c r="D94" s="835"/>
      <c r="E94" s="56">
        <f>Construction!E94</f>
        <v>1000</v>
      </c>
      <c r="F94" s="26">
        <f ca="1">Population!$C94</f>
        <v>3945</v>
      </c>
      <c r="G94" s="26">
        <f ca="1">Military!EM94</f>
        <v>39460</v>
      </c>
      <c r="H94" s="26">
        <f ca="1">H93+S93 - AT94 + IF(C94,Population!C94*4)</f>
        <v>3916752</v>
      </c>
      <c r="I94" s="26">
        <f t="shared" ca="1" si="58"/>
        <v>297722</v>
      </c>
      <c r="J94" s="26">
        <f t="shared" ca="1" si="50"/>
        <v>270993</v>
      </c>
      <c r="K94" s="26">
        <f t="shared" ca="1" si="51"/>
        <v>55742</v>
      </c>
      <c r="L94" s="26">
        <f t="shared" ca="1" si="52"/>
        <v>231000</v>
      </c>
      <c r="M94" s="26">
        <f t="shared" ca="1" si="53"/>
        <v>20000</v>
      </c>
      <c r="N94" s="26">
        <f t="shared" ca="1" si="59"/>
        <v>200</v>
      </c>
      <c r="O94" s="26">
        <f t="shared" si="62"/>
        <v>500</v>
      </c>
      <c r="P94" s="26">
        <f>ROUNDDOWN(P93+MAX(Construction!BO94/2,Construction!BO94*(1-Construction!BO94/(E94-Explore!S94*20)))-Q94*SUM(Techs!AY94:BY94),0)</f>
        <v>0</v>
      </c>
      <c r="Q94" s="166">
        <f>MAX(min_tech_cost,ROUNDDOWN(tech_cost_per_acre*Construction!E94,0))</f>
        <v>6426</v>
      </c>
      <c r="S94" s="152">
        <f t="shared" ca="1" si="54"/>
        <v>10651</v>
      </c>
      <c r="T94" s="164">
        <f t="shared" ca="1" si="40"/>
        <v>1753</v>
      </c>
      <c r="U94" s="164">
        <f t="shared" ca="1" si="41"/>
        <v>-210</v>
      </c>
      <c r="V94" s="164">
        <f t="shared" ca="1" si="42"/>
        <v>135</v>
      </c>
      <c r="W94" s="164">
        <f t="shared" ca="1" si="55"/>
        <v>0</v>
      </c>
      <c r="X94" s="164">
        <f t="shared" ca="1" si="56"/>
        <v>0</v>
      </c>
      <c r="Y94" s="265">
        <f>Construction!BP95*dock_boats_hr</f>
        <v>0</v>
      </c>
      <c r="Z94" s="164"/>
      <c r="AA94" s="152">
        <f ca="1">Population!C94*tax*Population!I94 + (Construction!AY95+Construction!BW95)*(alch_plat+(Magic!AR94&gt;0)*alchemist_flame_bonus)</f>
        <v>10651.5</v>
      </c>
      <c r="AB94" s="164">
        <f>Construction!$AZ94*farm_food + Construction!$BP94*dock_food+IF(race="Growth",ROUNDDOWN(Military!G94*8,0),0)</f>
        <v>6400</v>
      </c>
      <c r="AC94" s="164">
        <f>Construction!$BC94*ly_lumber+IF(race="Ants",ROUNDDOWN(Military!F94/2,0),0)</f>
        <v>2500</v>
      </c>
      <c r="AD94" s="26">
        <f>Construction!$BK95*tower_mana+IF(race="Templars",ROUNDDOWN(Military!F94*0.02,0),0)+IF(race="Black Orc",Military!G94*5,0)+IF(race="Growth",ROUNDDOWN(Military!G94*0.1,0),0)+IF(race="Void",ROUNDDOWN(Military!F94*1.5,0),0)+IF(race="Void",ROUNDDOWN(Military!G94*4,0),0)</f>
        <v>1250</v>
      </c>
      <c r="AE94" s="164">
        <f>Construction!$BE95*om_ore+IF(race="Dwarf",ROUNDDOWN(Military!F94*2,0),0)</f>
        <v>0</v>
      </c>
      <c r="AF94" s="57">
        <f>Construction!$BN95*dm_gems+IF(race="Dwarf",ROUNDDOWN(Military!F94/2,0),0)</f>
        <v>0</v>
      </c>
      <c r="AH94" s="266">
        <f ca="1">MIN(race_platinum_bonus + IF(Magic!AJ94&gt;0,midas_bonus) + Imps!Y94 - BB94*0.02+MAX(tech_production_plat*Techs!Y94,tech_treasure_hunt_plat*Techs!AR94), 0.5)</f>
        <v>0</v>
      </c>
      <c r="AI94" s="455">
        <f ca="1">race_food_bonus + IF(Magic!AO94&gt;0,gaias_blessing_food,IF(Magic!AG94&gt;0,gaias_watch_bonus)) + Imps!AD94+tech_production_food*Techs!W94 + O94/100*prestige_food_bonus</f>
        <v>0.1</v>
      </c>
      <c r="AJ94" s="267">
        <f ca="1">race_lumber_bonus+ IF(Magic!AO94&gt;0,gaias_blessing_lumber)+tech_fruits_of_labor1*Techs!AP94</f>
        <v>0</v>
      </c>
      <c r="AK94" s="267">
        <f ca="1">race_mana_bonus+tech_enchanted_lands_mana*Techs!AT94</f>
        <v>0</v>
      </c>
      <c r="AL94" s="267">
        <f ca="1">race_ore_bonus + IF(Magic!AL94&gt;0,miners_sight_bonus,IF(Magic!AH94&gt;0,mining_strength_bonus))+tech_fruits_of_labor1*Techs!AP94</f>
        <v>0</v>
      </c>
      <c r="AM94" s="193">
        <f ca="1">race_gem_bonus+MAX(tech_production_gems*Techs!X94,tech_fruits_of_labor_gems*Techs!AP94)</f>
        <v>0</v>
      </c>
      <c r="AO94" s="56">
        <f ca="1">I94*food_decay*IF(Magic!AZ94&gt;0,0.5,1)</f>
        <v>2977.2200000000003</v>
      </c>
      <c r="AP94" s="26">
        <f ca="1">(1+race_food_consumption)*Population!F94*food_per_person</f>
        <v>2310</v>
      </c>
      <c r="AQ94" s="26">
        <f t="shared" ca="1" si="43"/>
        <v>2709.93</v>
      </c>
      <c r="AR94" s="57">
        <f t="shared" ca="1" si="44"/>
        <v>1114.8399999999999</v>
      </c>
      <c r="AS94" s="26"/>
      <c r="AT94" s="56">
        <f ca="1">Explore!AH94+Construction!AP94+Military!AU94+Rezone!Y94+Imps!AM94-BE94</f>
        <v>0</v>
      </c>
      <c r="AU94" s="26">
        <f>Construction!AQ94+Imps!AN94-BF94</f>
        <v>0</v>
      </c>
      <c r="AV94" s="26">
        <f>Magic!AD94</f>
        <v>0</v>
      </c>
      <c r="AW94" s="26">
        <f ca="1">Military!AV94+Imps!AO94-BG94</f>
        <v>0</v>
      </c>
      <c r="AX94" s="26">
        <f>Imps!AP94-BH94</f>
        <v>0</v>
      </c>
      <c r="AY94" s="26">
        <f ca="1">Military!AZ94</f>
        <v>0</v>
      </c>
      <c r="AZ94" s="57">
        <f ca="1">Military!BA94</f>
        <v>0</v>
      </c>
      <c r="BB94" s="56" t="b">
        <f t="shared" si="64"/>
        <v>0</v>
      </c>
      <c r="BC94" s="332"/>
      <c r="BD94" s="979">
        <v>20</v>
      </c>
      <c r="BE94" s="332"/>
      <c r="BF94" s="370"/>
      <c r="BG94" s="370"/>
      <c r="BH94" s="744"/>
      <c r="BI94" s="1036">
        <f t="shared" si="45"/>
        <v>43695.791666666446</v>
      </c>
      <c r="BJ94" s="159" t="str">
        <f t="shared" si="61"/>
        <v/>
      </c>
      <c r="BK94" s="26">
        <f t="shared" ca="1" si="57"/>
        <v>3916752</v>
      </c>
      <c r="BL94" s="26">
        <f t="shared" ca="1" si="46"/>
        <v>297722</v>
      </c>
      <c r="BM94" s="26">
        <f t="shared" ca="1" si="47"/>
        <v>270993</v>
      </c>
      <c r="BN94" s="26">
        <f t="shared" ca="1" si="48"/>
        <v>55742</v>
      </c>
      <c r="BO94" s="57">
        <f t="shared" ca="1" si="49"/>
        <v>231000</v>
      </c>
    </row>
    <row r="95" spans="1:67" s="16" customFormat="1">
      <c r="A95" s="987">
        <v>21</v>
      </c>
      <c r="B95" s="816">
        <f>Imps!L95</f>
        <v>43695.83333333311</v>
      </c>
      <c r="C95" s="332"/>
      <c r="D95" s="835"/>
      <c r="E95" s="56">
        <f>Construction!E95</f>
        <v>1000</v>
      </c>
      <c r="F95" s="26">
        <f ca="1">Population!$C95</f>
        <v>3945</v>
      </c>
      <c r="G95" s="26">
        <f ca="1">Military!EM95</f>
        <v>39460</v>
      </c>
      <c r="H95" s="26">
        <f ca="1">H94+S94 - AT95 + IF(C95,Population!C95*4)</f>
        <v>3927403</v>
      </c>
      <c r="I95" s="26">
        <f t="shared" ca="1" si="58"/>
        <v>299475</v>
      </c>
      <c r="J95" s="26">
        <f t="shared" ca="1" si="50"/>
        <v>270783</v>
      </c>
      <c r="K95" s="26">
        <f t="shared" ca="1" si="51"/>
        <v>55877</v>
      </c>
      <c r="L95" s="26">
        <f t="shared" ca="1" si="52"/>
        <v>231000</v>
      </c>
      <c r="M95" s="26">
        <f t="shared" ca="1" si="53"/>
        <v>20000</v>
      </c>
      <c r="N95" s="26">
        <f t="shared" ca="1" si="59"/>
        <v>200</v>
      </c>
      <c r="O95" s="26">
        <f t="shared" si="62"/>
        <v>500</v>
      </c>
      <c r="P95" s="26">
        <f>ROUNDDOWN(P94+MAX(Construction!BO95/2,Construction!BO95*(1-Construction!BO95/(E95-Explore!S95*20)))-Q95*SUM(Techs!AY95:BY95),0)</f>
        <v>0</v>
      </c>
      <c r="Q95" s="166">
        <f>MAX(min_tech_cost,ROUNDDOWN(tech_cost_per_acre*Construction!E95,0))</f>
        <v>6426</v>
      </c>
      <c r="S95" s="152">
        <f t="shared" ca="1" si="54"/>
        <v>10651</v>
      </c>
      <c r="T95" s="164">
        <f t="shared" ca="1" si="40"/>
        <v>1735</v>
      </c>
      <c r="U95" s="164">
        <f t="shared" ca="1" si="41"/>
        <v>-208</v>
      </c>
      <c r="V95" s="164">
        <f t="shared" ca="1" si="42"/>
        <v>132</v>
      </c>
      <c r="W95" s="164">
        <f t="shared" ca="1" si="55"/>
        <v>0</v>
      </c>
      <c r="X95" s="164">
        <f t="shared" ca="1" si="56"/>
        <v>0</v>
      </c>
      <c r="Y95" s="265">
        <f>Construction!BP96*dock_boats_hr</f>
        <v>0</v>
      </c>
      <c r="Z95" s="164"/>
      <c r="AA95" s="152">
        <f ca="1">Population!C95*tax*Population!I95 + (Construction!AY96+Construction!BW96)*(alch_plat+(Magic!AR95&gt;0)*alchemist_flame_bonus)</f>
        <v>10651.5</v>
      </c>
      <c r="AB95" s="164">
        <f>Construction!$AZ95*farm_food + Construction!$BP95*dock_food+IF(race="Growth",ROUNDDOWN(Military!G95*8,0),0)</f>
        <v>6400</v>
      </c>
      <c r="AC95" s="164">
        <f>Construction!$BC95*ly_lumber+IF(race="Ants",ROUNDDOWN(Military!F95/2,0),0)</f>
        <v>2500</v>
      </c>
      <c r="AD95" s="26">
        <f>Construction!$BK96*tower_mana+IF(race="Templars",ROUNDDOWN(Military!F95*0.02,0),0)+IF(race="Black Orc",Military!G95*5,0)+IF(race="Growth",ROUNDDOWN(Military!G95*0.1,0),0)+IF(race="Void",ROUNDDOWN(Military!F95*1.5,0),0)+IF(race="Void",ROUNDDOWN(Military!G95*4,0),0)</f>
        <v>1250</v>
      </c>
      <c r="AE95" s="164">
        <f>Construction!$BE96*om_ore+IF(race="Dwarf",ROUNDDOWN(Military!F95*2,0),0)</f>
        <v>0</v>
      </c>
      <c r="AF95" s="57">
        <f>Construction!$BN96*dm_gems+IF(race="Dwarf",ROUNDDOWN(Military!F95/2,0),0)</f>
        <v>0</v>
      </c>
      <c r="AH95" s="266">
        <f ca="1">MIN(race_platinum_bonus + IF(Magic!AJ95&gt;0,midas_bonus) + Imps!Y95 - BB95*0.02+MAX(tech_production_plat*Techs!Y95,tech_treasure_hunt_plat*Techs!AR95), 0.5)</f>
        <v>0</v>
      </c>
      <c r="AI95" s="455">
        <f ca="1">race_food_bonus + IF(Magic!AO95&gt;0,gaias_blessing_food,IF(Magic!AG95&gt;0,gaias_watch_bonus)) + Imps!AD95+tech_production_food*Techs!W95 + O95/100*prestige_food_bonus</f>
        <v>0.1</v>
      </c>
      <c r="AJ95" s="267">
        <f ca="1">race_lumber_bonus+ IF(Magic!AO95&gt;0,gaias_blessing_lumber)+tech_fruits_of_labor1*Techs!AP95</f>
        <v>0</v>
      </c>
      <c r="AK95" s="267">
        <f ca="1">race_mana_bonus+tech_enchanted_lands_mana*Techs!AT95</f>
        <v>0</v>
      </c>
      <c r="AL95" s="267">
        <f ca="1">race_ore_bonus + IF(Magic!AL95&gt;0,miners_sight_bonus,IF(Magic!AH95&gt;0,mining_strength_bonus))+tech_fruits_of_labor1*Techs!AP95</f>
        <v>0</v>
      </c>
      <c r="AM95" s="193">
        <f ca="1">race_gem_bonus+MAX(tech_production_gems*Techs!X95,tech_fruits_of_labor_gems*Techs!AP95)</f>
        <v>0</v>
      </c>
      <c r="AO95" s="56">
        <f ca="1">I95*food_decay*IF(Magic!AZ95&gt;0,0.5,1)</f>
        <v>2994.75</v>
      </c>
      <c r="AP95" s="26">
        <f ca="1">(1+race_food_consumption)*Population!F95*food_per_person</f>
        <v>2310</v>
      </c>
      <c r="AQ95" s="26">
        <f t="shared" ca="1" si="43"/>
        <v>2707.83</v>
      </c>
      <c r="AR95" s="57">
        <f t="shared" ca="1" si="44"/>
        <v>1117.54</v>
      </c>
      <c r="AS95" s="26"/>
      <c r="AT95" s="56">
        <f ca="1">Explore!AH95+Construction!AP95+Military!AU95+Rezone!Y95+Imps!AM95-BE95</f>
        <v>0</v>
      </c>
      <c r="AU95" s="26">
        <f>Construction!AQ95+Imps!AN95-BF95</f>
        <v>0</v>
      </c>
      <c r="AV95" s="26">
        <f>Magic!AD95</f>
        <v>0</v>
      </c>
      <c r="AW95" s="26">
        <f ca="1">Military!AV95+Imps!AO95-BG95</f>
        <v>0</v>
      </c>
      <c r="AX95" s="26">
        <f>Imps!AP95-BH95</f>
        <v>0</v>
      </c>
      <c r="AY95" s="26">
        <f ca="1">Military!AZ95</f>
        <v>0</v>
      </c>
      <c r="AZ95" s="57">
        <f ca="1">Military!BA95</f>
        <v>0</v>
      </c>
      <c r="BB95" s="56" t="b">
        <f t="shared" si="64"/>
        <v>0</v>
      </c>
      <c r="BC95" s="332"/>
      <c r="BD95" s="979">
        <v>21</v>
      </c>
      <c r="BE95" s="332"/>
      <c r="BF95" s="370"/>
      <c r="BG95" s="370"/>
      <c r="BH95" s="744"/>
      <c r="BI95" s="1036">
        <f t="shared" si="45"/>
        <v>43695.83333333311</v>
      </c>
      <c r="BJ95" s="159" t="str">
        <f t="shared" si="61"/>
        <v/>
      </c>
      <c r="BK95" s="26">
        <f t="shared" ca="1" si="57"/>
        <v>3927403</v>
      </c>
      <c r="BL95" s="26">
        <f t="shared" ca="1" si="46"/>
        <v>299475</v>
      </c>
      <c r="BM95" s="26">
        <f t="shared" ca="1" si="47"/>
        <v>270783</v>
      </c>
      <c r="BN95" s="26">
        <f t="shared" ca="1" si="48"/>
        <v>55877</v>
      </c>
      <c r="BO95" s="57">
        <f t="shared" ca="1" si="49"/>
        <v>231000</v>
      </c>
    </row>
    <row r="96" spans="1:67" s="16" customFormat="1">
      <c r="A96" s="987">
        <v>22</v>
      </c>
      <c r="B96" s="816">
        <f>Imps!L96</f>
        <v>43695.874999999774</v>
      </c>
      <c r="C96" s="332"/>
      <c r="D96" s="835"/>
      <c r="E96" s="56">
        <f>Construction!E96</f>
        <v>1000</v>
      </c>
      <c r="F96" s="26">
        <f ca="1">Population!$C96</f>
        <v>3945</v>
      </c>
      <c r="G96" s="26">
        <f ca="1">Military!EM96</f>
        <v>39460</v>
      </c>
      <c r="H96" s="26">
        <f ca="1">H95+S95 - AT96 + IF(C96,Population!C96*4)</f>
        <v>3938054</v>
      </c>
      <c r="I96" s="26">
        <f t="shared" ca="1" si="58"/>
        <v>301210</v>
      </c>
      <c r="J96" s="26">
        <f t="shared" ca="1" si="50"/>
        <v>270575</v>
      </c>
      <c r="K96" s="26">
        <f t="shared" ca="1" si="51"/>
        <v>56009</v>
      </c>
      <c r="L96" s="26">
        <f t="shared" ca="1" si="52"/>
        <v>231000</v>
      </c>
      <c r="M96" s="26">
        <f t="shared" ca="1" si="53"/>
        <v>20000</v>
      </c>
      <c r="N96" s="26">
        <f t="shared" ca="1" si="59"/>
        <v>200</v>
      </c>
      <c r="O96" s="26">
        <f t="shared" si="62"/>
        <v>500</v>
      </c>
      <c r="P96" s="26">
        <f>ROUNDDOWN(P95+MAX(Construction!BO96/2,Construction!BO96*(1-Construction!BO96/(E96-Explore!S96*20)))-Q96*SUM(Techs!AY96:BY96),0)</f>
        <v>0</v>
      </c>
      <c r="Q96" s="166">
        <f>MAX(min_tech_cost,ROUNDDOWN(tech_cost_per_acre*Construction!E96,0))</f>
        <v>6426</v>
      </c>
      <c r="S96" s="152">
        <f t="shared" ca="1" si="54"/>
        <v>10651</v>
      </c>
      <c r="T96" s="164">
        <f t="shared" ca="1" si="40"/>
        <v>1718</v>
      </c>
      <c r="U96" s="164">
        <f t="shared" ca="1" si="41"/>
        <v>-206</v>
      </c>
      <c r="V96" s="164">
        <f t="shared" ca="1" si="42"/>
        <v>130</v>
      </c>
      <c r="W96" s="164">
        <f t="shared" ca="1" si="55"/>
        <v>0</v>
      </c>
      <c r="X96" s="164">
        <f t="shared" ca="1" si="56"/>
        <v>0</v>
      </c>
      <c r="Y96" s="265">
        <f>Construction!BP97*dock_boats_hr</f>
        <v>0</v>
      </c>
      <c r="Z96" s="164"/>
      <c r="AA96" s="152">
        <f ca="1">Population!C96*tax*Population!I96 + (Construction!AY97+Construction!BW97)*(alch_plat+(Magic!AR96&gt;0)*alchemist_flame_bonus)</f>
        <v>10651.5</v>
      </c>
      <c r="AB96" s="164">
        <f>Construction!$AZ96*farm_food + Construction!$BP96*dock_food+IF(race="Growth",ROUNDDOWN(Military!G96*8,0),0)</f>
        <v>6400</v>
      </c>
      <c r="AC96" s="164">
        <f>Construction!$BC96*ly_lumber+IF(race="Ants",ROUNDDOWN(Military!F96/2,0),0)</f>
        <v>2500</v>
      </c>
      <c r="AD96" s="26">
        <f>Construction!$BK97*tower_mana+IF(race="Templars",ROUNDDOWN(Military!F96*0.02,0),0)+IF(race="Black Orc",Military!G96*5,0)+IF(race="Growth",ROUNDDOWN(Military!G96*0.1,0),0)+IF(race="Void",ROUNDDOWN(Military!F96*1.5,0),0)+IF(race="Void",ROUNDDOWN(Military!G96*4,0),0)</f>
        <v>1250</v>
      </c>
      <c r="AE96" s="164">
        <f>Construction!$BE97*om_ore+IF(race="Dwarf",ROUNDDOWN(Military!F96*2,0),0)</f>
        <v>0</v>
      </c>
      <c r="AF96" s="57">
        <f>Construction!$BN97*dm_gems+IF(race="Dwarf",ROUNDDOWN(Military!F96/2,0),0)</f>
        <v>0</v>
      </c>
      <c r="AH96" s="266">
        <f ca="1">MIN(race_platinum_bonus + IF(Magic!AJ96&gt;0,midas_bonus) + Imps!Y96 - BB96*0.02+MAX(tech_production_plat*Techs!Y96,tech_treasure_hunt_plat*Techs!AR96), 0.5)</f>
        <v>0</v>
      </c>
      <c r="AI96" s="455">
        <f ca="1">race_food_bonus + IF(Magic!AO96&gt;0,gaias_blessing_food,IF(Magic!AG96&gt;0,gaias_watch_bonus)) + Imps!AD96+tech_production_food*Techs!W96 + O96/100*prestige_food_bonus</f>
        <v>0.1</v>
      </c>
      <c r="AJ96" s="267">
        <f ca="1">race_lumber_bonus+ IF(Magic!AO96&gt;0,gaias_blessing_lumber)+tech_fruits_of_labor1*Techs!AP96</f>
        <v>0</v>
      </c>
      <c r="AK96" s="267">
        <f ca="1">race_mana_bonus+tech_enchanted_lands_mana*Techs!AT96</f>
        <v>0</v>
      </c>
      <c r="AL96" s="267">
        <f ca="1">race_ore_bonus + IF(Magic!AL96&gt;0,miners_sight_bonus,IF(Magic!AH96&gt;0,mining_strength_bonus))+tech_fruits_of_labor1*Techs!AP96</f>
        <v>0</v>
      </c>
      <c r="AM96" s="193">
        <f ca="1">race_gem_bonus+MAX(tech_production_gems*Techs!X96,tech_fruits_of_labor_gems*Techs!AP96)</f>
        <v>0</v>
      </c>
      <c r="AO96" s="56">
        <f ca="1">I96*food_decay*IF(Magic!AZ96&gt;0,0.5,1)</f>
        <v>3012.1</v>
      </c>
      <c r="AP96" s="26">
        <f ca="1">(1+race_food_consumption)*Population!F96*food_per_person</f>
        <v>2310</v>
      </c>
      <c r="AQ96" s="26">
        <f t="shared" ca="1" si="43"/>
        <v>2705.75</v>
      </c>
      <c r="AR96" s="57">
        <f t="shared" ca="1" si="44"/>
        <v>1120.18</v>
      </c>
      <c r="AS96" s="26"/>
      <c r="AT96" s="56">
        <f ca="1">Explore!AH96+Construction!AP96+Military!AU96+Rezone!Y96+Imps!AM96-BE96</f>
        <v>0</v>
      </c>
      <c r="AU96" s="26">
        <f>Construction!AQ96+Imps!AN96-BF96</f>
        <v>0</v>
      </c>
      <c r="AV96" s="26">
        <f>Magic!AD96</f>
        <v>0</v>
      </c>
      <c r="AW96" s="26">
        <f ca="1">Military!AV96+Imps!AO96-BG96</f>
        <v>0</v>
      </c>
      <c r="AX96" s="26">
        <f>Imps!AP96-BH96</f>
        <v>0</v>
      </c>
      <c r="AY96" s="26">
        <f ca="1">Military!AZ96</f>
        <v>0</v>
      </c>
      <c r="AZ96" s="57">
        <f ca="1">Military!BA96</f>
        <v>0</v>
      </c>
      <c r="BB96" s="56" t="b">
        <f t="shared" si="64"/>
        <v>0</v>
      </c>
      <c r="BC96" s="332"/>
      <c r="BD96" s="979">
        <v>22</v>
      </c>
      <c r="BE96" s="332"/>
      <c r="BF96" s="370"/>
      <c r="BG96" s="370"/>
      <c r="BH96" s="744"/>
      <c r="BI96" s="1036">
        <f t="shared" si="45"/>
        <v>43695.874999999774</v>
      </c>
      <c r="BJ96" s="159" t="str">
        <f t="shared" si="61"/>
        <v/>
      </c>
      <c r="BK96" s="26">
        <f t="shared" ca="1" si="57"/>
        <v>3938054</v>
      </c>
      <c r="BL96" s="26">
        <f t="shared" ca="1" si="46"/>
        <v>301210</v>
      </c>
      <c r="BM96" s="26">
        <f t="shared" ca="1" si="47"/>
        <v>270575</v>
      </c>
      <c r="BN96" s="26">
        <f t="shared" ca="1" si="48"/>
        <v>56009</v>
      </c>
      <c r="BO96" s="57">
        <f t="shared" ca="1" si="49"/>
        <v>231000</v>
      </c>
    </row>
    <row r="97" spans="1:67" s="16" customFormat="1">
      <c r="A97" s="987">
        <v>23</v>
      </c>
      <c r="B97" s="816">
        <f>Imps!L97</f>
        <v>43695.916666666439</v>
      </c>
      <c r="C97" s="332"/>
      <c r="D97" s="835"/>
      <c r="E97" s="56">
        <f>Construction!E97</f>
        <v>1000</v>
      </c>
      <c r="F97" s="26">
        <f ca="1">Population!$C97</f>
        <v>3945</v>
      </c>
      <c r="G97" s="26">
        <f ca="1">Military!EM97</f>
        <v>39460</v>
      </c>
      <c r="H97" s="26">
        <f ca="1">H96+S96 - AT97 + IF(C97,Population!C97*4)</f>
        <v>3948705</v>
      </c>
      <c r="I97" s="26">
        <f t="shared" ca="1" si="58"/>
        <v>302928</v>
      </c>
      <c r="J97" s="26">
        <f t="shared" ca="1" si="50"/>
        <v>270369</v>
      </c>
      <c r="K97" s="26">
        <f t="shared" ca="1" si="51"/>
        <v>56139</v>
      </c>
      <c r="L97" s="26">
        <f t="shared" ca="1" si="52"/>
        <v>231000</v>
      </c>
      <c r="M97" s="26">
        <f t="shared" ca="1" si="53"/>
        <v>20000</v>
      </c>
      <c r="N97" s="26">
        <f t="shared" ca="1" si="59"/>
        <v>200</v>
      </c>
      <c r="O97" s="26">
        <f t="shared" si="62"/>
        <v>500</v>
      </c>
      <c r="P97" s="26">
        <f>ROUNDDOWN(P96+MAX(Construction!BO97/2,Construction!BO97*(1-Construction!BO97/(E97-Explore!S97*20)))-Q97*SUM(Techs!AY97:BY97),0)</f>
        <v>0</v>
      </c>
      <c r="Q97" s="166">
        <f>MAX(min_tech_cost,ROUNDDOWN(tech_cost_per_acre*Construction!E97,0))</f>
        <v>6426</v>
      </c>
      <c r="S97" s="152">
        <f t="shared" ca="1" si="54"/>
        <v>10651</v>
      </c>
      <c r="T97" s="164">
        <f t="shared" ca="1" si="40"/>
        <v>1701</v>
      </c>
      <c r="U97" s="164">
        <f t="shared" ca="1" si="41"/>
        <v>-204</v>
      </c>
      <c r="V97" s="164">
        <f t="shared" ca="1" si="42"/>
        <v>127</v>
      </c>
      <c r="W97" s="164">
        <f t="shared" ca="1" si="55"/>
        <v>0</v>
      </c>
      <c r="X97" s="164">
        <f t="shared" ca="1" si="56"/>
        <v>0</v>
      </c>
      <c r="Y97" s="265">
        <f>Construction!BP98*dock_boats_hr</f>
        <v>0</v>
      </c>
      <c r="Z97" s="164"/>
      <c r="AA97" s="152">
        <f ca="1">Population!C97*tax*Population!I97 + (Construction!AY98+Construction!BW98)*(alch_plat+(Magic!AR97&gt;0)*alchemist_flame_bonus)</f>
        <v>10651.5</v>
      </c>
      <c r="AB97" s="164">
        <f>Construction!$AZ97*farm_food + Construction!$BP97*dock_food+IF(race="Growth",ROUNDDOWN(Military!G97*8,0),0)</f>
        <v>6400</v>
      </c>
      <c r="AC97" s="164">
        <f>Construction!$BC97*ly_lumber+IF(race="Ants",ROUNDDOWN(Military!F97/2,0),0)</f>
        <v>2500</v>
      </c>
      <c r="AD97" s="26">
        <f>Construction!$BK98*tower_mana+IF(race="Templars",ROUNDDOWN(Military!F97*0.02,0),0)+IF(race="Black Orc",Military!G97*5,0)+IF(race="Growth",ROUNDDOWN(Military!G97*0.1,0),0)+IF(race="Void",ROUNDDOWN(Military!F97*1.5,0),0)+IF(race="Void",ROUNDDOWN(Military!G97*4,0),0)</f>
        <v>1250</v>
      </c>
      <c r="AE97" s="164">
        <f>Construction!$BE98*om_ore+IF(race="Dwarf",ROUNDDOWN(Military!F97*2,0),0)</f>
        <v>0</v>
      </c>
      <c r="AF97" s="57">
        <f>Construction!$BN98*dm_gems+IF(race="Dwarf",ROUNDDOWN(Military!F97/2,0),0)</f>
        <v>0</v>
      </c>
      <c r="AH97" s="266">
        <f ca="1">MIN(race_platinum_bonus + IF(Magic!AJ97&gt;0,midas_bonus) + Imps!Y97 - BB97*0.02+MAX(tech_production_plat*Techs!Y97,tech_treasure_hunt_plat*Techs!AR97), 0.5)</f>
        <v>0</v>
      </c>
      <c r="AI97" s="455">
        <f ca="1">race_food_bonus + IF(Magic!AO97&gt;0,gaias_blessing_food,IF(Magic!AG97&gt;0,gaias_watch_bonus)) + Imps!AD97+tech_production_food*Techs!W97 + O97/100*prestige_food_bonus</f>
        <v>0.1</v>
      </c>
      <c r="AJ97" s="267">
        <f ca="1">race_lumber_bonus+ IF(Magic!AO97&gt;0,gaias_blessing_lumber)+tech_fruits_of_labor1*Techs!AP97</f>
        <v>0</v>
      </c>
      <c r="AK97" s="267">
        <f ca="1">race_mana_bonus+tech_enchanted_lands_mana*Techs!AT97</f>
        <v>0</v>
      </c>
      <c r="AL97" s="267">
        <f ca="1">race_ore_bonus + IF(Magic!AL97&gt;0,miners_sight_bonus,IF(Magic!AH97&gt;0,mining_strength_bonus))+tech_fruits_of_labor1*Techs!AP97</f>
        <v>0</v>
      </c>
      <c r="AM97" s="193">
        <f ca="1">race_gem_bonus+MAX(tech_production_gems*Techs!X97,tech_fruits_of_labor_gems*Techs!AP97)</f>
        <v>0</v>
      </c>
      <c r="AO97" s="56">
        <f ca="1">I97*food_decay*IF(Magic!AZ97&gt;0,0.5,1)</f>
        <v>3029.28</v>
      </c>
      <c r="AP97" s="26">
        <f ca="1">(1+race_food_consumption)*Population!F97*food_per_person</f>
        <v>2310</v>
      </c>
      <c r="AQ97" s="26">
        <f t="shared" ca="1" si="43"/>
        <v>2703.69</v>
      </c>
      <c r="AR97" s="57">
        <f t="shared" ca="1" si="44"/>
        <v>1122.78</v>
      </c>
      <c r="AS97" s="26"/>
      <c r="AT97" s="56">
        <f ca="1">Explore!AH97+Construction!AP97+Military!AU97+Rezone!Y97+Imps!AM97-BE97</f>
        <v>0</v>
      </c>
      <c r="AU97" s="26">
        <f>Construction!AQ97+Imps!AN97-BF97</f>
        <v>0</v>
      </c>
      <c r="AV97" s="26">
        <f>Magic!AD97</f>
        <v>0</v>
      </c>
      <c r="AW97" s="26">
        <f ca="1">Military!AV97+Imps!AO97-BG97</f>
        <v>0</v>
      </c>
      <c r="AX97" s="26">
        <f>Imps!AP97-BH97</f>
        <v>0</v>
      </c>
      <c r="AY97" s="26">
        <f ca="1">Military!AZ97</f>
        <v>0</v>
      </c>
      <c r="AZ97" s="57">
        <f ca="1">Military!BA97</f>
        <v>0</v>
      </c>
      <c r="BB97" s="56" t="b">
        <f t="shared" si="64"/>
        <v>0</v>
      </c>
      <c r="BC97" s="332"/>
      <c r="BD97" s="979">
        <v>23</v>
      </c>
      <c r="BE97" s="332"/>
      <c r="BF97" s="370"/>
      <c r="BG97" s="370"/>
      <c r="BH97" s="744"/>
      <c r="BI97" s="1036">
        <f t="shared" si="45"/>
        <v>43695.916666666439</v>
      </c>
      <c r="BJ97" s="159" t="str">
        <f t="shared" si="61"/>
        <v/>
      </c>
      <c r="BK97" s="26">
        <f t="shared" ca="1" si="57"/>
        <v>3948705</v>
      </c>
      <c r="BL97" s="26">
        <f t="shared" ca="1" si="46"/>
        <v>302928</v>
      </c>
      <c r="BM97" s="26">
        <f t="shared" ca="1" si="47"/>
        <v>270369</v>
      </c>
      <c r="BN97" s="26">
        <f t="shared" ca="1" si="48"/>
        <v>56139</v>
      </c>
      <c r="BO97" s="57">
        <f t="shared" ca="1" si="49"/>
        <v>231000</v>
      </c>
    </row>
    <row r="98" spans="1:67" s="170" customFormat="1" ht="13.5" thickBot="1">
      <c r="A98" s="986">
        <v>24</v>
      </c>
      <c r="B98" s="532">
        <f>Imps!L98</f>
        <v>43695.958333333103</v>
      </c>
      <c r="C98" s="329"/>
      <c r="D98" s="834"/>
      <c r="E98" s="152">
        <f>Construction!E98</f>
        <v>1000</v>
      </c>
      <c r="F98" s="164">
        <f ca="1">Population!$C98</f>
        <v>3945</v>
      </c>
      <c r="G98" s="164">
        <f ca="1">Military!EM98</f>
        <v>39460</v>
      </c>
      <c r="H98" s="164">
        <f ca="1">H97+S97 - AT98 + IF(C98,Population!C98*4)</f>
        <v>3959356</v>
      </c>
      <c r="I98" s="164">
        <f t="shared" ca="1" si="58"/>
        <v>304629</v>
      </c>
      <c r="J98" s="164">
        <f t="shared" ca="1" si="50"/>
        <v>270165</v>
      </c>
      <c r="K98" s="164">
        <f t="shared" ca="1" si="51"/>
        <v>56266</v>
      </c>
      <c r="L98" s="164">
        <f t="shared" ca="1" si="52"/>
        <v>231000</v>
      </c>
      <c r="M98" s="164">
        <f t="shared" ca="1" si="53"/>
        <v>20000</v>
      </c>
      <c r="N98" s="164">
        <f t="shared" ca="1" si="59"/>
        <v>200</v>
      </c>
      <c r="O98" s="164">
        <f t="shared" si="62"/>
        <v>500</v>
      </c>
      <c r="P98" s="164">
        <f>ROUNDDOWN(P97+MAX(Construction!BO98/2,Construction!BO98*(1-Construction!BO98/(E98-Explore!S98*20)))-Q98*SUM(Techs!AY98:BY98),0)</f>
        <v>0</v>
      </c>
      <c r="Q98" s="166">
        <f>MAX(min_tech_cost,ROUNDDOWN(tech_cost_per_acre*Construction!E98,0))</f>
        <v>6426</v>
      </c>
      <c r="S98" s="152">
        <f t="shared" ca="1" si="54"/>
        <v>10651</v>
      </c>
      <c r="T98" s="164">
        <f t="shared" ca="1" si="40"/>
        <v>1684</v>
      </c>
      <c r="U98" s="164">
        <f t="shared" ca="1" si="41"/>
        <v>-202</v>
      </c>
      <c r="V98" s="164">
        <f t="shared" ca="1" si="42"/>
        <v>125</v>
      </c>
      <c r="W98" s="164">
        <f t="shared" ca="1" si="55"/>
        <v>0</v>
      </c>
      <c r="X98" s="164">
        <f t="shared" ca="1" si="56"/>
        <v>0</v>
      </c>
      <c r="Y98" s="265">
        <f>Construction!BP99*dock_boats_hr</f>
        <v>0</v>
      </c>
      <c r="Z98" s="164"/>
      <c r="AA98" s="152">
        <f ca="1">Population!C98*tax*Population!I98 + (Construction!AY99+Construction!BW99)*(alch_plat+(Magic!AR98&gt;0)*alchemist_flame_bonus)</f>
        <v>10651.5</v>
      </c>
      <c r="AB98" s="164">
        <f>Construction!$AZ98*farm_food + Construction!$BP98*dock_food+IF(race="Growth",ROUNDDOWN(Military!G98*8,0),0)</f>
        <v>6400</v>
      </c>
      <c r="AC98" s="164">
        <f>Construction!$BC98*ly_lumber+IF(race="Ants",ROUNDDOWN(Military!F98/2,0),0)</f>
        <v>2500</v>
      </c>
      <c r="AD98" s="164">
        <f>Construction!$BK99*tower_mana+IF(race="Templars",ROUNDDOWN(Military!F98*0.02,0),0)+IF(race="Black Orc",Military!G98*5,0)+IF(race="Growth",ROUNDDOWN(Military!G98*0.1,0),0)+IF(race="Void",ROUNDDOWN(Military!F98*1.5,0),0)+IF(race="Void",ROUNDDOWN(Military!G98*4,0),0)</f>
        <v>1250</v>
      </c>
      <c r="AE98" s="164">
        <f>Construction!$BE99*om_ore+IF(race="Dwarf",ROUNDDOWN(Military!F98*2,0),0)</f>
        <v>0</v>
      </c>
      <c r="AF98" s="166">
        <f>Construction!$BN99*dm_gems+IF(race="Dwarf",ROUNDDOWN(Military!F98/2,0),0)</f>
        <v>0</v>
      </c>
      <c r="AH98" s="266">
        <f ca="1">MIN(race_platinum_bonus + IF(Magic!AJ98&gt;0,midas_bonus) + Imps!Y98 - BB98*0.02+MAX(tech_production_plat*Techs!Y98,tech_treasure_hunt_plat*Techs!AR98), 0.5)</f>
        <v>0</v>
      </c>
      <c r="AI98" s="455">
        <f ca="1">race_food_bonus + IF(Magic!AO98&gt;0,gaias_blessing_food,IF(Magic!AG98&gt;0,gaias_watch_bonus)) + Imps!AD98+tech_production_food*Techs!W98 + O98/100*prestige_food_bonus</f>
        <v>0.1</v>
      </c>
      <c r="AJ98" s="267">
        <f ca="1">race_lumber_bonus+ IF(Magic!AO98&gt;0,gaias_blessing_lumber)+tech_fruits_of_labor1*Techs!AP98</f>
        <v>0</v>
      </c>
      <c r="AK98" s="267">
        <f ca="1">race_mana_bonus+tech_enchanted_lands_mana*Techs!AT98</f>
        <v>0</v>
      </c>
      <c r="AL98" s="267">
        <f ca="1">race_ore_bonus + IF(Magic!AL98&gt;0,miners_sight_bonus,IF(Magic!AH98&gt;0,mining_strength_bonus))+tech_fruits_of_labor1*Techs!AP98</f>
        <v>0</v>
      </c>
      <c r="AM98" s="193">
        <f ca="1">race_gem_bonus+MAX(tech_production_gems*Techs!X98,tech_fruits_of_labor_gems*Techs!AP98)</f>
        <v>0</v>
      </c>
      <c r="AO98" s="152">
        <f ca="1">I98*food_decay*IF(Magic!AZ98&gt;0,0.5,1)</f>
        <v>3046.29</v>
      </c>
      <c r="AP98" s="26">
        <f ca="1">(1+race_food_consumption)*Population!F98*food_per_person</f>
        <v>2310</v>
      </c>
      <c r="AQ98" s="164">
        <f t="shared" ca="1" si="43"/>
        <v>2701.65</v>
      </c>
      <c r="AR98" s="166">
        <f t="shared" ca="1" si="44"/>
        <v>1125.32</v>
      </c>
      <c r="AS98" s="164"/>
      <c r="AT98" s="152">
        <f ca="1">Explore!AH98+Construction!AP98+Military!AU98+Rezone!Y98+Imps!AM98-BE98</f>
        <v>0</v>
      </c>
      <c r="AU98" s="164">
        <f>Construction!AQ98+Imps!AN98-BF98</f>
        <v>0</v>
      </c>
      <c r="AV98" s="164">
        <f>Magic!AD98</f>
        <v>0</v>
      </c>
      <c r="AW98" s="164">
        <f ca="1">Military!AV98+Imps!AO98-BG98</f>
        <v>0</v>
      </c>
      <c r="AX98" s="164">
        <f>Imps!AP98-BH98</f>
        <v>0</v>
      </c>
      <c r="AY98" s="164">
        <f ca="1">Military!AZ98</f>
        <v>0</v>
      </c>
      <c r="AZ98" s="166">
        <f ca="1">Military!BA98</f>
        <v>0</v>
      </c>
      <c r="BB98" s="152" t="b">
        <f t="shared" si="64"/>
        <v>0</v>
      </c>
      <c r="BC98" s="329"/>
      <c r="BD98" s="978">
        <v>24</v>
      </c>
      <c r="BE98" s="329"/>
      <c r="BF98" s="407"/>
      <c r="BG98" s="407"/>
      <c r="BH98" s="743"/>
      <c r="BI98" s="1036">
        <f t="shared" si="45"/>
        <v>43695.958333333103</v>
      </c>
      <c r="BJ98" s="159" t="str">
        <f t="shared" si="61"/>
        <v/>
      </c>
      <c r="BK98" s="164">
        <f t="shared" ca="1" si="57"/>
        <v>3959356</v>
      </c>
      <c r="BL98" s="164">
        <f t="shared" ca="1" si="46"/>
        <v>304629</v>
      </c>
      <c r="BM98" s="164">
        <f t="shared" ca="1" si="47"/>
        <v>270165</v>
      </c>
      <c r="BN98" s="164">
        <f t="shared" ca="1" si="48"/>
        <v>56266</v>
      </c>
      <c r="BO98" s="166">
        <f t="shared" ca="1" si="49"/>
        <v>231000</v>
      </c>
    </row>
    <row r="99" spans="1:67" s="173" customFormat="1" ht="13.5" thickBot="1">
      <c r="A99" s="989">
        <v>25</v>
      </c>
      <c r="B99" s="573">
        <f>Imps!L99</f>
        <v>43695.999999999767</v>
      </c>
      <c r="C99" s="331"/>
      <c r="D99" s="837"/>
      <c r="E99" s="175">
        <f>Construction!E99</f>
        <v>1000</v>
      </c>
      <c r="F99" s="174">
        <f ca="1">Population!$C99</f>
        <v>3945</v>
      </c>
      <c r="G99" s="174">
        <f ca="1">Military!EM99</f>
        <v>39460</v>
      </c>
      <c r="H99" s="174">
        <f ca="1">H98+S98 - AT99 + IF(C99,Population!C99*4)</f>
        <v>3970007</v>
      </c>
      <c r="I99" s="174">
        <f t="shared" ca="1" si="58"/>
        <v>306313</v>
      </c>
      <c r="J99" s="174">
        <f t="shared" ca="1" si="50"/>
        <v>269963</v>
      </c>
      <c r="K99" s="174">
        <f t="shared" ca="1" si="51"/>
        <v>56391</v>
      </c>
      <c r="L99" s="174">
        <f t="shared" ca="1" si="52"/>
        <v>231000</v>
      </c>
      <c r="M99" s="174">
        <f t="shared" ca="1" si="53"/>
        <v>20000</v>
      </c>
      <c r="N99" s="174">
        <f t="shared" ca="1" si="59"/>
        <v>200</v>
      </c>
      <c r="O99" s="174">
        <f t="shared" si="62"/>
        <v>500</v>
      </c>
      <c r="P99" s="174">
        <f>ROUNDDOWN(P98+MAX(Construction!BO99/2,Construction!BO99*(1-Construction!BO99/(E99-Explore!S99*20)))-Q99*SUM(Techs!AY99:BY99),0)</f>
        <v>0</v>
      </c>
      <c r="Q99" s="179">
        <f>MAX(min_tech_cost,ROUNDDOWN(tech_cost_per_acre*Construction!E99,0))</f>
        <v>6426</v>
      </c>
      <c r="S99" s="175">
        <f t="shared" ca="1" si="54"/>
        <v>10651</v>
      </c>
      <c r="T99" s="174">
        <f t="shared" ca="1" si="40"/>
        <v>1667</v>
      </c>
      <c r="U99" s="174">
        <f t="shared" ca="1" si="41"/>
        <v>-200</v>
      </c>
      <c r="V99" s="174">
        <f t="shared" ca="1" si="42"/>
        <v>122</v>
      </c>
      <c r="W99" s="174">
        <f t="shared" ca="1" si="55"/>
        <v>0</v>
      </c>
      <c r="X99" s="174">
        <f t="shared" ca="1" si="56"/>
        <v>0</v>
      </c>
      <c r="Y99" s="269">
        <f>Construction!BP100*dock_boats_hr</f>
        <v>0</v>
      </c>
      <c r="Z99" s="174"/>
      <c r="AA99" s="175">
        <f ca="1">Population!C99*tax*Population!I99 + (Construction!AY100+Construction!BW100)*(alch_plat+(Magic!AR99&gt;0)*alchemist_flame_bonus)</f>
        <v>10651.5</v>
      </c>
      <c r="AB99" s="174">
        <f>Construction!$AZ99*farm_food + Construction!$BP99*dock_food+IF(race="Growth",ROUNDDOWN(Military!G99*8,0),0)</f>
        <v>6400</v>
      </c>
      <c r="AC99" s="174">
        <f>Construction!$BC99*ly_lumber+IF(race="Ants",ROUNDDOWN(Military!F99/2,0),0)</f>
        <v>2500</v>
      </c>
      <c r="AD99" s="174">
        <f>Construction!$BK100*tower_mana+IF(race="Templars",ROUNDDOWN(Military!F99*0.02,0),0)+IF(race="Black Orc",Military!G99*5,0)+IF(race="Growth",ROUNDDOWN(Military!G99*0.1,0),0)+IF(race="Void",ROUNDDOWN(Military!F99*1.5,0),0)+IF(race="Void",ROUNDDOWN(Military!G99*4,0),0)</f>
        <v>1250</v>
      </c>
      <c r="AE99" s="174">
        <f>Construction!$BE100*om_ore+IF(race="Dwarf",ROUNDDOWN(Military!F99*2,0),0)</f>
        <v>0</v>
      </c>
      <c r="AF99" s="179">
        <f>Construction!$BN100*dm_gems+IF(race="Dwarf",ROUNDDOWN(Military!F99/2,0),0)</f>
        <v>0</v>
      </c>
      <c r="AH99" s="270">
        <f ca="1">MIN(race_platinum_bonus + IF(Magic!AJ99&gt;0,midas_bonus) + Imps!Y99 - BB99*0.02+MAX(tech_production_plat*Techs!Y99,tech_treasure_hunt_plat*Techs!AR99), 0.5)</f>
        <v>0</v>
      </c>
      <c r="AI99" s="456">
        <f ca="1">race_food_bonus + IF(Magic!AO99&gt;0,gaias_blessing_food,IF(Magic!AG99&gt;0,gaias_watch_bonus)) + Imps!AD99+tech_production_food*Techs!W99 + O99/100*prestige_food_bonus</f>
        <v>0.1</v>
      </c>
      <c r="AJ99" s="271">
        <f ca="1">race_lumber_bonus+ IF(Magic!AO99&gt;0,gaias_blessing_lumber)+tech_fruits_of_labor1*Techs!AP99</f>
        <v>0</v>
      </c>
      <c r="AK99" s="271">
        <f ca="1">race_mana_bonus+tech_enchanted_lands_mana*Techs!AT99</f>
        <v>0</v>
      </c>
      <c r="AL99" s="271">
        <f ca="1">race_ore_bonus + IF(Magic!AL99&gt;0,miners_sight_bonus,IF(Magic!AH99&gt;0,mining_strength_bonus))+tech_fruits_of_labor1*Techs!AP99</f>
        <v>0</v>
      </c>
      <c r="AM99" s="195">
        <f ca="1">race_gem_bonus+MAX(tech_production_gems*Techs!X99,tech_fruits_of_labor_gems*Techs!AP99)</f>
        <v>0</v>
      </c>
      <c r="AO99" s="175">
        <f ca="1">I99*food_decay*IF(Magic!AZ99&gt;0,0.5,1)</f>
        <v>3063.13</v>
      </c>
      <c r="AP99" s="279">
        <f ca="1">(1+race_food_consumption)*Population!F99*food_per_person</f>
        <v>2310</v>
      </c>
      <c r="AQ99" s="174">
        <f t="shared" ref="AQ99:AQ135" ca="1" si="65">J99*lumber_rot</f>
        <v>2699.63</v>
      </c>
      <c r="AR99" s="179">
        <f t="shared" ref="AR99:AR135" ca="1" si="66">K99*mana_drain</f>
        <v>1127.82</v>
      </c>
      <c r="AS99" s="174"/>
      <c r="AT99" s="175">
        <f ca="1">Explore!AH99+Construction!AP99+Military!AU99+Rezone!Y99+Imps!AM99-BE99</f>
        <v>0</v>
      </c>
      <c r="AU99" s="174">
        <f>Construction!AQ99+Imps!AN99-BF99</f>
        <v>0</v>
      </c>
      <c r="AV99" s="174">
        <f>Magic!AD99</f>
        <v>0</v>
      </c>
      <c r="AW99" s="174">
        <f ca="1">Military!AV99+Imps!AO99-BG99</f>
        <v>0</v>
      </c>
      <c r="AX99" s="174">
        <f>Imps!AP99-BH99</f>
        <v>0</v>
      </c>
      <c r="AY99" s="174">
        <f ca="1">Military!AZ99</f>
        <v>0</v>
      </c>
      <c r="AZ99" s="179">
        <f ca="1">Military!BA99</f>
        <v>0</v>
      </c>
      <c r="BB99" s="175" t="b">
        <f t="shared" si="64"/>
        <v>0</v>
      </c>
      <c r="BC99" s="331"/>
      <c r="BD99" s="981">
        <v>25</v>
      </c>
      <c r="BE99" s="331"/>
      <c r="BF99" s="417"/>
      <c r="BG99" s="417"/>
      <c r="BH99" s="746"/>
      <c r="BI99" s="1039">
        <f t="shared" si="45"/>
        <v>43695.999999999767</v>
      </c>
      <c r="BJ99" s="180" t="str">
        <f t="shared" si="61"/>
        <v/>
      </c>
      <c r="BK99" s="174">
        <f t="shared" ca="1" si="57"/>
        <v>3970007</v>
      </c>
      <c r="BL99" s="174">
        <f t="shared" ca="1" si="46"/>
        <v>306313</v>
      </c>
      <c r="BM99" s="174">
        <f t="shared" ca="1" si="47"/>
        <v>269963</v>
      </c>
      <c r="BN99" s="174">
        <f t="shared" ca="1" si="48"/>
        <v>56391</v>
      </c>
      <c r="BO99" s="179">
        <f t="shared" ca="1" si="49"/>
        <v>231000</v>
      </c>
    </row>
    <row r="100" spans="1:67" s="170" customFormat="1">
      <c r="A100" s="986">
        <v>26</v>
      </c>
      <c r="B100" s="532">
        <f>Imps!L100</f>
        <v>43696.041666666431</v>
      </c>
      <c r="C100" s="329"/>
      <c r="D100" s="834"/>
      <c r="E100" s="152">
        <f>Construction!E100</f>
        <v>1000</v>
      </c>
      <c r="F100" s="164">
        <f ca="1">Population!$C100</f>
        <v>3945</v>
      </c>
      <c r="G100" s="164">
        <f ca="1">Military!EM100</f>
        <v>39460</v>
      </c>
      <c r="H100" s="164">
        <f ca="1">H99+S99 - AT100 + IF(C100,Population!C100*4)</f>
        <v>3980658</v>
      </c>
      <c r="I100" s="164">
        <f t="shared" ca="1" si="58"/>
        <v>307980</v>
      </c>
      <c r="J100" s="164">
        <f t="shared" ca="1" si="50"/>
        <v>269763</v>
      </c>
      <c r="K100" s="164">
        <f t="shared" ca="1" si="51"/>
        <v>56513</v>
      </c>
      <c r="L100" s="164">
        <f t="shared" ca="1" si="52"/>
        <v>231000</v>
      </c>
      <c r="M100" s="164">
        <f t="shared" ref="M100:M135" ca="1" si="67">M99+X99 - AX100</f>
        <v>20000</v>
      </c>
      <c r="N100" s="164">
        <f t="shared" ca="1" si="59"/>
        <v>200</v>
      </c>
      <c r="O100" s="164">
        <f t="shared" si="62"/>
        <v>500</v>
      </c>
      <c r="P100" s="164">
        <f>ROUNDDOWN(P99+MAX(Construction!BO100/2,Construction!BO100*(1-Construction!BO100/(E100-Explore!S100*20)))-Q100*SUM(Techs!AY100:BY100),0)</f>
        <v>0</v>
      </c>
      <c r="Q100" s="166">
        <f>MAX(min_tech_cost,ROUNDDOWN(tech_cost_per_acre*Construction!E100,0))</f>
        <v>6426</v>
      </c>
      <c r="S100" s="152">
        <f t="shared" ca="1" si="54"/>
        <v>10651</v>
      </c>
      <c r="T100" s="164">
        <f t="shared" ca="1" si="40"/>
        <v>1650</v>
      </c>
      <c r="U100" s="164">
        <f t="shared" ca="1" si="41"/>
        <v>-198</v>
      </c>
      <c r="V100" s="164">
        <f t="shared" ca="1" si="42"/>
        <v>120</v>
      </c>
      <c r="W100" s="164">
        <f t="shared" ca="1" si="55"/>
        <v>0</v>
      </c>
      <c r="X100" s="164">
        <f t="shared" ca="1" si="56"/>
        <v>0</v>
      </c>
      <c r="Y100" s="265">
        <f>Construction!BP101*dock_boats_hr</f>
        <v>0</v>
      </c>
      <c r="Z100" s="164"/>
      <c r="AA100" s="152">
        <f ca="1">Population!C100*tax*Population!I100 + (Construction!AY101+Construction!BW101)*(alch_plat+(Magic!AR100&gt;0)*alchemist_flame_bonus)</f>
        <v>10651.5</v>
      </c>
      <c r="AB100" s="164">
        <f>Construction!$AZ100*farm_food + Construction!$BP100*dock_food+IF(race="Growth",ROUNDDOWN(Military!G100*8,0),0)</f>
        <v>6400</v>
      </c>
      <c r="AC100" s="164">
        <f>Construction!$BC100*ly_lumber+IF(race="Ants",ROUNDDOWN(Military!F100/2,0),0)</f>
        <v>2500</v>
      </c>
      <c r="AD100" s="164">
        <f>Construction!$BK101*tower_mana+IF(race="Templars",ROUNDDOWN(Military!F100*0.02,0),0)+IF(race="Black Orc",Military!G100*5,0)+IF(race="Growth",ROUNDDOWN(Military!G100*0.1,0),0)+IF(race="Void",ROUNDDOWN(Military!F100*1.5,0),0)+IF(race="Void",ROUNDDOWN(Military!G100*4,0),0)</f>
        <v>1250</v>
      </c>
      <c r="AE100" s="164">
        <f>Construction!$BE101*om_ore+IF(race="Dwarf",ROUNDDOWN(Military!F100*2,0),0)</f>
        <v>0</v>
      </c>
      <c r="AF100" s="166">
        <f>Construction!$BN101*dm_gems+IF(race="Dwarf",ROUNDDOWN(Military!F100/2,0),0)</f>
        <v>0</v>
      </c>
      <c r="AH100" s="266">
        <f ca="1">MIN(race_platinum_bonus + IF(Magic!AJ100&gt;0,midas_bonus) + Imps!Y100 - BB100*0.02+MAX(tech_production_plat*Techs!Y100,tech_treasure_hunt_plat*Techs!AR100), 0.5)</f>
        <v>0</v>
      </c>
      <c r="AI100" s="455">
        <f ca="1">race_food_bonus + IF(Magic!AO100&gt;0,gaias_blessing_food,IF(Magic!AG100&gt;0,gaias_watch_bonus)) + Imps!AD100+tech_production_food*Techs!W100 + O100/100*prestige_food_bonus</f>
        <v>0.1</v>
      </c>
      <c r="AJ100" s="267">
        <f ca="1">race_lumber_bonus+ IF(Magic!AO100&gt;0,gaias_blessing_lumber)+tech_fruits_of_labor1*Techs!AP100</f>
        <v>0</v>
      </c>
      <c r="AK100" s="267">
        <f ca="1">race_mana_bonus+tech_enchanted_lands_mana*Techs!AT100</f>
        <v>0</v>
      </c>
      <c r="AL100" s="267">
        <f ca="1">race_ore_bonus + IF(Magic!AL100&gt;0,miners_sight_bonus,IF(Magic!AH100&gt;0,mining_strength_bonus))+tech_fruits_of_labor1*Techs!AP100</f>
        <v>0</v>
      </c>
      <c r="AM100" s="193">
        <f ca="1">race_gem_bonus+MAX(tech_production_gems*Techs!X100,tech_fruits_of_labor_gems*Techs!AP100)</f>
        <v>0</v>
      </c>
      <c r="AO100" s="152">
        <f ca="1">I100*food_decay*IF(Magic!AZ100&gt;0,0.5,1)</f>
        <v>3079.8</v>
      </c>
      <c r="AP100" s="26">
        <f ca="1">(1+race_food_consumption)*Population!F100*food_per_person</f>
        <v>2310</v>
      </c>
      <c r="AQ100" s="164">
        <f t="shared" ca="1" si="65"/>
        <v>2697.63</v>
      </c>
      <c r="AR100" s="166">
        <f t="shared" ca="1" si="66"/>
        <v>1130.26</v>
      </c>
      <c r="AS100" s="164"/>
      <c r="AT100" s="152">
        <f ca="1">Explore!AH100+Construction!AP100+Military!AU100+Rezone!Y100+Imps!AM100-BE100</f>
        <v>0</v>
      </c>
      <c r="AU100" s="164">
        <f>Construction!AQ100+Imps!AN100-BF100</f>
        <v>0</v>
      </c>
      <c r="AV100" s="164">
        <f>Magic!AD100</f>
        <v>0</v>
      </c>
      <c r="AW100" s="164">
        <f ca="1">Military!AV100+Imps!AO100-BG100</f>
        <v>0</v>
      </c>
      <c r="AX100" s="164">
        <f>Imps!AP100-BH100</f>
        <v>0</v>
      </c>
      <c r="AY100" s="164">
        <f ca="1">Military!AZ100</f>
        <v>0</v>
      </c>
      <c r="AZ100" s="166">
        <f ca="1">Military!BA100</f>
        <v>0</v>
      </c>
      <c r="BB100" s="152" t="b">
        <f t="shared" si="64"/>
        <v>0</v>
      </c>
      <c r="BC100" s="329"/>
      <c r="BD100" s="978">
        <v>26</v>
      </c>
      <c r="BE100" s="329"/>
      <c r="BF100" s="407"/>
      <c r="BG100" s="407"/>
      <c r="BH100" s="743"/>
      <c r="BI100" s="1036">
        <f t="shared" si="45"/>
        <v>43696.041666666431</v>
      </c>
      <c r="BJ100" s="159" t="str">
        <f t="shared" si="61"/>
        <v/>
      </c>
      <c r="BK100" s="164">
        <f t="shared" ca="1" si="57"/>
        <v>3980658</v>
      </c>
      <c r="BL100" s="164">
        <f t="shared" ca="1" si="46"/>
        <v>307980</v>
      </c>
      <c r="BM100" s="164">
        <f t="shared" ca="1" si="47"/>
        <v>269763</v>
      </c>
      <c r="BN100" s="164">
        <f t="shared" ca="1" si="48"/>
        <v>56513</v>
      </c>
      <c r="BO100" s="166">
        <f t="shared" ca="1" si="49"/>
        <v>231000</v>
      </c>
    </row>
    <row r="101" spans="1:67" s="170" customFormat="1">
      <c r="A101" s="986">
        <v>27</v>
      </c>
      <c r="B101" s="816">
        <f>Imps!L101</f>
        <v>43696.083333333096</v>
      </c>
      <c r="C101" s="329"/>
      <c r="D101" s="834"/>
      <c r="E101" s="152">
        <f>Construction!E101</f>
        <v>1000</v>
      </c>
      <c r="F101" s="164">
        <f ca="1">Population!$C101</f>
        <v>3945</v>
      </c>
      <c r="G101" s="164">
        <f ca="1">Military!EM101</f>
        <v>39460</v>
      </c>
      <c r="H101" s="26">
        <f ca="1">H100+S100 - AT101 + IF(C101,Population!C101*4)</f>
        <v>3991309</v>
      </c>
      <c r="I101" s="164">
        <f t="shared" ca="1" si="58"/>
        <v>309630</v>
      </c>
      <c r="J101" s="164">
        <f t="shared" ca="1" si="50"/>
        <v>269565</v>
      </c>
      <c r="K101" s="164">
        <f t="shared" ca="1" si="51"/>
        <v>56633</v>
      </c>
      <c r="L101" s="164">
        <f t="shared" ca="1" si="52"/>
        <v>231000</v>
      </c>
      <c r="M101" s="164">
        <f t="shared" ca="1" si="67"/>
        <v>20000</v>
      </c>
      <c r="N101" s="164">
        <f t="shared" ca="1" si="59"/>
        <v>200</v>
      </c>
      <c r="O101" s="164">
        <f t="shared" si="62"/>
        <v>500</v>
      </c>
      <c r="P101" s="164">
        <f>ROUNDDOWN(P100+MAX(Construction!BO101/2,Construction!BO101*(1-Construction!BO101/(E101-Explore!S101*20)))-Q101*SUM(Techs!AY101:BY101),0)</f>
        <v>0</v>
      </c>
      <c r="Q101" s="166">
        <f>MAX(min_tech_cost,ROUNDDOWN(tech_cost_per_acre*Construction!E101,0))</f>
        <v>6426</v>
      </c>
      <c r="S101" s="152">
        <f t="shared" ca="1" si="54"/>
        <v>10651</v>
      </c>
      <c r="T101" s="164">
        <f t="shared" ca="1" si="40"/>
        <v>1634</v>
      </c>
      <c r="U101" s="164">
        <f t="shared" ca="1" si="41"/>
        <v>-196</v>
      </c>
      <c r="V101" s="164">
        <f t="shared" ca="1" si="42"/>
        <v>117</v>
      </c>
      <c r="W101" s="164">
        <f t="shared" ca="1" si="55"/>
        <v>0</v>
      </c>
      <c r="X101" s="164">
        <f t="shared" ca="1" si="56"/>
        <v>0</v>
      </c>
      <c r="Y101" s="265">
        <f>Construction!BP102*dock_boats_hr</f>
        <v>0</v>
      </c>
      <c r="Z101" s="164"/>
      <c r="AA101" s="152">
        <f ca="1">Population!C101*tax*Population!I101 + (Construction!AY102+Construction!BW102)*(alch_plat+(Magic!AR101&gt;0)*alchemist_flame_bonus)</f>
        <v>10651.5</v>
      </c>
      <c r="AB101" s="164">
        <f>Construction!$AZ101*farm_food + Construction!$BP101*dock_food+IF(race="Growth",ROUNDDOWN(Military!G101*8,0),0)</f>
        <v>6400</v>
      </c>
      <c r="AC101" s="164">
        <f>Construction!$BC101*ly_lumber+IF(race="Ants",ROUNDDOWN(Military!F101/2,0),0)</f>
        <v>2500</v>
      </c>
      <c r="AD101" s="164">
        <f>Construction!$BK102*tower_mana+IF(race="Templars",ROUNDDOWN(Military!F101*0.02,0),0)+IF(race="Black Orc",Military!G101*5,0)+IF(race="Growth",ROUNDDOWN(Military!G101*0.1,0),0)+IF(race="Void",ROUNDDOWN(Military!F101*1.5,0),0)+IF(race="Void",ROUNDDOWN(Military!G101*4,0),0)</f>
        <v>1250</v>
      </c>
      <c r="AE101" s="164">
        <f>Construction!$BE102*om_ore+IF(race="Dwarf",ROUNDDOWN(Military!F101*2,0),0)</f>
        <v>0</v>
      </c>
      <c r="AF101" s="166">
        <f>Construction!$BN102*dm_gems+IF(race="Dwarf",ROUNDDOWN(Military!F101/2,0),0)</f>
        <v>0</v>
      </c>
      <c r="AH101" s="266">
        <f ca="1">MIN(race_platinum_bonus + IF(Magic!AJ101&gt;0,midas_bonus) + Imps!Y101 - BB101*0.02+MAX(tech_production_plat*Techs!Y101,tech_treasure_hunt_plat*Techs!AR101), 0.5)</f>
        <v>0</v>
      </c>
      <c r="AI101" s="455">
        <f ca="1">race_food_bonus + IF(Magic!AO101&gt;0,gaias_blessing_food,IF(Magic!AG101&gt;0,gaias_watch_bonus)) + Imps!AD101+tech_production_food*Techs!W101 + O101/100*prestige_food_bonus</f>
        <v>0.1</v>
      </c>
      <c r="AJ101" s="267">
        <f ca="1">race_lumber_bonus+ IF(Magic!AO101&gt;0,gaias_blessing_lumber)+tech_fruits_of_labor1*Techs!AP101</f>
        <v>0</v>
      </c>
      <c r="AK101" s="267">
        <f ca="1">race_mana_bonus+tech_enchanted_lands_mana*Techs!AT101</f>
        <v>0</v>
      </c>
      <c r="AL101" s="267">
        <f ca="1">race_ore_bonus + IF(Magic!AL101&gt;0,miners_sight_bonus,IF(Magic!AH101&gt;0,mining_strength_bonus))+tech_fruits_of_labor1*Techs!AP101</f>
        <v>0</v>
      </c>
      <c r="AM101" s="193">
        <f ca="1">race_gem_bonus+MAX(tech_production_gems*Techs!X101,tech_fruits_of_labor_gems*Techs!AP101)</f>
        <v>0</v>
      </c>
      <c r="AO101" s="152">
        <f ca="1">I101*food_decay*IF(Magic!AZ101&gt;0,0.5,1)</f>
        <v>3096.3</v>
      </c>
      <c r="AP101" s="26">
        <f ca="1">(1+race_food_consumption)*Population!F101*food_per_person</f>
        <v>2310</v>
      </c>
      <c r="AQ101" s="164">
        <f t="shared" ca="1" si="65"/>
        <v>2695.65</v>
      </c>
      <c r="AR101" s="166">
        <f t="shared" ca="1" si="66"/>
        <v>1132.6600000000001</v>
      </c>
      <c r="AS101" s="164"/>
      <c r="AT101" s="152">
        <f ca="1">Explore!AH101+Construction!AP101+Military!AU101+Rezone!Y101+Imps!AM101-BE101</f>
        <v>0</v>
      </c>
      <c r="AU101" s="164">
        <f>Construction!AQ101+Imps!AN101-BF101</f>
        <v>0</v>
      </c>
      <c r="AV101" s="164">
        <f>Magic!AD101</f>
        <v>0</v>
      </c>
      <c r="AW101" s="164">
        <f ca="1">Military!AV101+Imps!AO101-BG101</f>
        <v>0</v>
      </c>
      <c r="AX101" s="164">
        <f>Imps!AP101-BH101</f>
        <v>0</v>
      </c>
      <c r="AY101" s="164">
        <f ca="1">Military!AZ101</f>
        <v>0</v>
      </c>
      <c r="AZ101" s="166">
        <f ca="1">Military!BA101</f>
        <v>0</v>
      </c>
      <c r="BB101" s="152" t="b">
        <f t="shared" si="64"/>
        <v>0</v>
      </c>
      <c r="BC101" s="329"/>
      <c r="BD101" s="978">
        <v>27</v>
      </c>
      <c r="BE101" s="329"/>
      <c r="BF101" s="407"/>
      <c r="BG101" s="407"/>
      <c r="BH101" s="743"/>
      <c r="BI101" s="1036">
        <f t="shared" si="45"/>
        <v>43696.083333333096</v>
      </c>
      <c r="BJ101" s="159" t="str">
        <f t="shared" si="61"/>
        <v/>
      </c>
      <c r="BK101" s="26">
        <f t="shared" ca="1" si="57"/>
        <v>3991309</v>
      </c>
      <c r="BL101" s="164">
        <f t="shared" ca="1" si="46"/>
        <v>309630</v>
      </c>
      <c r="BM101" s="164">
        <f t="shared" ca="1" si="47"/>
        <v>269565</v>
      </c>
      <c r="BN101" s="164">
        <f t="shared" ca="1" si="48"/>
        <v>56633</v>
      </c>
      <c r="BO101" s="166">
        <f t="shared" ca="1" si="49"/>
        <v>231000</v>
      </c>
    </row>
    <row r="102" spans="1:67" s="16" customFormat="1">
      <c r="A102" s="987">
        <v>28</v>
      </c>
      <c r="B102" s="816">
        <f>Imps!L102</f>
        <v>43696.12499999976</v>
      </c>
      <c r="C102" s="332"/>
      <c r="D102" s="835"/>
      <c r="E102" s="56">
        <f>Construction!E102</f>
        <v>1000</v>
      </c>
      <c r="F102" s="26">
        <f ca="1">Population!$C102</f>
        <v>3945</v>
      </c>
      <c r="G102" s="26">
        <f ca="1">Military!EM102</f>
        <v>39460</v>
      </c>
      <c r="H102" s="26">
        <f ca="1">H101+S101 - AT102 + IF(C102,Population!C102*4)</f>
        <v>4001960</v>
      </c>
      <c r="I102" s="26">
        <f t="shared" ca="1" si="58"/>
        <v>311264</v>
      </c>
      <c r="J102" s="26">
        <f t="shared" ca="1" si="50"/>
        <v>269369</v>
      </c>
      <c r="K102" s="26">
        <f t="shared" ca="1" si="51"/>
        <v>56750</v>
      </c>
      <c r="L102" s="26">
        <f t="shared" ca="1" si="52"/>
        <v>231000</v>
      </c>
      <c r="M102" s="26">
        <f t="shared" ca="1" si="67"/>
        <v>20000</v>
      </c>
      <c r="N102" s="26">
        <f t="shared" ca="1" si="59"/>
        <v>200</v>
      </c>
      <c r="O102" s="26">
        <f t="shared" si="62"/>
        <v>500</v>
      </c>
      <c r="P102" s="26">
        <f>ROUNDDOWN(P101+MAX(Construction!BO102/2,Construction!BO102*(1-Construction!BO102/(E102-Explore!S102*20)))-Q102*SUM(Techs!AY102:BY102),0)</f>
        <v>0</v>
      </c>
      <c r="Q102" s="166">
        <f>MAX(min_tech_cost,ROUNDDOWN(tech_cost_per_acre*Construction!E102,0))</f>
        <v>6426</v>
      </c>
      <c r="S102" s="152">
        <f t="shared" ca="1" si="54"/>
        <v>10651</v>
      </c>
      <c r="T102" s="164">
        <f t="shared" ca="1" si="40"/>
        <v>1617</v>
      </c>
      <c r="U102" s="164">
        <f t="shared" ca="1" si="41"/>
        <v>-194</v>
      </c>
      <c r="V102" s="164">
        <f t="shared" ca="1" si="42"/>
        <v>115</v>
      </c>
      <c r="W102" s="164">
        <f t="shared" ca="1" si="55"/>
        <v>0</v>
      </c>
      <c r="X102" s="164">
        <f t="shared" ca="1" si="56"/>
        <v>0</v>
      </c>
      <c r="Y102" s="265">
        <f>Construction!BP103*dock_boats_hr</f>
        <v>0</v>
      </c>
      <c r="Z102" s="164"/>
      <c r="AA102" s="152">
        <f ca="1">Population!C102*tax*Population!I102 + (Construction!AY103+Construction!BW103)*(alch_plat+(Magic!AR102&gt;0)*alchemist_flame_bonus)</f>
        <v>10651.5</v>
      </c>
      <c r="AB102" s="164">
        <f>Construction!$AZ102*farm_food + Construction!$BP102*dock_food+IF(race="Growth",ROUNDDOWN(Military!G102*8,0),0)</f>
        <v>6400</v>
      </c>
      <c r="AC102" s="164">
        <f>Construction!$BC102*ly_lumber+IF(race="Ants",ROUNDDOWN(Military!F102/2,0),0)</f>
        <v>2500</v>
      </c>
      <c r="AD102" s="26">
        <f>Construction!$BK103*tower_mana+IF(race="Templars",ROUNDDOWN(Military!F102*0.02,0),0)+IF(race="Black Orc",Military!G102*5,0)+IF(race="Growth",ROUNDDOWN(Military!G102*0.1,0),0)+IF(race="Void",ROUNDDOWN(Military!F102*1.5,0),0)+IF(race="Void",ROUNDDOWN(Military!G102*4,0),0)</f>
        <v>1250</v>
      </c>
      <c r="AE102" s="164">
        <f>Construction!$BE103*om_ore+IF(race="Dwarf",ROUNDDOWN(Military!F102*2,0),0)</f>
        <v>0</v>
      </c>
      <c r="AF102" s="57">
        <f>Construction!$BN103*dm_gems+IF(race="Dwarf",ROUNDDOWN(Military!F102/2,0),0)</f>
        <v>0</v>
      </c>
      <c r="AH102" s="266">
        <f ca="1">MIN(race_platinum_bonus + IF(Magic!AJ102&gt;0,midas_bonus) + Imps!Y102 - BB102*0.02+MAX(tech_production_plat*Techs!Y102,tech_treasure_hunt_plat*Techs!AR102), 0.5)</f>
        <v>0</v>
      </c>
      <c r="AI102" s="455">
        <f ca="1">race_food_bonus + IF(Magic!AO102&gt;0,gaias_blessing_food,IF(Magic!AG102&gt;0,gaias_watch_bonus)) + Imps!AD102+tech_production_food*Techs!W102 + O102/100*prestige_food_bonus</f>
        <v>0.1</v>
      </c>
      <c r="AJ102" s="267">
        <f ca="1">race_lumber_bonus+ IF(Magic!AO102&gt;0,gaias_blessing_lumber)+tech_fruits_of_labor1*Techs!AP102</f>
        <v>0</v>
      </c>
      <c r="AK102" s="267">
        <f ca="1">race_mana_bonus+tech_enchanted_lands_mana*Techs!AT102</f>
        <v>0</v>
      </c>
      <c r="AL102" s="267">
        <f ca="1">race_ore_bonus + IF(Magic!AL102&gt;0,miners_sight_bonus,IF(Magic!AH102&gt;0,mining_strength_bonus))+tech_fruits_of_labor1*Techs!AP102</f>
        <v>0</v>
      </c>
      <c r="AM102" s="193">
        <f ca="1">race_gem_bonus+MAX(tech_production_gems*Techs!X102,tech_fruits_of_labor_gems*Techs!AP102)</f>
        <v>0</v>
      </c>
      <c r="AO102" s="56">
        <f ca="1">I102*food_decay*IF(Magic!AZ102&gt;0,0.5,1)</f>
        <v>3112.64</v>
      </c>
      <c r="AP102" s="26">
        <f ca="1">(1+race_food_consumption)*Population!F102*food_per_person</f>
        <v>2310</v>
      </c>
      <c r="AQ102" s="26">
        <f t="shared" ca="1" si="65"/>
        <v>2693.69</v>
      </c>
      <c r="AR102" s="57">
        <f t="shared" ca="1" si="66"/>
        <v>1135</v>
      </c>
      <c r="AS102" s="26"/>
      <c r="AT102" s="56">
        <f ca="1">Explore!AH102+Construction!AP102+Military!AU102+Rezone!Y102+Imps!AM102-BE102</f>
        <v>0</v>
      </c>
      <c r="AU102" s="26">
        <f>Construction!AQ102+Imps!AN102-BF102</f>
        <v>0</v>
      </c>
      <c r="AV102" s="26">
        <f>Magic!AD102</f>
        <v>0</v>
      </c>
      <c r="AW102" s="26">
        <f ca="1">Military!AV102+Imps!AO102-BG102</f>
        <v>0</v>
      </c>
      <c r="AX102" s="26">
        <f>Imps!AP102-BH102</f>
        <v>0</v>
      </c>
      <c r="AY102" s="26">
        <f ca="1">Military!AZ102</f>
        <v>0</v>
      </c>
      <c r="AZ102" s="57">
        <f ca="1">Military!BA102</f>
        <v>0</v>
      </c>
      <c r="BB102" s="56" t="b">
        <f t="shared" si="64"/>
        <v>0</v>
      </c>
      <c r="BC102" s="332"/>
      <c r="BD102" s="979">
        <v>28</v>
      </c>
      <c r="BE102" s="332"/>
      <c r="BF102" s="370"/>
      <c r="BG102" s="370"/>
      <c r="BH102" s="744"/>
      <c r="BI102" s="1036">
        <f t="shared" si="45"/>
        <v>43696.12499999976</v>
      </c>
      <c r="BJ102" s="159" t="str">
        <f t="shared" si="61"/>
        <v/>
      </c>
      <c r="BK102" s="26">
        <f t="shared" ca="1" si="57"/>
        <v>4001960</v>
      </c>
      <c r="BL102" s="26">
        <f t="shared" ca="1" si="46"/>
        <v>311264</v>
      </c>
      <c r="BM102" s="26">
        <f t="shared" ca="1" si="47"/>
        <v>269369</v>
      </c>
      <c r="BN102" s="26">
        <f t="shared" ca="1" si="48"/>
        <v>56750</v>
      </c>
      <c r="BO102" s="57">
        <f t="shared" ca="1" si="49"/>
        <v>231000</v>
      </c>
    </row>
    <row r="103" spans="1:67" s="16" customFormat="1">
      <c r="A103" s="987">
        <v>29</v>
      </c>
      <c r="B103" s="816">
        <f>Imps!L103</f>
        <v>43696.166666666424</v>
      </c>
      <c r="C103" s="332"/>
      <c r="D103" s="835"/>
      <c r="E103" s="56">
        <f>Construction!E103</f>
        <v>1000</v>
      </c>
      <c r="F103" s="26">
        <f ca="1">Population!$C103</f>
        <v>3945</v>
      </c>
      <c r="G103" s="26">
        <f ca="1">Military!EM103</f>
        <v>39460</v>
      </c>
      <c r="H103" s="26">
        <f ca="1">H102+S102 - AT103 + IF(C103,Population!C103*4)</f>
        <v>4012611</v>
      </c>
      <c r="I103" s="26">
        <f t="shared" ca="1" si="58"/>
        <v>312881</v>
      </c>
      <c r="J103" s="26">
        <f t="shared" ca="1" si="50"/>
        <v>269175</v>
      </c>
      <c r="K103" s="26">
        <f t="shared" ca="1" si="51"/>
        <v>56865</v>
      </c>
      <c r="L103" s="26">
        <f t="shared" ca="1" si="52"/>
        <v>231000</v>
      </c>
      <c r="M103" s="26">
        <f t="shared" ca="1" si="67"/>
        <v>20000</v>
      </c>
      <c r="N103" s="26">
        <f t="shared" ca="1" si="59"/>
        <v>200</v>
      </c>
      <c r="O103" s="26">
        <f t="shared" si="62"/>
        <v>500</v>
      </c>
      <c r="P103" s="26">
        <f>ROUNDDOWN(P102+MAX(Construction!BO103/2,Construction!BO103*(1-Construction!BO103/(E103-Explore!S103*20)))-Q103*SUM(Techs!AY103:BY103),0)</f>
        <v>0</v>
      </c>
      <c r="Q103" s="166">
        <f>MAX(min_tech_cost,ROUNDDOWN(tech_cost_per_acre*Construction!E103,0))</f>
        <v>6426</v>
      </c>
      <c r="S103" s="152">
        <f t="shared" ca="1" si="54"/>
        <v>10651</v>
      </c>
      <c r="T103" s="164">
        <f t="shared" ca="1" si="40"/>
        <v>1601</v>
      </c>
      <c r="U103" s="164">
        <f t="shared" ca="1" si="41"/>
        <v>-192</v>
      </c>
      <c r="V103" s="164">
        <f t="shared" ca="1" si="42"/>
        <v>113</v>
      </c>
      <c r="W103" s="164">
        <f t="shared" ca="1" si="55"/>
        <v>0</v>
      </c>
      <c r="X103" s="164">
        <f t="shared" ca="1" si="56"/>
        <v>0</v>
      </c>
      <c r="Y103" s="265">
        <f>Construction!BP104*dock_boats_hr</f>
        <v>0</v>
      </c>
      <c r="Z103" s="164"/>
      <c r="AA103" s="152">
        <f ca="1">Population!C103*tax*Population!I103 + (Construction!AY104+Construction!BW104)*(alch_plat+(Magic!AR103&gt;0)*alchemist_flame_bonus)</f>
        <v>10651.5</v>
      </c>
      <c r="AB103" s="164">
        <f>Construction!$AZ103*farm_food + Construction!$BP103*dock_food+IF(race="Growth",ROUNDDOWN(Military!G103*8,0),0)</f>
        <v>6400</v>
      </c>
      <c r="AC103" s="164">
        <f>Construction!$BC103*ly_lumber+IF(race="Ants",ROUNDDOWN(Military!F103/2,0),0)</f>
        <v>2500</v>
      </c>
      <c r="AD103" s="26">
        <f>Construction!$BK104*tower_mana+IF(race="Templars",ROUNDDOWN(Military!F103*0.02,0),0)+IF(race="Black Orc",Military!G103*5,0)+IF(race="Growth",ROUNDDOWN(Military!G103*0.1,0),0)+IF(race="Void",ROUNDDOWN(Military!F103*1.5,0),0)+IF(race="Void",ROUNDDOWN(Military!G103*4,0),0)</f>
        <v>1250</v>
      </c>
      <c r="AE103" s="164">
        <f>Construction!$BE104*om_ore+IF(race="Dwarf",ROUNDDOWN(Military!F103*2,0),0)</f>
        <v>0</v>
      </c>
      <c r="AF103" s="57">
        <f>Construction!$BN104*dm_gems+IF(race="Dwarf",ROUNDDOWN(Military!F103/2,0),0)</f>
        <v>0</v>
      </c>
      <c r="AH103" s="266">
        <f ca="1">MIN(race_platinum_bonus + IF(Magic!AJ103&gt;0,midas_bonus) + Imps!Y103 - BB103*0.02+MAX(tech_production_plat*Techs!Y103,tech_treasure_hunt_plat*Techs!AR103), 0.5)</f>
        <v>0</v>
      </c>
      <c r="AI103" s="455">
        <f ca="1">race_food_bonus + IF(Magic!AO103&gt;0,gaias_blessing_food,IF(Magic!AG103&gt;0,gaias_watch_bonus)) + Imps!AD103+tech_production_food*Techs!W103 + O103/100*prestige_food_bonus</f>
        <v>0.1</v>
      </c>
      <c r="AJ103" s="267">
        <f ca="1">race_lumber_bonus+ IF(Magic!AO103&gt;0,gaias_blessing_lumber)+tech_fruits_of_labor1*Techs!AP103</f>
        <v>0</v>
      </c>
      <c r="AK103" s="267">
        <f ca="1">race_mana_bonus+tech_enchanted_lands_mana*Techs!AT103</f>
        <v>0</v>
      </c>
      <c r="AL103" s="267">
        <f ca="1">race_ore_bonus + IF(Magic!AL103&gt;0,miners_sight_bonus,IF(Magic!AH103&gt;0,mining_strength_bonus))+tech_fruits_of_labor1*Techs!AP103</f>
        <v>0</v>
      </c>
      <c r="AM103" s="193">
        <f ca="1">race_gem_bonus+MAX(tech_production_gems*Techs!X103,tech_fruits_of_labor_gems*Techs!AP103)</f>
        <v>0</v>
      </c>
      <c r="AO103" s="56">
        <f ca="1">I103*food_decay*IF(Magic!AZ103&gt;0,0.5,1)</f>
        <v>3128.81</v>
      </c>
      <c r="AP103" s="26">
        <f ca="1">(1+race_food_consumption)*Population!F103*food_per_person</f>
        <v>2310</v>
      </c>
      <c r="AQ103" s="26">
        <f t="shared" ca="1" si="65"/>
        <v>2691.75</v>
      </c>
      <c r="AR103" s="57">
        <f t="shared" ca="1" si="66"/>
        <v>1137.3</v>
      </c>
      <c r="AS103" s="26"/>
      <c r="AT103" s="56">
        <f ca="1">Explore!AH103+Construction!AP103+Military!AU103+Rezone!Y103+Imps!AM103-BE103</f>
        <v>0</v>
      </c>
      <c r="AU103" s="26">
        <f>Construction!AQ103+Imps!AN103-BF103</f>
        <v>0</v>
      </c>
      <c r="AV103" s="26">
        <f>Magic!AD103</f>
        <v>0</v>
      </c>
      <c r="AW103" s="26">
        <f ca="1">Military!AV103+Imps!AO103-BG103</f>
        <v>0</v>
      </c>
      <c r="AX103" s="26">
        <f>Imps!AP103-BH103</f>
        <v>0</v>
      </c>
      <c r="AY103" s="26">
        <f ca="1">Military!AZ103</f>
        <v>0</v>
      </c>
      <c r="AZ103" s="57">
        <f ca="1">Military!BA103</f>
        <v>0</v>
      </c>
      <c r="BB103" s="56" t="b">
        <f t="shared" si="64"/>
        <v>0</v>
      </c>
      <c r="BC103" s="332"/>
      <c r="BD103" s="979">
        <v>29</v>
      </c>
      <c r="BE103" s="332"/>
      <c r="BF103" s="370"/>
      <c r="BG103" s="370"/>
      <c r="BH103" s="744"/>
      <c r="BI103" s="1036">
        <f t="shared" si="45"/>
        <v>43696.166666666424</v>
      </c>
      <c r="BJ103" s="159" t="str">
        <f t="shared" si="61"/>
        <v/>
      </c>
      <c r="BK103" s="26">
        <f t="shared" ca="1" si="57"/>
        <v>4012611</v>
      </c>
      <c r="BL103" s="26">
        <f t="shared" ca="1" si="46"/>
        <v>312881</v>
      </c>
      <c r="BM103" s="26">
        <f t="shared" ca="1" si="47"/>
        <v>269175</v>
      </c>
      <c r="BN103" s="26">
        <f t="shared" ca="1" si="48"/>
        <v>56865</v>
      </c>
      <c r="BO103" s="57">
        <f t="shared" ca="1" si="49"/>
        <v>231000</v>
      </c>
    </row>
    <row r="104" spans="1:67" s="16" customFormat="1">
      <c r="A104" s="987">
        <v>30</v>
      </c>
      <c r="B104" s="816">
        <f>Imps!L104</f>
        <v>43696.208333333088</v>
      </c>
      <c r="C104" s="332"/>
      <c r="D104" s="835"/>
      <c r="E104" s="56">
        <f>Construction!E104</f>
        <v>1000</v>
      </c>
      <c r="F104" s="26">
        <f ca="1">Population!$C104</f>
        <v>3945</v>
      </c>
      <c r="G104" s="26">
        <f ca="1">Military!EM104</f>
        <v>39460</v>
      </c>
      <c r="H104" s="26">
        <f ca="1">H103+S103 - AT104 + IF(C104,Population!C104*4)</f>
        <v>4023262</v>
      </c>
      <c r="I104" s="26">
        <f t="shared" ca="1" si="58"/>
        <v>314482</v>
      </c>
      <c r="J104" s="26">
        <f t="shared" ca="1" si="50"/>
        <v>268983</v>
      </c>
      <c r="K104" s="26">
        <f t="shared" ca="1" si="51"/>
        <v>56978</v>
      </c>
      <c r="L104" s="26">
        <f t="shared" ca="1" si="52"/>
        <v>231000</v>
      </c>
      <c r="M104" s="26">
        <f t="shared" ca="1" si="67"/>
        <v>20000</v>
      </c>
      <c r="N104" s="26">
        <f t="shared" ca="1" si="59"/>
        <v>200</v>
      </c>
      <c r="O104" s="26">
        <f t="shared" si="62"/>
        <v>500</v>
      </c>
      <c r="P104" s="26">
        <f>ROUNDDOWN(P103+MAX(Construction!BO104/2,Construction!BO104*(1-Construction!BO104/(E104-Explore!S104*20)))-Q104*SUM(Techs!AY104:BY104),0)</f>
        <v>0</v>
      </c>
      <c r="Q104" s="166">
        <f>MAX(min_tech_cost,ROUNDDOWN(tech_cost_per_acre*Construction!E104,0))</f>
        <v>6426</v>
      </c>
      <c r="S104" s="152">
        <f t="shared" ca="1" si="54"/>
        <v>10651</v>
      </c>
      <c r="T104" s="164">
        <f t="shared" ca="1" si="40"/>
        <v>1585</v>
      </c>
      <c r="U104" s="164">
        <f t="shared" ca="1" si="41"/>
        <v>-190</v>
      </c>
      <c r="V104" s="164">
        <f t="shared" ca="1" si="42"/>
        <v>110</v>
      </c>
      <c r="W104" s="164">
        <f t="shared" ca="1" si="55"/>
        <v>0</v>
      </c>
      <c r="X104" s="164">
        <f t="shared" ca="1" si="56"/>
        <v>0</v>
      </c>
      <c r="Y104" s="265">
        <f>Construction!BP105*dock_boats_hr</f>
        <v>0</v>
      </c>
      <c r="Z104" s="164"/>
      <c r="AA104" s="152">
        <f ca="1">Population!C104*tax*Population!I104 + (Construction!AY105+Construction!BW105)*(alch_plat+(Magic!AR104&gt;0)*alchemist_flame_bonus)</f>
        <v>10651.5</v>
      </c>
      <c r="AB104" s="164">
        <f>Construction!$AZ104*farm_food + Construction!$BP104*dock_food+IF(race="Growth",ROUNDDOWN(Military!G104*8,0),0)</f>
        <v>6400</v>
      </c>
      <c r="AC104" s="164">
        <f>Construction!$BC104*ly_lumber+IF(race="Ants",ROUNDDOWN(Military!F104/2,0),0)</f>
        <v>2500</v>
      </c>
      <c r="AD104" s="26">
        <f>Construction!$BK105*tower_mana+IF(race="Templars",ROUNDDOWN(Military!F104*0.02,0),0)+IF(race="Black Orc",Military!G104*5,0)+IF(race="Growth",ROUNDDOWN(Military!G104*0.1,0),0)+IF(race="Void",ROUNDDOWN(Military!F104*1.5,0),0)+IF(race="Void",ROUNDDOWN(Military!G104*4,0),0)</f>
        <v>1250</v>
      </c>
      <c r="AE104" s="164">
        <f>Construction!$BE105*om_ore+IF(race="Dwarf",ROUNDDOWN(Military!F104*2,0),0)</f>
        <v>0</v>
      </c>
      <c r="AF104" s="57">
        <f>Construction!$BN105*dm_gems+IF(race="Dwarf",ROUNDDOWN(Military!F104/2,0),0)</f>
        <v>0</v>
      </c>
      <c r="AH104" s="266">
        <f ca="1">MIN(race_platinum_bonus + IF(Magic!AJ104&gt;0,midas_bonus) + Imps!Y104 - BB104*0.02+MAX(tech_production_plat*Techs!Y104,tech_treasure_hunt_plat*Techs!AR104), 0.5)</f>
        <v>0</v>
      </c>
      <c r="AI104" s="455">
        <f ca="1">race_food_bonus + IF(Magic!AO104&gt;0,gaias_blessing_food,IF(Magic!AG104&gt;0,gaias_watch_bonus)) + Imps!AD104+tech_production_food*Techs!W104 + O104/100*prestige_food_bonus</f>
        <v>0.1</v>
      </c>
      <c r="AJ104" s="267">
        <f ca="1">race_lumber_bonus+ IF(Magic!AO104&gt;0,gaias_blessing_lumber)+tech_fruits_of_labor1*Techs!AP104</f>
        <v>0</v>
      </c>
      <c r="AK104" s="267">
        <f ca="1">race_mana_bonus+tech_enchanted_lands_mana*Techs!AT104</f>
        <v>0</v>
      </c>
      <c r="AL104" s="267">
        <f ca="1">race_ore_bonus + IF(Magic!AL104&gt;0,miners_sight_bonus,IF(Magic!AH104&gt;0,mining_strength_bonus))+tech_fruits_of_labor1*Techs!AP104</f>
        <v>0</v>
      </c>
      <c r="AM104" s="193">
        <f ca="1">race_gem_bonus+MAX(tech_production_gems*Techs!X104,tech_fruits_of_labor_gems*Techs!AP104)</f>
        <v>0</v>
      </c>
      <c r="AO104" s="56">
        <f ca="1">I104*food_decay*IF(Magic!AZ104&gt;0,0.5,1)</f>
        <v>3144.82</v>
      </c>
      <c r="AP104" s="26">
        <f ca="1">(1+race_food_consumption)*Population!F104*food_per_person</f>
        <v>2310</v>
      </c>
      <c r="AQ104" s="26">
        <f t="shared" ca="1" si="65"/>
        <v>2689.83</v>
      </c>
      <c r="AR104" s="57">
        <f t="shared" ca="1" si="66"/>
        <v>1139.56</v>
      </c>
      <c r="AS104" s="26"/>
      <c r="AT104" s="56">
        <f ca="1">Explore!AH104+Construction!AP104+Military!AU104+Rezone!Y104+Imps!AM104-BE104</f>
        <v>0</v>
      </c>
      <c r="AU104" s="26">
        <f>Construction!AQ104+Imps!AN104-BF104</f>
        <v>0</v>
      </c>
      <c r="AV104" s="26">
        <f>Magic!AD104</f>
        <v>0</v>
      </c>
      <c r="AW104" s="26">
        <f ca="1">Military!AV104+Imps!AO104-BG104</f>
        <v>0</v>
      </c>
      <c r="AX104" s="26">
        <f>Imps!AP104-BH104</f>
        <v>0</v>
      </c>
      <c r="AY104" s="26">
        <f ca="1">Military!AZ104</f>
        <v>0</v>
      </c>
      <c r="AZ104" s="57">
        <f ca="1">Military!BA104</f>
        <v>0</v>
      </c>
      <c r="BB104" s="56" t="b">
        <f t="shared" si="64"/>
        <v>0</v>
      </c>
      <c r="BC104" s="332"/>
      <c r="BD104" s="979">
        <v>30</v>
      </c>
      <c r="BE104" s="332"/>
      <c r="BF104" s="370"/>
      <c r="BG104" s="370"/>
      <c r="BH104" s="744"/>
      <c r="BI104" s="1036">
        <f t="shared" si="45"/>
        <v>43696.208333333088</v>
      </c>
      <c r="BJ104" s="159" t="str">
        <f t="shared" si="61"/>
        <v/>
      </c>
      <c r="BK104" s="26">
        <f t="shared" ca="1" si="57"/>
        <v>4023262</v>
      </c>
      <c r="BL104" s="26">
        <f t="shared" ca="1" si="46"/>
        <v>314482</v>
      </c>
      <c r="BM104" s="26">
        <f t="shared" ca="1" si="47"/>
        <v>268983</v>
      </c>
      <c r="BN104" s="26">
        <f t="shared" ca="1" si="48"/>
        <v>56978</v>
      </c>
      <c r="BO104" s="57">
        <f t="shared" ca="1" si="49"/>
        <v>231000</v>
      </c>
    </row>
    <row r="105" spans="1:67" s="16" customFormat="1">
      <c r="A105" s="987">
        <v>31</v>
      </c>
      <c r="B105" s="816">
        <f>Imps!L105</f>
        <v>43696.249999999753</v>
      </c>
      <c r="C105" s="332"/>
      <c r="D105" s="835"/>
      <c r="E105" s="56">
        <f>Construction!E105</f>
        <v>1000</v>
      </c>
      <c r="F105" s="26">
        <f ca="1">Population!$C105</f>
        <v>3945</v>
      </c>
      <c r="G105" s="26">
        <f ca="1">Military!EM105</f>
        <v>39460</v>
      </c>
      <c r="H105" s="26">
        <f ca="1">H104+S104 - AT105 + IF(C105,Population!C105*4)</f>
        <v>4033913</v>
      </c>
      <c r="I105" s="26">
        <f t="shared" ca="1" si="58"/>
        <v>316067</v>
      </c>
      <c r="J105" s="26">
        <f t="shared" ca="1" si="50"/>
        <v>268793</v>
      </c>
      <c r="K105" s="26">
        <f t="shared" ca="1" si="51"/>
        <v>57088</v>
      </c>
      <c r="L105" s="26">
        <f t="shared" ca="1" si="52"/>
        <v>231000</v>
      </c>
      <c r="M105" s="26">
        <f t="shared" ca="1" si="67"/>
        <v>20000</v>
      </c>
      <c r="N105" s="26">
        <f t="shared" ca="1" si="59"/>
        <v>200</v>
      </c>
      <c r="O105" s="26">
        <f t="shared" si="62"/>
        <v>500</v>
      </c>
      <c r="P105" s="26">
        <f>ROUNDDOWN(P104+MAX(Construction!BO105/2,Construction!BO105*(1-Construction!BO105/(E105-Explore!S105*20)))-Q105*SUM(Techs!AY105:BY105),0)</f>
        <v>0</v>
      </c>
      <c r="Q105" s="166">
        <f>MAX(min_tech_cost,ROUNDDOWN(tech_cost_per_acre*Construction!E105,0))</f>
        <v>6426</v>
      </c>
      <c r="S105" s="152">
        <f t="shared" ca="1" si="54"/>
        <v>10651</v>
      </c>
      <c r="T105" s="164">
        <f t="shared" ca="1" si="40"/>
        <v>1569</v>
      </c>
      <c r="U105" s="164">
        <f t="shared" ca="1" si="41"/>
        <v>-188</v>
      </c>
      <c r="V105" s="164">
        <f t="shared" ca="1" si="42"/>
        <v>108</v>
      </c>
      <c r="W105" s="164">
        <f t="shared" ca="1" si="55"/>
        <v>0</v>
      </c>
      <c r="X105" s="164">
        <f t="shared" ca="1" si="56"/>
        <v>0</v>
      </c>
      <c r="Y105" s="265">
        <f>Construction!BP106*dock_boats_hr</f>
        <v>0</v>
      </c>
      <c r="Z105" s="164"/>
      <c r="AA105" s="152">
        <f ca="1">Population!C105*tax*Population!I105 + (Construction!AY106+Construction!BW106)*(alch_plat+(Magic!AR105&gt;0)*alchemist_flame_bonus)</f>
        <v>10651.5</v>
      </c>
      <c r="AB105" s="164">
        <f>Construction!$AZ105*farm_food + Construction!$BP105*dock_food+IF(race="Growth",ROUNDDOWN(Military!G105*8,0),0)</f>
        <v>6400</v>
      </c>
      <c r="AC105" s="164">
        <f>Construction!$BC105*ly_lumber+IF(race="Ants",ROUNDDOWN(Military!F105/2,0),0)</f>
        <v>2500</v>
      </c>
      <c r="AD105" s="26">
        <f>Construction!$BK106*tower_mana+IF(race="Templars",ROUNDDOWN(Military!F105*0.02,0),0)+IF(race="Black Orc",Military!G105*5,0)+IF(race="Growth",ROUNDDOWN(Military!G105*0.1,0),0)+IF(race="Void",ROUNDDOWN(Military!F105*1.5,0),0)+IF(race="Void",ROUNDDOWN(Military!G105*4,0),0)</f>
        <v>1250</v>
      </c>
      <c r="AE105" s="164">
        <f>Construction!$BE106*om_ore+IF(race="Dwarf",ROUNDDOWN(Military!F105*2,0),0)</f>
        <v>0</v>
      </c>
      <c r="AF105" s="57">
        <f>Construction!$BN106*dm_gems+IF(race="Dwarf",ROUNDDOWN(Military!F105/2,0),0)</f>
        <v>0</v>
      </c>
      <c r="AH105" s="266">
        <f ca="1">MIN(race_platinum_bonus + IF(Magic!AJ105&gt;0,midas_bonus) + Imps!Y105 - BB105*0.02+MAX(tech_production_plat*Techs!Y105,tech_treasure_hunt_plat*Techs!AR105), 0.5)</f>
        <v>0</v>
      </c>
      <c r="AI105" s="455">
        <f ca="1">race_food_bonus + IF(Magic!AO105&gt;0,gaias_blessing_food,IF(Magic!AG105&gt;0,gaias_watch_bonus)) + Imps!AD105+tech_production_food*Techs!W105 + O105/100*prestige_food_bonus</f>
        <v>0.1</v>
      </c>
      <c r="AJ105" s="267">
        <f ca="1">race_lumber_bonus+ IF(Magic!AO105&gt;0,gaias_blessing_lumber)+tech_fruits_of_labor1*Techs!AP105</f>
        <v>0</v>
      </c>
      <c r="AK105" s="267">
        <f ca="1">race_mana_bonus+tech_enchanted_lands_mana*Techs!AT105</f>
        <v>0</v>
      </c>
      <c r="AL105" s="267">
        <f ca="1">race_ore_bonus + IF(Magic!AL105&gt;0,miners_sight_bonus,IF(Magic!AH105&gt;0,mining_strength_bonus))+tech_fruits_of_labor1*Techs!AP105</f>
        <v>0</v>
      </c>
      <c r="AM105" s="193">
        <f ca="1">race_gem_bonus+MAX(tech_production_gems*Techs!X105,tech_fruits_of_labor_gems*Techs!AP105)</f>
        <v>0</v>
      </c>
      <c r="AO105" s="56">
        <f ca="1">I105*food_decay*IF(Magic!AZ105&gt;0,0.5,1)</f>
        <v>3160.67</v>
      </c>
      <c r="AP105" s="26">
        <f ca="1">(1+race_food_consumption)*Population!F105*food_per_person</f>
        <v>2310</v>
      </c>
      <c r="AQ105" s="26">
        <f t="shared" ca="1" si="65"/>
        <v>2687.93</v>
      </c>
      <c r="AR105" s="57">
        <f t="shared" ca="1" si="66"/>
        <v>1141.76</v>
      </c>
      <c r="AS105" s="26"/>
      <c r="AT105" s="56">
        <f ca="1">Explore!AH105+Construction!AP105+Military!AU105+Rezone!Y105+Imps!AM105-BE105</f>
        <v>0</v>
      </c>
      <c r="AU105" s="26">
        <f>Construction!AQ105+Imps!AN105-BF105</f>
        <v>0</v>
      </c>
      <c r="AV105" s="26">
        <f>Magic!AD105</f>
        <v>0</v>
      </c>
      <c r="AW105" s="26">
        <f ca="1">Military!AV105+Imps!AO105-BG105</f>
        <v>0</v>
      </c>
      <c r="AX105" s="26">
        <f>Imps!AP105-BH105</f>
        <v>0</v>
      </c>
      <c r="AY105" s="26">
        <f ca="1">Military!AZ105</f>
        <v>0</v>
      </c>
      <c r="AZ105" s="57">
        <f ca="1">Military!BA105</f>
        <v>0</v>
      </c>
      <c r="BB105" s="56" t="b">
        <f t="shared" si="64"/>
        <v>0</v>
      </c>
      <c r="BC105" s="332"/>
      <c r="BD105" s="979">
        <v>31</v>
      </c>
      <c r="BE105" s="332"/>
      <c r="BF105" s="370"/>
      <c r="BG105" s="370"/>
      <c r="BH105" s="744"/>
      <c r="BI105" s="1036">
        <f t="shared" si="45"/>
        <v>43696.249999999753</v>
      </c>
      <c r="BJ105" s="159" t="str">
        <f t="shared" si="61"/>
        <v/>
      </c>
      <c r="BK105" s="26">
        <f t="shared" ca="1" si="57"/>
        <v>4033913</v>
      </c>
      <c r="BL105" s="26">
        <f t="shared" ca="1" si="46"/>
        <v>316067</v>
      </c>
      <c r="BM105" s="26">
        <f t="shared" ca="1" si="47"/>
        <v>268793</v>
      </c>
      <c r="BN105" s="26">
        <f t="shared" ca="1" si="48"/>
        <v>57088</v>
      </c>
      <c r="BO105" s="57">
        <f t="shared" ca="1" si="49"/>
        <v>231000</v>
      </c>
    </row>
    <row r="106" spans="1:67" s="16" customFormat="1">
      <c r="A106" s="987">
        <v>32</v>
      </c>
      <c r="B106" s="816">
        <f>Imps!L106</f>
        <v>43696.291666666417</v>
      </c>
      <c r="C106" s="332"/>
      <c r="D106" s="835"/>
      <c r="E106" s="56">
        <f>Construction!E106</f>
        <v>1000</v>
      </c>
      <c r="F106" s="26">
        <f ca="1">Population!$C106</f>
        <v>3945</v>
      </c>
      <c r="G106" s="26">
        <f ca="1">Military!EM106</f>
        <v>39460</v>
      </c>
      <c r="H106" s="26">
        <f ca="1">H105+S105 - AT106 + IF(C106,Population!C106*4)</f>
        <v>4044564</v>
      </c>
      <c r="I106" s="26">
        <f t="shared" ca="1" si="58"/>
        <v>317636</v>
      </c>
      <c r="J106" s="26">
        <f t="shared" ca="1" si="50"/>
        <v>268605</v>
      </c>
      <c r="K106" s="26">
        <f t="shared" ca="1" si="51"/>
        <v>57196</v>
      </c>
      <c r="L106" s="26">
        <f t="shared" ca="1" si="52"/>
        <v>231000</v>
      </c>
      <c r="M106" s="26">
        <f t="shared" ca="1" si="67"/>
        <v>20000</v>
      </c>
      <c r="N106" s="26">
        <f t="shared" ca="1" si="59"/>
        <v>200</v>
      </c>
      <c r="O106" s="26">
        <f t="shared" si="62"/>
        <v>500</v>
      </c>
      <c r="P106" s="26">
        <f>ROUNDDOWN(P105+MAX(Construction!BO106/2,Construction!BO106*(1-Construction!BO106/(E106-Explore!S106*20)))-Q106*SUM(Techs!AY106:BY106),0)</f>
        <v>0</v>
      </c>
      <c r="Q106" s="166">
        <f>MAX(min_tech_cost,ROUNDDOWN(tech_cost_per_acre*Construction!E106,0))</f>
        <v>6426</v>
      </c>
      <c r="S106" s="152">
        <f t="shared" ca="1" si="54"/>
        <v>10651</v>
      </c>
      <c r="T106" s="164">
        <f t="shared" ca="1" si="40"/>
        <v>1554</v>
      </c>
      <c r="U106" s="164">
        <f t="shared" ca="1" si="41"/>
        <v>-186</v>
      </c>
      <c r="V106" s="164">
        <f t="shared" ca="1" si="42"/>
        <v>106</v>
      </c>
      <c r="W106" s="164">
        <f t="shared" ca="1" si="55"/>
        <v>0</v>
      </c>
      <c r="X106" s="164">
        <f t="shared" ca="1" si="56"/>
        <v>0</v>
      </c>
      <c r="Y106" s="265">
        <f>Construction!BP107*dock_boats_hr</f>
        <v>0</v>
      </c>
      <c r="Z106" s="164"/>
      <c r="AA106" s="152">
        <f ca="1">Population!C106*tax*Population!I106 + (Construction!AY107+Construction!BW107)*(alch_plat+(Magic!AR106&gt;0)*alchemist_flame_bonus)</f>
        <v>10651.5</v>
      </c>
      <c r="AB106" s="164">
        <f>Construction!$AZ106*farm_food + Construction!$BP106*dock_food+IF(race="Growth",ROUNDDOWN(Military!G106*8,0),0)</f>
        <v>6400</v>
      </c>
      <c r="AC106" s="164">
        <f>Construction!$BC106*ly_lumber+IF(race="Ants",ROUNDDOWN(Military!F106/2,0),0)</f>
        <v>2500</v>
      </c>
      <c r="AD106" s="26">
        <f>Construction!$BK107*tower_mana+IF(race="Templars",ROUNDDOWN(Military!F106*0.02,0),0)+IF(race="Black Orc",Military!G106*5,0)+IF(race="Growth",ROUNDDOWN(Military!G106*0.1,0),0)+IF(race="Void",ROUNDDOWN(Military!F106*1.5,0),0)+IF(race="Void",ROUNDDOWN(Military!G106*4,0),0)</f>
        <v>1250</v>
      </c>
      <c r="AE106" s="164">
        <f>Construction!$BE107*om_ore+IF(race="Dwarf",ROUNDDOWN(Military!F106*2,0),0)</f>
        <v>0</v>
      </c>
      <c r="AF106" s="57">
        <f>Construction!$BN107*dm_gems+IF(race="Dwarf",ROUNDDOWN(Military!F106/2,0),0)</f>
        <v>0</v>
      </c>
      <c r="AH106" s="266">
        <f ca="1">MIN(race_platinum_bonus + IF(Magic!AJ106&gt;0,midas_bonus) + Imps!Y106 - BB106*0.02+MAX(tech_production_plat*Techs!Y106,tech_treasure_hunt_plat*Techs!AR106), 0.5)</f>
        <v>0</v>
      </c>
      <c r="AI106" s="455">
        <f ca="1">race_food_bonus + IF(Magic!AO106&gt;0,gaias_blessing_food,IF(Magic!AG106&gt;0,gaias_watch_bonus)) + Imps!AD106+tech_production_food*Techs!W106 + O106/100*prestige_food_bonus</f>
        <v>0.1</v>
      </c>
      <c r="AJ106" s="267">
        <f ca="1">race_lumber_bonus+ IF(Magic!AO106&gt;0,gaias_blessing_lumber)+tech_fruits_of_labor1*Techs!AP106</f>
        <v>0</v>
      </c>
      <c r="AK106" s="267">
        <f ca="1">race_mana_bonus+tech_enchanted_lands_mana*Techs!AT106</f>
        <v>0</v>
      </c>
      <c r="AL106" s="267">
        <f ca="1">race_ore_bonus + IF(Magic!AL106&gt;0,miners_sight_bonus,IF(Magic!AH106&gt;0,mining_strength_bonus))+tech_fruits_of_labor1*Techs!AP106</f>
        <v>0</v>
      </c>
      <c r="AM106" s="193">
        <f ca="1">race_gem_bonus+MAX(tech_production_gems*Techs!X106,tech_fruits_of_labor_gems*Techs!AP106)</f>
        <v>0</v>
      </c>
      <c r="AO106" s="56">
        <f ca="1">I106*food_decay*IF(Magic!AZ106&gt;0,0.5,1)</f>
        <v>3176.36</v>
      </c>
      <c r="AP106" s="26">
        <f ca="1">(1+race_food_consumption)*Population!F106*food_per_person</f>
        <v>2310</v>
      </c>
      <c r="AQ106" s="26">
        <f t="shared" ca="1" si="65"/>
        <v>2686.05</v>
      </c>
      <c r="AR106" s="57">
        <f t="shared" ca="1" si="66"/>
        <v>1143.92</v>
      </c>
      <c r="AS106" s="26"/>
      <c r="AT106" s="56">
        <f ca="1">Explore!AH106+Construction!AP106+Military!AU106+Rezone!Y106+Imps!AM106-BE106</f>
        <v>0</v>
      </c>
      <c r="AU106" s="26">
        <f>Construction!AQ106+Imps!AN106-BF106</f>
        <v>0</v>
      </c>
      <c r="AV106" s="26">
        <f>Magic!AD106</f>
        <v>0</v>
      </c>
      <c r="AW106" s="26">
        <f ca="1">Military!AV106+Imps!AO106-BG106</f>
        <v>0</v>
      </c>
      <c r="AX106" s="26">
        <f>Imps!AP106-BH106</f>
        <v>0</v>
      </c>
      <c r="AY106" s="26">
        <f ca="1">Military!AZ106</f>
        <v>0</v>
      </c>
      <c r="AZ106" s="57">
        <f ca="1">Military!BA106</f>
        <v>0</v>
      </c>
      <c r="BB106" s="56" t="b">
        <f t="shared" si="64"/>
        <v>0</v>
      </c>
      <c r="BC106" s="332"/>
      <c r="BD106" s="979">
        <v>32</v>
      </c>
      <c r="BE106" s="332"/>
      <c r="BF106" s="370"/>
      <c r="BG106" s="370"/>
      <c r="BH106" s="744"/>
      <c r="BI106" s="1036">
        <f t="shared" si="45"/>
        <v>43696.291666666417</v>
      </c>
      <c r="BJ106" s="159" t="str">
        <f t="shared" si="61"/>
        <v/>
      </c>
      <c r="BK106" s="26">
        <f t="shared" ca="1" si="57"/>
        <v>4044564</v>
      </c>
      <c r="BL106" s="26">
        <f t="shared" ca="1" si="46"/>
        <v>317636</v>
      </c>
      <c r="BM106" s="26">
        <f t="shared" ca="1" si="47"/>
        <v>268605</v>
      </c>
      <c r="BN106" s="26">
        <f t="shared" ca="1" si="48"/>
        <v>57196</v>
      </c>
      <c r="BO106" s="57">
        <f t="shared" ca="1" si="49"/>
        <v>231000</v>
      </c>
    </row>
    <row r="107" spans="1:67" s="16" customFormat="1">
      <c r="A107" s="987">
        <v>33</v>
      </c>
      <c r="B107" s="816">
        <f>Imps!L107</f>
        <v>43696.333333333081</v>
      </c>
      <c r="C107" s="332"/>
      <c r="D107" s="835"/>
      <c r="E107" s="56">
        <f>Construction!E107</f>
        <v>1000</v>
      </c>
      <c r="F107" s="26">
        <f ca="1">Population!$C107</f>
        <v>3945</v>
      </c>
      <c r="G107" s="26">
        <f ca="1">Military!EM107</f>
        <v>39460</v>
      </c>
      <c r="H107" s="26">
        <f ca="1">H106+S106 - AT107 + IF(C107,Population!C107*4)</f>
        <v>4055215</v>
      </c>
      <c r="I107" s="26">
        <f t="shared" ca="1" si="58"/>
        <v>319190</v>
      </c>
      <c r="J107" s="26">
        <f t="shared" ca="1" si="50"/>
        <v>268419</v>
      </c>
      <c r="K107" s="26">
        <f t="shared" ca="1" si="51"/>
        <v>57302</v>
      </c>
      <c r="L107" s="26">
        <f t="shared" ca="1" si="52"/>
        <v>231000</v>
      </c>
      <c r="M107" s="26">
        <f t="shared" ca="1" si="67"/>
        <v>20000</v>
      </c>
      <c r="N107" s="26">
        <f t="shared" ca="1" si="59"/>
        <v>200</v>
      </c>
      <c r="O107" s="26">
        <f t="shared" si="62"/>
        <v>500</v>
      </c>
      <c r="P107" s="26">
        <f>ROUNDDOWN(P106+MAX(Construction!BO107/2,Construction!BO107*(1-Construction!BO107/(E107-Explore!S107*20)))-Q107*SUM(Techs!AY107:BY107),0)</f>
        <v>0</v>
      </c>
      <c r="Q107" s="166">
        <f>MAX(min_tech_cost,ROUNDDOWN(tech_cost_per_acre*Construction!E107,0))</f>
        <v>6426</v>
      </c>
      <c r="S107" s="152">
        <f t="shared" ca="1" si="54"/>
        <v>10651</v>
      </c>
      <c r="T107" s="164">
        <f t="shared" ca="1" si="40"/>
        <v>1538</v>
      </c>
      <c r="U107" s="164">
        <f t="shared" ca="1" si="41"/>
        <v>-184</v>
      </c>
      <c r="V107" s="164">
        <f t="shared" ca="1" si="42"/>
        <v>104</v>
      </c>
      <c r="W107" s="164">
        <f t="shared" ca="1" si="55"/>
        <v>0</v>
      </c>
      <c r="X107" s="164">
        <f t="shared" ca="1" si="56"/>
        <v>0</v>
      </c>
      <c r="Y107" s="265">
        <f>Construction!BP108*dock_boats_hr</f>
        <v>0</v>
      </c>
      <c r="Z107" s="164"/>
      <c r="AA107" s="152">
        <f ca="1">Population!C107*tax*Population!I107 + (Construction!AY108+Construction!BW108)*(alch_plat+(Magic!AR107&gt;0)*alchemist_flame_bonus)</f>
        <v>10651.5</v>
      </c>
      <c r="AB107" s="164">
        <f>Construction!$AZ107*farm_food + Construction!$BP107*dock_food+IF(race="Growth",ROUNDDOWN(Military!G107*8,0),0)</f>
        <v>6400</v>
      </c>
      <c r="AC107" s="164">
        <f>Construction!$BC107*ly_lumber+IF(race="Ants",ROUNDDOWN(Military!F107/2,0),0)</f>
        <v>2500</v>
      </c>
      <c r="AD107" s="26">
        <f>Construction!$BK108*tower_mana+IF(race="Templars",ROUNDDOWN(Military!F107*0.02,0),0)+IF(race="Black Orc",Military!G107*5,0)+IF(race="Growth",ROUNDDOWN(Military!G107*0.1,0),0)+IF(race="Void",ROUNDDOWN(Military!F107*1.5,0),0)+IF(race="Void",ROUNDDOWN(Military!G107*4,0),0)</f>
        <v>1250</v>
      </c>
      <c r="AE107" s="164">
        <f>Construction!$BE108*om_ore+IF(race="Dwarf",ROUNDDOWN(Military!F107*2,0),0)</f>
        <v>0</v>
      </c>
      <c r="AF107" s="57">
        <f>Construction!$BN108*dm_gems+IF(race="Dwarf",ROUNDDOWN(Military!F107/2,0),0)</f>
        <v>0</v>
      </c>
      <c r="AH107" s="266">
        <f ca="1">MIN(race_platinum_bonus + IF(Magic!AJ107&gt;0,midas_bonus) + Imps!Y107 - BB107*0.02+MAX(tech_production_plat*Techs!Y107,tech_treasure_hunt_plat*Techs!AR107), 0.5)</f>
        <v>0</v>
      </c>
      <c r="AI107" s="455">
        <f ca="1">race_food_bonus + IF(Magic!AO107&gt;0,gaias_blessing_food,IF(Magic!AG107&gt;0,gaias_watch_bonus)) + Imps!AD107+tech_production_food*Techs!W107 + O107/100*prestige_food_bonus</f>
        <v>0.1</v>
      </c>
      <c r="AJ107" s="267">
        <f ca="1">race_lumber_bonus+ IF(Magic!AO107&gt;0,gaias_blessing_lumber)+tech_fruits_of_labor1*Techs!AP107</f>
        <v>0</v>
      </c>
      <c r="AK107" s="267">
        <f ca="1">race_mana_bonus+tech_enchanted_lands_mana*Techs!AT107</f>
        <v>0</v>
      </c>
      <c r="AL107" s="267">
        <f ca="1">race_ore_bonus + IF(Magic!AL107&gt;0,miners_sight_bonus,IF(Magic!AH107&gt;0,mining_strength_bonus))+tech_fruits_of_labor1*Techs!AP107</f>
        <v>0</v>
      </c>
      <c r="AM107" s="193">
        <f ca="1">race_gem_bonus+MAX(tech_production_gems*Techs!X107,tech_fruits_of_labor_gems*Techs!AP107)</f>
        <v>0</v>
      </c>
      <c r="AO107" s="56">
        <f ca="1">I107*food_decay*IF(Magic!AZ107&gt;0,0.5,1)</f>
        <v>3191.9</v>
      </c>
      <c r="AP107" s="26">
        <f ca="1">(1+race_food_consumption)*Population!F107*food_per_person</f>
        <v>2310</v>
      </c>
      <c r="AQ107" s="26">
        <f t="shared" ca="1" si="65"/>
        <v>2684.19</v>
      </c>
      <c r="AR107" s="57">
        <f t="shared" ca="1" si="66"/>
        <v>1146.04</v>
      </c>
      <c r="AS107" s="26"/>
      <c r="AT107" s="56">
        <f ca="1">Explore!AH107+Construction!AP107+Military!AU107+Rezone!Y107+Imps!AM107-BE107</f>
        <v>0</v>
      </c>
      <c r="AU107" s="26">
        <f>Construction!AQ107+Imps!AN107-BF107</f>
        <v>0</v>
      </c>
      <c r="AV107" s="26">
        <f>Magic!AD107</f>
        <v>0</v>
      </c>
      <c r="AW107" s="26">
        <f ca="1">Military!AV107+Imps!AO107-BG107</f>
        <v>0</v>
      </c>
      <c r="AX107" s="26">
        <f>Imps!AP107-BH107</f>
        <v>0</v>
      </c>
      <c r="AY107" s="26">
        <f ca="1">Military!AZ107</f>
        <v>0</v>
      </c>
      <c r="AZ107" s="57">
        <f ca="1">Military!BA107</f>
        <v>0</v>
      </c>
      <c r="BB107" s="56" t="b">
        <f t="shared" si="64"/>
        <v>0</v>
      </c>
      <c r="BC107" s="332"/>
      <c r="BD107" s="979">
        <v>33</v>
      </c>
      <c r="BE107" s="332"/>
      <c r="BF107" s="370"/>
      <c r="BG107" s="370"/>
      <c r="BH107" s="744"/>
      <c r="BI107" s="1036">
        <f t="shared" si="45"/>
        <v>43696.333333333081</v>
      </c>
      <c r="BJ107" s="159" t="str">
        <f t="shared" si="61"/>
        <v/>
      </c>
      <c r="BK107" s="26">
        <f t="shared" ca="1" si="57"/>
        <v>4055215</v>
      </c>
      <c r="BL107" s="26">
        <f t="shared" ca="1" si="46"/>
        <v>319190</v>
      </c>
      <c r="BM107" s="26">
        <f t="shared" ca="1" si="47"/>
        <v>268419</v>
      </c>
      <c r="BN107" s="26">
        <f t="shared" ca="1" si="48"/>
        <v>57302</v>
      </c>
      <c r="BO107" s="57">
        <f t="shared" ca="1" si="49"/>
        <v>231000</v>
      </c>
    </row>
    <row r="108" spans="1:67" s="16" customFormat="1">
      <c r="A108" s="987">
        <v>34</v>
      </c>
      <c r="B108" s="816">
        <f>Imps!L108</f>
        <v>43696.374999999745</v>
      </c>
      <c r="C108" s="332"/>
      <c r="D108" s="835"/>
      <c r="E108" s="56">
        <f>Construction!E108</f>
        <v>1000</v>
      </c>
      <c r="F108" s="26">
        <f ca="1">Population!$C108</f>
        <v>3945</v>
      </c>
      <c r="G108" s="26">
        <f ca="1">Military!EM108</f>
        <v>39460</v>
      </c>
      <c r="H108" s="26">
        <f ca="1">H107+S107 - AT108 + IF(C108,Population!C108*4)</f>
        <v>4065866</v>
      </c>
      <c r="I108" s="26">
        <f t="shared" ca="1" si="58"/>
        <v>320728</v>
      </c>
      <c r="J108" s="26">
        <f t="shared" ca="1" si="50"/>
        <v>268235</v>
      </c>
      <c r="K108" s="26">
        <f t="shared" ca="1" si="51"/>
        <v>57406</v>
      </c>
      <c r="L108" s="26">
        <f t="shared" ca="1" si="52"/>
        <v>231000</v>
      </c>
      <c r="M108" s="26">
        <f t="shared" ca="1" si="67"/>
        <v>20000</v>
      </c>
      <c r="N108" s="26">
        <f t="shared" ca="1" si="59"/>
        <v>200</v>
      </c>
      <c r="O108" s="26">
        <f t="shared" si="62"/>
        <v>500</v>
      </c>
      <c r="P108" s="26">
        <f>ROUNDDOWN(P107+MAX(Construction!BO108/2,Construction!BO108*(1-Construction!BO108/(E108-Explore!S108*20)))-Q108*SUM(Techs!AY108:BY108),0)</f>
        <v>0</v>
      </c>
      <c r="Q108" s="166">
        <f>MAX(min_tech_cost,ROUNDDOWN(tech_cost_per_acre*Construction!E108,0))</f>
        <v>6426</v>
      </c>
      <c r="S108" s="152">
        <f t="shared" ca="1" si="54"/>
        <v>10651</v>
      </c>
      <c r="T108" s="164">
        <f t="shared" ca="1" si="40"/>
        <v>1523</v>
      </c>
      <c r="U108" s="164">
        <f t="shared" ca="1" si="41"/>
        <v>-182</v>
      </c>
      <c r="V108" s="164">
        <f t="shared" ca="1" si="42"/>
        <v>102</v>
      </c>
      <c r="W108" s="164">
        <f t="shared" ca="1" si="55"/>
        <v>0</v>
      </c>
      <c r="X108" s="164">
        <f t="shared" ca="1" si="56"/>
        <v>0</v>
      </c>
      <c r="Y108" s="265">
        <f>Construction!BP109*dock_boats_hr</f>
        <v>0</v>
      </c>
      <c r="Z108" s="164"/>
      <c r="AA108" s="152">
        <f ca="1">Population!C108*tax*Population!I108 + (Construction!AY109+Construction!BW109)*(alch_plat+(Magic!AR108&gt;0)*alchemist_flame_bonus)</f>
        <v>10651.5</v>
      </c>
      <c r="AB108" s="164">
        <f>Construction!$AZ108*farm_food + Construction!$BP108*dock_food+IF(race="Growth",ROUNDDOWN(Military!G108*8,0),0)</f>
        <v>6400</v>
      </c>
      <c r="AC108" s="164">
        <f>Construction!$BC108*ly_lumber+IF(race="Ants",ROUNDDOWN(Military!F108/2,0),0)</f>
        <v>2500</v>
      </c>
      <c r="AD108" s="26">
        <f>Construction!$BK109*tower_mana+IF(race="Templars",ROUNDDOWN(Military!F108*0.02,0),0)+IF(race="Black Orc",Military!G108*5,0)+IF(race="Growth",ROUNDDOWN(Military!G108*0.1,0),0)+IF(race="Void",ROUNDDOWN(Military!F108*1.5,0),0)+IF(race="Void",ROUNDDOWN(Military!G108*4,0),0)</f>
        <v>1250</v>
      </c>
      <c r="AE108" s="164">
        <f>Construction!$BE109*om_ore+IF(race="Dwarf",ROUNDDOWN(Military!F108*2,0),0)</f>
        <v>0</v>
      </c>
      <c r="AF108" s="57">
        <f>Construction!$BN109*dm_gems+IF(race="Dwarf",ROUNDDOWN(Military!F108/2,0),0)</f>
        <v>0</v>
      </c>
      <c r="AH108" s="266">
        <f ca="1">MIN(race_platinum_bonus + IF(Magic!AJ108&gt;0,midas_bonus) + Imps!Y108 - BB108*0.02+MAX(tech_production_plat*Techs!Y108,tech_treasure_hunt_plat*Techs!AR108), 0.5)</f>
        <v>0</v>
      </c>
      <c r="AI108" s="455">
        <f ca="1">race_food_bonus + IF(Magic!AO108&gt;0,gaias_blessing_food,IF(Magic!AG108&gt;0,gaias_watch_bonus)) + Imps!AD108+tech_production_food*Techs!W108 + O108/100*prestige_food_bonus</f>
        <v>0.1</v>
      </c>
      <c r="AJ108" s="267">
        <f ca="1">race_lumber_bonus+ IF(Magic!AO108&gt;0,gaias_blessing_lumber)+tech_fruits_of_labor1*Techs!AP108</f>
        <v>0</v>
      </c>
      <c r="AK108" s="267">
        <f ca="1">race_mana_bonus+tech_enchanted_lands_mana*Techs!AT108</f>
        <v>0</v>
      </c>
      <c r="AL108" s="267">
        <f ca="1">race_ore_bonus + IF(Magic!AL108&gt;0,miners_sight_bonus,IF(Magic!AH108&gt;0,mining_strength_bonus))+tech_fruits_of_labor1*Techs!AP108</f>
        <v>0</v>
      </c>
      <c r="AM108" s="193">
        <f ca="1">race_gem_bonus+MAX(tech_production_gems*Techs!X108,tech_fruits_of_labor_gems*Techs!AP108)</f>
        <v>0</v>
      </c>
      <c r="AO108" s="56">
        <f ca="1">I108*food_decay*IF(Magic!AZ108&gt;0,0.5,1)</f>
        <v>3207.28</v>
      </c>
      <c r="AP108" s="26">
        <f ca="1">(1+race_food_consumption)*Population!F108*food_per_person</f>
        <v>2310</v>
      </c>
      <c r="AQ108" s="26">
        <f t="shared" ca="1" si="65"/>
        <v>2682.35</v>
      </c>
      <c r="AR108" s="57">
        <f t="shared" ca="1" si="66"/>
        <v>1148.1200000000001</v>
      </c>
      <c r="AS108" s="26"/>
      <c r="AT108" s="56">
        <f ca="1">Explore!AH108+Construction!AP108+Military!AU108+Rezone!Y108+Imps!AM108-BE108</f>
        <v>0</v>
      </c>
      <c r="AU108" s="26">
        <f>Construction!AQ108+Imps!AN108-BF108</f>
        <v>0</v>
      </c>
      <c r="AV108" s="26">
        <f>Magic!AD108</f>
        <v>0</v>
      </c>
      <c r="AW108" s="26">
        <f ca="1">Military!AV108+Imps!AO108-BG108</f>
        <v>0</v>
      </c>
      <c r="AX108" s="26">
        <f>Imps!AP108-BH108</f>
        <v>0</v>
      </c>
      <c r="AY108" s="26">
        <f ca="1">Military!AZ108</f>
        <v>0</v>
      </c>
      <c r="AZ108" s="57">
        <f ca="1">Military!BA108</f>
        <v>0</v>
      </c>
      <c r="BB108" s="56" t="b">
        <f t="shared" si="64"/>
        <v>0</v>
      </c>
      <c r="BC108" s="332"/>
      <c r="BD108" s="979">
        <v>34</v>
      </c>
      <c r="BE108" s="332"/>
      <c r="BF108" s="370"/>
      <c r="BG108" s="370"/>
      <c r="BH108" s="744"/>
      <c r="BI108" s="1036">
        <f t="shared" si="45"/>
        <v>43696.374999999745</v>
      </c>
      <c r="BJ108" s="159" t="str">
        <f t="shared" si="61"/>
        <v/>
      </c>
      <c r="BK108" s="26">
        <f t="shared" ca="1" si="57"/>
        <v>4065866</v>
      </c>
      <c r="BL108" s="26">
        <f t="shared" ca="1" si="46"/>
        <v>320728</v>
      </c>
      <c r="BM108" s="26">
        <f t="shared" ca="1" si="47"/>
        <v>268235</v>
      </c>
      <c r="BN108" s="26">
        <f t="shared" ca="1" si="48"/>
        <v>57406</v>
      </c>
      <c r="BO108" s="57">
        <f t="shared" ca="1" si="49"/>
        <v>231000</v>
      </c>
    </row>
    <row r="109" spans="1:67" s="16" customFormat="1">
      <c r="A109" s="987">
        <v>35</v>
      </c>
      <c r="B109" s="816">
        <f>Imps!L109</f>
        <v>43696.41666666641</v>
      </c>
      <c r="C109" s="332"/>
      <c r="D109" s="835"/>
      <c r="E109" s="56">
        <f>Construction!E109</f>
        <v>1000</v>
      </c>
      <c r="F109" s="26">
        <f ca="1">Population!$C109</f>
        <v>3945</v>
      </c>
      <c r="G109" s="26">
        <f ca="1">Military!EM109</f>
        <v>39460</v>
      </c>
      <c r="H109" s="26">
        <f ca="1">H108+S108 - AT109 + IF(C109,Population!C109*4)</f>
        <v>4076517</v>
      </c>
      <c r="I109" s="26">
        <f t="shared" ca="1" si="58"/>
        <v>322251</v>
      </c>
      <c r="J109" s="26">
        <f t="shared" ca="1" si="50"/>
        <v>268053</v>
      </c>
      <c r="K109" s="26">
        <f t="shared" ca="1" si="51"/>
        <v>57508</v>
      </c>
      <c r="L109" s="26">
        <f t="shared" ca="1" si="52"/>
        <v>231000</v>
      </c>
      <c r="M109" s="26">
        <f t="shared" ca="1" si="67"/>
        <v>20000</v>
      </c>
      <c r="N109" s="26">
        <f t="shared" ca="1" si="59"/>
        <v>200</v>
      </c>
      <c r="O109" s="26">
        <f t="shared" si="62"/>
        <v>500</v>
      </c>
      <c r="P109" s="26">
        <f>ROUNDDOWN(P108+MAX(Construction!BO109/2,Construction!BO109*(1-Construction!BO109/(E109-Explore!S109*20)))-Q109*SUM(Techs!AY109:BY109),0)</f>
        <v>0</v>
      </c>
      <c r="Q109" s="166">
        <f>MAX(min_tech_cost,ROUNDDOWN(tech_cost_per_acre*Construction!E109,0))</f>
        <v>6426</v>
      </c>
      <c r="S109" s="152">
        <f t="shared" ca="1" si="54"/>
        <v>10651</v>
      </c>
      <c r="T109" s="164">
        <f t="shared" ca="1" si="40"/>
        <v>1507</v>
      </c>
      <c r="U109" s="164">
        <f t="shared" ca="1" si="41"/>
        <v>-181</v>
      </c>
      <c r="V109" s="164">
        <f t="shared" ca="1" si="42"/>
        <v>100</v>
      </c>
      <c r="W109" s="164">
        <f t="shared" ca="1" si="55"/>
        <v>0</v>
      </c>
      <c r="X109" s="164">
        <f t="shared" ca="1" si="56"/>
        <v>0</v>
      </c>
      <c r="Y109" s="265">
        <f>Construction!BP110*dock_boats_hr</f>
        <v>0</v>
      </c>
      <c r="Z109" s="164"/>
      <c r="AA109" s="152">
        <f ca="1">Population!C109*tax*Population!I109 + (Construction!AY110+Construction!BW110)*(alch_plat+(Magic!AR109&gt;0)*alchemist_flame_bonus)</f>
        <v>10651.5</v>
      </c>
      <c r="AB109" s="164">
        <f>Construction!$AZ109*farm_food + Construction!$BP109*dock_food+IF(race="Growth",ROUNDDOWN(Military!G109*8,0),0)</f>
        <v>6400</v>
      </c>
      <c r="AC109" s="164">
        <f>Construction!$BC109*ly_lumber+IF(race="Ants",ROUNDDOWN(Military!F109/2,0),0)</f>
        <v>2500</v>
      </c>
      <c r="AD109" s="26">
        <f>Construction!$BK110*tower_mana+IF(race="Templars",ROUNDDOWN(Military!F109*0.02,0),0)+IF(race="Black Orc",Military!G109*5,0)+IF(race="Growth",ROUNDDOWN(Military!G109*0.1,0),0)+IF(race="Void",ROUNDDOWN(Military!F109*1.5,0),0)+IF(race="Void",ROUNDDOWN(Military!G109*4,0),0)</f>
        <v>1250</v>
      </c>
      <c r="AE109" s="164">
        <f>Construction!$BE110*om_ore+IF(race="Dwarf",ROUNDDOWN(Military!F109*2,0),0)</f>
        <v>0</v>
      </c>
      <c r="AF109" s="57">
        <f>Construction!$BN110*dm_gems+IF(race="Dwarf",ROUNDDOWN(Military!F109/2,0),0)</f>
        <v>0</v>
      </c>
      <c r="AH109" s="266">
        <f ca="1">MIN(race_platinum_bonus + IF(Magic!AJ109&gt;0,midas_bonus) + Imps!Y109 - BB109*0.02+MAX(tech_production_plat*Techs!Y109,tech_treasure_hunt_plat*Techs!AR109), 0.5)</f>
        <v>0</v>
      </c>
      <c r="AI109" s="455">
        <f ca="1">race_food_bonus + IF(Magic!AO109&gt;0,gaias_blessing_food,IF(Magic!AG109&gt;0,gaias_watch_bonus)) + Imps!AD109+tech_production_food*Techs!W109 + O109/100*prestige_food_bonus</f>
        <v>0.1</v>
      </c>
      <c r="AJ109" s="267">
        <f ca="1">race_lumber_bonus+ IF(Magic!AO109&gt;0,gaias_blessing_lumber)+tech_fruits_of_labor1*Techs!AP109</f>
        <v>0</v>
      </c>
      <c r="AK109" s="267">
        <f ca="1">race_mana_bonus+tech_enchanted_lands_mana*Techs!AT109</f>
        <v>0</v>
      </c>
      <c r="AL109" s="267">
        <f ca="1">race_ore_bonus + IF(Magic!AL109&gt;0,miners_sight_bonus,IF(Magic!AH109&gt;0,mining_strength_bonus))+tech_fruits_of_labor1*Techs!AP109</f>
        <v>0</v>
      </c>
      <c r="AM109" s="193">
        <f ca="1">race_gem_bonus+MAX(tech_production_gems*Techs!X109,tech_fruits_of_labor_gems*Techs!AP109)</f>
        <v>0</v>
      </c>
      <c r="AO109" s="56">
        <f ca="1">I109*food_decay*IF(Magic!AZ109&gt;0,0.5,1)</f>
        <v>3222.51</v>
      </c>
      <c r="AP109" s="26">
        <f ca="1">(1+race_food_consumption)*Population!F109*food_per_person</f>
        <v>2310</v>
      </c>
      <c r="AQ109" s="26">
        <f t="shared" ca="1" si="65"/>
        <v>2680.53</v>
      </c>
      <c r="AR109" s="57">
        <f t="shared" ca="1" si="66"/>
        <v>1150.1600000000001</v>
      </c>
      <c r="AS109" s="26"/>
      <c r="AT109" s="56">
        <f ca="1">Explore!AH109+Construction!AP109+Military!AU109+Rezone!Y109+Imps!AM109-BE109</f>
        <v>0</v>
      </c>
      <c r="AU109" s="26">
        <f>Construction!AQ109+Imps!AN109-BF109</f>
        <v>0</v>
      </c>
      <c r="AV109" s="26">
        <f>Magic!AD109</f>
        <v>0</v>
      </c>
      <c r="AW109" s="26">
        <f ca="1">Military!AV109+Imps!AO109-BG109</f>
        <v>0</v>
      </c>
      <c r="AX109" s="26">
        <f>Imps!AP109-BH109</f>
        <v>0</v>
      </c>
      <c r="AY109" s="26">
        <f ca="1">Military!AZ109</f>
        <v>0</v>
      </c>
      <c r="AZ109" s="57">
        <f ca="1">Military!BA109</f>
        <v>0</v>
      </c>
      <c r="BB109" s="56" t="b">
        <f t="shared" si="64"/>
        <v>0</v>
      </c>
      <c r="BC109" s="332"/>
      <c r="BD109" s="979">
        <v>35</v>
      </c>
      <c r="BE109" s="332"/>
      <c r="BF109" s="370"/>
      <c r="BG109" s="370"/>
      <c r="BH109" s="744"/>
      <c r="BI109" s="1036">
        <f t="shared" si="45"/>
        <v>43696.41666666641</v>
      </c>
      <c r="BJ109" s="159" t="str">
        <f t="shared" si="61"/>
        <v/>
      </c>
      <c r="BK109" s="26">
        <f t="shared" ca="1" si="57"/>
        <v>4076517</v>
      </c>
      <c r="BL109" s="26">
        <f t="shared" ca="1" si="46"/>
        <v>322251</v>
      </c>
      <c r="BM109" s="26">
        <f t="shared" ca="1" si="47"/>
        <v>268053</v>
      </c>
      <c r="BN109" s="26">
        <f t="shared" ca="1" si="48"/>
        <v>57508</v>
      </c>
      <c r="BO109" s="57">
        <f t="shared" ca="1" si="49"/>
        <v>231000</v>
      </c>
    </row>
    <row r="110" spans="1:67" s="16" customFormat="1">
      <c r="A110" s="987">
        <v>36</v>
      </c>
      <c r="B110" s="532">
        <f>Imps!L110</f>
        <v>43696.458333333074</v>
      </c>
      <c r="C110" s="332"/>
      <c r="D110" s="835"/>
      <c r="E110" s="56">
        <f>Construction!E110</f>
        <v>1000</v>
      </c>
      <c r="F110" s="26">
        <f ca="1">Population!$C110</f>
        <v>3945</v>
      </c>
      <c r="G110" s="26">
        <f ca="1">Military!EM110</f>
        <v>39460</v>
      </c>
      <c r="H110" s="26">
        <f ca="1">H109+S109 - AT110 + IF(C110,Population!C110*4)</f>
        <v>4087168</v>
      </c>
      <c r="I110" s="26">
        <f t="shared" ca="1" si="58"/>
        <v>323758</v>
      </c>
      <c r="J110" s="26">
        <f t="shared" ca="1" si="50"/>
        <v>267872</v>
      </c>
      <c r="K110" s="26">
        <f t="shared" ca="1" si="51"/>
        <v>57608</v>
      </c>
      <c r="L110" s="26">
        <f t="shared" ca="1" si="52"/>
        <v>231000</v>
      </c>
      <c r="M110" s="26">
        <f t="shared" ca="1" si="67"/>
        <v>20000</v>
      </c>
      <c r="N110" s="26">
        <f t="shared" ca="1" si="59"/>
        <v>200</v>
      </c>
      <c r="O110" s="26">
        <f t="shared" si="62"/>
        <v>500</v>
      </c>
      <c r="P110" s="26">
        <f>ROUNDDOWN(P109+MAX(Construction!BO110/2,Construction!BO110*(1-Construction!BO110/(E110-Explore!S110*20)))-Q110*SUM(Techs!AY110:BY110),0)</f>
        <v>0</v>
      </c>
      <c r="Q110" s="166">
        <f>MAX(min_tech_cost,ROUNDDOWN(tech_cost_per_acre*Construction!E110,0))</f>
        <v>6426</v>
      </c>
      <c r="S110" s="152">
        <f t="shared" ca="1" si="54"/>
        <v>10651</v>
      </c>
      <c r="T110" s="164">
        <f t="shared" ca="1" si="40"/>
        <v>1492</v>
      </c>
      <c r="U110" s="164">
        <f t="shared" ca="1" si="41"/>
        <v>-179</v>
      </c>
      <c r="V110" s="164">
        <f t="shared" ca="1" si="42"/>
        <v>98</v>
      </c>
      <c r="W110" s="164">
        <f t="shared" ca="1" si="55"/>
        <v>0</v>
      </c>
      <c r="X110" s="164">
        <f t="shared" ca="1" si="56"/>
        <v>0</v>
      </c>
      <c r="Y110" s="265">
        <f>Construction!BP111*dock_boats_hr</f>
        <v>0</v>
      </c>
      <c r="Z110" s="164"/>
      <c r="AA110" s="152">
        <f ca="1">Population!C110*tax*Population!I110 + (Construction!AY111+Construction!BW111)*(alch_plat+(Magic!AR110&gt;0)*alchemist_flame_bonus)</f>
        <v>10651.5</v>
      </c>
      <c r="AB110" s="164">
        <f>Construction!$AZ110*farm_food + Construction!$BP110*dock_food+IF(race="Growth",ROUNDDOWN(Military!G110*8,0),0)</f>
        <v>6400</v>
      </c>
      <c r="AC110" s="164">
        <f>Construction!$BC110*ly_lumber+IF(race="Ants",ROUNDDOWN(Military!F110/2,0),0)</f>
        <v>2500</v>
      </c>
      <c r="AD110" s="26">
        <f>Construction!$BK111*tower_mana+IF(race="Templars",ROUNDDOWN(Military!F110*0.02,0),0)+IF(race="Black Orc",Military!G110*5,0)+IF(race="Growth",ROUNDDOWN(Military!G110*0.1,0),0)+IF(race="Void",ROUNDDOWN(Military!F110*1.5,0),0)+IF(race="Void",ROUNDDOWN(Military!G110*4,0),0)</f>
        <v>1250</v>
      </c>
      <c r="AE110" s="164">
        <f>Construction!$BE111*om_ore+IF(race="Dwarf",ROUNDDOWN(Military!F110*2,0),0)</f>
        <v>0</v>
      </c>
      <c r="AF110" s="57">
        <f>Construction!$BN111*dm_gems+IF(race="Dwarf",ROUNDDOWN(Military!F110/2,0),0)</f>
        <v>0</v>
      </c>
      <c r="AH110" s="266">
        <f ca="1">MIN(race_platinum_bonus + IF(Magic!AJ110&gt;0,midas_bonus) + Imps!Y110 - BB110*0.02+MAX(tech_production_plat*Techs!Y110,tech_treasure_hunt_plat*Techs!AR110), 0.5)</f>
        <v>0</v>
      </c>
      <c r="AI110" s="455">
        <f ca="1">race_food_bonus + IF(Magic!AO110&gt;0,gaias_blessing_food,IF(Magic!AG110&gt;0,gaias_watch_bonus)) + Imps!AD110+tech_production_food*Techs!W110 + O110/100*prestige_food_bonus</f>
        <v>0.1</v>
      </c>
      <c r="AJ110" s="267">
        <f ca="1">race_lumber_bonus+ IF(Magic!AO110&gt;0,gaias_blessing_lumber)+tech_fruits_of_labor1*Techs!AP110</f>
        <v>0</v>
      </c>
      <c r="AK110" s="267">
        <f ca="1">race_mana_bonus+tech_enchanted_lands_mana*Techs!AT110</f>
        <v>0</v>
      </c>
      <c r="AL110" s="267">
        <f ca="1">race_ore_bonus + IF(Magic!AL110&gt;0,miners_sight_bonus,IF(Magic!AH110&gt;0,mining_strength_bonus))+tech_fruits_of_labor1*Techs!AP110</f>
        <v>0</v>
      </c>
      <c r="AM110" s="193">
        <f ca="1">race_gem_bonus+MAX(tech_production_gems*Techs!X110,tech_fruits_of_labor_gems*Techs!AP110)</f>
        <v>0</v>
      </c>
      <c r="AO110" s="56">
        <f ca="1">I110*food_decay*IF(Magic!AZ110&gt;0,0.5,1)</f>
        <v>3237.58</v>
      </c>
      <c r="AP110" s="26">
        <f ca="1">(1+race_food_consumption)*Population!F110*food_per_person</f>
        <v>2310</v>
      </c>
      <c r="AQ110" s="26">
        <f t="shared" ca="1" si="65"/>
        <v>2678.7200000000003</v>
      </c>
      <c r="AR110" s="57">
        <f t="shared" ca="1" si="66"/>
        <v>1152.1600000000001</v>
      </c>
      <c r="AS110" s="26"/>
      <c r="AT110" s="56">
        <f ca="1">Explore!AH110+Construction!AP110+Military!AU110+Rezone!Y110+Imps!AM110-BE110</f>
        <v>0</v>
      </c>
      <c r="AU110" s="26">
        <f>Construction!AQ110+Imps!AN110-BF110</f>
        <v>0</v>
      </c>
      <c r="AV110" s="26">
        <f>Magic!AD110</f>
        <v>0</v>
      </c>
      <c r="AW110" s="26">
        <f ca="1">Military!AV110+Imps!AO110-BG110</f>
        <v>0</v>
      </c>
      <c r="AX110" s="26">
        <f>Imps!AP110-BH110</f>
        <v>0</v>
      </c>
      <c r="AY110" s="26">
        <f ca="1">Military!AZ110</f>
        <v>0</v>
      </c>
      <c r="AZ110" s="57">
        <f ca="1">Military!BA110</f>
        <v>0</v>
      </c>
      <c r="BB110" s="56" t="b">
        <f t="shared" si="64"/>
        <v>0</v>
      </c>
      <c r="BC110" s="332"/>
      <c r="BD110" s="979">
        <v>36</v>
      </c>
      <c r="BE110" s="332"/>
      <c r="BF110" s="370"/>
      <c r="BG110" s="370"/>
      <c r="BH110" s="744"/>
      <c r="BI110" s="1036">
        <f t="shared" si="45"/>
        <v>43696.458333333074</v>
      </c>
      <c r="BJ110" s="159" t="str">
        <f t="shared" si="61"/>
        <v/>
      </c>
      <c r="BK110" s="26">
        <f t="shared" ca="1" si="57"/>
        <v>4087168</v>
      </c>
      <c r="BL110" s="26">
        <f t="shared" ca="1" si="46"/>
        <v>323758</v>
      </c>
      <c r="BM110" s="26">
        <f t="shared" ca="1" si="47"/>
        <v>267872</v>
      </c>
      <c r="BN110" s="26">
        <f t="shared" ca="1" si="48"/>
        <v>57608</v>
      </c>
      <c r="BO110" s="57">
        <f t="shared" ca="1" si="49"/>
        <v>231000</v>
      </c>
    </row>
    <row r="111" spans="1:67" s="12" customFormat="1">
      <c r="A111" s="990">
        <v>37</v>
      </c>
      <c r="B111" s="677">
        <f>Imps!L111</f>
        <v>43696.499999999738</v>
      </c>
      <c r="C111" s="333"/>
      <c r="D111" s="838"/>
      <c r="E111" s="54">
        <f>Construction!E111</f>
        <v>1000</v>
      </c>
      <c r="F111" s="153">
        <f ca="1">Population!$C111</f>
        <v>3945</v>
      </c>
      <c r="G111" s="153">
        <f ca="1">Military!EM111</f>
        <v>39460</v>
      </c>
      <c r="H111" s="153">
        <f ca="1">H110+S110 - AT111 + IF(C111,Population!C111*4)</f>
        <v>4097819</v>
      </c>
      <c r="I111" s="13">
        <f t="shared" ca="1" si="58"/>
        <v>325250</v>
      </c>
      <c r="J111" s="13">
        <f t="shared" ca="1" si="50"/>
        <v>267693</v>
      </c>
      <c r="K111" s="13">
        <f t="shared" ca="1" si="51"/>
        <v>57706</v>
      </c>
      <c r="L111" s="13">
        <f t="shared" ca="1" si="52"/>
        <v>231000</v>
      </c>
      <c r="M111" s="13">
        <f t="shared" ca="1" si="67"/>
        <v>20000</v>
      </c>
      <c r="N111" s="13">
        <f t="shared" ca="1" si="59"/>
        <v>200</v>
      </c>
      <c r="O111" s="13">
        <f t="shared" si="62"/>
        <v>500</v>
      </c>
      <c r="P111" s="13">
        <f>ROUNDDOWN(P110+MAX(Construction!BO111/2,Construction!BO111*(1-Construction!BO111/(E111-Explore!S111*20)))-Q111*SUM(Techs!AY111:BY111),0)</f>
        <v>0</v>
      </c>
      <c r="Q111" s="55">
        <f>MAX(min_tech_cost,ROUNDDOWN(tech_cost_per_acre*Construction!E111,0))</f>
        <v>6426</v>
      </c>
      <c r="S111" s="151">
        <f t="shared" ca="1" si="54"/>
        <v>10651</v>
      </c>
      <c r="T111" s="153">
        <f t="shared" ca="1" si="40"/>
        <v>1478</v>
      </c>
      <c r="U111" s="153">
        <f t="shared" ca="1" si="41"/>
        <v>-177</v>
      </c>
      <c r="V111" s="153">
        <f t="shared" ca="1" si="42"/>
        <v>96</v>
      </c>
      <c r="W111" s="153">
        <f t="shared" ca="1" si="55"/>
        <v>0</v>
      </c>
      <c r="X111" s="153">
        <f t="shared" ca="1" si="56"/>
        <v>0</v>
      </c>
      <c r="Y111" s="262">
        <f>Construction!BP112*dock_boats_hr</f>
        <v>0</v>
      </c>
      <c r="Z111" s="203"/>
      <c r="AA111" s="151">
        <f ca="1">Population!C111*tax*Population!I111 + (Construction!AY112+Construction!BW112)*(alch_plat+(Magic!AR111&gt;0)*alchemist_flame_bonus)</f>
        <v>10651.5</v>
      </c>
      <c r="AB111" s="153">
        <f>Construction!$AZ111*farm_food + Construction!$BP111*dock_food+IF(race="Growth",ROUNDDOWN(Military!G111*8,0),0)</f>
        <v>6400</v>
      </c>
      <c r="AC111" s="153">
        <f>Construction!$BC111*ly_lumber+IF(race="Ants",ROUNDDOWN(Military!F111/2,0),0)</f>
        <v>2500</v>
      </c>
      <c r="AD111" s="13">
        <f>Construction!$BK112*tower_mana+IF(race="Templars",ROUNDDOWN(Military!F111*0.02,0),0)+IF(race="Black Orc",Military!G111*5,0)+IF(race="Growth",ROUNDDOWN(Military!G111*0.1,0),0)+IF(race="Void",ROUNDDOWN(Military!F111*1.5,0),0)+IF(race="Void",ROUNDDOWN(Military!G111*4,0),0)</f>
        <v>1250</v>
      </c>
      <c r="AE111" s="153">
        <f>Construction!$BE112*om_ore+IF(race="Dwarf",ROUNDDOWN(Military!F111*2,0),0)</f>
        <v>0</v>
      </c>
      <c r="AF111" s="55">
        <f>Construction!$BN112*dm_gems+IF(race="Dwarf",ROUNDDOWN(Military!F111/2,0),0)</f>
        <v>0</v>
      </c>
      <c r="AH111" s="263">
        <f ca="1">MIN(race_platinum_bonus + IF(Magic!AJ111&gt;0,midas_bonus) + Imps!Y111 - BB111*0.02+MAX(tech_production_plat*Techs!Y111,tech_treasure_hunt_plat*Techs!AR111), 0.5)</f>
        <v>0</v>
      </c>
      <c r="AI111" s="447">
        <f ca="1">race_food_bonus + IF(Magic!AO111&gt;0,gaias_blessing_food,IF(Magic!AG111&gt;0,gaias_watch_bonus)) + Imps!AD111+tech_production_food*Techs!W111 + O111/100*prestige_food_bonus</f>
        <v>0.1</v>
      </c>
      <c r="AJ111" s="264">
        <f ca="1">race_lumber_bonus+ IF(Magic!AO111&gt;0,gaias_blessing_lumber)+tech_fruits_of_labor1*Techs!AP111</f>
        <v>0</v>
      </c>
      <c r="AK111" s="264">
        <f ca="1">race_mana_bonus+tech_enchanted_lands_mana*Techs!AT111</f>
        <v>0</v>
      </c>
      <c r="AL111" s="264">
        <f ca="1">race_ore_bonus + IF(Magic!AL111&gt;0,miners_sight_bonus,IF(Magic!AH111&gt;0,mining_strength_bonus))+tech_fruits_of_labor1*Techs!AP111</f>
        <v>0</v>
      </c>
      <c r="AM111" s="194">
        <f ca="1">race_gem_bonus+MAX(tech_production_gems*Techs!X111,tech_fruits_of_labor_gems*Techs!AP111)</f>
        <v>0</v>
      </c>
      <c r="AO111" s="54">
        <f ca="1">I111*food_decay*IF(Magic!AZ111&gt;0,0.5,1)</f>
        <v>3252.5</v>
      </c>
      <c r="AP111" s="13">
        <f ca="1">(1+race_food_consumption)*Population!F111*food_per_person</f>
        <v>2310</v>
      </c>
      <c r="AQ111" s="13">
        <f t="shared" ca="1" si="65"/>
        <v>2676.93</v>
      </c>
      <c r="AR111" s="55">
        <f t="shared" ca="1" si="66"/>
        <v>1154.1200000000001</v>
      </c>
      <c r="AS111" s="13"/>
      <c r="AT111" s="54">
        <f ca="1">Explore!AH111+Construction!AP111+Military!AU111+Rezone!Y111+Imps!AM111-BE111</f>
        <v>0</v>
      </c>
      <c r="AU111" s="13">
        <f>Construction!AQ111+Imps!AN111-BF111</f>
        <v>0</v>
      </c>
      <c r="AV111" s="13">
        <f>Magic!AD111</f>
        <v>0</v>
      </c>
      <c r="AW111" s="13">
        <f ca="1">Military!AV111+Imps!AO111-BG111</f>
        <v>0</v>
      </c>
      <c r="AX111" s="13">
        <f>Imps!AP111-BH111</f>
        <v>0</v>
      </c>
      <c r="AY111" s="13">
        <f ca="1">Military!AZ111</f>
        <v>0</v>
      </c>
      <c r="AZ111" s="55">
        <f ca="1">Military!BA111</f>
        <v>0</v>
      </c>
      <c r="BB111" s="54" t="b">
        <f t="shared" si="64"/>
        <v>0</v>
      </c>
      <c r="BC111" s="333"/>
      <c r="BD111" s="982">
        <v>37</v>
      </c>
      <c r="BE111" s="333"/>
      <c r="BF111" s="429"/>
      <c r="BG111" s="429"/>
      <c r="BH111" s="747"/>
      <c r="BI111" s="1038">
        <f t="shared" si="45"/>
        <v>43696.499999999738</v>
      </c>
      <c r="BJ111" s="287" t="str">
        <f t="shared" si="61"/>
        <v/>
      </c>
      <c r="BK111" s="153">
        <f t="shared" ca="1" si="57"/>
        <v>4097819</v>
      </c>
      <c r="BL111" s="13">
        <f t="shared" ca="1" si="46"/>
        <v>325250</v>
      </c>
      <c r="BM111" s="13">
        <f t="shared" ca="1" si="47"/>
        <v>267693</v>
      </c>
      <c r="BN111" s="13">
        <f t="shared" ca="1" si="48"/>
        <v>57706</v>
      </c>
      <c r="BO111" s="55">
        <f t="shared" ca="1" si="49"/>
        <v>231000</v>
      </c>
    </row>
    <row r="112" spans="1:67" s="16" customFormat="1">
      <c r="A112" s="987">
        <v>38</v>
      </c>
      <c r="B112" s="532">
        <f>Imps!L112</f>
        <v>43696.541666666402</v>
      </c>
      <c r="C112" s="332"/>
      <c r="D112" s="835"/>
      <c r="E112" s="56">
        <f>Construction!E112</f>
        <v>1000</v>
      </c>
      <c r="F112" s="26">
        <f ca="1">Population!$C112</f>
        <v>3945</v>
      </c>
      <c r="G112" s="26">
        <f ca="1">Military!EM112</f>
        <v>39460</v>
      </c>
      <c r="H112" s="26">
        <f ca="1">H111+S111 - AT112 + IF(C112,Population!C112*4)</f>
        <v>4108470</v>
      </c>
      <c r="I112" s="26">
        <f t="shared" ca="1" si="58"/>
        <v>326728</v>
      </c>
      <c r="J112" s="26">
        <f t="shared" ca="1" si="50"/>
        <v>267516</v>
      </c>
      <c r="K112" s="26">
        <f t="shared" ca="1" si="51"/>
        <v>57802</v>
      </c>
      <c r="L112" s="26">
        <f t="shared" ca="1" si="52"/>
        <v>231000</v>
      </c>
      <c r="M112" s="26">
        <f t="shared" ca="1" si="67"/>
        <v>20000</v>
      </c>
      <c r="N112" s="26">
        <f t="shared" ca="1" si="59"/>
        <v>200</v>
      </c>
      <c r="O112" s="26">
        <f t="shared" si="62"/>
        <v>500</v>
      </c>
      <c r="P112" s="26">
        <f>ROUNDDOWN(P111+MAX(Construction!BO112/2,Construction!BO112*(1-Construction!BO112/(E112-Explore!S112*20)))-Q112*SUM(Techs!AY112:BY112),0)</f>
        <v>0</v>
      </c>
      <c r="Q112" s="166">
        <f>MAX(min_tech_cost,ROUNDDOWN(tech_cost_per_acre*Construction!E112,0))</f>
        <v>6426</v>
      </c>
      <c r="S112" s="152">
        <f t="shared" ca="1" si="54"/>
        <v>10651</v>
      </c>
      <c r="T112" s="164">
        <f t="shared" ca="1" si="40"/>
        <v>1463</v>
      </c>
      <c r="U112" s="164">
        <f t="shared" ca="1" si="41"/>
        <v>-175</v>
      </c>
      <c r="V112" s="164">
        <f t="shared" ca="1" si="42"/>
        <v>94</v>
      </c>
      <c r="W112" s="164">
        <f t="shared" ca="1" si="55"/>
        <v>0</v>
      </c>
      <c r="X112" s="164">
        <f t="shared" ca="1" si="56"/>
        <v>0</v>
      </c>
      <c r="Y112" s="265">
        <f>Construction!BP113*dock_boats_hr</f>
        <v>0</v>
      </c>
      <c r="Z112" s="164"/>
      <c r="AA112" s="152">
        <f ca="1">Population!C112*tax*Population!I112 + (Construction!AY113+Construction!BW113)*(alch_plat+(Magic!AR112&gt;0)*alchemist_flame_bonus)</f>
        <v>10651.5</v>
      </c>
      <c r="AB112" s="164">
        <f>Construction!$AZ112*farm_food + Construction!$BP112*dock_food+IF(race="Growth",ROUNDDOWN(Military!G112*8,0),0)</f>
        <v>6400</v>
      </c>
      <c r="AC112" s="164">
        <f>Construction!$BC112*ly_lumber+IF(race="Ants",ROUNDDOWN(Military!F112/2,0),0)</f>
        <v>2500</v>
      </c>
      <c r="AD112" s="26">
        <f>Construction!$BK113*tower_mana+IF(race="Templars",ROUNDDOWN(Military!F112*0.02,0),0)+IF(race="Black Orc",Military!G112*5,0)+IF(race="Growth",ROUNDDOWN(Military!G112*0.1,0),0)+IF(race="Void",ROUNDDOWN(Military!F112*1.5,0),0)+IF(race="Void",ROUNDDOWN(Military!G112*4,0),0)</f>
        <v>1250</v>
      </c>
      <c r="AE112" s="164">
        <f>Construction!$BE113*om_ore+IF(race="Dwarf",ROUNDDOWN(Military!F112*2,0),0)</f>
        <v>0</v>
      </c>
      <c r="AF112" s="57">
        <f>Construction!$BN113*dm_gems+IF(race="Dwarf",ROUNDDOWN(Military!F112/2,0),0)</f>
        <v>0</v>
      </c>
      <c r="AH112" s="266">
        <f ca="1">MIN(race_platinum_bonus + IF(Magic!AJ112&gt;0,midas_bonus) + Imps!Y112 - BB112*0.02+MAX(tech_production_plat*Techs!Y112,tech_treasure_hunt_plat*Techs!AR112), 0.5)</f>
        <v>0</v>
      </c>
      <c r="AI112" s="455">
        <f ca="1">race_food_bonus + IF(Magic!AO112&gt;0,gaias_blessing_food,IF(Magic!AG112&gt;0,gaias_watch_bonus)) + Imps!AD112+tech_production_food*Techs!W112 + O112/100*prestige_food_bonus</f>
        <v>0.1</v>
      </c>
      <c r="AJ112" s="267">
        <f ca="1">race_lumber_bonus+ IF(Magic!AO112&gt;0,gaias_blessing_lumber)+tech_fruits_of_labor1*Techs!AP112</f>
        <v>0</v>
      </c>
      <c r="AK112" s="267">
        <f ca="1">race_mana_bonus+tech_enchanted_lands_mana*Techs!AT112</f>
        <v>0</v>
      </c>
      <c r="AL112" s="267">
        <f ca="1">race_ore_bonus + IF(Magic!AL112&gt;0,miners_sight_bonus,IF(Magic!AH112&gt;0,mining_strength_bonus))+tech_fruits_of_labor1*Techs!AP112</f>
        <v>0</v>
      </c>
      <c r="AM112" s="193">
        <f ca="1">race_gem_bonus+MAX(tech_production_gems*Techs!X112,tech_fruits_of_labor_gems*Techs!AP112)</f>
        <v>0</v>
      </c>
      <c r="AO112" s="56">
        <f ca="1">I112*food_decay*IF(Magic!AZ112&gt;0,0.5,1)</f>
        <v>3267.28</v>
      </c>
      <c r="AP112" s="26">
        <f ca="1">(1+race_food_consumption)*Population!F112*food_per_person</f>
        <v>2310</v>
      </c>
      <c r="AQ112" s="26">
        <f t="shared" ca="1" si="65"/>
        <v>2675.16</v>
      </c>
      <c r="AR112" s="57">
        <f t="shared" ca="1" si="66"/>
        <v>1156.04</v>
      </c>
      <c r="AS112" s="26"/>
      <c r="AT112" s="56">
        <f ca="1">Explore!AH112+Construction!AP112+Military!AU112+Rezone!Y112+Imps!AM112-BE112</f>
        <v>0</v>
      </c>
      <c r="AU112" s="26">
        <f>Construction!AQ112+Imps!AN112-BF112</f>
        <v>0</v>
      </c>
      <c r="AV112" s="26">
        <f>Magic!AD112</f>
        <v>0</v>
      </c>
      <c r="AW112" s="26">
        <f ca="1">Military!AV112+Imps!AO112-BG112</f>
        <v>0</v>
      </c>
      <c r="AX112" s="26">
        <f>Imps!AP112-BH112</f>
        <v>0</v>
      </c>
      <c r="AY112" s="26">
        <f ca="1">Military!AZ112</f>
        <v>0</v>
      </c>
      <c r="AZ112" s="57">
        <f ca="1">Military!BA112</f>
        <v>0</v>
      </c>
      <c r="BB112" s="56" t="b">
        <f t="shared" si="64"/>
        <v>0</v>
      </c>
      <c r="BC112" s="332"/>
      <c r="BD112" s="979">
        <v>38</v>
      </c>
      <c r="BE112" s="332"/>
      <c r="BF112" s="370"/>
      <c r="BG112" s="370"/>
      <c r="BH112" s="744"/>
      <c r="BI112" s="1036">
        <f t="shared" si="45"/>
        <v>43696.541666666402</v>
      </c>
      <c r="BJ112" s="159" t="str">
        <f t="shared" si="61"/>
        <v/>
      </c>
      <c r="BK112" s="26">
        <f t="shared" ca="1" si="57"/>
        <v>4108470</v>
      </c>
      <c r="BL112" s="26">
        <f t="shared" ca="1" si="46"/>
        <v>326728</v>
      </c>
      <c r="BM112" s="26">
        <f t="shared" ca="1" si="47"/>
        <v>267516</v>
      </c>
      <c r="BN112" s="26">
        <f t="shared" ca="1" si="48"/>
        <v>57802</v>
      </c>
      <c r="BO112" s="57">
        <f t="shared" ca="1" si="49"/>
        <v>231000</v>
      </c>
    </row>
    <row r="113" spans="1:67" s="16" customFormat="1">
      <c r="A113" s="987">
        <v>39</v>
      </c>
      <c r="B113" s="816">
        <f>Imps!L113</f>
        <v>43696.583333333067</v>
      </c>
      <c r="C113" s="332"/>
      <c r="D113" s="835"/>
      <c r="E113" s="56">
        <f>Construction!E113</f>
        <v>1000</v>
      </c>
      <c r="F113" s="26">
        <f ca="1">Population!$C113</f>
        <v>3945</v>
      </c>
      <c r="G113" s="26">
        <f ca="1">Military!EM113</f>
        <v>39460</v>
      </c>
      <c r="H113" s="26">
        <f ca="1">H112+S112 - AT113 + IF(C113,Population!C113*4)</f>
        <v>4119121</v>
      </c>
      <c r="I113" s="26">
        <f t="shared" ca="1" si="58"/>
        <v>328191</v>
      </c>
      <c r="J113" s="26">
        <f t="shared" ca="1" si="50"/>
        <v>267341</v>
      </c>
      <c r="K113" s="26">
        <f t="shared" ca="1" si="51"/>
        <v>57896</v>
      </c>
      <c r="L113" s="26">
        <f t="shared" ca="1" si="52"/>
        <v>231000</v>
      </c>
      <c r="M113" s="26">
        <f t="shared" ca="1" si="67"/>
        <v>20000</v>
      </c>
      <c r="N113" s="26">
        <f t="shared" ca="1" si="59"/>
        <v>200</v>
      </c>
      <c r="O113" s="26">
        <f t="shared" si="62"/>
        <v>500</v>
      </c>
      <c r="P113" s="26">
        <f>ROUNDDOWN(P112+MAX(Construction!BO113/2,Construction!BO113*(1-Construction!BO113/(E113-Explore!S113*20)))-Q113*SUM(Techs!AY113:BY113),0)</f>
        <v>0</v>
      </c>
      <c r="Q113" s="166">
        <f>MAX(min_tech_cost,ROUNDDOWN(tech_cost_per_acre*Construction!E113,0))</f>
        <v>6426</v>
      </c>
      <c r="S113" s="152">
        <f t="shared" ca="1" si="54"/>
        <v>10651</v>
      </c>
      <c r="T113" s="164">
        <f t="shared" ca="1" si="40"/>
        <v>1448</v>
      </c>
      <c r="U113" s="164">
        <f t="shared" ca="1" si="41"/>
        <v>-173</v>
      </c>
      <c r="V113" s="164">
        <f t="shared" ca="1" si="42"/>
        <v>92</v>
      </c>
      <c r="W113" s="164">
        <f t="shared" ca="1" si="55"/>
        <v>0</v>
      </c>
      <c r="X113" s="164">
        <f t="shared" ca="1" si="56"/>
        <v>0</v>
      </c>
      <c r="Y113" s="265">
        <f>Construction!BP114*dock_boats_hr</f>
        <v>0</v>
      </c>
      <c r="Z113" s="164"/>
      <c r="AA113" s="152">
        <f ca="1">Population!C113*tax*Population!I113 + (Construction!AY114+Construction!BW114)*(alch_plat+(Magic!AR113&gt;0)*alchemist_flame_bonus)</f>
        <v>10651.5</v>
      </c>
      <c r="AB113" s="164">
        <f>Construction!$AZ113*farm_food + Construction!$BP113*dock_food+IF(race="Growth",ROUNDDOWN(Military!G113*8,0),0)</f>
        <v>6400</v>
      </c>
      <c r="AC113" s="164">
        <f>Construction!$BC113*ly_lumber+IF(race="Ants",ROUNDDOWN(Military!F113/2,0),0)</f>
        <v>2500</v>
      </c>
      <c r="AD113" s="26">
        <f>Construction!$BK114*tower_mana+IF(race="Templars",ROUNDDOWN(Military!F113*0.02,0),0)+IF(race="Black Orc",Military!G113*5,0)+IF(race="Growth",ROUNDDOWN(Military!G113*0.1,0),0)+IF(race="Void",ROUNDDOWN(Military!F113*1.5,0),0)+IF(race="Void",ROUNDDOWN(Military!G113*4,0),0)</f>
        <v>1250</v>
      </c>
      <c r="AE113" s="164">
        <f>Construction!$BE114*om_ore+IF(race="Dwarf",ROUNDDOWN(Military!F113*2,0),0)</f>
        <v>0</v>
      </c>
      <c r="AF113" s="57">
        <f>Construction!$BN114*dm_gems+IF(race="Dwarf",ROUNDDOWN(Military!F113/2,0),0)</f>
        <v>0</v>
      </c>
      <c r="AH113" s="266">
        <f ca="1">MIN(race_platinum_bonus + IF(Magic!AJ113&gt;0,midas_bonus) + Imps!Y113 - BB113*0.02+MAX(tech_production_plat*Techs!Y113,tech_treasure_hunt_plat*Techs!AR113), 0.5)</f>
        <v>0</v>
      </c>
      <c r="AI113" s="455">
        <f ca="1">race_food_bonus + IF(Magic!AO113&gt;0,gaias_blessing_food,IF(Magic!AG113&gt;0,gaias_watch_bonus)) + Imps!AD113+tech_production_food*Techs!W113 + O113/100*prestige_food_bonus</f>
        <v>0.1</v>
      </c>
      <c r="AJ113" s="267">
        <f ca="1">race_lumber_bonus+ IF(Magic!AO113&gt;0,gaias_blessing_lumber)+tech_fruits_of_labor1*Techs!AP113</f>
        <v>0</v>
      </c>
      <c r="AK113" s="267">
        <f ca="1">race_mana_bonus+tech_enchanted_lands_mana*Techs!AT113</f>
        <v>0</v>
      </c>
      <c r="AL113" s="267">
        <f ca="1">race_ore_bonus + IF(Magic!AL113&gt;0,miners_sight_bonus,IF(Magic!AH113&gt;0,mining_strength_bonus))+tech_fruits_of_labor1*Techs!AP113</f>
        <v>0</v>
      </c>
      <c r="AM113" s="193">
        <f ca="1">race_gem_bonus+MAX(tech_production_gems*Techs!X113,tech_fruits_of_labor_gems*Techs!AP113)</f>
        <v>0</v>
      </c>
      <c r="AO113" s="56">
        <f ca="1">I113*food_decay*IF(Magic!AZ113&gt;0,0.5,1)</f>
        <v>3281.91</v>
      </c>
      <c r="AP113" s="26">
        <f ca="1">(1+race_food_consumption)*Population!F113*food_per_person</f>
        <v>2310</v>
      </c>
      <c r="AQ113" s="26">
        <f t="shared" ca="1" si="65"/>
        <v>2673.41</v>
      </c>
      <c r="AR113" s="57">
        <f t="shared" ca="1" si="66"/>
        <v>1157.92</v>
      </c>
      <c r="AS113" s="26"/>
      <c r="AT113" s="56">
        <f ca="1">Explore!AH113+Construction!AP113+Military!AU113+Rezone!Y113+Imps!AM113-BE113</f>
        <v>0</v>
      </c>
      <c r="AU113" s="26">
        <f>Construction!AQ113+Imps!AN113-BF113</f>
        <v>0</v>
      </c>
      <c r="AV113" s="26">
        <f>Magic!AD113</f>
        <v>0</v>
      </c>
      <c r="AW113" s="26">
        <f ca="1">Military!AV113+Imps!AO113-BG113</f>
        <v>0</v>
      </c>
      <c r="AX113" s="26">
        <f>Imps!AP113-BH113</f>
        <v>0</v>
      </c>
      <c r="AY113" s="26">
        <f ca="1">Military!AZ113</f>
        <v>0</v>
      </c>
      <c r="AZ113" s="57">
        <f ca="1">Military!BA113</f>
        <v>0</v>
      </c>
      <c r="BB113" s="56" t="b">
        <f t="shared" si="64"/>
        <v>0</v>
      </c>
      <c r="BC113" s="332"/>
      <c r="BD113" s="979">
        <v>39</v>
      </c>
      <c r="BE113" s="332"/>
      <c r="BF113" s="370"/>
      <c r="BG113" s="370"/>
      <c r="BH113" s="744"/>
      <c r="BI113" s="1036">
        <f t="shared" si="45"/>
        <v>43696.583333333067</v>
      </c>
      <c r="BJ113" s="159" t="str">
        <f t="shared" si="61"/>
        <v/>
      </c>
      <c r="BK113" s="26">
        <f t="shared" ca="1" si="57"/>
        <v>4119121</v>
      </c>
      <c r="BL113" s="26">
        <f t="shared" ca="1" si="46"/>
        <v>328191</v>
      </c>
      <c r="BM113" s="26">
        <f t="shared" ca="1" si="47"/>
        <v>267341</v>
      </c>
      <c r="BN113" s="26">
        <f t="shared" ca="1" si="48"/>
        <v>57896</v>
      </c>
      <c r="BO113" s="57">
        <f t="shared" ca="1" si="49"/>
        <v>231000</v>
      </c>
    </row>
    <row r="114" spans="1:67" s="16" customFormat="1">
      <c r="A114" s="987">
        <v>40</v>
      </c>
      <c r="B114" s="816">
        <f>Imps!L114</f>
        <v>43696.624999999731</v>
      </c>
      <c r="C114" s="332"/>
      <c r="D114" s="835"/>
      <c r="E114" s="56">
        <f>Construction!E114</f>
        <v>1000</v>
      </c>
      <c r="F114" s="26">
        <f ca="1">Population!$C114</f>
        <v>3945</v>
      </c>
      <c r="G114" s="26">
        <f ca="1">Military!EM114</f>
        <v>39460</v>
      </c>
      <c r="H114" s="26">
        <f ca="1">H113+S113 - AT114 + IF(C114,Population!C114*4)</f>
        <v>4129772</v>
      </c>
      <c r="I114" s="26">
        <f t="shared" ca="1" si="58"/>
        <v>329639</v>
      </c>
      <c r="J114" s="26">
        <f t="shared" ca="1" si="50"/>
        <v>267168</v>
      </c>
      <c r="K114" s="26">
        <f t="shared" ca="1" si="51"/>
        <v>57988</v>
      </c>
      <c r="L114" s="26">
        <f t="shared" ca="1" si="52"/>
        <v>231000</v>
      </c>
      <c r="M114" s="26">
        <f t="shared" ca="1" si="67"/>
        <v>20000</v>
      </c>
      <c r="N114" s="26">
        <f t="shared" ca="1" si="59"/>
        <v>200</v>
      </c>
      <c r="O114" s="26">
        <f t="shared" si="62"/>
        <v>500</v>
      </c>
      <c r="P114" s="26">
        <f>ROUNDDOWN(P113+MAX(Construction!BO114/2,Construction!BO114*(1-Construction!BO114/(E114-Explore!S114*20)))-Q114*SUM(Techs!AY114:BY114),0)</f>
        <v>0</v>
      </c>
      <c r="Q114" s="166">
        <f>MAX(min_tech_cost,ROUNDDOWN(tech_cost_per_acre*Construction!E114,0))</f>
        <v>6426</v>
      </c>
      <c r="S114" s="152">
        <f t="shared" ca="1" si="54"/>
        <v>10651</v>
      </c>
      <c r="T114" s="164">
        <f t="shared" ca="1" si="40"/>
        <v>1434</v>
      </c>
      <c r="U114" s="164">
        <f t="shared" ca="1" si="41"/>
        <v>-172</v>
      </c>
      <c r="V114" s="164">
        <f t="shared" ca="1" si="42"/>
        <v>90</v>
      </c>
      <c r="W114" s="164">
        <f t="shared" ca="1" si="55"/>
        <v>0</v>
      </c>
      <c r="X114" s="164">
        <f t="shared" ca="1" si="56"/>
        <v>0</v>
      </c>
      <c r="Y114" s="265">
        <f>Construction!BP115*dock_boats_hr</f>
        <v>0</v>
      </c>
      <c r="Z114" s="164"/>
      <c r="AA114" s="152">
        <f ca="1">Population!C114*tax*Population!I114 + (Construction!AY115+Construction!BW115)*(alch_plat+(Magic!AR114&gt;0)*alchemist_flame_bonus)</f>
        <v>10651.5</v>
      </c>
      <c r="AB114" s="164">
        <f>Construction!$AZ114*farm_food + Construction!$BP114*dock_food+IF(race="Growth",ROUNDDOWN(Military!G114*8,0),0)</f>
        <v>6400</v>
      </c>
      <c r="AC114" s="164">
        <f>Construction!$BC114*ly_lumber+IF(race="Ants",ROUNDDOWN(Military!F114/2,0),0)</f>
        <v>2500</v>
      </c>
      <c r="AD114" s="26">
        <f>Construction!$BK115*tower_mana+IF(race="Templars",ROUNDDOWN(Military!F114*0.02,0),0)+IF(race="Black Orc",Military!G114*5,0)+IF(race="Growth",ROUNDDOWN(Military!G114*0.1,0),0)+IF(race="Void",ROUNDDOWN(Military!F114*1.5,0),0)+IF(race="Void",ROUNDDOWN(Military!G114*4,0),0)</f>
        <v>1250</v>
      </c>
      <c r="AE114" s="164">
        <f>Construction!$BE115*om_ore+IF(race="Dwarf",ROUNDDOWN(Military!F114*2,0),0)</f>
        <v>0</v>
      </c>
      <c r="AF114" s="57">
        <f>Construction!$BN115*dm_gems+IF(race="Dwarf",ROUNDDOWN(Military!F114/2,0),0)</f>
        <v>0</v>
      </c>
      <c r="AH114" s="266">
        <f ca="1">MIN(race_platinum_bonus + IF(Magic!AJ114&gt;0,midas_bonus) + Imps!Y114 - BB114*0.02+MAX(tech_production_plat*Techs!Y114,tech_treasure_hunt_plat*Techs!AR114), 0.5)</f>
        <v>0</v>
      </c>
      <c r="AI114" s="455">
        <f ca="1">race_food_bonus + IF(Magic!AO114&gt;0,gaias_blessing_food,IF(Magic!AG114&gt;0,gaias_watch_bonus)) + Imps!AD114+tech_production_food*Techs!W114 + O114/100*prestige_food_bonus</f>
        <v>0.1</v>
      </c>
      <c r="AJ114" s="267">
        <f ca="1">race_lumber_bonus+ IF(Magic!AO114&gt;0,gaias_blessing_lumber)+tech_fruits_of_labor1*Techs!AP114</f>
        <v>0</v>
      </c>
      <c r="AK114" s="267">
        <f ca="1">race_mana_bonus+tech_enchanted_lands_mana*Techs!AT114</f>
        <v>0</v>
      </c>
      <c r="AL114" s="267">
        <f ca="1">race_ore_bonus + IF(Magic!AL114&gt;0,miners_sight_bonus,IF(Magic!AH114&gt;0,mining_strength_bonus))+tech_fruits_of_labor1*Techs!AP114</f>
        <v>0</v>
      </c>
      <c r="AM114" s="193">
        <f ca="1">race_gem_bonus+MAX(tech_production_gems*Techs!X114,tech_fruits_of_labor_gems*Techs!AP114)</f>
        <v>0</v>
      </c>
      <c r="AO114" s="56">
        <f ca="1">I114*food_decay*IF(Magic!AZ114&gt;0,0.5,1)</f>
        <v>3296.39</v>
      </c>
      <c r="AP114" s="26">
        <f ca="1">(1+race_food_consumption)*Population!F114*food_per_person</f>
        <v>2310</v>
      </c>
      <c r="AQ114" s="26">
        <f t="shared" ca="1" si="65"/>
        <v>2671.68</v>
      </c>
      <c r="AR114" s="57">
        <f t="shared" ca="1" si="66"/>
        <v>1159.76</v>
      </c>
      <c r="AS114" s="26"/>
      <c r="AT114" s="56">
        <f ca="1">Explore!AH114+Construction!AP114+Military!AU114+Rezone!Y114+Imps!AM114-BE114</f>
        <v>0</v>
      </c>
      <c r="AU114" s="26">
        <f>Construction!AQ114+Imps!AN114-BF114</f>
        <v>0</v>
      </c>
      <c r="AV114" s="26">
        <f>Magic!AD114</f>
        <v>0</v>
      </c>
      <c r="AW114" s="26">
        <f ca="1">Military!AV114+Imps!AO114-BG114</f>
        <v>0</v>
      </c>
      <c r="AX114" s="26">
        <f>Imps!AP114-BH114</f>
        <v>0</v>
      </c>
      <c r="AY114" s="26">
        <f ca="1">Military!AZ114</f>
        <v>0</v>
      </c>
      <c r="AZ114" s="57">
        <f ca="1">Military!BA114</f>
        <v>0</v>
      </c>
      <c r="BB114" s="56" t="b">
        <f t="shared" si="64"/>
        <v>0</v>
      </c>
      <c r="BC114" s="332"/>
      <c r="BD114" s="979">
        <v>40</v>
      </c>
      <c r="BE114" s="332"/>
      <c r="BF114" s="370"/>
      <c r="BG114" s="370"/>
      <c r="BH114" s="744"/>
      <c r="BI114" s="1036">
        <f t="shared" si="45"/>
        <v>43696.624999999731</v>
      </c>
      <c r="BJ114" s="159" t="str">
        <f t="shared" si="61"/>
        <v/>
      </c>
      <c r="BK114" s="26">
        <f t="shared" ca="1" si="57"/>
        <v>4129772</v>
      </c>
      <c r="BL114" s="26">
        <f t="shared" ca="1" si="46"/>
        <v>329639</v>
      </c>
      <c r="BM114" s="26">
        <f t="shared" ca="1" si="47"/>
        <v>267168</v>
      </c>
      <c r="BN114" s="26">
        <f t="shared" ca="1" si="48"/>
        <v>57988</v>
      </c>
      <c r="BO114" s="57">
        <f t="shared" ca="1" si="49"/>
        <v>231000</v>
      </c>
    </row>
    <row r="115" spans="1:67" s="16" customFormat="1">
      <c r="A115" s="987">
        <v>41</v>
      </c>
      <c r="B115" s="816">
        <f>Imps!L115</f>
        <v>43696.666666666395</v>
      </c>
      <c r="C115" s="332"/>
      <c r="D115" s="835"/>
      <c r="E115" s="56">
        <f>Construction!E115</f>
        <v>1000</v>
      </c>
      <c r="F115" s="26">
        <f ca="1">Population!$C115</f>
        <v>3945</v>
      </c>
      <c r="G115" s="26">
        <f ca="1">Military!EM115</f>
        <v>39460</v>
      </c>
      <c r="H115" s="26">
        <f ca="1">H114+S114 - AT115 + IF(C115,Population!C115*4)</f>
        <v>4140423</v>
      </c>
      <c r="I115" s="26">
        <f t="shared" ca="1" si="58"/>
        <v>331073</v>
      </c>
      <c r="J115" s="26">
        <f t="shared" ca="1" si="50"/>
        <v>266996</v>
      </c>
      <c r="K115" s="26">
        <f t="shared" ca="1" si="51"/>
        <v>58078</v>
      </c>
      <c r="L115" s="26">
        <f t="shared" ca="1" si="52"/>
        <v>231000</v>
      </c>
      <c r="M115" s="26">
        <f t="shared" ca="1" si="67"/>
        <v>20000</v>
      </c>
      <c r="N115" s="26">
        <f t="shared" ca="1" si="59"/>
        <v>200</v>
      </c>
      <c r="O115" s="26">
        <f t="shared" si="62"/>
        <v>500</v>
      </c>
      <c r="P115" s="26">
        <f>ROUNDDOWN(P114+MAX(Construction!BO115/2,Construction!BO115*(1-Construction!BO115/(E115-Explore!S115*20)))-Q115*SUM(Techs!AY115:BY115),0)</f>
        <v>0</v>
      </c>
      <c r="Q115" s="166">
        <f>MAX(min_tech_cost,ROUNDDOWN(tech_cost_per_acre*Construction!E115,0))</f>
        <v>6426</v>
      </c>
      <c r="S115" s="152">
        <f t="shared" ca="1" si="54"/>
        <v>10651</v>
      </c>
      <c r="T115" s="164">
        <f t="shared" ca="1" si="40"/>
        <v>1419</v>
      </c>
      <c r="U115" s="164">
        <f t="shared" ca="1" si="41"/>
        <v>-170</v>
      </c>
      <c r="V115" s="164">
        <f t="shared" ca="1" si="42"/>
        <v>88</v>
      </c>
      <c r="W115" s="164">
        <f t="shared" ca="1" si="55"/>
        <v>0</v>
      </c>
      <c r="X115" s="164">
        <f t="shared" ca="1" si="56"/>
        <v>0</v>
      </c>
      <c r="Y115" s="265">
        <f>Construction!BP116*dock_boats_hr</f>
        <v>0</v>
      </c>
      <c r="Z115" s="164"/>
      <c r="AA115" s="152">
        <f ca="1">Population!C115*tax*Population!I115 + (Construction!AY116+Construction!BW116)*(alch_plat+(Magic!AR115&gt;0)*alchemist_flame_bonus)</f>
        <v>10651.5</v>
      </c>
      <c r="AB115" s="164">
        <f>Construction!$AZ115*farm_food + Construction!$BP115*dock_food+IF(race="Growth",ROUNDDOWN(Military!G115*8,0),0)</f>
        <v>6400</v>
      </c>
      <c r="AC115" s="164">
        <f>Construction!$BC115*ly_lumber+IF(race="Ants",ROUNDDOWN(Military!F115/2,0),0)</f>
        <v>2500</v>
      </c>
      <c r="AD115" s="26">
        <f>Construction!$BK116*tower_mana+IF(race="Templars",ROUNDDOWN(Military!F115*0.02,0),0)+IF(race="Black Orc",Military!G115*5,0)+IF(race="Growth",ROUNDDOWN(Military!G115*0.1,0),0)+IF(race="Void",ROUNDDOWN(Military!F115*1.5,0),0)+IF(race="Void",ROUNDDOWN(Military!G115*4,0),0)</f>
        <v>1250</v>
      </c>
      <c r="AE115" s="164">
        <f>Construction!$BE116*om_ore+IF(race="Dwarf",ROUNDDOWN(Military!F115*2,0),0)</f>
        <v>0</v>
      </c>
      <c r="AF115" s="57">
        <f>Construction!$BN116*dm_gems+IF(race="Dwarf",ROUNDDOWN(Military!F115/2,0),0)</f>
        <v>0</v>
      </c>
      <c r="AH115" s="266">
        <f ca="1">MIN(race_platinum_bonus + IF(Magic!AJ115&gt;0,midas_bonus) + Imps!Y115 - BB115*0.02+MAX(tech_production_plat*Techs!Y115,tech_treasure_hunt_plat*Techs!AR115), 0.5)</f>
        <v>0</v>
      </c>
      <c r="AI115" s="455">
        <f ca="1">race_food_bonus + IF(Magic!AO115&gt;0,gaias_blessing_food,IF(Magic!AG115&gt;0,gaias_watch_bonus)) + Imps!AD115+tech_production_food*Techs!W115 + O115/100*prestige_food_bonus</f>
        <v>0.1</v>
      </c>
      <c r="AJ115" s="267">
        <f ca="1">race_lumber_bonus+ IF(Magic!AO115&gt;0,gaias_blessing_lumber)+tech_fruits_of_labor1*Techs!AP115</f>
        <v>0</v>
      </c>
      <c r="AK115" s="267">
        <f ca="1">race_mana_bonus+tech_enchanted_lands_mana*Techs!AT115</f>
        <v>0</v>
      </c>
      <c r="AL115" s="267">
        <f ca="1">race_ore_bonus + IF(Magic!AL115&gt;0,miners_sight_bonus,IF(Magic!AH115&gt;0,mining_strength_bonus))+tech_fruits_of_labor1*Techs!AP115</f>
        <v>0</v>
      </c>
      <c r="AM115" s="193">
        <f ca="1">race_gem_bonus+MAX(tech_production_gems*Techs!X115,tech_fruits_of_labor_gems*Techs!AP115)</f>
        <v>0</v>
      </c>
      <c r="AO115" s="56">
        <f ca="1">I115*food_decay*IF(Magic!AZ115&gt;0,0.5,1)</f>
        <v>3310.73</v>
      </c>
      <c r="AP115" s="26">
        <f ca="1">(1+race_food_consumption)*Population!F115*food_per_person</f>
        <v>2310</v>
      </c>
      <c r="AQ115" s="26">
        <f t="shared" ca="1" si="65"/>
        <v>2669.96</v>
      </c>
      <c r="AR115" s="57">
        <f t="shared" ca="1" si="66"/>
        <v>1161.56</v>
      </c>
      <c r="AS115" s="26"/>
      <c r="AT115" s="56">
        <f ca="1">Explore!AH115+Construction!AP115+Military!AU115+Rezone!Y115+Imps!AM115-BE115</f>
        <v>0</v>
      </c>
      <c r="AU115" s="26">
        <f>Construction!AQ115+Imps!AN115-BF115</f>
        <v>0</v>
      </c>
      <c r="AV115" s="26">
        <f>Magic!AD115</f>
        <v>0</v>
      </c>
      <c r="AW115" s="26">
        <f ca="1">Military!AV115+Imps!AO115-BG115</f>
        <v>0</v>
      </c>
      <c r="AX115" s="26">
        <f>Imps!AP115-BH115</f>
        <v>0</v>
      </c>
      <c r="AY115" s="26">
        <f ca="1">Military!AZ115</f>
        <v>0</v>
      </c>
      <c r="AZ115" s="57">
        <f ca="1">Military!BA115</f>
        <v>0</v>
      </c>
      <c r="BB115" s="56" t="b">
        <f t="shared" si="64"/>
        <v>0</v>
      </c>
      <c r="BC115" s="332"/>
      <c r="BD115" s="979">
        <v>41</v>
      </c>
      <c r="BE115" s="332"/>
      <c r="BF115" s="370"/>
      <c r="BG115" s="370"/>
      <c r="BH115" s="744"/>
      <c r="BI115" s="1036">
        <f t="shared" si="45"/>
        <v>43696.666666666395</v>
      </c>
      <c r="BJ115" s="159" t="str">
        <f t="shared" si="61"/>
        <v/>
      </c>
      <c r="BK115" s="26">
        <f t="shared" ca="1" si="57"/>
        <v>4140423</v>
      </c>
      <c r="BL115" s="26">
        <f t="shared" ca="1" si="46"/>
        <v>331073</v>
      </c>
      <c r="BM115" s="26">
        <f t="shared" ca="1" si="47"/>
        <v>266996</v>
      </c>
      <c r="BN115" s="26">
        <f t="shared" ca="1" si="48"/>
        <v>58078</v>
      </c>
      <c r="BO115" s="57">
        <f t="shared" ca="1" si="49"/>
        <v>231000</v>
      </c>
    </row>
    <row r="116" spans="1:67" s="16" customFormat="1">
      <c r="A116" s="987">
        <v>42</v>
      </c>
      <c r="B116" s="816">
        <f>Imps!L116</f>
        <v>43696.708333333059</v>
      </c>
      <c r="C116" s="332"/>
      <c r="D116" s="835"/>
      <c r="E116" s="56">
        <f>Construction!E116</f>
        <v>1000</v>
      </c>
      <c r="F116" s="26">
        <f ca="1">Population!$C116</f>
        <v>3945</v>
      </c>
      <c r="G116" s="26">
        <f ca="1">Military!EM116</f>
        <v>39460</v>
      </c>
      <c r="H116" s="26">
        <f ca="1">H115+S115 - AT116 + IF(C116,Population!C116*4)</f>
        <v>4151074</v>
      </c>
      <c r="I116" s="26">
        <f t="shared" ca="1" si="58"/>
        <v>332492</v>
      </c>
      <c r="J116" s="26">
        <f t="shared" ca="1" si="50"/>
        <v>266826</v>
      </c>
      <c r="K116" s="26">
        <f t="shared" ca="1" si="51"/>
        <v>58166</v>
      </c>
      <c r="L116" s="26">
        <f t="shared" ca="1" si="52"/>
        <v>231000</v>
      </c>
      <c r="M116" s="26">
        <f t="shared" ca="1" si="67"/>
        <v>20000</v>
      </c>
      <c r="N116" s="26">
        <f t="shared" ca="1" si="59"/>
        <v>200</v>
      </c>
      <c r="O116" s="26">
        <f t="shared" si="62"/>
        <v>500</v>
      </c>
      <c r="P116" s="26">
        <f>ROUNDDOWN(P115+MAX(Construction!BO116/2,Construction!BO116*(1-Construction!BO116/(E116-Explore!S116*20)))-Q116*SUM(Techs!AY116:BY116),0)</f>
        <v>0</v>
      </c>
      <c r="Q116" s="166">
        <f>MAX(min_tech_cost,ROUNDDOWN(tech_cost_per_acre*Construction!E116,0))</f>
        <v>6426</v>
      </c>
      <c r="S116" s="152">
        <f t="shared" ca="1" si="54"/>
        <v>10651</v>
      </c>
      <c r="T116" s="164">
        <f t="shared" ca="1" si="40"/>
        <v>1405</v>
      </c>
      <c r="U116" s="164">
        <f t="shared" ca="1" si="41"/>
        <v>-168</v>
      </c>
      <c r="V116" s="164">
        <f t="shared" ca="1" si="42"/>
        <v>87</v>
      </c>
      <c r="W116" s="164">
        <f t="shared" ca="1" si="55"/>
        <v>0</v>
      </c>
      <c r="X116" s="164">
        <f t="shared" ca="1" si="56"/>
        <v>0</v>
      </c>
      <c r="Y116" s="265">
        <f>Construction!BP117*dock_boats_hr</f>
        <v>0</v>
      </c>
      <c r="Z116" s="164"/>
      <c r="AA116" s="152">
        <f ca="1">Population!C116*tax*Population!I116 + (Construction!AY117+Construction!BW117)*(alch_plat+(Magic!AR116&gt;0)*alchemist_flame_bonus)</f>
        <v>10651.5</v>
      </c>
      <c r="AB116" s="164">
        <f>Construction!$AZ116*farm_food + Construction!$BP116*dock_food+IF(race="Growth",ROUNDDOWN(Military!G116*8,0),0)</f>
        <v>6400</v>
      </c>
      <c r="AC116" s="164">
        <f>Construction!$BC116*ly_lumber+IF(race="Ants",ROUNDDOWN(Military!F116/2,0),0)</f>
        <v>2500</v>
      </c>
      <c r="AD116" s="26">
        <f>Construction!$BK117*tower_mana+IF(race="Templars",ROUNDDOWN(Military!F116*0.02,0),0)+IF(race="Black Orc",Military!G116*5,0)+IF(race="Growth",ROUNDDOWN(Military!G116*0.1,0),0)+IF(race="Void",ROUNDDOWN(Military!F116*1.5,0),0)+IF(race="Void",ROUNDDOWN(Military!G116*4,0),0)</f>
        <v>1250</v>
      </c>
      <c r="AE116" s="164">
        <f>Construction!$BE117*om_ore+IF(race="Dwarf",ROUNDDOWN(Military!F116*2,0),0)</f>
        <v>0</v>
      </c>
      <c r="AF116" s="57">
        <f>Construction!$BN117*dm_gems+IF(race="Dwarf",ROUNDDOWN(Military!F116/2,0),0)</f>
        <v>0</v>
      </c>
      <c r="AH116" s="266">
        <f ca="1">MIN(race_platinum_bonus + IF(Magic!AJ116&gt;0,midas_bonus) + Imps!Y116 - BB116*0.02+MAX(tech_production_plat*Techs!Y116,tech_treasure_hunt_plat*Techs!AR116), 0.5)</f>
        <v>0</v>
      </c>
      <c r="AI116" s="455">
        <f ca="1">race_food_bonus + IF(Magic!AO116&gt;0,gaias_blessing_food,IF(Magic!AG116&gt;0,gaias_watch_bonus)) + Imps!AD116+tech_production_food*Techs!W116 + O116/100*prestige_food_bonus</f>
        <v>0.1</v>
      </c>
      <c r="AJ116" s="267">
        <f ca="1">race_lumber_bonus+ IF(Magic!AO116&gt;0,gaias_blessing_lumber)+tech_fruits_of_labor1*Techs!AP116</f>
        <v>0</v>
      </c>
      <c r="AK116" s="267">
        <f ca="1">race_mana_bonus+tech_enchanted_lands_mana*Techs!AT116</f>
        <v>0</v>
      </c>
      <c r="AL116" s="267">
        <f ca="1">race_ore_bonus + IF(Magic!AL116&gt;0,miners_sight_bonus,IF(Magic!AH116&gt;0,mining_strength_bonus))+tech_fruits_of_labor1*Techs!AP116</f>
        <v>0</v>
      </c>
      <c r="AM116" s="193">
        <f ca="1">race_gem_bonus+MAX(tech_production_gems*Techs!X116,tech_fruits_of_labor_gems*Techs!AP116)</f>
        <v>0</v>
      </c>
      <c r="AO116" s="56">
        <f ca="1">I116*food_decay*IF(Magic!AZ116&gt;0,0.5,1)</f>
        <v>3324.92</v>
      </c>
      <c r="AP116" s="26">
        <f ca="1">(1+race_food_consumption)*Population!F116*food_per_person</f>
        <v>2310</v>
      </c>
      <c r="AQ116" s="26">
        <f t="shared" ca="1" si="65"/>
        <v>2668.26</v>
      </c>
      <c r="AR116" s="57">
        <f t="shared" ca="1" si="66"/>
        <v>1163.32</v>
      </c>
      <c r="AS116" s="26"/>
      <c r="AT116" s="56">
        <f ca="1">Explore!AH116+Construction!AP116+Military!AU116+Rezone!Y116+Imps!AM116-BE116</f>
        <v>0</v>
      </c>
      <c r="AU116" s="26">
        <f>Construction!AQ116+Imps!AN116-BF116</f>
        <v>0</v>
      </c>
      <c r="AV116" s="26">
        <f>Magic!AD116</f>
        <v>0</v>
      </c>
      <c r="AW116" s="26">
        <f ca="1">Military!AV116+Imps!AO116-BG116</f>
        <v>0</v>
      </c>
      <c r="AX116" s="26">
        <f>Imps!AP116-BH116</f>
        <v>0</v>
      </c>
      <c r="AY116" s="26">
        <f ca="1">Military!AZ116</f>
        <v>0</v>
      </c>
      <c r="AZ116" s="57">
        <f ca="1">Military!BA116</f>
        <v>0</v>
      </c>
      <c r="BB116" s="56" t="b">
        <f t="shared" si="64"/>
        <v>0</v>
      </c>
      <c r="BC116" s="332"/>
      <c r="BD116" s="979">
        <v>42</v>
      </c>
      <c r="BE116" s="332"/>
      <c r="BF116" s="370"/>
      <c r="BG116" s="370"/>
      <c r="BH116" s="744"/>
      <c r="BI116" s="1036">
        <f t="shared" si="45"/>
        <v>43696.708333333059</v>
      </c>
      <c r="BJ116" s="159" t="str">
        <f t="shared" si="61"/>
        <v/>
      </c>
      <c r="BK116" s="26">
        <f t="shared" ca="1" si="57"/>
        <v>4151074</v>
      </c>
      <c r="BL116" s="26">
        <f t="shared" ca="1" si="46"/>
        <v>332492</v>
      </c>
      <c r="BM116" s="26">
        <f t="shared" ca="1" si="47"/>
        <v>266826</v>
      </c>
      <c r="BN116" s="26">
        <f t="shared" ca="1" si="48"/>
        <v>58166</v>
      </c>
      <c r="BO116" s="57">
        <f t="shared" ca="1" si="49"/>
        <v>231000</v>
      </c>
    </row>
    <row r="117" spans="1:67" s="16" customFormat="1">
      <c r="A117" s="987">
        <v>43</v>
      </c>
      <c r="B117" s="816">
        <f>Imps!L117</f>
        <v>43696.749999999724</v>
      </c>
      <c r="C117" s="332"/>
      <c r="D117" s="835"/>
      <c r="E117" s="56">
        <f>Construction!E117</f>
        <v>1000</v>
      </c>
      <c r="F117" s="26">
        <f ca="1">Population!$C117</f>
        <v>3945</v>
      </c>
      <c r="G117" s="26">
        <f ca="1">Military!EM117</f>
        <v>39460</v>
      </c>
      <c r="H117" s="26">
        <f ca="1">H116+S116 - AT117 + IF(C117,Population!C117*4)</f>
        <v>4161725</v>
      </c>
      <c r="I117" s="26">
        <f t="shared" ca="1" si="58"/>
        <v>333897</v>
      </c>
      <c r="J117" s="26">
        <f t="shared" ca="1" si="50"/>
        <v>266658</v>
      </c>
      <c r="K117" s="26">
        <f t="shared" ca="1" si="51"/>
        <v>58253</v>
      </c>
      <c r="L117" s="26">
        <f t="shared" ca="1" si="52"/>
        <v>231000</v>
      </c>
      <c r="M117" s="26">
        <f t="shared" ca="1" si="67"/>
        <v>20000</v>
      </c>
      <c r="N117" s="26">
        <f t="shared" ca="1" si="59"/>
        <v>200</v>
      </c>
      <c r="O117" s="26">
        <f t="shared" si="62"/>
        <v>500</v>
      </c>
      <c r="P117" s="26">
        <f>ROUNDDOWN(P116+MAX(Construction!BO117/2,Construction!BO117*(1-Construction!BO117/(E117-Explore!S117*20)))-Q117*SUM(Techs!AY117:BY117),0)</f>
        <v>0</v>
      </c>
      <c r="Q117" s="166">
        <f>MAX(min_tech_cost,ROUNDDOWN(tech_cost_per_acre*Construction!E117,0))</f>
        <v>6426</v>
      </c>
      <c r="S117" s="152">
        <f t="shared" ca="1" si="54"/>
        <v>10651</v>
      </c>
      <c r="T117" s="164">
        <f t="shared" ca="1" si="40"/>
        <v>1391</v>
      </c>
      <c r="U117" s="164">
        <f t="shared" ca="1" si="41"/>
        <v>-167</v>
      </c>
      <c r="V117" s="164">
        <f t="shared" ca="1" si="42"/>
        <v>85</v>
      </c>
      <c r="W117" s="164">
        <f t="shared" ca="1" si="55"/>
        <v>0</v>
      </c>
      <c r="X117" s="164">
        <f t="shared" ca="1" si="56"/>
        <v>0</v>
      </c>
      <c r="Y117" s="265">
        <f>Construction!BP118*dock_boats_hr</f>
        <v>0</v>
      </c>
      <c r="Z117" s="164"/>
      <c r="AA117" s="152">
        <f ca="1">Population!C117*tax*Population!I117 + (Construction!AY118+Construction!BW118)*(alch_plat+(Magic!AR117&gt;0)*alchemist_flame_bonus)</f>
        <v>10651.5</v>
      </c>
      <c r="AB117" s="164">
        <f>Construction!$AZ117*farm_food + Construction!$BP117*dock_food+IF(race="Growth",ROUNDDOWN(Military!G117*8,0),0)</f>
        <v>6400</v>
      </c>
      <c r="AC117" s="164">
        <f>Construction!$BC117*ly_lumber+IF(race="Ants",ROUNDDOWN(Military!F117/2,0),0)</f>
        <v>2500</v>
      </c>
      <c r="AD117" s="26">
        <f>Construction!$BK118*tower_mana+IF(race="Templars",ROUNDDOWN(Military!F117*0.02,0),0)+IF(race="Black Orc",Military!G117*5,0)+IF(race="Growth",ROUNDDOWN(Military!G117*0.1,0),0)+IF(race="Void",ROUNDDOWN(Military!F117*1.5,0),0)+IF(race="Void",ROUNDDOWN(Military!G117*4,0),0)</f>
        <v>1250</v>
      </c>
      <c r="AE117" s="164">
        <f>Construction!$BE118*om_ore+IF(race="Dwarf",ROUNDDOWN(Military!F117*2,0),0)</f>
        <v>0</v>
      </c>
      <c r="AF117" s="57">
        <f>Construction!$BN118*dm_gems+IF(race="Dwarf",ROUNDDOWN(Military!F117/2,0),0)</f>
        <v>0</v>
      </c>
      <c r="AH117" s="266">
        <f ca="1">MIN(race_platinum_bonus + IF(Magic!AJ117&gt;0,midas_bonus) + Imps!Y117 - BB117*0.02+MAX(tech_production_plat*Techs!Y117,tech_treasure_hunt_plat*Techs!AR117), 0.5)</f>
        <v>0</v>
      </c>
      <c r="AI117" s="455">
        <f ca="1">race_food_bonus + IF(Magic!AO117&gt;0,gaias_blessing_food,IF(Magic!AG117&gt;0,gaias_watch_bonus)) + Imps!AD117+tech_production_food*Techs!W117 + O117/100*prestige_food_bonus</f>
        <v>0.1</v>
      </c>
      <c r="AJ117" s="267">
        <f ca="1">race_lumber_bonus+ IF(Magic!AO117&gt;0,gaias_blessing_lumber)+tech_fruits_of_labor1*Techs!AP117</f>
        <v>0</v>
      </c>
      <c r="AK117" s="267">
        <f ca="1">race_mana_bonus+tech_enchanted_lands_mana*Techs!AT117</f>
        <v>0</v>
      </c>
      <c r="AL117" s="267">
        <f ca="1">race_ore_bonus + IF(Magic!AL117&gt;0,miners_sight_bonus,IF(Magic!AH117&gt;0,mining_strength_bonus))+tech_fruits_of_labor1*Techs!AP117</f>
        <v>0</v>
      </c>
      <c r="AM117" s="193">
        <f ca="1">race_gem_bonus+MAX(tech_production_gems*Techs!X117,tech_fruits_of_labor_gems*Techs!AP117)</f>
        <v>0</v>
      </c>
      <c r="AO117" s="56">
        <f ca="1">I117*food_decay*IF(Magic!AZ117&gt;0,0.5,1)</f>
        <v>3338.9700000000003</v>
      </c>
      <c r="AP117" s="26">
        <f ca="1">(1+race_food_consumption)*Population!F117*food_per_person</f>
        <v>2310</v>
      </c>
      <c r="AQ117" s="26">
        <f t="shared" ca="1" si="65"/>
        <v>2666.58</v>
      </c>
      <c r="AR117" s="57">
        <f t="shared" ca="1" si="66"/>
        <v>1165.06</v>
      </c>
      <c r="AS117" s="26"/>
      <c r="AT117" s="56">
        <f ca="1">Explore!AH117+Construction!AP117+Military!AU117+Rezone!Y117+Imps!AM117-BE117</f>
        <v>0</v>
      </c>
      <c r="AU117" s="26">
        <f>Construction!AQ117+Imps!AN117-BF117</f>
        <v>0</v>
      </c>
      <c r="AV117" s="26">
        <f>Magic!AD117</f>
        <v>0</v>
      </c>
      <c r="AW117" s="26">
        <f ca="1">Military!AV117+Imps!AO117-BG117</f>
        <v>0</v>
      </c>
      <c r="AX117" s="26">
        <f>Imps!AP117-BH117</f>
        <v>0</v>
      </c>
      <c r="AY117" s="26">
        <f ca="1">Military!AZ117</f>
        <v>0</v>
      </c>
      <c r="AZ117" s="57">
        <f ca="1">Military!BA117</f>
        <v>0</v>
      </c>
      <c r="BB117" s="56" t="b">
        <f t="shared" si="64"/>
        <v>0</v>
      </c>
      <c r="BC117" s="332"/>
      <c r="BD117" s="979">
        <v>43</v>
      </c>
      <c r="BE117" s="332"/>
      <c r="BF117" s="370"/>
      <c r="BG117" s="370"/>
      <c r="BH117" s="744"/>
      <c r="BI117" s="1036">
        <f t="shared" si="45"/>
        <v>43696.749999999724</v>
      </c>
      <c r="BJ117" s="159" t="str">
        <f t="shared" si="61"/>
        <v/>
      </c>
      <c r="BK117" s="26">
        <f t="shared" ca="1" si="57"/>
        <v>4161725</v>
      </c>
      <c r="BL117" s="26">
        <f t="shared" ca="1" si="46"/>
        <v>333897</v>
      </c>
      <c r="BM117" s="26">
        <f t="shared" ca="1" si="47"/>
        <v>266658</v>
      </c>
      <c r="BN117" s="26">
        <f t="shared" ca="1" si="48"/>
        <v>58253</v>
      </c>
      <c r="BO117" s="57">
        <f t="shared" ca="1" si="49"/>
        <v>231000</v>
      </c>
    </row>
    <row r="118" spans="1:67" s="16" customFormat="1">
      <c r="A118" s="987">
        <v>44</v>
      </c>
      <c r="B118" s="816">
        <f>Imps!L118</f>
        <v>43696.791666666388</v>
      </c>
      <c r="C118" s="332"/>
      <c r="D118" s="835"/>
      <c r="E118" s="56">
        <f>Construction!E118</f>
        <v>1000</v>
      </c>
      <c r="F118" s="26">
        <f ca="1">Population!$C118</f>
        <v>3945</v>
      </c>
      <c r="G118" s="26">
        <f ca="1">Military!EM118</f>
        <v>39460</v>
      </c>
      <c r="H118" s="26">
        <f ca="1">H117+S117 - AT118 + IF(C118,Population!C118*4)</f>
        <v>4172376</v>
      </c>
      <c r="I118" s="26">
        <f t="shared" ca="1" si="58"/>
        <v>335288</v>
      </c>
      <c r="J118" s="26">
        <f t="shared" ca="1" si="50"/>
        <v>266491</v>
      </c>
      <c r="K118" s="26">
        <f t="shared" ca="1" si="51"/>
        <v>58338</v>
      </c>
      <c r="L118" s="26">
        <f t="shared" ca="1" si="52"/>
        <v>231000</v>
      </c>
      <c r="M118" s="26">
        <f t="shared" ca="1" si="67"/>
        <v>20000</v>
      </c>
      <c r="N118" s="26">
        <f t="shared" ca="1" si="59"/>
        <v>200</v>
      </c>
      <c r="O118" s="26">
        <f t="shared" si="62"/>
        <v>500</v>
      </c>
      <c r="P118" s="26">
        <f>ROUNDDOWN(P117+MAX(Construction!BO118/2,Construction!BO118*(1-Construction!BO118/(E118-Explore!S118*20)))-Q118*SUM(Techs!AY118:BY118),0)</f>
        <v>0</v>
      </c>
      <c r="Q118" s="166">
        <f>MAX(min_tech_cost,ROUNDDOWN(tech_cost_per_acre*Construction!E118,0))</f>
        <v>6426</v>
      </c>
      <c r="S118" s="152">
        <f t="shared" ca="1" si="54"/>
        <v>10651</v>
      </c>
      <c r="T118" s="164">
        <f t="shared" ca="1" si="40"/>
        <v>1377</v>
      </c>
      <c r="U118" s="164">
        <f t="shared" ca="1" si="41"/>
        <v>-165</v>
      </c>
      <c r="V118" s="164">
        <f t="shared" ca="1" si="42"/>
        <v>83</v>
      </c>
      <c r="W118" s="164">
        <f t="shared" ca="1" si="55"/>
        <v>0</v>
      </c>
      <c r="X118" s="164">
        <f t="shared" ca="1" si="56"/>
        <v>0</v>
      </c>
      <c r="Y118" s="265">
        <f>Construction!BP119*dock_boats_hr</f>
        <v>0</v>
      </c>
      <c r="Z118" s="164"/>
      <c r="AA118" s="152">
        <f ca="1">Population!C118*tax*Population!I118 + (Construction!AY119+Construction!BW119)*(alch_plat+(Magic!AR118&gt;0)*alchemist_flame_bonus)</f>
        <v>10651.5</v>
      </c>
      <c r="AB118" s="164">
        <f>Construction!$AZ118*farm_food + Construction!$BP118*dock_food+IF(race="Growth",ROUNDDOWN(Military!G118*8,0),0)</f>
        <v>6400</v>
      </c>
      <c r="AC118" s="164">
        <f>Construction!$BC118*ly_lumber+IF(race="Ants",ROUNDDOWN(Military!F118/2,0),0)</f>
        <v>2500</v>
      </c>
      <c r="AD118" s="26">
        <f>Construction!$BK119*tower_mana+IF(race="Templars",ROUNDDOWN(Military!F118*0.02,0),0)+IF(race="Black Orc",Military!G118*5,0)+IF(race="Growth",ROUNDDOWN(Military!G118*0.1,0),0)+IF(race="Void",ROUNDDOWN(Military!F118*1.5,0),0)+IF(race="Void",ROUNDDOWN(Military!G118*4,0),0)</f>
        <v>1250</v>
      </c>
      <c r="AE118" s="164">
        <f>Construction!$BE119*om_ore+IF(race="Dwarf",ROUNDDOWN(Military!F118*2,0),0)</f>
        <v>0</v>
      </c>
      <c r="AF118" s="57">
        <f>Construction!$BN119*dm_gems+IF(race="Dwarf",ROUNDDOWN(Military!F118/2,0),0)</f>
        <v>0</v>
      </c>
      <c r="AH118" s="266">
        <f ca="1">MIN(race_platinum_bonus + IF(Magic!AJ118&gt;0,midas_bonus) + Imps!Y118 - BB118*0.02+MAX(tech_production_plat*Techs!Y118,tech_treasure_hunt_plat*Techs!AR118), 0.5)</f>
        <v>0</v>
      </c>
      <c r="AI118" s="455">
        <f ca="1">race_food_bonus + IF(Magic!AO118&gt;0,gaias_blessing_food,IF(Magic!AG118&gt;0,gaias_watch_bonus)) + Imps!AD118+tech_production_food*Techs!W118 + O118/100*prestige_food_bonus</f>
        <v>0.1</v>
      </c>
      <c r="AJ118" s="267">
        <f ca="1">race_lumber_bonus+ IF(Magic!AO118&gt;0,gaias_blessing_lumber)+tech_fruits_of_labor1*Techs!AP118</f>
        <v>0</v>
      </c>
      <c r="AK118" s="267">
        <f ca="1">race_mana_bonus+tech_enchanted_lands_mana*Techs!AT118</f>
        <v>0</v>
      </c>
      <c r="AL118" s="267">
        <f ca="1">race_ore_bonus + IF(Magic!AL118&gt;0,miners_sight_bonus,IF(Magic!AH118&gt;0,mining_strength_bonus))+tech_fruits_of_labor1*Techs!AP118</f>
        <v>0</v>
      </c>
      <c r="AM118" s="193">
        <f ca="1">race_gem_bonus+MAX(tech_production_gems*Techs!X118,tech_fruits_of_labor_gems*Techs!AP118)</f>
        <v>0</v>
      </c>
      <c r="AO118" s="56">
        <f ca="1">I118*food_decay*IF(Magic!AZ118&gt;0,0.5,1)</f>
        <v>3352.88</v>
      </c>
      <c r="AP118" s="26">
        <f ca="1">(1+race_food_consumption)*Population!F118*food_per_person</f>
        <v>2310</v>
      </c>
      <c r="AQ118" s="26">
        <f t="shared" ca="1" si="65"/>
        <v>2664.91</v>
      </c>
      <c r="AR118" s="57">
        <f t="shared" ca="1" si="66"/>
        <v>1166.76</v>
      </c>
      <c r="AS118" s="26"/>
      <c r="AT118" s="56">
        <f ca="1">Explore!AH118+Construction!AP118+Military!AU118+Rezone!Y118+Imps!AM118-BE118</f>
        <v>0</v>
      </c>
      <c r="AU118" s="26">
        <f>Construction!AQ118+Imps!AN118-BF118</f>
        <v>0</v>
      </c>
      <c r="AV118" s="26">
        <f>Magic!AD118</f>
        <v>0</v>
      </c>
      <c r="AW118" s="26">
        <f ca="1">Military!AV118+Imps!AO118-BG118</f>
        <v>0</v>
      </c>
      <c r="AX118" s="26">
        <f>Imps!AP118-BH118</f>
        <v>0</v>
      </c>
      <c r="AY118" s="26">
        <f ca="1">Military!AZ118</f>
        <v>0</v>
      </c>
      <c r="AZ118" s="57">
        <f ca="1">Military!BA118</f>
        <v>0</v>
      </c>
      <c r="BB118" s="56" t="b">
        <f t="shared" si="64"/>
        <v>0</v>
      </c>
      <c r="BC118" s="332"/>
      <c r="BD118" s="979">
        <v>44</v>
      </c>
      <c r="BE118" s="332"/>
      <c r="BF118" s="370"/>
      <c r="BG118" s="370"/>
      <c r="BH118" s="744"/>
      <c r="BI118" s="1036">
        <f t="shared" si="45"/>
        <v>43696.791666666388</v>
      </c>
      <c r="BJ118" s="159" t="str">
        <f t="shared" si="61"/>
        <v/>
      </c>
      <c r="BK118" s="26">
        <f t="shared" ca="1" si="57"/>
        <v>4172376</v>
      </c>
      <c r="BL118" s="26">
        <f t="shared" ca="1" si="46"/>
        <v>335288</v>
      </c>
      <c r="BM118" s="26">
        <f t="shared" ca="1" si="47"/>
        <v>266491</v>
      </c>
      <c r="BN118" s="26">
        <f t="shared" ca="1" si="48"/>
        <v>58338</v>
      </c>
      <c r="BO118" s="57">
        <f t="shared" ca="1" si="49"/>
        <v>231000</v>
      </c>
    </row>
    <row r="119" spans="1:67" s="16" customFormat="1">
      <c r="A119" s="987">
        <v>45</v>
      </c>
      <c r="B119" s="816">
        <f>Imps!L119</f>
        <v>43696.833333333052</v>
      </c>
      <c r="C119" s="332"/>
      <c r="D119" s="835"/>
      <c r="E119" s="56">
        <f>Construction!E119</f>
        <v>1000</v>
      </c>
      <c r="F119" s="26">
        <f ca="1">Population!$C119</f>
        <v>3945</v>
      </c>
      <c r="G119" s="26">
        <f ca="1">Military!EM119</f>
        <v>39460</v>
      </c>
      <c r="H119" s="26">
        <f ca="1">H118+S118 - AT119 + IF(C119,Population!C119*4)</f>
        <v>4183027</v>
      </c>
      <c r="I119" s="26">
        <f t="shared" ca="1" si="58"/>
        <v>336665</v>
      </c>
      <c r="J119" s="26">
        <f t="shared" ca="1" si="50"/>
        <v>266326</v>
      </c>
      <c r="K119" s="26">
        <f t="shared" ca="1" si="51"/>
        <v>58421</v>
      </c>
      <c r="L119" s="26">
        <f t="shared" ca="1" si="52"/>
        <v>231000</v>
      </c>
      <c r="M119" s="26">
        <f t="shared" ca="1" si="67"/>
        <v>20000</v>
      </c>
      <c r="N119" s="26">
        <f t="shared" ca="1" si="59"/>
        <v>200</v>
      </c>
      <c r="O119" s="26">
        <f t="shared" si="62"/>
        <v>500</v>
      </c>
      <c r="P119" s="26">
        <f>ROUNDDOWN(P118+MAX(Construction!BO119/2,Construction!BO119*(1-Construction!BO119/(E119-Explore!S119*20)))-Q119*SUM(Techs!AY119:BY119),0)</f>
        <v>0</v>
      </c>
      <c r="Q119" s="166">
        <f>MAX(min_tech_cost,ROUNDDOWN(tech_cost_per_acre*Construction!E119,0))</f>
        <v>6426</v>
      </c>
      <c r="S119" s="152">
        <f t="shared" ca="1" si="54"/>
        <v>10651</v>
      </c>
      <c r="T119" s="164">
        <f t="shared" ca="1" si="40"/>
        <v>1363</v>
      </c>
      <c r="U119" s="164">
        <f t="shared" ca="1" si="41"/>
        <v>-163</v>
      </c>
      <c r="V119" s="164">
        <f t="shared" ca="1" si="42"/>
        <v>82</v>
      </c>
      <c r="W119" s="164">
        <f t="shared" ca="1" si="55"/>
        <v>0</v>
      </c>
      <c r="X119" s="164">
        <f t="shared" ca="1" si="56"/>
        <v>0</v>
      </c>
      <c r="Y119" s="265">
        <f>Construction!BP120*dock_boats_hr</f>
        <v>0</v>
      </c>
      <c r="Z119" s="164"/>
      <c r="AA119" s="152">
        <f ca="1">Population!C119*tax*Population!I119 + (Construction!AY120+Construction!BW120)*(alch_plat+(Magic!AR119&gt;0)*alchemist_flame_bonus)</f>
        <v>10651.5</v>
      </c>
      <c r="AB119" s="164">
        <f>Construction!$AZ119*farm_food + Construction!$BP119*dock_food+IF(race="Growth",ROUNDDOWN(Military!G119*8,0),0)</f>
        <v>6400</v>
      </c>
      <c r="AC119" s="164">
        <f>Construction!$BC119*ly_lumber+IF(race="Ants",ROUNDDOWN(Military!F119/2,0),0)</f>
        <v>2500</v>
      </c>
      <c r="AD119" s="26">
        <f>Construction!$BK120*tower_mana+IF(race="Templars",ROUNDDOWN(Military!F119*0.02,0),0)+IF(race="Black Orc",Military!G119*5,0)+IF(race="Growth",ROUNDDOWN(Military!G119*0.1,0),0)+IF(race="Void",ROUNDDOWN(Military!F119*1.5,0),0)+IF(race="Void",ROUNDDOWN(Military!G119*4,0),0)</f>
        <v>1250</v>
      </c>
      <c r="AE119" s="164">
        <f>Construction!$BE120*om_ore+IF(race="Dwarf",ROUNDDOWN(Military!F119*2,0),0)</f>
        <v>0</v>
      </c>
      <c r="AF119" s="57">
        <f>Construction!$BN120*dm_gems+IF(race="Dwarf",ROUNDDOWN(Military!F119/2,0),0)</f>
        <v>0</v>
      </c>
      <c r="AH119" s="266">
        <f ca="1">MIN(race_platinum_bonus + IF(Magic!AJ119&gt;0,midas_bonus) + Imps!Y119 - BB119*0.02+MAX(tech_production_plat*Techs!Y119,tech_treasure_hunt_plat*Techs!AR119), 0.5)</f>
        <v>0</v>
      </c>
      <c r="AI119" s="455">
        <f ca="1">race_food_bonus + IF(Magic!AO119&gt;0,gaias_blessing_food,IF(Magic!AG119&gt;0,gaias_watch_bonus)) + Imps!AD119+tech_production_food*Techs!W119 + O119/100*prestige_food_bonus</f>
        <v>0.1</v>
      </c>
      <c r="AJ119" s="267">
        <f ca="1">race_lumber_bonus+ IF(Magic!AO119&gt;0,gaias_blessing_lumber)+tech_fruits_of_labor1*Techs!AP119</f>
        <v>0</v>
      </c>
      <c r="AK119" s="267">
        <f ca="1">race_mana_bonus+tech_enchanted_lands_mana*Techs!AT119</f>
        <v>0</v>
      </c>
      <c r="AL119" s="267">
        <f ca="1">race_ore_bonus + IF(Magic!AL119&gt;0,miners_sight_bonus,IF(Magic!AH119&gt;0,mining_strength_bonus))+tech_fruits_of_labor1*Techs!AP119</f>
        <v>0</v>
      </c>
      <c r="AM119" s="193">
        <f ca="1">race_gem_bonus+MAX(tech_production_gems*Techs!X119,tech_fruits_of_labor_gems*Techs!AP119)</f>
        <v>0</v>
      </c>
      <c r="AO119" s="56">
        <f ca="1">I119*food_decay*IF(Magic!AZ119&gt;0,0.5,1)</f>
        <v>3366.65</v>
      </c>
      <c r="AP119" s="26">
        <f ca="1">(1+race_food_consumption)*Population!F119*food_per_person</f>
        <v>2310</v>
      </c>
      <c r="AQ119" s="26">
        <f t="shared" ca="1" si="65"/>
        <v>2663.26</v>
      </c>
      <c r="AR119" s="57">
        <f t="shared" ca="1" si="66"/>
        <v>1168.42</v>
      </c>
      <c r="AS119" s="26"/>
      <c r="AT119" s="56">
        <f ca="1">Explore!AH119+Construction!AP119+Military!AU119+Rezone!Y119+Imps!AM119-BE119</f>
        <v>0</v>
      </c>
      <c r="AU119" s="26">
        <f>Construction!AQ119+Imps!AN119-BF119</f>
        <v>0</v>
      </c>
      <c r="AV119" s="26">
        <f>Magic!AD119</f>
        <v>0</v>
      </c>
      <c r="AW119" s="26">
        <f ca="1">Military!AV119+Imps!AO119-BG119</f>
        <v>0</v>
      </c>
      <c r="AX119" s="26">
        <f>Imps!AP119-BH119</f>
        <v>0</v>
      </c>
      <c r="AY119" s="26">
        <f ca="1">Military!AZ119</f>
        <v>0</v>
      </c>
      <c r="AZ119" s="57">
        <f ca="1">Military!BA119</f>
        <v>0</v>
      </c>
      <c r="BB119" s="56" t="b">
        <f t="shared" si="64"/>
        <v>0</v>
      </c>
      <c r="BC119" s="332"/>
      <c r="BD119" s="979">
        <v>45</v>
      </c>
      <c r="BE119" s="332"/>
      <c r="BF119" s="370"/>
      <c r="BG119" s="370"/>
      <c r="BH119" s="744"/>
      <c r="BI119" s="1036">
        <f t="shared" si="45"/>
        <v>43696.833333333052</v>
      </c>
      <c r="BJ119" s="159" t="str">
        <f t="shared" si="61"/>
        <v/>
      </c>
      <c r="BK119" s="26">
        <f t="shared" ca="1" si="57"/>
        <v>4183027</v>
      </c>
      <c r="BL119" s="26">
        <f t="shared" ca="1" si="46"/>
        <v>336665</v>
      </c>
      <c r="BM119" s="26">
        <f t="shared" ca="1" si="47"/>
        <v>266326</v>
      </c>
      <c r="BN119" s="26">
        <f t="shared" ca="1" si="48"/>
        <v>58421</v>
      </c>
      <c r="BO119" s="57">
        <f t="shared" ca="1" si="49"/>
        <v>231000</v>
      </c>
    </row>
    <row r="120" spans="1:67" s="16" customFormat="1">
      <c r="A120" s="987">
        <v>46</v>
      </c>
      <c r="B120" s="816">
        <f>Imps!L120</f>
        <v>43696.874999999716</v>
      </c>
      <c r="C120" s="332"/>
      <c r="D120" s="835"/>
      <c r="E120" s="56">
        <f>Construction!E120</f>
        <v>1000</v>
      </c>
      <c r="F120" s="26">
        <f ca="1">Population!$C120</f>
        <v>3945</v>
      </c>
      <c r="G120" s="26">
        <f ca="1">Military!EM120</f>
        <v>39460</v>
      </c>
      <c r="H120" s="26">
        <f ca="1">H119+S119 - AT120 + IF(C120,Population!C120*4)</f>
        <v>4193678</v>
      </c>
      <c r="I120" s="26">
        <f t="shared" ca="1" si="58"/>
        <v>338028</v>
      </c>
      <c r="J120" s="26">
        <f t="shared" ca="1" si="50"/>
        <v>266163</v>
      </c>
      <c r="K120" s="26">
        <f t="shared" ca="1" si="51"/>
        <v>58503</v>
      </c>
      <c r="L120" s="26">
        <f t="shared" ca="1" si="52"/>
        <v>231000</v>
      </c>
      <c r="M120" s="26">
        <f t="shared" ca="1" si="67"/>
        <v>20000</v>
      </c>
      <c r="N120" s="26">
        <f t="shared" ca="1" si="59"/>
        <v>200</v>
      </c>
      <c r="O120" s="26">
        <f t="shared" si="62"/>
        <v>500</v>
      </c>
      <c r="P120" s="26">
        <f>ROUNDDOWN(P119+MAX(Construction!BO120/2,Construction!BO120*(1-Construction!BO120/(E120-Explore!S120*20)))-Q120*SUM(Techs!AY120:BY120),0)</f>
        <v>0</v>
      </c>
      <c r="Q120" s="166">
        <f>MAX(min_tech_cost,ROUNDDOWN(tech_cost_per_acre*Construction!E120,0))</f>
        <v>6426</v>
      </c>
      <c r="S120" s="152">
        <f t="shared" ca="1" si="54"/>
        <v>10651</v>
      </c>
      <c r="T120" s="164">
        <f t="shared" ca="1" si="40"/>
        <v>1350</v>
      </c>
      <c r="U120" s="164">
        <f t="shared" ca="1" si="41"/>
        <v>-162</v>
      </c>
      <c r="V120" s="164">
        <f t="shared" ca="1" si="42"/>
        <v>80</v>
      </c>
      <c r="W120" s="164">
        <f t="shared" ca="1" si="55"/>
        <v>0</v>
      </c>
      <c r="X120" s="164">
        <f t="shared" ca="1" si="56"/>
        <v>0</v>
      </c>
      <c r="Y120" s="265">
        <f>Construction!BP121*dock_boats_hr</f>
        <v>0</v>
      </c>
      <c r="Z120" s="164"/>
      <c r="AA120" s="152">
        <f ca="1">Population!C120*tax*Population!I120 + (Construction!AY121+Construction!BW121)*(alch_plat+(Magic!AR120&gt;0)*alchemist_flame_bonus)</f>
        <v>10651.5</v>
      </c>
      <c r="AB120" s="164">
        <f>Construction!$AZ120*farm_food + Construction!$BP120*dock_food+IF(race="Growth",ROUNDDOWN(Military!G120*8,0),0)</f>
        <v>6400</v>
      </c>
      <c r="AC120" s="164">
        <f>Construction!$BC120*ly_lumber+IF(race="Ants",ROUNDDOWN(Military!F120/2,0),0)</f>
        <v>2500</v>
      </c>
      <c r="AD120" s="26">
        <f>Construction!$BK121*tower_mana+IF(race="Templars",ROUNDDOWN(Military!F120*0.02,0),0)+IF(race="Black Orc",Military!G120*5,0)+IF(race="Growth",ROUNDDOWN(Military!G120*0.1,0),0)+IF(race="Void",ROUNDDOWN(Military!F120*1.5,0),0)+IF(race="Void",ROUNDDOWN(Military!G120*4,0),0)</f>
        <v>1250</v>
      </c>
      <c r="AE120" s="164">
        <f>Construction!$BE121*om_ore+IF(race="Dwarf",ROUNDDOWN(Military!F120*2,0),0)</f>
        <v>0</v>
      </c>
      <c r="AF120" s="57">
        <f>Construction!$BN121*dm_gems+IF(race="Dwarf",ROUNDDOWN(Military!F120/2,0),0)</f>
        <v>0</v>
      </c>
      <c r="AH120" s="266">
        <f ca="1">MIN(race_platinum_bonus + IF(Magic!AJ120&gt;0,midas_bonus) + Imps!Y120 - BB120*0.02+MAX(tech_production_plat*Techs!Y120,tech_treasure_hunt_plat*Techs!AR120), 0.5)</f>
        <v>0</v>
      </c>
      <c r="AI120" s="455">
        <f ca="1">race_food_bonus + IF(Magic!AO120&gt;0,gaias_blessing_food,IF(Magic!AG120&gt;0,gaias_watch_bonus)) + Imps!AD120+tech_production_food*Techs!W120 + O120/100*prestige_food_bonus</f>
        <v>0.1</v>
      </c>
      <c r="AJ120" s="267">
        <f ca="1">race_lumber_bonus+ IF(Magic!AO120&gt;0,gaias_blessing_lumber)+tech_fruits_of_labor1*Techs!AP120</f>
        <v>0</v>
      </c>
      <c r="AK120" s="267">
        <f ca="1">race_mana_bonus+tech_enchanted_lands_mana*Techs!AT120</f>
        <v>0</v>
      </c>
      <c r="AL120" s="267">
        <f ca="1">race_ore_bonus + IF(Magic!AL120&gt;0,miners_sight_bonus,IF(Magic!AH120&gt;0,mining_strength_bonus))+tech_fruits_of_labor1*Techs!AP120</f>
        <v>0</v>
      </c>
      <c r="AM120" s="193">
        <f ca="1">race_gem_bonus+MAX(tech_production_gems*Techs!X120,tech_fruits_of_labor_gems*Techs!AP120)</f>
        <v>0</v>
      </c>
      <c r="AO120" s="56">
        <f ca="1">I120*food_decay*IF(Magic!AZ120&gt;0,0.5,1)</f>
        <v>3380.28</v>
      </c>
      <c r="AP120" s="26">
        <f ca="1">(1+race_food_consumption)*Population!F120*food_per_person</f>
        <v>2310</v>
      </c>
      <c r="AQ120" s="26">
        <f t="shared" ca="1" si="65"/>
        <v>2661.63</v>
      </c>
      <c r="AR120" s="57">
        <f t="shared" ca="1" si="66"/>
        <v>1170.06</v>
      </c>
      <c r="AS120" s="26"/>
      <c r="AT120" s="56">
        <f ca="1">Explore!AH120+Construction!AP120+Military!AU120+Rezone!Y120+Imps!AM120-BE120</f>
        <v>0</v>
      </c>
      <c r="AU120" s="26">
        <f>Construction!AQ120+Imps!AN120-BF120</f>
        <v>0</v>
      </c>
      <c r="AV120" s="26">
        <f>Magic!AD120</f>
        <v>0</v>
      </c>
      <c r="AW120" s="26">
        <f ca="1">Military!AV120+Imps!AO120-BG120</f>
        <v>0</v>
      </c>
      <c r="AX120" s="26">
        <f>Imps!AP120-BH120</f>
        <v>0</v>
      </c>
      <c r="AY120" s="26">
        <f ca="1">Military!AZ120</f>
        <v>0</v>
      </c>
      <c r="AZ120" s="57">
        <f ca="1">Military!BA120</f>
        <v>0</v>
      </c>
      <c r="BB120" s="56" t="b">
        <f t="shared" si="64"/>
        <v>0</v>
      </c>
      <c r="BC120" s="332"/>
      <c r="BD120" s="979">
        <v>46</v>
      </c>
      <c r="BE120" s="332"/>
      <c r="BF120" s="370"/>
      <c r="BG120" s="370"/>
      <c r="BH120" s="744"/>
      <c r="BI120" s="1036">
        <f t="shared" si="45"/>
        <v>43696.874999999716</v>
      </c>
      <c r="BJ120" s="159" t="str">
        <f t="shared" si="61"/>
        <v/>
      </c>
      <c r="BK120" s="26">
        <f t="shared" ca="1" si="57"/>
        <v>4193678</v>
      </c>
      <c r="BL120" s="26">
        <f t="shared" ca="1" si="46"/>
        <v>338028</v>
      </c>
      <c r="BM120" s="26">
        <f t="shared" ca="1" si="47"/>
        <v>266163</v>
      </c>
      <c r="BN120" s="26">
        <f t="shared" ca="1" si="48"/>
        <v>58503</v>
      </c>
      <c r="BO120" s="57">
        <f t="shared" ca="1" si="49"/>
        <v>231000</v>
      </c>
    </row>
    <row r="121" spans="1:67" s="16" customFormat="1">
      <c r="A121" s="987">
        <v>47</v>
      </c>
      <c r="B121" s="816">
        <f>Imps!L121</f>
        <v>43696.91666666638</v>
      </c>
      <c r="C121" s="332"/>
      <c r="D121" s="835"/>
      <c r="E121" s="56">
        <f>Construction!E121</f>
        <v>1000</v>
      </c>
      <c r="F121" s="26">
        <f ca="1">Population!$C121</f>
        <v>3945</v>
      </c>
      <c r="G121" s="26">
        <f ca="1">Military!EM121</f>
        <v>39460</v>
      </c>
      <c r="H121" s="26">
        <f ca="1">H120+S120 - AT121 + IF(C121,Population!C121*4)</f>
        <v>4204329</v>
      </c>
      <c r="I121" s="26">
        <f t="shared" ca="1" si="58"/>
        <v>339378</v>
      </c>
      <c r="J121" s="26">
        <f t="shared" ca="1" si="50"/>
        <v>266001</v>
      </c>
      <c r="K121" s="26">
        <f t="shared" ca="1" si="51"/>
        <v>58583</v>
      </c>
      <c r="L121" s="26">
        <f t="shared" ca="1" si="52"/>
        <v>231000</v>
      </c>
      <c r="M121" s="26">
        <f t="shared" ca="1" si="67"/>
        <v>20000</v>
      </c>
      <c r="N121" s="26">
        <f t="shared" ca="1" si="59"/>
        <v>200</v>
      </c>
      <c r="O121" s="26">
        <f t="shared" si="62"/>
        <v>500</v>
      </c>
      <c r="P121" s="26">
        <f>ROUNDDOWN(P120+MAX(Construction!BO121/2,Construction!BO121*(1-Construction!BO121/(E121-Explore!S121*20)))-Q121*SUM(Techs!AY121:BY121),0)</f>
        <v>0</v>
      </c>
      <c r="Q121" s="166">
        <f>MAX(min_tech_cost,ROUNDDOWN(tech_cost_per_acre*Construction!E121,0))</f>
        <v>6426</v>
      </c>
      <c r="S121" s="152">
        <f t="shared" ca="1" si="54"/>
        <v>10651</v>
      </c>
      <c r="T121" s="164">
        <f t="shared" ca="1" si="40"/>
        <v>1336</v>
      </c>
      <c r="U121" s="164">
        <f t="shared" ca="1" si="41"/>
        <v>-160</v>
      </c>
      <c r="V121" s="164">
        <f t="shared" ca="1" si="42"/>
        <v>78</v>
      </c>
      <c r="W121" s="164">
        <f t="shared" ca="1" si="55"/>
        <v>0</v>
      </c>
      <c r="X121" s="164">
        <f t="shared" ca="1" si="56"/>
        <v>0</v>
      </c>
      <c r="Y121" s="265">
        <f>Construction!BP122*dock_boats_hr</f>
        <v>0</v>
      </c>
      <c r="Z121" s="164"/>
      <c r="AA121" s="152">
        <f ca="1">Population!C121*tax*Population!I121 + (Construction!AY122+Construction!BW122)*(alch_plat+(Magic!AR121&gt;0)*alchemist_flame_bonus)</f>
        <v>10651.5</v>
      </c>
      <c r="AB121" s="164">
        <f>Construction!$AZ121*farm_food + Construction!$BP121*dock_food+IF(race="Growth",ROUNDDOWN(Military!G121*8,0),0)</f>
        <v>6400</v>
      </c>
      <c r="AC121" s="164">
        <f>Construction!$BC121*ly_lumber+IF(race="Ants",ROUNDDOWN(Military!F121/2,0),0)</f>
        <v>2500</v>
      </c>
      <c r="AD121" s="26">
        <f>Construction!$BK122*tower_mana+IF(race="Templars",ROUNDDOWN(Military!F121*0.02,0),0)+IF(race="Black Orc",Military!G121*5,0)+IF(race="Growth",ROUNDDOWN(Military!G121*0.1,0),0)+IF(race="Void",ROUNDDOWN(Military!F121*1.5,0),0)+IF(race="Void",ROUNDDOWN(Military!G121*4,0),0)</f>
        <v>1250</v>
      </c>
      <c r="AE121" s="164">
        <f>Construction!$BE122*om_ore+IF(race="Dwarf",ROUNDDOWN(Military!F121*2,0),0)</f>
        <v>0</v>
      </c>
      <c r="AF121" s="57">
        <f>Construction!$BN122*dm_gems+IF(race="Dwarf",ROUNDDOWN(Military!F121/2,0),0)</f>
        <v>0</v>
      </c>
      <c r="AH121" s="266">
        <f ca="1">MIN(race_platinum_bonus + IF(Magic!AJ121&gt;0,midas_bonus) + Imps!Y121 - BB121*0.02+MAX(tech_production_plat*Techs!Y121,tech_treasure_hunt_plat*Techs!AR121), 0.5)</f>
        <v>0</v>
      </c>
      <c r="AI121" s="455">
        <f ca="1">race_food_bonus + IF(Magic!AO121&gt;0,gaias_blessing_food,IF(Magic!AG121&gt;0,gaias_watch_bonus)) + Imps!AD121+tech_production_food*Techs!W121 + O121/100*prestige_food_bonus</f>
        <v>0.1</v>
      </c>
      <c r="AJ121" s="267">
        <f ca="1">race_lumber_bonus+ IF(Magic!AO121&gt;0,gaias_blessing_lumber)+tech_fruits_of_labor1*Techs!AP121</f>
        <v>0</v>
      </c>
      <c r="AK121" s="267">
        <f ca="1">race_mana_bonus+tech_enchanted_lands_mana*Techs!AT121</f>
        <v>0</v>
      </c>
      <c r="AL121" s="267">
        <f ca="1">race_ore_bonus + IF(Magic!AL121&gt;0,miners_sight_bonus,IF(Magic!AH121&gt;0,mining_strength_bonus))+tech_fruits_of_labor1*Techs!AP121</f>
        <v>0</v>
      </c>
      <c r="AM121" s="193">
        <f ca="1">race_gem_bonus+MAX(tech_production_gems*Techs!X121,tech_fruits_of_labor_gems*Techs!AP121)</f>
        <v>0</v>
      </c>
      <c r="AO121" s="56">
        <f ca="1">I121*food_decay*IF(Magic!AZ121&gt;0,0.5,1)</f>
        <v>3393.78</v>
      </c>
      <c r="AP121" s="26">
        <f ca="1">(1+race_food_consumption)*Population!F121*food_per_person</f>
        <v>2310</v>
      </c>
      <c r="AQ121" s="26">
        <f t="shared" ca="1" si="65"/>
        <v>2660.01</v>
      </c>
      <c r="AR121" s="57">
        <f t="shared" ca="1" si="66"/>
        <v>1171.6600000000001</v>
      </c>
      <c r="AS121" s="26"/>
      <c r="AT121" s="56">
        <f ca="1">Explore!AH121+Construction!AP121+Military!AU121+Rezone!Y121+Imps!AM121-BE121</f>
        <v>0</v>
      </c>
      <c r="AU121" s="26">
        <f>Construction!AQ121+Imps!AN121-BF121</f>
        <v>0</v>
      </c>
      <c r="AV121" s="26">
        <f>Magic!AD121</f>
        <v>0</v>
      </c>
      <c r="AW121" s="26">
        <f ca="1">Military!AV121+Imps!AO121-BG121</f>
        <v>0</v>
      </c>
      <c r="AX121" s="26">
        <f>Imps!AP121-BH121</f>
        <v>0</v>
      </c>
      <c r="AY121" s="26">
        <f ca="1">Military!AZ121</f>
        <v>0</v>
      </c>
      <c r="AZ121" s="57">
        <f ca="1">Military!BA121</f>
        <v>0</v>
      </c>
      <c r="BB121" s="56" t="b">
        <f t="shared" si="64"/>
        <v>0</v>
      </c>
      <c r="BC121" s="332"/>
      <c r="BD121" s="979">
        <v>47</v>
      </c>
      <c r="BE121" s="332"/>
      <c r="BF121" s="370"/>
      <c r="BG121" s="370"/>
      <c r="BH121" s="744"/>
      <c r="BI121" s="1036">
        <f t="shared" si="45"/>
        <v>43696.91666666638</v>
      </c>
      <c r="BJ121" s="159" t="str">
        <f t="shared" si="61"/>
        <v/>
      </c>
      <c r="BK121" s="26">
        <f t="shared" ca="1" si="57"/>
        <v>4204329</v>
      </c>
      <c r="BL121" s="26">
        <f t="shared" ca="1" si="46"/>
        <v>339378</v>
      </c>
      <c r="BM121" s="26">
        <f t="shared" ca="1" si="47"/>
        <v>266001</v>
      </c>
      <c r="BN121" s="26">
        <f t="shared" ca="1" si="48"/>
        <v>58583</v>
      </c>
      <c r="BO121" s="57">
        <f t="shared" ca="1" si="49"/>
        <v>231000</v>
      </c>
    </row>
    <row r="122" spans="1:67" s="16" customFormat="1" ht="13.5" thickBot="1">
      <c r="A122" s="987">
        <v>48</v>
      </c>
      <c r="B122" s="532">
        <f>Imps!L122</f>
        <v>43696.958333333045</v>
      </c>
      <c r="C122" s="332"/>
      <c r="D122" s="835"/>
      <c r="E122" s="56">
        <f>Construction!E122</f>
        <v>1000</v>
      </c>
      <c r="F122" s="26">
        <f ca="1">Population!$C122</f>
        <v>3945</v>
      </c>
      <c r="G122" s="26">
        <f ca="1">Military!EM122</f>
        <v>39460</v>
      </c>
      <c r="H122" s="26">
        <f ca="1">H121+S121 - AT122 + IF(C122,Population!C122*4)</f>
        <v>4214980</v>
      </c>
      <c r="I122" s="26">
        <f t="shared" ca="1" si="58"/>
        <v>340714</v>
      </c>
      <c r="J122" s="26">
        <f t="shared" ca="1" si="50"/>
        <v>265841</v>
      </c>
      <c r="K122" s="26">
        <f t="shared" ca="1" si="51"/>
        <v>58661</v>
      </c>
      <c r="L122" s="26">
        <f t="shared" ca="1" si="52"/>
        <v>231000</v>
      </c>
      <c r="M122" s="26">
        <f t="shared" ca="1" si="67"/>
        <v>20000</v>
      </c>
      <c r="N122" s="26">
        <f t="shared" ca="1" si="59"/>
        <v>200</v>
      </c>
      <c r="O122" s="26">
        <f t="shared" si="62"/>
        <v>500</v>
      </c>
      <c r="P122" s="26">
        <f>ROUNDDOWN(P121+MAX(Construction!BO122/2,Construction!BO122*(1-Construction!BO122/(E122-Explore!S122*20)))-Q122*SUM(Techs!AY122:BY122),0)</f>
        <v>0</v>
      </c>
      <c r="Q122" s="166">
        <f>MAX(min_tech_cost,ROUNDDOWN(tech_cost_per_acre*Construction!E122,0))</f>
        <v>6426</v>
      </c>
      <c r="S122" s="152">
        <f t="shared" ca="1" si="54"/>
        <v>10651</v>
      </c>
      <c r="T122" s="164">
        <f t="shared" ca="1" si="40"/>
        <v>1323</v>
      </c>
      <c r="U122" s="164">
        <f t="shared" ca="1" si="41"/>
        <v>-158</v>
      </c>
      <c r="V122" s="164">
        <f t="shared" ca="1" si="42"/>
        <v>77</v>
      </c>
      <c r="W122" s="164">
        <f t="shared" ca="1" si="55"/>
        <v>0</v>
      </c>
      <c r="X122" s="164">
        <f t="shared" ca="1" si="56"/>
        <v>0</v>
      </c>
      <c r="Y122" s="265">
        <f>Construction!BP123*dock_boats_hr</f>
        <v>0</v>
      </c>
      <c r="Z122" s="164"/>
      <c r="AA122" s="152">
        <f ca="1">Population!C122*tax*Population!I122 + (Construction!AY123+Construction!BW123)*(alch_plat+(Magic!AR122&gt;0)*alchemist_flame_bonus)</f>
        <v>10651.5</v>
      </c>
      <c r="AB122" s="164">
        <f>Construction!$AZ122*farm_food + Construction!$BP122*dock_food+IF(race="Growth",ROUNDDOWN(Military!G122*8,0),0)</f>
        <v>6400</v>
      </c>
      <c r="AC122" s="164">
        <f>Construction!$BC122*ly_lumber+IF(race="Ants",ROUNDDOWN(Military!F122/2,0),0)</f>
        <v>2500</v>
      </c>
      <c r="AD122" s="26">
        <f>Construction!$BK123*tower_mana+IF(race="Templars",ROUNDDOWN(Military!F122*0.02,0),0)+IF(race="Black Orc",Military!G122*5,0)+IF(race="Growth",ROUNDDOWN(Military!G122*0.1,0),0)+IF(race="Void",ROUNDDOWN(Military!F122*1.5,0),0)+IF(race="Void",ROUNDDOWN(Military!G122*4,0),0)</f>
        <v>1250</v>
      </c>
      <c r="AE122" s="164">
        <f>Construction!$BE123*om_ore+IF(race="Dwarf",ROUNDDOWN(Military!F122*2,0),0)</f>
        <v>0</v>
      </c>
      <c r="AF122" s="57">
        <f>Construction!$BN123*dm_gems+IF(race="Dwarf",ROUNDDOWN(Military!F122/2,0),0)</f>
        <v>0</v>
      </c>
      <c r="AH122" s="266">
        <f ca="1">MIN(race_platinum_bonus + IF(Magic!AJ122&gt;0,midas_bonus) + Imps!Y122 - BB122*0.02+MAX(tech_production_plat*Techs!Y122,tech_treasure_hunt_plat*Techs!AR122), 0.5)</f>
        <v>0</v>
      </c>
      <c r="AI122" s="455">
        <f ca="1">race_food_bonus + IF(Magic!AO122&gt;0,gaias_blessing_food,IF(Magic!AG122&gt;0,gaias_watch_bonus)) + Imps!AD122+tech_production_food*Techs!W122 + O122/100*prestige_food_bonus</f>
        <v>0.1</v>
      </c>
      <c r="AJ122" s="267">
        <f ca="1">race_lumber_bonus+ IF(Magic!AO122&gt;0,gaias_blessing_lumber)+tech_fruits_of_labor1*Techs!AP122</f>
        <v>0</v>
      </c>
      <c r="AK122" s="267">
        <f ca="1">race_mana_bonus+tech_enchanted_lands_mana*Techs!AT122</f>
        <v>0</v>
      </c>
      <c r="AL122" s="267">
        <f ca="1">race_ore_bonus + IF(Magic!AL122&gt;0,miners_sight_bonus,IF(Magic!AH122&gt;0,mining_strength_bonus))+tech_fruits_of_labor1*Techs!AP122</f>
        <v>0</v>
      </c>
      <c r="AM122" s="193">
        <f ca="1">race_gem_bonus+MAX(tech_production_gems*Techs!X122,tech_fruits_of_labor_gems*Techs!AP122)</f>
        <v>0</v>
      </c>
      <c r="AO122" s="56">
        <f ca="1">I122*food_decay*IF(Magic!AZ122&gt;0,0.5,1)</f>
        <v>3407.14</v>
      </c>
      <c r="AP122" s="26">
        <f ca="1">(1+race_food_consumption)*Population!F122*food_per_person</f>
        <v>2310</v>
      </c>
      <c r="AQ122" s="26">
        <f t="shared" ca="1" si="65"/>
        <v>2658.41</v>
      </c>
      <c r="AR122" s="57">
        <f t="shared" ca="1" si="66"/>
        <v>1173.22</v>
      </c>
      <c r="AS122" s="26"/>
      <c r="AT122" s="56">
        <f ca="1">Explore!AH122+Construction!AP122+Military!AU122+Rezone!Y122+Imps!AM122-BE122</f>
        <v>0</v>
      </c>
      <c r="AU122" s="26">
        <f>Construction!AQ122+Imps!AN122-BF122</f>
        <v>0</v>
      </c>
      <c r="AV122" s="26">
        <f>Magic!AD122</f>
        <v>0</v>
      </c>
      <c r="AW122" s="26">
        <f ca="1">Military!AV122+Imps!AO122-BG122</f>
        <v>0</v>
      </c>
      <c r="AX122" s="26">
        <f>Imps!AP122-BH122</f>
        <v>0</v>
      </c>
      <c r="AY122" s="26">
        <f ca="1">Military!AZ122</f>
        <v>0</v>
      </c>
      <c r="AZ122" s="57">
        <f ca="1">Military!BA122</f>
        <v>0</v>
      </c>
      <c r="BB122" s="56" t="b">
        <f t="shared" si="64"/>
        <v>0</v>
      </c>
      <c r="BC122" s="332"/>
      <c r="BD122" s="979">
        <v>48</v>
      </c>
      <c r="BE122" s="332"/>
      <c r="BF122" s="370"/>
      <c r="BG122" s="370"/>
      <c r="BH122" s="744"/>
      <c r="BI122" s="1036">
        <f t="shared" si="45"/>
        <v>43696.958333333045</v>
      </c>
      <c r="BJ122" s="159" t="str">
        <f t="shared" si="61"/>
        <v/>
      </c>
      <c r="BK122" s="26">
        <f t="shared" ca="1" si="57"/>
        <v>4214980</v>
      </c>
      <c r="BL122" s="26">
        <f t="shared" ca="1" si="46"/>
        <v>340714</v>
      </c>
      <c r="BM122" s="26">
        <f t="shared" ca="1" si="47"/>
        <v>265841</v>
      </c>
      <c r="BN122" s="26">
        <f t="shared" ca="1" si="48"/>
        <v>58661</v>
      </c>
      <c r="BO122" s="57">
        <f t="shared" ca="1" si="49"/>
        <v>231000</v>
      </c>
    </row>
    <row r="123" spans="1:67" s="111" customFormat="1" ht="14.25" thickTop="1" thickBot="1">
      <c r="A123" s="991">
        <v>49</v>
      </c>
      <c r="B123" s="782">
        <f>Imps!L123</f>
        <v>43696.999999999709</v>
      </c>
      <c r="C123" s="334"/>
      <c r="D123" s="839"/>
      <c r="E123" s="110">
        <f>Construction!E123</f>
        <v>1000</v>
      </c>
      <c r="F123" s="108">
        <f ca="1">Population!$C123</f>
        <v>3945</v>
      </c>
      <c r="G123" s="108">
        <f ca="1">Military!EM123</f>
        <v>39460</v>
      </c>
      <c r="H123" s="108">
        <f ca="1">H122+S122 - AT123 + IF(C123,Population!C123*4)</f>
        <v>4225631</v>
      </c>
      <c r="I123" s="108">
        <f t="shared" ca="1" si="58"/>
        <v>342037</v>
      </c>
      <c r="J123" s="108">
        <f t="shared" ca="1" si="50"/>
        <v>265683</v>
      </c>
      <c r="K123" s="108">
        <f t="shared" ca="1" si="51"/>
        <v>58738</v>
      </c>
      <c r="L123" s="108">
        <f t="shared" ca="1" si="52"/>
        <v>231000</v>
      </c>
      <c r="M123" s="108">
        <f t="shared" ca="1" si="67"/>
        <v>20000</v>
      </c>
      <c r="N123" s="108">
        <f t="shared" ca="1" si="59"/>
        <v>200</v>
      </c>
      <c r="O123" s="108">
        <f t="shared" si="62"/>
        <v>500</v>
      </c>
      <c r="P123" s="108">
        <f>ROUNDDOWN(P122+MAX(Construction!BO123/2,Construction!BO123*(1-Construction!BO123/(E123-Explore!S123*20)))-Q123*SUM(Techs!AY123:BY123),0)</f>
        <v>0</v>
      </c>
      <c r="Q123" s="109">
        <f>MAX(min_tech_cost,ROUNDDOWN(tech_cost_per_acre*Construction!E123,0))</f>
        <v>6426</v>
      </c>
      <c r="S123" s="273">
        <f t="shared" ca="1" si="54"/>
        <v>10651</v>
      </c>
      <c r="T123" s="277">
        <f t="shared" ca="1" si="40"/>
        <v>1310</v>
      </c>
      <c r="U123" s="277">
        <f t="shared" ca="1" si="41"/>
        <v>-157</v>
      </c>
      <c r="V123" s="277">
        <f t="shared" ca="1" si="42"/>
        <v>75</v>
      </c>
      <c r="W123" s="277">
        <f t="shared" ca="1" si="55"/>
        <v>0</v>
      </c>
      <c r="X123" s="277">
        <f t="shared" ca="1" si="56"/>
        <v>0</v>
      </c>
      <c r="Y123" s="278">
        <f>Construction!BP124*dock_boats_hr</f>
        <v>0</v>
      </c>
      <c r="Z123" s="277"/>
      <c r="AA123" s="273">
        <f ca="1">Population!C123*tax*Population!I123 + (Construction!AY124+Construction!BW124)*(alch_plat+(Magic!AR123&gt;0)*alchemist_flame_bonus)</f>
        <v>10651.5</v>
      </c>
      <c r="AB123" s="277">
        <f>Construction!$AZ123*farm_food + Construction!$BP123*dock_food+IF(race="Growth",ROUNDDOWN(Military!G123*8,0),0)</f>
        <v>6400</v>
      </c>
      <c r="AC123" s="277">
        <f>Construction!$BC123*ly_lumber+IF(race="Ants",ROUNDDOWN(Military!F123/2,0),0)</f>
        <v>2500</v>
      </c>
      <c r="AD123" s="108">
        <f>Construction!$BK124*tower_mana+IF(race="Templars",ROUNDDOWN(Military!F123*0.02,0),0)+IF(race="Black Orc",Military!G123*5,0)+IF(race="Growth",ROUNDDOWN(Military!G123*0.1,0),0)+IF(race="Void",ROUNDDOWN(Military!F123*1.5,0),0)+IF(race="Void",ROUNDDOWN(Military!G123*4,0),0)</f>
        <v>1250</v>
      </c>
      <c r="AE123" s="277">
        <f>Construction!$BE124*om_ore+IF(race="Dwarf",ROUNDDOWN(Military!F123*2,0),0)</f>
        <v>0</v>
      </c>
      <c r="AF123" s="109">
        <f>Construction!$BN124*dm_gems+IF(race="Dwarf",ROUNDDOWN(Military!F123/2,0),0)</f>
        <v>0</v>
      </c>
      <c r="AH123" s="1164">
        <f ca="1">MIN(race_platinum_bonus + IF(Magic!AJ123&gt;0,midas_bonus) + Imps!Y123 - BB123*0.02+MAX(tech_production_plat*Techs!Y123,tech_treasure_hunt_plat*Techs!AR123), 0.5)</f>
        <v>0</v>
      </c>
      <c r="AI123" s="1165">
        <f ca="1">race_food_bonus + IF(Magic!AO123&gt;0,gaias_blessing_food,IF(Magic!AG123&gt;0,gaias_watch_bonus)) + Imps!AD123+tech_production_food*Techs!W123 + O123/100*prestige_food_bonus</f>
        <v>0.1</v>
      </c>
      <c r="AJ123" s="291">
        <f ca="1">race_lumber_bonus+ IF(Magic!AO123&gt;0,gaias_blessing_lumber)+tech_fruits_of_labor1*Techs!AP123</f>
        <v>0</v>
      </c>
      <c r="AK123" s="291">
        <f ca="1">race_mana_bonus+tech_enchanted_lands_mana*Techs!AT123</f>
        <v>0</v>
      </c>
      <c r="AL123" s="291">
        <f ca="1">race_ore_bonus + IF(Magic!AL123&gt;0,miners_sight_bonus,IF(Magic!AH123&gt;0,mining_strength_bonus))+tech_fruits_of_labor1*Techs!AP123</f>
        <v>0</v>
      </c>
      <c r="AM123" s="1166">
        <f ca="1">race_gem_bonus+MAX(tech_production_gems*Techs!X123,tech_fruits_of_labor_gems*Techs!AP123)</f>
        <v>0</v>
      </c>
      <c r="AO123" s="110">
        <f ca="1">I123*food_decay*IF(Magic!AZ123&gt;0,0.5,1)</f>
        <v>3420.37</v>
      </c>
      <c r="AP123" s="108">
        <f ca="1">(1+race_food_consumption)*Population!F123*food_per_person</f>
        <v>2310</v>
      </c>
      <c r="AQ123" s="108">
        <f t="shared" ca="1" si="65"/>
        <v>2656.83</v>
      </c>
      <c r="AR123" s="109">
        <f t="shared" ca="1" si="66"/>
        <v>1174.76</v>
      </c>
      <c r="AS123" s="108"/>
      <c r="AT123" s="110">
        <f ca="1">Explore!AH123+Construction!AP123+Military!AU123+Rezone!Y123+Imps!AM123-BE123</f>
        <v>0</v>
      </c>
      <c r="AU123" s="108">
        <f>Construction!AQ123+Imps!AN123-BF123</f>
        <v>0</v>
      </c>
      <c r="AV123" s="108">
        <f>Magic!AD123</f>
        <v>0</v>
      </c>
      <c r="AW123" s="108">
        <f ca="1">Military!AV123+Imps!AO123-BG123</f>
        <v>0</v>
      </c>
      <c r="AX123" s="108">
        <f>Imps!AP123-BH123</f>
        <v>0</v>
      </c>
      <c r="AY123" s="108">
        <f ca="1">Military!AZ123</f>
        <v>0</v>
      </c>
      <c r="AZ123" s="109">
        <f ca="1">Military!BA123</f>
        <v>0</v>
      </c>
      <c r="BB123" s="110" t="b">
        <f t="shared" si="64"/>
        <v>0</v>
      </c>
      <c r="BC123" s="334"/>
      <c r="BD123" s="983">
        <v>49</v>
      </c>
      <c r="BE123" s="334"/>
      <c r="BF123" s="433"/>
      <c r="BG123" s="433"/>
      <c r="BH123" s="748"/>
      <c r="BI123" s="1040">
        <f t="shared" si="45"/>
        <v>43696.999999999709</v>
      </c>
      <c r="BJ123" s="290" t="str">
        <f t="shared" si="61"/>
        <v/>
      </c>
      <c r="BK123" s="108">
        <f t="shared" ca="1" si="57"/>
        <v>4225631</v>
      </c>
      <c r="BL123" s="108">
        <f t="shared" ca="1" si="46"/>
        <v>342037</v>
      </c>
      <c r="BM123" s="108">
        <f t="shared" ca="1" si="47"/>
        <v>265683</v>
      </c>
      <c r="BN123" s="108">
        <f t="shared" ca="1" si="48"/>
        <v>58738</v>
      </c>
      <c r="BO123" s="109">
        <f t="shared" ca="1" si="49"/>
        <v>231000</v>
      </c>
    </row>
    <row r="124" spans="1:67" s="16" customFormat="1" ht="13.5" thickTop="1">
      <c r="A124" s="987">
        <v>50</v>
      </c>
      <c r="B124" s="532">
        <f>Imps!L124</f>
        <v>43697.041666666373</v>
      </c>
      <c r="C124" s="332"/>
      <c r="D124" s="835"/>
      <c r="E124" s="56">
        <f>Construction!E124</f>
        <v>1000</v>
      </c>
      <c r="F124" s="26">
        <f ca="1">Population!$C124</f>
        <v>3945</v>
      </c>
      <c r="G124" s="26">
        <f ca="1">Military!EM124</f>
        <v>39460</v>
      </c>
      <c r="H124" s="26">
        <f ca="1">H123+S123 - AT124 + IF(C124,Population!C124*4)</f>
        <v>4236282</v>
      </c>
      <c r="I124" s="26">
        <f t="shared" ca="1" si="58"/>
        <v>343347</v>
      </c>
      <c r="J124" s="26">
        <f t="shared" ca="1" si="50"/>
        <v>265526</v>
      </c>
      <c r="K124" s="26">
        <f t="shared" ca="1" si="51"/>
        <v>58813</v>
      </c>
      <c r="L124" s="26">
        <f t="shared" ca="1" si="52"/>
        <v>231000</v>
      </c>
      <c r="M124" s="26">
        <f t="shared" ca="1" si="67"/>
        <v>20000</v>
      </c>
      <c r="N124" s="26">
        <f t="shared" ca="1" si="59"/>
        <v>200</v>
      </c>
      <c r="O124" s="26">
        <f t="shared" si="62"/>
        <v>500</v>
      </c>
      <c r="P124" s="26">
        <f>ROUNDDOWN(P123+MAX(Construction!BO124/2,Construction!BO124*(1-Construction!BO124/(E124-Explore!S124*20)))-Q124*SUM(Techs!AY124:BY124),0)</f>
        <v>0</v>
      </c>
      <c r="Q124" s="166">
        <f>MAX(min_tech_cost,ROUNDDOWN(tech_cost_per_acre*Construction!E124,0))</f>
        <v>6426</v>
      </c>
      <c r="S124" s="152">
        <f t="shared" ca="1" si="54"/>
        <v>10651</v>
      </c>
      <c r="T124" s="164">
        <f t="shared" ca="1" si="40"/>
        <v>1297</v>
      </c>
      <c r="U124" s="164">
        <f t="shared" ca="1" si="41"/>
        <v>-155</v>
      </c>
      <c r="V124" s="164">
        <f t="shared" ca="1" si="42"/>
        <v>74</v>
      </c>
      <c r="W124" s="164">
        <f t="shared" ca="1" si="55"/>
        <v>0</v>
      </c>
      <c r="X124" s="164">
        <f t="shared" ca="1" si="56"/>
        <v>0</v>
      </c>
      <c r="Y124" s="265">
        <f>Construction!BP125*dock_boats_hr</f>
        <v>0</v>
      </c>
      <c r="Z124" s="164"/>
      <c r="AA124" s="152">
        <f ca="1">Population!C124*tax*Population!I124 + (Construction!AY125+Construction!BW125)*(alch_plat+(Magic!AR124&gt;0)*alchemist_flame_bonus)</f>
        <v>10651.5</v>
      </c>
      <c r="AB124" s="164">
        <f>Construction!$AZ124*farm_food + Construction!$BP124*dock_food+IF(race="Growth",ROUNDDOWN(Military!G124*8,0),0)</f>
        <v>6400</v>
      </c>
      <c r="AC124" s="164">
        <f>Construction!$BC124*ly_lumber+IF(race="Ants",ROUNDDOWN(Military!F124/2,0),0)</f>
        <v>2500</v>
      </c>
      <c r="AD124" s="26">
        <f>Construction!$BK125*tower_mana+IF(race="Templars",ROUNDDOWN(Military!F124*0.02,0),0)+IF(race="Black Orc",Military!G124*5,0)+IF(race="Growth",ROUNDDOWN(Military!G124*0.1,0),0)+IF(race="Void",ROUNDDOWN(Military!F124*1.5,0),0)+IF(race="Void",ROUNDDOWN(Military!G124*4,0),0)</f>
        <v>1250</v>
      </c>
      <c r="AE124" s="164">
        <f>Construction!$BE125*om_ore+IF(race="Dwarf",ROUNDDOWN(Military!F124*2,0),0)</f>
        <v>0</v>
      </c>
      <c r="AF124" s="57">
        <f>Construction!$BN125*dm_gems+IF(race="Dwarf",ROUNDDOWN(Military!F124/2,0),0)</f>
        <v>0</v>
      </c>
      <c r="AH124" s="266">
        <f ca="1">MIN(race_platinum_bonus + IF(Magic!AJ124&gt;0,midas_bonus) + Imps!Y124 - BB124*0.02+MAX(tech_production_plat*Techs!Y124,tech_treasure_hunt_plat*Techs!AR124), 0.5)</f>
        <v>0</v>
      </c>
      <c r="AI124" s="455">
        <f ca="1">race_food_bonus + IF(Magic!AO124&gt;0,gaias_blessing_food,IF(Magic!AG124&gt;0,gaias_watch_bonus)) + Imps!AD124+tech_production_food*Techs!W124 + O124/100*prestige_food_bonus</f>
        <v>0.1</v>
      </c>
      <c r="AJ124" s="267">
        <f ca="1">race_lumber_bonus+ IF(Magic!AO124&gt;0,gaias_blessing_lumber)+tech_fruits_of_labor1*Techs!AP124</f>
        <v>0</v>
      </c>
      <c r="AK124" s="267">
        <f ca="1">race_mana_bonus+tech_enchanted_lands_mana*Techs!AT124</f>
        <v>0</v>
      </c>
      <c r="AL124" s="267">
        <f ca="1">race_ore_bonus + IF(Magic!AL124&gt;0,miners_sight_bonus,IF(Magic!AH124&gt;0,mining_strength_bonus))+tech_fruits_of_labor1*Techs!AP124</f>
        <v>0</v>
      </c>
      <c r="AM124" s="193">
        <f ca="1">race_gem_bonus+MAX(tech_production_gems*Techs!X124,tech_fruits_of_labor_gems*Techs!AP124)</f>
        <v>0</v>
      </c>
      <c r="AO124" s="56">
        <f ca="1">I124*food_decay*IF(Magic!AZ124&gt;0,0.5,1)</f>
        <v>3433.4700000000003</v>
      </c>
      <c r="AP124" s="26">
        <f ca="1">(1+race_food_consumption)*Population!F124*food_per_person</f>
        <v>2310</v>
      </c>
      <c r="AQ124" s="26">
        <f t="shared" ca="1" si="65"/>
        <v>2655.26</v>
      </c>
      <c r="AR124" s="57">
        <f t="shared" ca="1" si="66"/>
        <v>1176.26</v>
      </c>
      <c r="AS124" s="26"/>
      <c r="AT124" s="56">
        <f ca="1">Explore!AH124+Construction!AP124+Military!AU124+Rezone!Y124+Imps!AM124-BE124</f>
        <v>0</v>
      </c>
      <c r="AU124" s="26">
        <f>Construction!AQ124+Imps!AN124-BF124</f>
        <v>0</v>
      </c>
      <c r="AV124" s="26">
        <f>Magic!AD124</f>
        <v>0</v>
      </c>
      <c r="AW124" s="26">
        <f ca="1">Military!AV124+Imps!AO124-BG124</f>
        <v>0</v>
      </c>
      <c r="AX124" s="26">
        <f>Imps!AP124-BH124</f>
        <v>0</v>
      </c>
      <c r="AY124" s="26">
        <f ca="1">Military!AZ124</f>
        <v>0</v>
      </c>
      <c r="AZ124" s="57">
        <f ca="1">Military!BA124</f>
        <v>0</v>
      </c>
      <c r="BB124" s="56" t="b">
        <f t="shared" si="64"/>
        <v>0</v>
      </c>
      <c r="BC124" s="332"/>
      <c r="BD124" s="979">
        <v>50</v>
      </c>
      <c r="BE124" s="332"/>
      <c r="BF124" s="370"/>
      <c r="BG124" s="370"/>
      <c r="BH124" s="744"/>
      <c r="BI124" s="1036">
        <f t="shared" si="45"/>
        <v>43697.041666666373</v>
      </c>
      <c r="BJ124" s="159" t="str">
        <f t="shared" si="61"/>
        <v/>
      </c>
      <c r="BK124" s="26">
        <f t="shared" ca="1" si="57"/>
        <v>4236282</v>
      </c>
      <c r="BL124" s="26">
        <f t="shared" ca="1" si="46"/>
        <v>343347</v>
      </c>
      <c r="BM124" s="26">
        <f t="shared" ca="1" si="47"/>
        <v>265526</v>
      </c>
      <c r="BN124" s="26">
        <f t="shared" ca="1" si="48"/>
        <v>58813</v>
      </c>
      <c r="BO124" s="57">
        <f t="shared" ca="1" si="49"/>
        <v>231000</v>
      </c>
    </row>
    <row r="125" spans="1:67" s="16" customFormat="1">
      <c r="A125" s="987">
        <v>51</v>
      </c>
      <c r="B125" s="816">
        <f>Imps!L125</f>
        <v>43697.083333333037</v>
      </c>
      <c r="C125" s="332"/>
      <c r="D125" s="835"/>
      <c r="E125" s="56">
        <f>Construction!E125</f>
        <v>1000</v>
      </c>
      <c r="F125" s="26">
        <f ca="1">Population!$C125</f>
        <v>3945</v>
      </c>
      <c r="G125" s="26">
        <f ca="1">Military!EM125</f>
        <v>39460</v>
      </c>
      <c r="H125" s="26">
        <f ca="1">H124+S124 - AT125 + IF(C125,Population!C125*4)</f>
        <v>4246933</v>
      </c>
      <c r="I125" s="26">
        <f t="shared" ca="1" si="58"/>
        <v>344644</v>
      </c>
      <c r="J125" s="26">
        <f t="shared" ca="1" si="50"/>
        <v>265371</v>
      </c>
      <c r="K125" s="26">
        <f t="shared" ca="1" si="51"/>
        <v>58887</v>
      </c>
      <c r="L125" s="26">
        <f t="shared" ca="1" si="52"/>
        <v>231000</v>
      </c>
      <c r="M125" s="26">
        <f t="shared" ca="1" si="67"/>
        <v>20000</v>
      </c>
      <c r="N125" s="26">
        <f t="shared" ca="1" si="59"/>
        <v>200</v>
      </c>
      <c r="O125" s="26">
        <f t="shared" si="62"/>
        <v>500</v>
      </c>
      <c r="P125" s="26">
        <f>ROUNDDOWN(P124+MAX(Construction!BO125/2,Construction!BO125*(1-Construction!BO125/(E125-Explore!S125*20)))-Q125*SUM(Techs!AY125:BY125),0)</f>
        <v>0</v>
      </c>
      <c r="Q125" s="166">
        <f>MAX(min_tech_cost,ROUNDDOWN(tech_cost_per_acre*Construction!E125,0))</f>
        <v>6426</v>
      </c>
      <c r="S125" s="152">
        <f t="shared" ca="1" si="54"/>
        <v>10651</v>
      </c>
      <c r="T125" s="164">
        <f t="shared" ca="1" si="40"/>
        <v>1284</v>
      </c>
      <c r="U125" s="164">
        <f t="shared" ca="1" si="41"/>
        <v>-154</v>
      </c>
      <c r="V125" s="164">
        <f t="shared" ca="1" si="42"/>
        <v>72</v>
      </c>
      <c r="W125" s="164">
        <f t="shared" ca="1" si="55"/>
        <v>0</v>
      </c>
      <c r="X125" s="164">
        <f t="shared" ca="1" si="56"/>
        <v>0</v>
      </c>
      <c r="Y125" s="265">
        <f>Construction!BP126*dock_boats_hr</f>
        <v>0</v>
      </c>
      <c r="Z125" s="164"/>
      <c r="AA125" s="152">
        <f ca="1">Population!C125*tax*Population!I125 + (Construction!AY126+Construction!BW126)*(alch_plat+(Magic!AR125&gt;0)*alchemist_flame_bonus)</f>
        <v>10651.5</v>
      </c>
      <c r="AB125" s="164">
        <f>Construction!$AZ125*farm_food + Construction!$BP125*dock_food+IF(race="Growth",ROUNDDOWN(Military!G125*8,0),0)</f>
        <v>6400</v>
      </c>
      <c r="AC125" s="164">
        <f>Construction!$BC125*ly_lumber+IF(race="Ants",ROUNDDOWN(Military!F125/2,0),0)</f>
        <v>2500</v>
      </c>
      <c r="AD125" s="26">
        <f>Construction!$BK126*tower_mana+IF(race="Templars",ROUNDDOWN(Military!F125*0.02,0),0)+IF(race="Black Orc",Military!G125*5,0)+IF(race="Growth",ROUNDDOWN(Military!G125*0.1,0),0)+IF(race="Void",ROUNDDOWN(Military!F125*1.5,0),0)+IF(race="Void",ROUNDDOWN(Military!G125*4,0),0)</f>
        <v>1250</v>
      </c>
      <c r="AE125" s="164">
        <f>Construction!$BE126*om_ore+IF(race="Dwarf",ROUNDDOWN(Military!F125*2,0),0)</f>
        <v>0</v>
      </c>
      <c r="AF125" s="57">
        <f>Construction!$BN126*dm_gems+IF(race="Dwarf",ROUNDDOWN(Military!F125/2,0),0)</f>
        <v>0</v>
      </c>
      <c r="AH125" s="266">
        <f ca="1">MIN(race_platinum_bonus + IF(Magic!AJ125&gt;0,midas_bonus) + Imps!Y125 - BB125*0.02+MAX(tech_production_plat*Techs!Y125,tech_treasure_hunt_plat*Techs!AR125), 0.5)</f>
        <v>0</v>
      </c>
      <c r="AI125" s="455">
        <f ca="1">race_food_bonus + IF(Magic!AO125&gt;0,gaias_blessing_food,IF(Magic!AG125&gt;0,gaias_watch_bonus)) + Imps!AD125+tech_production_food*Techs!W125 + O125/100*prestige_food_bonus</f>
        <v>0.1</v>
      </c>
      <c r="AJ125" s="267">
        <f ca="1">race_lumber_bonus+ IF(Magic!AO125&gt;0,gaias_blessing_lumber)+tech_fruits_of_labor1*Techs!AP125</f>
        <v>0</v>
      </c>
      <c r="AK125" s="267">
        <f ca="1">race_mana_bonus+tech_enchanted_lands_mana*Techs!AT125</f>
        <v>0</v>
      </c>
      <c r="AL125" s="267">
        <f ca="1">race_ore_bonus + IF(Magic!AL125&gt;0,miners_sight_bonus,IF(Magic!AH125&gt;0,mining_strength_bonus))+tech_fruits_of_labor1*Techs!AP125</f>
        <v>0</v>
      </c>
      <c r="AM125" s="193">
        <f ca="1">race_gem_bonus+MAX(tech_production_gems*Techs!X125,tech_fruits_of_labor_gems*Techs!AP125)</f>
        <v>0</v>
      </c>
      <c r="AO125" s="56">
        <f ca="1">I125*food_decay*IF(Magic!AZ125&gt;0,0.5,1)</f>
        <v>3446.44</v>
      </c>
      <c r="AP125" s="26">
        <f ca="1">(1+race_food_consumption)*Population!F125*food_per_person</f>
        <v>2310</v>
      </c>
      <c r="AQ125" s="26">
        <f t="shared" ca="1" si="65"/>
        <v>2653.71</v>
      </c>
      <c r="AR125" s="57">
        <f t="shared" ca="1" si="66"/>
        <v>1177.74</v>
      </c>
      <c r="AS125" s="26"/>
      <c r="AT125" s="56">
        <f ca="1">Explore!AH125+Construction!AP125+Military!AU125+Rezone!Y125+Imps!AM125-BE125</f>
        <v>0</v>
      </c>
      <c r="AU125" s="26">
        <f>Construction!AQ125+Imps!AN125-BF125</f>
        <v>0</v>
      </c>
      <c r="AV125" s="26">
        <f>Magic!AD125</f>
        <v>0</v>
      </c>
      <c r="AW125" s="26">
        <f ca="1">Military!AV125+Imps!AO125-BG125</f>
        <v>0</v>
      </c>
      <c r="AX125" s="26">
        <f>Imps!AP125-BH125</f>
        <v>0</v>
      </c>
      <c r="AY125" s="26">
        <f ca="1">Military!AZ125</f>
        <v>0</v>
      </c>
      <c r="AZ125" s="57">
        <f ca="1">Military!BA125</f>
        <v>0</v>
      </c>
      <c r="BB125" s="56" t="b">
        <f t="shared" si="64"/>
        <v>0</v>
      </c>
      <c r="BC125" s="332"/>
      <c r="BD125" s="979">
        <v>51</v>
      </c>
      <c r="BE125" s="332"/>
      <c r="BF125" s="370"/>
      <c r="BG125" s="370"/>
      <c r="BH125" s="744"/>
      <c r="BI125" s="1036">
        <f t="shared" si="45"/>
        <v>43697.083333333037</v>
      </c>
      <c r="BJ125" s="159" t="str">
        <f t="shared" si="61"/>
        <v/>
      </c>
      <c r="BK125" s="26">
        <f t="shared" ca="1" si="57"/>
        <v>4246933</v>
      </c>
      <c r="BL125" s="26">
        <f t="shared" ca="1" si="46"/>
        <v>344644</v>
      </c>
      <c r="BM125" s="26">
        <f t="shared" ca="1" si="47"/>
        <v>265371</v>
      </c>
      <c r="BN125" s="26">
        <f t="shared" ca="1" si="48"/>
        <v>58887</v>
      </c>
      <c r="BO125" s="57">
        <f t="shared" ca="1" si="49"/>
        <v>231000</v>
      </c>
    </row>
    <row r="126" spans="1:67" s="16" customFormat="1">
      <c r="A126" s="987">
        <v>52</v>
      </c>
      <c r="B126" s="816">
        <f>Imps!L126</f>
        <v>43697.124999999702</v>
      </c>
      <c r="C126" s="332"/>
      <c r="D126" s="835"/>
      <c r="E126" s="56">
        <f>Construction!E126</f>
        <v>1000</v>
      </c>
      <c r="F126" s="26">
        <f ca="1">Population!$C126</f>
        <v>3945</v>
      </c>
      <c r="G126" s="26">
        <f ca="1">Military!EM126</f>
        <v>39460</v>
      </c>
      <c r="H126" s="26">
        <f ca="1">H125+S125 - AT126 + IF(C126,Population!C126*4)</f>
        <v>4257584</v>
      </c>
      <c r="I126" s="26">
        <f t="shared" ca="1" si="58"/>
        <v>345928</v>
      </c>
      <c r="J126" s="26">
        <f t="shared" ca="1" si="50"/>
        <v>265217</v>
      </c>
      <c r="K126" s="26">
        <f t="shared" ca="1" si="51"/>
        <v>58959</v>
      </c>
      <c r="L126" s="26">
        <f t="shared" ca="1" si="52"/>
        <v>231000</v>
      </c>
      <c r="M126" s="26">
        <f t="shared" ca="1" si="67"/>
        <v>20000</v>
      </c>
      <c r="N126" s="26">
        <f t="shared" ca="1" si="59"/>
        <v>200</v>
      </c>
      <c r="O126" s="26">
        <f t="shared" si="62"/>
        <v>500</v>
      </c>
      <c r="P126" s="26">
        <f>ROUNDDOWN(P125+MAX(Construction!BO126/2,Construction!BO126*(1-Construction!BO126/(E126-Explore!S126*20)))-Q126*SUM(Techs!AY126:BY126),0)</f>
        <v>0</v>
      </c>
      <c r="Q126" s="166">
        <f>MAX(min_tech_cost,ROUNDDOWN(tech_cost_per_acre*Construction!E126,0))</f>
        <v>6426</v>
      </c>
      <c r="S126" s="152">
        <f t="shared" ca="1" si="54"/>
        <v>10651</v>
      </c>
      <c r="T126" s="164">
        <f t="shared" ca="1" si="40"/>
        <v>1271</v>
      </c>
      <c r="U126" s="164">
        <f t="shared" ca="1" si="41"/>
        <v>-152</v>
      </c>
      <c r="V126" s="164">
        <f t="shared" ca="1" si="42"/>
        <v>71</v>
      </c>
      <c r="W126" s="164">
        <f t="shared" ca="1" si="55"/>
        <v>0</v>
      </c>
      <c r="X126" s="164">
        <f t="shared" ca="1" si="56"/>
        <v>0</v>
      </c>
      <c r="Y126" s="265">
        <f>Construction!BP127*dock_boats_hr</f>
        <v>0</v>
      </c>
      <c r="Z126" s="164"/>
      <c r="AA126" s="152">
        <f ca="1">Population!C126*tax*Population!I126 + (Construction!AY127+Construction!BW127)*(alch_plat+(Magic!AR126&gt;0)*alchemist_flame_bonus)</f>
        <v>10651.5</v>
      </c>
      <c r="AB126" s="164">
        <f>Construction!$AZ126*farm_food + Construction!$BP126*dock_food+IF(race="Growth",ROUNDDOWN(Military!G126*8,0),0)</f>
        <v>6400</v>
      </c>
      <c r="AC126" s="164">
        <f>Construction!$BC126*ly_lumber+IF(race="Ants",ROUNDDOWN(Military!F126/2,0),0)</f>
        <v>2500</v>
      </c>
      <c r="AD126" s="26">
        <f>Construction!$BK127*tower_mana+IF(race="Templars",ROUNDDOWN(Military!F126*0.02,0),0)+IF(race="Black Orc",Military!G126*5,0)+IF(race="Growth",ROUNDDOWN(Military!G126*0.1,0),0)+IF(race="Void",ROUNDDOWN(Military!F126*1.5,0),0)+IF(race="Void",ROUNDDOWN(Military!G126*4,0),0)</f>
        <v>1250</v>
      </c>
      <c r="AE126" s="164">
        <f>Construction!$BE127*om_ore+IF(race="Dwarf",ROUNDDOWN(Military!F126*2,0),0)</f>
        <v>0</v>
      </c>
      <c r="AF126" s="57">
        <f>Construction!$BN127*dm_gems+IF(race="Dwarf",ROUNDDOWN(Military!F126/2,0),0)</f>
        <v>0</v>
      </c>
      <c r="AH126" s="266">
        <f ca="1">MIN(race_platinum_bonus + IF(Magic!AJ126&gt;0,midas_bonus) + Imps!Y126 - BB126*0.02+MAX(tech_production_plat*Techs!Y126,tech_treasure_hunt_plat*Techs!AR126), 0.5)</f>
        <v>0</v>
      </c>
      <c r="AI126" s="455">
        <f ca="1">race_food_bonus + IF(Magic!AO126&gt;0,gaias_blessing_food,IF(Magic!AG126&gt;0,gaias_watch_bonus)) + Imps!AD126+tech_production_food*Techs!W126 + O126/100*prestige_food_bonus</f>
        <v>0.1</v>
      </c>
      <c r="AJ126" s="267">
        <f ca="1">race_lumber_bonus+ IF(Magic!AO126&gt;0,gaias_blessing_lumber)+tech_fruits_of_labor1*Techs!AP126</f>
        <v>0</v>
      </c>
      <c r="AK126" s="267">
        <f ca="1">race_mana_bonus+tech_enchanted_lands_mana*Techs!AT126</f>
        <v>0</v>
      </c>
      <c r="AL126" s="267">
        <f ca="1">race_ore_bonus + IF(Magic!AL126&gt;0,miners_sight_bonus,IF(Magic!AH126&gt;0,mining_strength_bonus))+tech_fruits_of_labor1*Techs!AP126</f>
        <v>0</v>
      </c>
      <c r="AM126" s="193">
        <f ca="1">race_gem_bonus+MAX(tech_production_gems*Techs!X126,tech_fruits_of_labor_gems*Techs!AP126)</f>
        <v>0</v>
      </c>
      <c r="AO126" s="56">
        <f ca="1">I126*food_decay*IF(Magic!AZ126&gt;0,0.5,1)</f>
        <v>3459.28</v>
      </c>
      <c r="AP126" s="26">
        <f ca="1">(1+race_food_consumption)*Population!F126*food_per_person</f>
        <v>2310</v>
      </c>
      <c r="AQ126" s="26">
        <f t="shared" ca="1" si="65"/>
        <v>2652.17</v>
      </c>
      <c r="AR126" s="57">
        <f t="shared" ca="1" si="66"/>
        <v>1179.18</v>
      </c>
      <c r="AS126" s="26"/>
      <c r="AT126" s="56">
        <f ca="1">Explore!AH126+Construction!AP126+Military!AU126+Rezone!Y126+Imps!AM126-BE126</f>
        <v>0</v>
      </c>
      <c r="AU126" s="26">
        <f>Construction!AQ126+Imps!AN126-BF126</f>
        <v>0</v>
      </c>
      <c r="AV126" s="26">
        <f>Magic!AD126</f>
        <v>0</v>
      </c>
      <c r="AW126" s="26">
        <f ca="1">Military!AV126+Imps!AO126-BG126</f>
        <v>0</v>
      </c>
      <c r="AX126" s="26">
        <f>Imps!AP126-BH126</f>
        <v>0</v>
      </c>
      <c r="AY126" s="26">
        <f ca="1">Military!AZ126</f>
        <v>0</v>
      </c>
      <c r="AZ126" s="57">
        <f ca="1">Military!BA126</f>
        <v>0</v>
      </c>
      <c r="BB126" s="56" t="b">
        <f t="shared" si="64"/>
        <v>0</v>
      </c>
      <c r="BC126" s="332"/>
      <c r="BD126" s="979">
        <v>52</v>
      </c>
      <c r="BE126" s="332"/>
      <c r="BF126" s="370"/>
      <c r="BG126" s="370"/>
      <c r="BH126" s="744"/>
      <c r="BI126" s="1036">
        <f t="shared" si="45"/>
        <v>43697.124999999702</v>
      </c>
      <c r="BJ126" s="159" t="str">
        <f t="shared" si="61"/>
        <v/>
      </c>
      <c r="BK126" s="26">
        <f t="shared" ca="1" si="57"/>
        <v>4257584</v>
      </c>
      <c r="BL126" s="26">
        <f t="shared" ca="1" si="46"/>
        <v>345928</v>
      </c>
      <c r="BM126" s="26">
        <f t="shared" ca="1" si="47"/>
        <v>265217</v>
      </c>
      <c r="BN126" s="26">
        <f t="shared" ca="1" si="48"/>
        <v>58959</v>
      </c>
      <c r="BO126" s="57">
        <f t="shared" ca="1" si="49"/>
        <v>231000</v>
      </c>
    </row>
    <row r="127" spans="1:67" s="16" customFormat="1">
      <c r="A127" s="987">
        <v>53</v>
      </c>
      <c r="B127" s="816">
        <f>Imps!L127</f>
        <v>43697.166666666366</v>
      </c>
      <c r="C127" s="332"/>
      <c r="D127" s="835"/>
      <c r="E127" s="56">
        <f>Construction!E127</f>
        <v>1000</v>
      </c>
      <c r="F127" s="26">
        <f ca="1">Population!$C127</f>
        <v>3945</v>
      </c>
      <c r="G127" s="26">
        <f ca="1">Military!EM127</f>
        <v>39460</v>
      </c>
      <c r="H127" s="26">
        <f ca="1">H126+S126 - AT127 + IF(C127,Population!C127*4)</f>
        <v>4268235</v>
      </c>
      <c r="I127" s="26">
        <f t="shared" ca="1" si="58"/>
        <v>347199</v>
      </c>
      <c r="J127" s="26">
        <f t="shared" ca="1" si="50"/>
        <v>265065</v>
      </c>
      <c r="K127" s="26">
        <f t="shared" ca="1" si="51"/>
        <v>59030</v>
      </c>
      <c r="L127" s="26">
        <f t="shared" ca="1" si="52"/>
        <v>231000</v>
      </c>
      <c r="M127" s="26">
        <f t="shared" ca="1" si="67"/>
        <v>20000</v>
      </c>
      <c r="N127" s="26">
        <f t="shared" ca="1" si="59"/>
        <v>200</v>
      </c>
      <c r="O127" s="26">
        <f t="shared" si="62"/>
        <v>500</v>
      </c>
      <c r="P127" s="26">
        <f>ROUNDDOWN(P126+MAX(Construction!BO127/2,Construction!BO127*(1-Construction!BO127/(E127-Explore!S127*20)))-Q127*SUM(Techs!AY127:BY127),0)</f>
        <v>0</v>
      </c>
      <c r="Q127" s="166">
        <f>MAX(min_tech_cost,ROUNDDOWN(tech_cost_per_acre*Construction!E127,0))</f>
        <v>6426</v>
      </c>
      <c r="S127" s="152">
        <f t="shared" ca="1" si="54"/>
        <v>10651</v>
      </c>
      <c r="T127" s="164">
        <f t="shared" ca="1" si="40"/>
        <v>1258</v>
      </c>
      <c r="U127" s="164">
        <f t="shared" ca="1" si="41"/>
        <v>-151</v>
      </c>
      <c r="V127" s="164">
        <f t="shared" ca="1" si="42"/>
        <v>69</v>
      </c>
      <c r="W127" s="164">
        <f t="shared" ca="1" si="55"/>
        <v>0</v>
      </c>
      <c r="X127" s="164">
        <f t="shared" ca="1" si="56"/>
        <v>0</v>
      </c>
      <c r="Y127" s="265">
        <f>Construction!BP128*dock_boats_hr</f>
        <v>0</v>
      </c>
      <c r="Z127" s="164"/>
      <c r="AA127" s="152">
        <f ca="1">Population!C127*tax*Population!I127 + (Construction!AY128+Construction!BW128)*(alch_plat+(Magic!AR127&gt;0)*alchemist_flame_bonus)</f>
        <v>10651.5</v>
      </c>
      <c r="AB127" s="164">
        <f>Construction!$AZ127*farm_food + Construction!$BP127*dock_food+IF(race="Growth",ROUNDDOWN(Military!G127*8,0),0)</f>
        <v>6400</v>
      </c>
      <c r="AC127" s="164">
        <f>Construction!$BC127*ly_lumber+IF(race="Ants",ROUNDDOWN(Military!F127/2,0),0)</f>
        <v>2500</v>
      </c>
      <c r="AD127" s="26">
        <f>Construction!$BK128*tower_mana+IF(race="Templars",ROUNDDOWN(Military!F127*0.02,0),0)+IF(race="Black Orc",Military!G127*5,0)+IF(race="Growth",ROUNDDOWN(Military!G127*0.1,0),0)+IF(race="Void",ROUNDDOWN(Military!F127*1.5,0),0)+IF(race="Void",ROUNDDOWN(Military!G127*4,0),0)</f>
        <v>1250</v>
      </c>
      <c r="AE127" s="164">
        <f>Construction!$BE128*om_ore+IF(race="Dwarf",ROUNDDOWN(Military!F127*2,0),0)</f>
        <v>0</v>
      </c>
      <c r="AF127" s="57">
        <f>Construction!$BN128*dm_gems+IF(race="Dwarf",ROUNDDOWN(Military!F127/2,0),0)</f>
        <v>0</v>
      </c>
      <c r="AH127" s="266">
        <f ca="1">MIN(race_platinum_bonus + IF(Magic!AJ127&gt;0,midas_bonus) + Imps!Y127 - BB127*0.02+MAX(tech_production_plat*Techs!Y127,tech_treasure_hunt_plat*Techs!AR127), 0.5)</f>
        <v>0</v>
      </c>
      <c r="AI127" s="455">
        <f ca="1">race_food_bonus + IF(Magic!AO127&gt;0,gaias_blessing_food,IF(Magic!AG127&gt;0,gaias_watch_bonus)) + Imps!AD127+tech_production_food*Techs!W127 + O127/100*prestige_food_bonus</f>
        <v>0.1</v>
      </c>
      <c r="AJ127" s="267">
        <f ca="1">race_lumber_bonus+ IF(Magic!AO127&gt;0,gaias_blessing_lumber)+tech_fruits_of_labor1*Techs!AP127</f>
        <v>0</v>
      </c>
      <c r="AK127" s="267">
        <f ca="1">race_mana_bonus+tech_enchanted_lands_mana*Techs!AT127</f>
        <v>0</v>
      </c>
      <c r="AL127" s="267">
        <f ca="1">race_ore_bonus + IF(Magic!AL127&gt;0,miners_sight_bonus,IF(Magic!AH127&gt;0,mining_strength_bonus))+tech_fruits_of_labor1*Techs!AP127</f>
        <v>0</v>
      </c>
      <c r="AM127" s="193">
        <f ca="1">race_gem_bonus+MAX(tech_production_gems*Techs!X127,tech_fruits_of_labor_gems*Techs!AP127)</f>
        <v>0</v>
      </c>
      <c r="AO127" s="56">
        <f ca="1">I127*food_decay*IF(Magic!AZ127&gt;0,0.5,1)</f>
        <v>3471.9900000000002</v>
      </c>
      <c r="AP127" s="26">
        <f ca="1">(1+race_food_consumption)*Population!F127*food_per_person</f>
        <v>2310</v>
      </c>
      <c r="AQ127" s="26">
        <f t="shared" ca="1" si="65"/>
        <v>2650.65</v>
      </c>
      <c r="AR127" s="57">
        <f t="shared" ca="1" si="66"/>
        <v>1180.6000000000001</v>
      </c>
      <c r="AS127" s="26"/>
      <c r="AT127" s="56">
        <f ca="1">Explore!AH127+Construction!AP127+Military!AU127+Rezone!Y127+Imps!AM127-BE127</f>
        <v>0</v>
      </c>
      <c r="AU127" s="26">
        <f>Construction!AQ127+Imps!AN127-BF127</f>
        <v>0</v>
      </c>
      <c r="AV127" s="26">
        <f>Magic!AD127</f>
        <v>0</v>
      </c>
      <c r="AW127" s="26">
        <f ca="1">Military!AV127+Imps!AO127-BG127</f>
        <v>0</v>
      </c>
      <c r="AX127" s="26">
        <f>Imps!AP127-BH127</f>
        <v>0</v>
      </c>
      <c r="AY127" s="26">
        <f ca="1">Military!AZ127</f>
        <v>0</v>
      </c>
      <c r="AZ127" s="57">
        <f ca="1">Military!BA127</f>
        <v>0</v>
      </c>
      <c r="BB127" s="56" t="b">
        <f t="shared" si="64"/>
        <v>0</v>
      </c>
      <c r="BC127" s="332"/>
      <c r="BD127" s="979">
        <v>53</v>
      </c>
      <c r="BE127" s="332"/>
      <c r="BF127" s="370"/>
      <c r="BG127" s="370"/>
      <c r="BH127" s="744"/>
      <c r="BI127" s="1036">
        <f t="shared" si="45"/>
        <v>43697.166666666366</v>
      </c>
      <c r="BJ127" s="159" t="str">
        <f t="shared" si="61"/>
        <v/>
      </c>
      <c r="BK127" s="26">
        <f t="shared" ca="1" si="57"/>
        <v>4268235</v>
      </c>
      <c r="BL127" s="26">
        <f t="shared" ca="1" si="46"/>
        <v>347199</v>
      </c>
      <c r="BM127" s="26">
        <f t="shared" ca="1" si="47"/>
        <v>265065</v>
      </c>
      <c r="BN127" s="26">
        <f t="shared" ca="1" si="48"/>
        <v>59030</v>
      </c>
      <c r="BO127" s="57">
        <f t="shared" ca="1" si="49"/>
        <v>231000</v>
      </c>
    </row>
    <row r="128" spans="1:67" s="16" customFormat="1">
      <c r="A128" s="987">
        <v>54</v>
      </c>
      <c r="B128" s="816">
        <f>Imps!L128</f>
        <v>43697.20833333303</v>
      </c>
      <c r="C128" s="332"/>
      <c r="D128" s="835"/>
      <c r="E128" s="56">
        <f>Construction!E128</f>
        <v>1000</v>
      </c>
      <c r="F128" s="26">
        <f ca="1">Population!$C128</f>
        <v>3945</v>
      </c>
      <c r="G128" s="26">
        <f ca="1">Military!EM128</f>
        <v>39460</v>
      </c>
      <c r="H128" s="26">
        <f ca="1">H127+S127 - AT128 + IF(C128,Population!C128*4)</f>
        <v>4278886</v>
      </c>
      <c r="I128" s="26">
        <f t="shared" ca="1" si="58"/>
        <v>348457</v>
      </c>
      <c r="J128" s="26">
        <f t="shared" ca="1" si="50"/>
        <v>264914</v>
      </c>
      <c r="K128" s="26">
        <f t="shared" ca="1" si="51"/>
        <v>59099</v>
      </c>
      <c r="L128" s="26">
        <f t="shared" ca="1" si="52"/>
        <v>231000</v>
      </c>
      <c r="M128" s="26">
        <f t="shared" ca="1" si="67"/>
        <v>20000</v>
      </c>
      <c r="N128" s="26">
        <f t="shared" ca="1" si="59"/>
        <v>200</v>
      </c>
      <c r="O128" s="26">
        <f t="shared" si="62"/>
        <v>500</v>
      </c>
      <c r="P128" s="26">
        <f>ROUNDDOWN(P127+MAX(Construction!BO128/2,Construction!BO128*(1-Construction!BO128/(E128-Explore!S128*20)))-Q128*SUM(Techs!AY128:BY128),0)</f>
        <v>0</v>
      </c>
      <c r="Q128" s="166">
        <f>MAX(min_tech_cost,ROUNDDOWN(tech_cost_per_acre*Construction!E128,0))</f>
        <v>6426</v>
      </c>
      <c r="S128" s="152">
        <f t="shared" ca="1" si="54"/>
        <v>10651</v>
      </c>
      <c r="T128" s="164">
        <f t="shared" ca="1" si="40"/>
        <v>1245</v>
      </c>
      <c r="U128" s="164">
        <f t="shared" ca="1" si="41"/>
        <v>-149</v>
      </c>
      <c r="V128" s="164">
        <f t="shared" ca="1" si="42"/>
        <v>68</v>
      </c>
      <c r="W128" s="164">
        <f t="shared" ca="1" si="55"/>
        <v>0</v>
      </c>
      <c r="X128" s="164">
        <f t="shared" ca="1" si="56"/>
        <v>0</v>
      </c>
      <c r="Y128" s="265">
        <f>Construction!BP129*dock_boats_hr</f>
        <v>0</v>
      </c>
      <c r="Z128" s="164"/>
      <c r="AA128" s="152">
        <f ca="1">Population!C128*tax*Population!I128 + (Construction!AY129+Construction!BW129)*(alch_plat+(Magic!AR128&gt;0)*alchemist_flame_bonus)</f>
        <v>10651.5</v>
      </c>
      <c r="AB128" s="164">
        <f>Construction!$AZ128*farm_food + Construction!$BP128*dock_food+IF(race="Growth",ROUNDDOWN(Military!G128*8,0),0)</f>
        <v>6400</v>
      </c>
      <c r="AC128" s="164">
        <f>Construction!$BC128*ly_lumber+IF(race="Ants",ROUNDDOWN(Military!F128/2,0),0)</f>
        <v>2500</v>
      </c>
      <c r="AD128" s="26">
        <f>Construction!$BK129*tower_mana+IF(race="Templars",ROUNDDOWN(Military!F128*0.02,0),0)+IF(race="Black Orc",Military!G128*5,0)+IF(race="Growth",ROUNDDOWN(Military!G128*0.1,0),0)+IF(race="Void",ROUNDDOWN(Military!F128*1.5,0),0)+IF(race="Void",ROUNDDOWN(Military!G128*4,0),0)</f>
        <v>1250</v>
      </c>
      <c r="AE128" s="164">
        <f>Construction!$BE129*om_ore+IF(race="Dwarf",ROUNDDOWN(Military!F128*2,0),0)</f>
        <v>0</v>
      </c>
      <c r="AF128" s="57">
        <f>Construction!$BN129*dm_gems+IF(race="Dwarf",ROUNDDOWN(Military!F128/2,0),0)</f>
        <v>0</v>
      </c>
      <c r="AH128" s="266">
        <f ca="1">MIN(race_platinum_bonus + IF(Magic!AJ128&gt;0,midas_bonus) + Imps!Y128 - BB128*0.02+MAX(tech_production_plat*Techs!Y128,tech_treasure_hunt_plat*Techs!AR128), 0.5)</f>
        <v>0</v>
      </c>
      <c r="AI128" s="455">
        <f ca="1">race_food_bonus + IF(Magic!AO128&gt;0,gaias_blessing_food,IF(Magic!AG128&gt;0,gaias_watch_bonus)) + Imps!AD128+tech_production_food*Techs!W128 + O128/100*prestige_food_bonus</f>
        <v>0.1</v>
      </c>
      <c r="AJ128" s="267">
        <f ca="1">race_lumber_bonus+ IF(Magic!AO128&gt;0,gaias_blessing_lumber)+tech_fruits_of_labor1*Techs!AP128</f>
        <v>0</v>
      </c>
      <c r="AK128" s="267">
        <f ca="1">race_mana_bonus+tech_enchanted_lands_mana*Techs!AT128</f>
        <v>0</v>
      </c>
      <c r="AL128" s="267">
        <f ca="1">race_ore_bonus + IF(Magic!AL128&gt;0,miners_sight_bonus,IF(Magic!AH128&gt;0,mining_strength_bonus))+tech_fruits_of_labor1*Techs!AP128</f>
        <v>0</v>
      </c>
      <c r="AM128" s="193">
        <f ca="1">race_gem_bonus+MAX(tech_production_gems*Techs!X128,tech_fruits_of_labor_gems*Techs!AP128)</f>
        <v>0</v>
      </c>
      <c r="AO128" s="56">
        <f ca="1">I128*food_decay*IF(Magic!AZ128&gt;0,0.5,1)</f>
        <v>3484.57</v>
      </c>
      <c r="AP128" s="26">
        <f ca="1">(1+race_food_consumption)*Population!F128*food_per_person</f>
        <v>2310</v>
      </c>
      <c r="AQ128" s="26">
        <f t="shared" ca="1" si="65"/>
        <v>2649.14</v>
      </c>
      <c r="AR128" s="57">
        <f t="shared" ca="1" si="66"/>
        <v>1181.98</v>
      </c>
      <c r="AS128" s="26"/>
      <c r="AT128" s="56">
        <f ca="1">Explore!AH128+Construction!AP128+Military!AU128+Rezone!Y128+Imps!AM128-BE128</f>
        <v>0</v>
      </c>
      <c r="AU128" s="26">
        <f>Construction!AQ128+Imps!AN128-BF128</f>
        <v>0</v>
      </c>
      <c r="AV128" s="26">
        <f>Magic!AD128</f>
        <v>0</v>
      </c>
      <c r="AW128" s="26">
        <f ca="1">Military!AV128+Imps!AO128-BG128</f>
        <v>0</v>
      </c>
      <c r="AX128" s="26">
        <f>Imps!AP128-BH128</f>
        <v>0</v>
      </c>
      <c r="AY128" s="26">
        <f ca="1">Military!AZ128</f>
        <v>0</v>
      </c>
      <c r="AZ128" s="57">
        <f ca="1">Military!BA128</f>
        <v>0</v>
      </c>
      <c r="BB128" s="56" t="b">
        <f t="shared" si="64"/>
        <v>0</v>
      </c>
      <c r="BC128" s="332"/>
      <c r="BD128" s="979">
        <v>54</v>
      </c>
      <c r="BE128" s="332"/>
      <c r="BF128" s="370"/>
      <c r="BG128" s="370"/>
      <c r="BH128" s="744"/>
      <c r="BI128" s="1036">
        <f t="shared" si="45"/>
        <v>43697.20833333303</v>
      </c>
      <c r="BJ128" s="159" t="str">
        <f t="shared" si="61"/>
        <v/>
      </c>
      <c r="BK128" s="26">
        <f t="shared" ca="1" si="57"/>
        <v>4278886</v>
      </c>
      <c r="BL128" s="26">
        <f t="shared" ca="1" si="46"/>
        <v>348457</v>
      </c>
      <c r="BM128" s="26">
        <f t="shared" ca="1" si="47"/>
        <v>264914</v>
      </c>
      <c r="BN128" s="26">
        <f t="shared" ca="1" si="48"/>
        <v>59099</v>
      </c>
      <c r="BO128" s="57">
        <f t="shared" ca="1" si="49"/>
        <v>231000</v>
      </c>
    </row>
    <row r="129" spans="1:67" s="16" customFormat="1">
      <c r="A129" s="987">
        <v>55</v>
      </c>
      <c r="B129" s="816">
        <f>Imps!L129</f>
        <v>43697.249999999694</v>
      </c>
      <c r="C129" s="332"/>
      <c r="D129" s="835"/>
      <c r="E129" s="56">
        <f>Construction!E129</f>
        <v>1000</v>
      </c>
      <c r="F129" s="26">
        <f ca="1">Population!$C129</f>
        <v>3945</v>
      </c>
      <c r="G129" s="26">
        <f ca="1">Military!EM129</f>
        <v>39460</v>
      </c>
      <c r="H129" s="26">
        <f ca="1">H128+S128 - AT129 + IF(C129,Population!C129*4)</f>
        <v>4289537</v>
      </c>
      <c r="I129" s="26">
        <f t="shared" ca="1" si="58"/>
        <v>349702</v>
      </c>
      <c r="J129" s="26">
        <f t="shared" ca="1" si="50"/>
        <v>264765</v>
      </c>
      <c r="K129" s="26">
        <f t="shared" ca="1" si="51"/>
        <v>59167</v>
      </c>
      <c r="L129" s="26">
        <f t="shared" ca="1" si="52"/>
        <v>231000</v>
      </c>
      <c r="M129" s="26">
        <f t="shared" ca="1" si="67"/>
        <v>20000</v>
      </c>
      <c r="N129" s="26">
        <f t="shared" ca="1" si="59"/>
        <v>200</v>
      </c>
      <c r="O129" s="26">
        <f t="shared" si="62"/>
        <v>500</v>
      </c>
      <c r="P129" s="26">
        <f>ROUNDDOWN(P128+MAX(Construction!BO129/2,Construction!BO129*(1-Construction!BO129/(E129-Explore!S129*20)))-Q129*SUM(Techs!AY129:BY129),0)</f>
        <v>0</v>
      </c>
      <c r="Q129" s="166">
        <f>MAX(min_tech_cost,ROUNDDOWN(tech_cost_per_acre*Construction!E129,0))</f>
        <v>6426</v>
      </c>
      <c r="S129" s="152">
        <f t="shared" ca="1" si="54"/>
        <v>10651</v>
      </c>
      <c r="T129" s="164">
        <f t="shared" ca="1" si="40"/>
        <v>1233</v>
      </c>
      <c r="U129" s="164">
        <f t="shared" ca="1" si="41"/>
        <v>-148</v>
      </c>
      <c r="V129" s="164">
        <f t="shared" ca="1" si="42"/>
        <v>67</v>
      </c>
      <c r="W129" s="164">
        <f t="shared" ca="1" si="55"/>
        <v>0</v>
      </c>
      <c r="X129" s="164">
        <f t="shared" ca="1" si="56"/>
        <v>0</v>
      </c>
      <c r="Y129" s="265">
        <f>Construction!BP130*dock_boats_hr</f>
        <v>0</v>
      </c>
      <c r="Z129" s="164"/>
      <c r="AA129" s="152">
        <f ca="1">Population!C129*tax*Population!I129 + (Construction!AY130+Construction!BW130)*(alch_plat+(Magic!AR129&gt;0)*alchemist_flame_bonus)</f>
        <v>10651.5</v>
      </c>
      <c r="AB129" s="164">
        <f>Construction!$AZ129*farm_food + Construction!$BP129*dock_food+IF(race="Growth",ROUNDDOWN(Military!G129*8,0),0)</f>
        <v>6400</v>
      </c>
      <c r="AC129" s="164">
        <f>Construction!$BC129*ly_lumber+IF(race="Ants",ROUNDDOWN(Military!F129/2,0),0)</f>
        <v>2500</v>
      </c>
      <c r="AD129" s="26">
        <f>Construction!$BK130*tower_mana+IF(race="Templars",ROUNDDOWN(Military!F129*0.02,0),0)+IF(race="Black Orc",Military!G129*5,0)+IF(race="Growth",ROUNDDOWN(Military!G129*0.1,0),0)+IF(race="Void",ROUNDDOWN(Military!F129*1.5,0),0)+IF(race="Void",ROUNDDOWN(Military!G129*4,0),0)</f>
        <v>1250</v>
      </c>
      <c r="AE129" s="164">
        <f>Construction!$BE130*om_ore+IF(race="Dwarf",ROUNDDOWN(Military!F129*2,0),0)</f>
        <v>0</v>
      </c>
      <c r="AF129" s="57">
        <f>Construction!$BN130*dm_gems+IF(race="Dwarf",ROUNDDOWN(Military!F129/2,0),0)</f>
        <v>0</v>
      </c>
      <c r="AH129" s="266">
        <f ca="1">MIN(race_platinum_bonus + IF(Magic!AJ129&gt;0,midas_bonus) + Imps!Y129 - BB129*0.02+MAX(tech_production_plat*Techs!Y129,tech_treasure_hunt_plat*Techs!AR129), 0.5)</f>
        <v>0</v>
      </c>
      <c r="AI129" s="455">
        <f ca="1">race_food_bonus + IF(Magic!AO129&gt;0,gaias_blessing_food,IF(Magic!AG129&gt;0,gaias_watch_bonus)) + Imps!AD129+tech_production_food*Techs!W129 + O129/100*prestige_food_bonus</f>
        <v>0.1</v>
      </c>
      <c r="AJ129" s="267">
        <f ca="1">race_lumber_bonus+ IF(Magic!AO129&gt;0,gaias_blessing_lumber)+tech_fruits_of_labor1*Techs!AP129</f>
        <v>0</v>
      </c>
      <c r="AK129" s="267">
        <f ca="1">race_mana_bonus+tech_enchanted_lands_mana*Techs!AT129</f>
        <v>0</v>
      </c>
      <c r="AL129" s="267">
        <f ca="1">race_ore_bonus + IF(Magic!AL129&gt;0,miners_sight_bonus,IF(Magic!AH129&gt;0,mining_strength_bonus))+tech_fruits_of_labor1*Techs!AP129</f>
        <v>0</v>
      </c>
      <c r="AM129" s="193">
        <f ca="1">race_gem_bonus+MAX(tech_production_gems*Techs!X129,tech_fruits_of_labor_gems*Techs!AP129)</f>
        <v>0</v>
      </c>
      <c r="AO129" s="56">
        <f ca="1">I129*food_decay*IF(Magic!AZ129&gt;0,0.5,1)</f>
        <v>3497.02</v>
      </c>
      <c r="AP129" s="26">
        <f ca="1">(1+race_food_consumption)*Population!F129*food_per_person</f>
        <v>2310</v>
      </c>
      <c r="AQ129" s="26">
        <f t="shared" ca="1" si="65"/>
        <v>2647.65</v>
      </c>
      <c r="AR129" s="57">
        <f t="shared" ca="1" si="66"/>
        <v>1183.3399999999999</v>
      </c>
      <c r="AS129" s="26"/>
      <c r="AT129" s="56">
        <f ca="1">Explore!AH129+Construction!AP129+Military!AU129+Rezone!Y129+Imps!AM129-BE129</f>
        <v>0</v>
      </c>
      <c r="AU129" s="26">
        <f>Construction!AQ129+Imps!AN129-BF129</f>
        <v>0</v>
      </c>
      <c r="AV129" s="26">
        <f>Magic!AD129</f>
        <v>0</v>
      </c>
      <c r="AW129" s="26">
        <f ca="1">Military!AV129+Imps!AO129-BG129</f>
        <v>0</v>
      </c>
      <c r="AX129" s="26">
        <f>Imps!AP129-BH129</f>
        <v>0</v>
      </c>
      <c r="AY129" s="26">
        <f ca="1">Military!AZ129</f>
        <v>0</v>
      </c>
      <c r="AZ129" s="57">
        <f ca="1">Military!BA129</f>
        <v>0</v>
      </c>
      <c r="BB129" s="56" t="b">
        <f t="shared" si="64"/>
        <v>0</v>
      </c>
      <c r="BC129" s="332"/>
      <c r="BD129" s="979">
        <v>55</v>
      </c>
      <c r="BE129" s="332"/>
      <c r="BF129" s="370"/>
      <c r="BG129" s="370"/>
      <c r="BH129" s="744"/>
      <c r="BI129" s="1036">
        <f t="shared" si="45"/>
        <v>43697.249999999694</v>
      </c>
      <c r="BJ129" s="159" t="str">
        <f t="shared" si="61"/>
        <v/>
      </c>
      <c r="BK129" s="26">
        <f t="shared" ca="1" si="57"/>
        <v>4289537</v>
      </c>
      <c r="BL129" s="26">
        <f t="shared" ca="1" si="46"/>
        <v>349702</v>
      </c>
      <c r="BM129" s="26">
        <f t="shared" ca="1" si="47"/>
        <v>264765</v>
      </c>
      <c r="BN129" s="26">
        <f t="shared" ca="1" si="48"/>
        <v>59167</v>
      </c>
      <c r="BO129" s="57">
        <f t="shared" ca="1" si="49"/>
        <v>231000</v>
      </c>
    </row>
    <row r="130" spans="1:67" s="16" customFormat="1">
      <c r="A130" s="987">
        <v>56</v>
      </c>
      <c r="B130" s="816">
        <f>Imps!L130</f>
        <v>43697.291666666359</v>
      </c>
      <c r="C130" s="332"/>
      <c r="D130" s="835"/>
      <c r="E130" s="56">
        <f>Construction!E130</f>
        <v>1000</v>
      </c>
      <c r="F130" s="26">
        <f ca="1">Population!$C130</f>
        <v>3945</v>
      </c>
      <c r="G130" s="26">
        <f ca="1">Military!EM130</f>
        <v>39460</v>
      </c>
      <c r="H130" s="26">
        <f ca="1">H129+S129 - AT130 + IF(C130,Population!C130*4)</f>
        <v>4300188</v>
      </c>
      <c r="I130" s="26">
        <f t="shared" ca="1" si="58"/>
        <v>350935</v>
      </c>
      <c r="J130" s="26">
        <f t="shared" ca="1" si="50"/>
        <v>264617</v>
      </c>
      <c r="K130" s="26">
        <f t="shared" ca="1" si="51"/>
        <v>59234</v>
      </c>
      <c r="L130" s="26">
        <f t="shared" ca="1" si="52"/>
        <v>231000</v>
      </c>
      <c r="M130" s="26">
        <f t="shared" ca="1" si="67"/>
        <v>20000</v>
      </c>
      <c r="N130" s="26">
        <f t="shared" ca="1" si="59"/>
        <v>200</v>
      </c>
      <c r="O130" s="26">
        <f t="shared" si="62"/>
        <v>500</v>
      </c>
      <c r="P130" s="26">
        <f>ROUNDDOWN(P129+MAX(Construction!BO130/2,Construction!BO130*(1-Construction!BO130/(E130-Explore!S130*20)))-Q130*SUM(Techs!AY130:BY130),0)</f>
        <v>0</v>
      </c>
      <c r="Q130" s="166">
        <f>MAX(min_tech_cost,ROUNDDOWN(tech_cost_per_acre*Construction!E130,0))</f>
        <v>6426</v>
      </c>
      <c r="S130" s="152">
        <f t="shared" ca="1" si="54"/>
        <v>10651</v>
      </c>
      <c r="T130" s="164">
        <f t="shared" ca="1" si="40"/>
        <v>1221</v>
      </c>
      <c r="U130" s="164">
        <f t="shared" ca="1" si="41"/>
        <v>-146</v>
      </c>
      <c r="V130" s="164">
        <f t="shared" ca="1" si="42"/>
        <v>65</v>
      </c>
      <c r="W130" s="164">
        <f t="shared" ca="1" si="55"/>
        <v>0</v>
      </c>
      <c r="X130" s="164">
        <f t="shared" ca="1" si="56"/>
        <v>0</v>
      </c>
      <c r="Y130" s="265">
        <f>Construction!BP131*dock_boats_hr</f>
        <v>0</v>
      </c>
      <c r="Z130" s="164"/>
      <c r="AA130" s="152">
        <f ca="1">Population!C130*tax*Population!I130 + (Construction!AY131+Construction!BW131)*(alch_plat+(Magic!AR130&gt;0)*alchemist_flame_bonus)</f>
        <v>10651.5</v>
      </c>
      <c r="AB130" s="164">
        <f>Construction!$AZ130*farm_food + Construction!$BP130*dock_food+IF(race="Growth",ROUNDDOWN(Military!G130*8,0),0)</f>
        <v>6400</v>
      </c>
      <c r="AC130" s="164">
        <f>Construction!$BC130*ly_lumber+IF(race="Ants",ROUNDDOWN(Military!F130/2,0),0)</f>
        <v>2500</v>
      </c>
      <c r="AD130" s="26">
        <f>Construction!$BK131*tower_mana+IF(race="Templars",ROUNDDOWN(Military!F130*0.02,0),0)+IF(race="Black Orc",Military!G130*5,0)+IF(race="Growth",ROUNDDOWN(Military!G130*0.1,0),0)+IF(race="Void",ROUNDDOWN(Military!F130*1.5,0),0)+IF(race="Void",ROUNDDOWN(Military!G130*4,0),0)</f>
        <v>1250</v>
      </c>
      <c r="AE130" s="164">
        <f>Construction!$BE131*om_ore+IF(race="Dwarf",ROUNDDOWN(Military!F130*2,0),0)</f>
        <v>0</v>
      </c>
      <c r="AF130" s="57">
        <f>Construction!$BN131*dm_gems+IF(race="Dwarf",ROUNDDOWN(Military!F130/2,0),0)</f>
        <v>0</v>
      </c>
      <c r="AH130" s="266">
        <f ca="1">MIN(race_platinum_bonus + IF(Magic!AJ130&gt;0,midas_bonus) + Imps!Y130 - BB130*0.02+MAX(tech_production_plat*Techs!Y130,tech_treasure_hunt_plat*Techs!AR130), 0.5)</f>
        <v>0</v>
      </c>
      <c r="AI130" s="455">
        <f ca="1">race_food_bonus + IF(Magic!AO130&gt;0,gaias_blessing_food,IF(Magic!AG130&gt;0,gaias_watch_bonus)) + Imps!AD130+tech_production_food*Techs!W130 + O130/100*prestige_food_bonus</f>
        <v>0.1</v>
      </c>
      <c r="AJ130" s="267">
        <f ca="1">race_lumber_bonus+ IF(Magic!AO130&gt;0,gaias_blessing_lumber)+tech_fruits_of_labor1*Techs!AP130</f>
        <v>0</v>
      </c>
      <c r="AK130" s="267">
        <f ca="1">race_mana_bonus+tech_enchanted_lands_mana*Techs!AT130</f>
        <v>0</v>
      </c>
      <c r="AL130" s="267">
        <f ca="1">race_ore_bonus + IF(Magic!AL130&gt;0,miners_sight_bonus,IF(Magic!AH130&gt;0,mining_strength_bonus))+tech_fruits_of_labor1*Techs!AP130</f>
        <v>0</v>
      </c>
      <c r="AM130" s="193">
        <f ca="1">race_gem_bonus+MAX(tech_production_gems*Techs!X130,tech_fruits_of_labor_gems*Techs!AP130)</f>
        <v>0</v>
      </c>
      <c r="AO130" s="56">
        <f ca="1">I130*food_decay*IF(Magic!AZ130&gt;0,0.5,1)</f>
        <v>3509.35</v>
      </c>
      <c r="AP130" s="26">
        <f ca="1">(1+race_food_consumption)*Population!F130*food_per_person</f>
        <v>2310</v>
      </c>
      <c r="AQ130" s="26">
        <f t="shared" ca="1" si="65"/>
        <v>2646.17</v>
      </c>
      <c r="AR130" s="57">
        <f t="shared" ca="1" si="66"/>
        <v>1184.68</v>
      </c>
      <c r="AS130" s="26"/>
      <c r="AT130" s="56">
        <f ca="1">Explore!AH130+Construction!AP130+Military!AU130+Rezone!Y130+Imps!AM130-BE130</f>
        <v>0</v>
      </c>
      <c r="AU130" s="26">
        <f>Construction!AQ130+Imps!AN130-BF130</f>
        <v>0</v>
      </c>
      <c r="AV130" s="26">
        <f>Magic!AD130</f>
        <v>0</v>
      </c>
      <c r="AW130" s="26">
        <f ca="1">Military!AV130+Imps!AO130-BG130</f>
        <v>0</v>
      </c>
      <c r="AX130" s="26">
        <f>Imps!AP130-BH130</f>
        <v>0</v>
      </c>
      <c r="AY130" s="26">
        <f ca="1">Military!AZ130</f>
        <v>0</v>
      </c>
      <c r="AZ130" s="57">
        <f ca="1">Military!BA130</f>
        <v>0</v>
      </c>
      <c r="BB130" s="56" t="b">
        <f t="shared" si="64"/>
        <v>0</v>
      </c>
      <c r="BC130" s="332"/>
      <c r="BD130" s="979">
        <v>56</v>
      </c>
      <c r="BE130" s="332"/>
      <c r="BF130" s="370"/>
      <c r="BG130" s="370"/>
      <c r="BH130" s="744"/>
      <c r="BI130" s="1036">
        <f t="shared" si="45"/>
        <v>43697.291666666359</v>
      </c>
      <c r="BJ130" s="159" t="str">
        <f t="shared" si="61"/>
        <v/>
      </c>
      <c r="BK130" s="26">
        <f t="shared" ca="1" si="57"/>
        <v>4300188</v>
      </c>
      <c r="BL130" s="26">
        <f t="shared" ca="1" si="46"/>
        <v>350935</v>
      </c>
      <c r="BM130" s="26">
        <f t="shared" ca="1" si="47"/>
        <v>264617</v>
      </c>
      <c r="BN130" s="26">
        <f t="shared" ca="1" si="48"/>
        <v>59234</v>
      </c>
      <c r="BO130" s="57">
        <f t="shared" ca="1" si="49"/>
        <v>231000</v>
      </c>
    </row>
    <row r="131" spans="1:67" s="16" customFormat="1">
      <c r="A131" s="987">
        <v>57</v>
      </c>
      <c r="B131" s="816">
        <f>Imps!L131</f>
        <v>43697.333333333023</v>
      </c>
      <c r="C131" s="332"/>
      <c r="D131" s="835"/>
      <c r="E131" s="56">
        <f>Construction!E131</f>
        <v>1000</v>
      </c>
      <c r="F131" s="26">
        <f ca="1">Population!$C131</f>
        <v>3945</v>
      </c>
      <c r="G131" s="26">
        <f ca="1">Military!EM131</f>
        <v>39460</v>
      </c>
      <c r="H131" s="26">
        <f ca="1">H130+S130 - AT131 + IF(C131,Population!C131*4)</f>
        <v>4310839</v>
      </c>
      <c r="I131" s="26">
        <f t="shared" ca="1" si="58"/>
        <v>352156</v>
      </c>
      <c r="J131" s="26">
        <f t="shared" ca="1" si="50"/>
        <v>264471</v>
      </c>
      <c r="K131" s="26">
        <f t="shared" ca="1" si="51"/>
        <v>59299</v>
      </c>
      <c r="L131" s="26">
        <f t="shared" ca="1" si="52"/>
        <v>231000</v>
      </c>
      <c r="M131" s="26">
        <f t="shared" ca="1" si="67"/>
        <v>20000</v>
      </c>
      <c r="N131" s="26">
        <f t="shared" ca="1" si="59"/>
        <v>200</v>
      </c>
      <c r="O131" s="26">
        <f t="shared" si="62"/>
        <v>500</v>
      </c>
      <c r="P131" s="26">
        <f>ROUNDDOWN(P130+MAX(Construction!BO131/2,Construction!BO131*(1-Construction!BO131/(E131-Explore!S131*20)))-Q131*SUM(Techs!AY131:BY131),0)</f>
        <v>0</v>
      </c>
      <c r="Q131" s="166">
        <f>MAX(min_tech_cost,ROUNDDOWN(tech_cost_per_acre*Construction!E131,0))</f>
        <v>6426</v>
      </c>
      <c r="S131" s="152">
        <f t="shared" ca="1" si="54"/>
        <v>10651</v>
      </c>
      <c r="T131" s="164">
        <f ca="1">ROUND(AB131*(1+AI131)-AO131-AP131,0)</f>
        <v>1208</v>
      </c>
      <c r="U131" s="164">
        <f t="shared" ref="U131:V135" ca="1" si="68">ROUND(AC131*(1+AJ131)-AQ131,0)</f>
        <v>-145</v>
      </c>
      <c r="V131" s="164">
        <f t="shared" ca="1" si="68"/>
        <v>64</v>
      </c>
      <c r="W131" s="164">
        <f t="shared" ca="1" si="55"/>
        <v>0</v>
      </c>
      <c r="X131" s="164">
        <f t="shared" ca="1" si="56"/>
        <v>0</v>
      </c>
      <c r="Y131" s="265">
        <f>Construction!BP132*dock_boats_hr</f>
        <v>0</v>
      </c>
      <c r="Z131" s="164"/>
      <c r="AA131" s="152">
        <f ca="1">Population!C131*tax*Population!I131 + (Construction!AY132+Construction!BW132)*(alch_plat+(Magic!AR131&gt;0)*alchemist_flame_bonus)</f>
        <v>10651.5</v>
      </c>
      <c r="AB131" s="164">
        <f>Construction!$AZ131*farm_food + Construction!$BP131*dock_food+IF(race="Growth",ROUNDDOWN(Military!G131*8,0),0)</f>
        <v>6400</v>
      </c>
      <c r="AC131" s="164">
        <f>Construction!$BC131*ly_lumber+IF(race="Ants",ROUNDDOWN(Military!F131/2,0),0)</f>
        <v>2500</v>
      </c>
      <c r="AD131" s="26">
        <f>Construction!$BK132*tower_mana+IF(race="Templars",ROUNDDOWN(Military!F131*0.02,0),0)+IF(race="Black Orc",Military!G131*5,0)+IF(race="Growth",ROUNDDOWN(Military!G131*0.1,0),0)+IF(race="Void",ROUNDDOWN(Military!F131*1.5,0),0)+IF(race="Void",ROUNDDOWN(Military!G131*4,0),0)</f>
        <v>1250</v>
      </c>
      <c r="AE131" s="164">
        <f>Construction!$BE132*om_ore+IF(race="Dwarf",ROUNDDOWN(Military!F131*2,0),0)</f>
        <v>0</v>
      </c>
      <c r="AF131" s="57">
        <f>Construction!$BN132*dm_gems+IF(race="Dwarf",ROUNDDOWN(Military!F131/2,0),0)</f>
        <v>0</v>
      </c>
      <c r="AH131" s="266">
        <f ca="1">MIN(race_platinum_bonus + IF(Magic!AJ131&gt;0,midas_bonus) + Imps!Y131 - BB131*0.02+MAX(tech_production_plat*Techs!Y131,tech_treasure_hunt_plat*Techs!AR131), 0.5)</f>
        <v>0</v>
      </c>
      <c r="AI131" s="455">
        <f ca="1">race_food_bonus + IF(Magic!AO131&gt;0,gaias_blessing_food,IF(Magic!AG131&gt;0,gaias_watch_bonus)) + Imps!AD131+tech_production_food*Techs!W131 + O131/100*prestige_food_bonus</f>
        <v>0.1</v>
      </c>
      <c r="AJ131" s="267">
        <f ca="1">race_lumber_bonus+ IF(Magic!AO131&gt;0,gaias_blessing_lumber)+tech_fruits_of_labor1*Techs!AP131</f>
        <v>0</v>
      </c>
      <c r="AK131" s="267">
        <f ca="1">race_mana_bonus+tech_enchanted_lands_mana*Techs!AT131</f>
        <v>0</v>
      </c>
      <c r="AL131" s="267">
        <f ca="1">race_ore_bonus + IF(Magic!AL131&gt;0,miners_sight_bonus,IF(Magic!AH131&gt;0,mining_strength_bonus))+tech_fruits_of_labor1*Techs!AP131</f>
        <v>0</v>
      </c>
      <c r="AM131" s="193">
        <f ca="1">race_gem_bonus+MAX(tech_production_gems*Techs!X131,tech_fruits_of_labor_gems*Techs!AP131)</f>
        <v>0</v>
      </c>
      <c r="AO131" s="56">
        <f ca="1">I131*food_decay*IF(Magic!AZ131&gt;0,0.5,1)</f>
        <v>3521.56</v>
      </c>
      <c r="AP131" s="26">
        <f ca="1">(1+race_food_consumption)*Population!F131*food_per_person</f>
        <v>2310</v>
      </c>
      <c r="AQ131" s="26">
        <f t="shared" ca="1" si="65"/>
        <v>2644.71</v>
      </c>
      <c r="AR131" s="57">
        <f t="shared" ca="1" si="66"/>
        <v>1185.98</v>
      </c>
      <c r="AS131" s="26"/>
      <c r="AT131" s="56">
        <f ca="1">Explore!AH131+Construction!AP131+Military!AU131+Rezone!Y131+Imps!AM131-BE131</f>
        <v>0</v>
      </c>
      <c r="AU131" s="26">
        <f>Construction!AQ131+Imps!AN131-BF131</f>
        <v>0</v>
      </c>
      <c r="AV131" s="26">
        <f>Magic!AD131</f>
        <v>0</v>
      </c>
      <c r="AW131" s="26">
        <f ca="1">Military!AV131+Imps!AO131-BG131</f>
        <v>0</v>
      </c>
      <c r="AX131" s="26">
        <f>Imps!AP131-BH131</f>
        <v>0</v>
      </c>
      <c r="AY131" s="26">
        <f ca="1">Military!AZ131</f>
        <v>0</v>
      </c>
      <c r="AZ131" s="57">
        <f ca="1">Military!BA131</f>
        <v>0</v>
      </c>
      <c r="BB131" s="56" t="b">
        <f t="shared" si="64"/>
        <v>0</v>
      </c>
      <c r="BC131" s="332"/>
      <c r="BD131" s="979">
        <v>57</v>
      </c>
      <c r="BE131" s="332"/>
      <c r="BF131" s="370"/>
      <c r="BG131" s="370"/>
      <c r="BH131" s="744"/>
      <c r="BI131" s="1036">
        <f>B131</f>
        <v>43697.333333333023</v>
      </c>
      <c r="BJ131" s="159" t="str">
        <f t="shared" si="61"/>
        <v/>
      </c>
      <c r="BK131" s="26">
        <f t="shared" ca="1" si="57"/>
        <v>4310839</v>
      </c>
      <c r="BL131" s="26">
        <f t="shared" ref="BL131:BO135" ca="1" si="69">I131</f>
        <v>352156</v>
      </c>
      <c r="BM131" s="26">
        <f t="shared" ca="1" si="69"/>
        <v>264471</v>
      </c>
      <c r="BN131" s="26">
        <f t="shared" ca="1" si="69"/>
        <v>59299</v>
      </c>
      <c r="BO131" s="57">
        <f t="shared" ca="1" si="69"/>
        <v>231000</v>
      </c>
    </row>
    <row r="132" spans="1:67" s="16" customFormat="1">
      <c r="A132" s="987">
        <v>58</v>
      </c>
      <c r="B132" s="816">
        <f>Imps!L132</f>
        <v>43697.374999999687</v>
      </c>
      <c r="C132" s="332"/>
      <c r="D132" s="835"/>
      <c r="E132" s="56">
        <f>Construction!E132</f>
        <v>1000</v>
      </c>
      <c r="F132" s="26">
        <f ca="1">Population!$C132</f>
        <v>3945</v>
      </c>
      <c r="G132" s="26">
        <f ca="1">Military!EM132</f>
        <v>39460</v>
      </c>
      <c r="H132" s="26">
        <f ca="1">H131+S131 - AT132 + IF(C132,Population!C132*4)</f>
        <v>4321490</v>
      </c>
      <c r="I132" s="26">
        <f t="shared" ca="1" si="58"/>
        <v>353364</v>
      </c>
      <c r="J132" s="26">
        <f t="shared" ref="J132:L135" ca="1" si="70">J131+U131 - AU132</f>
        <v>264326</v>
      </c>
      <c r="K132" s="26">
        <f t="shared" ca="1" si="70"/>
        <v>59363</v>
      </c>
      <c r="L132" s="26">
        <f t="shared" ca="1" si="70"/>
        <v>231000</v>
      </c>
      <c r="M132" s="26">
        <f t="shared" ca="1" si="67"/>
        <v>20000</v>
      </c>
      <c r="N132" s="26">
        <f t="shared" ca="1" si="59"/>
        <v>200</v>
      </c>
      <c r="O132" s="26">
        <f t="shared" si="62"/>
        <v>500</v>
      </c>
      <c r="P132" s="26">
        <f>ROUNDDOWN(P131+MAX(Construction!BO132/2,Construction!BO132*(1-Construction!BO132/(E132-Explore!S132*20)))-Q132*SUM(Techs!AY132:BY132),0)</f>
        <v>0</v>
      </c>
      <c r="Q132" s="166">
        <f>MAX(min_tech_cost,ROUNDDOWN(tech_cost_per_acre*Construction!E132,0))</f>
        <v>6426</v>
      </c>
      <c r="S132" s="152">
        <f ca="1">ROUNDDOWN(AA132*(1+AH132),0)</f>
        <v>10651</v>
      </c>
      <c r="T132" s="164">
        <f ca="1">ROUND(AB132*(1+AI132)-AO132-AP132,0)</f>
        <v>1196</v>
      </c>
      <c r="U132" s="164">
        <f t="shared" ca="1" si="68"/>
        <v>-143</v>
      </c>
      <c r="V132" s="164">
        <f t="shared" ca="1" si="68"/>
        <v>63</v>
      </c>
      <c r="W132" s="164">
        <f t="shared" ref="W132:X135" ca="1" si="71">ROUNDDOWN(AE132*(1+AL132),0)</f>
        <v>0</v>
      </c>
      <c r="X132" s="164">
        <f t="shared" ca="1" si="71"/>
        <v>0</v>
      </c>
      <c r="Y132" s="265">
        <f>Construction!BP133*dock_boats_hr</f>
        <v>0</v>
      </c>
      <c r="Z132" s="164"/>
      <c r="AA132" s="152">
        <f ca="1">Population!C132*tax*Population!I132 + (Construction!AY133+Construction!BW133)*(alch_plat+(Magic!AR132&gt;0)*alchemist_flame_bonus)</f>
        <v>10651.5</v>
      </c>
      <c r="AB132" s="164">
        <f>Construction!$AZ132*farm_food + Construction!$BP132*dock_food+IF(race="Growth",ROUNDDOWN(Military!G132*8,0),0)</f>
        <v>6400</v>
      </c>
      <c r="AC132" s="164">
        <f>Construction!$BC132*ly_lumber+IF(race="Ants",ROUNDDOWN(Military!F132/2,0),0)</f>
        <v>2500</v>
      </c>
      <c r="AD132" s="26">
        <f>Construction!$BK133*tower_mana+IF(race="Templars",ROUNDDOWN(Military!F132*0.02,0),0)+IF(race="Black Orc",Military!G132*5,0)+IF(race="Growth",ROUNDDOWN(Military!G132*0.1,0),0)+IF(race="Void",ROUNDDOWN(Military!F132*1.5,0),0)+IF(race="Void",ROUNDDOWN(Military!G132*4,0),0)</f>
        <v>1250</v>
      </c>
      <c r="AE132" s="164">
        <f>Construction!$BE133*om_ore+IF(race="Dwarf",ROUNDDOWN(Military!F132*2,0),0)</f>
        <v>0</v>
      </c>
      <c r="AF132" s="57">
        <f>Construction!$BN133*dm_gems+IF(race="Dwarf",ROUNDDOWN(Military!F132/2,0),0)</f>
        <v>0</v>
      </c>
      <c r="AH132" s="266">
        <f ca="1">MIN(race_platinum_bonus + IF(Magic!AJ132&gt;0,midas_bonus) + Imps!Y132 - BB132*0.02+MAX(tech_production_plat*Techs!Y132,tech_treasure_hunt_plat*Techs!AR132), 0.5)</f>
        <v>0</v>
      </c>
      <c r="AI132" s="455">
        <f ca="1">race_food_bonus + IF(Magic!AO132&gt;0,gaias_blessing_food,IF(Magic!AG132&gt;0,gaias_watch_bonus)) + Imps!AD132+tech_production_food*Techs!W132 + O132/100*prestige_food_bonus</f>
        <v>0.1</v>
      </c>
      <c r="AJ132" s="267">
        <f ca="1">race_lumber_bonus+ IF(Magic!AO132&gt;0,gaias_blessing_lumber)+tech_fruits_of_labor1*Techs!AP132</f>
        <v>0</v>
      </c>
      <c r="AK132" s="267">
        <f ca="1">race_mana_bonus+tech_enchanted_lands_mana*Techs!AT132</f>
        <v>0</v>
      </c>
      <c r="AL132" s="267">
        <f ca="1">race_ore_bonus + IF(Magic!AL132&gt;0,miners_sight_bonus,IF(Magic!AH132&gt;0,mining_strength_bonus))+tech_fruits_of_labor1*Techs!AP132</f>
        <v>0</v>
      </c>
      <c r="AM132" s="193">
        <f ca="1">race_gem_bonus+MAX(tech_production_gems*Techs!X132,tech_fruits_of_labor_gems*Techs!AP132)</f>
        <v>0</v>
      </c>
      <c r="AO132" s="56">
        <f ca="1">I132*food_decay*IF(Magic!AZ132&gt;0,0.5,1)</f>
        <v>3533.64</v>
      </c>
      <c r="AP132" s="26">
        <f ca="1">(1+race_food_consumption)*Population!F132*food_per_person</f>
        <v>2310</v>
      </c>
      <c r="AQ132" s="26">
        <f t="shared" ca="1" si="65"/>
        <v>2643.26</v>
      </c>
      <c r="AR132" s="57">
        <f t="shared" ca="1" si="66"/>
        <v>1187.26</v>
      </c>
      <c r="AS132" s="26"/>
      <c r="AT132" s="56">
        <f ca="1">Explore!AH132+Construction!AP132+Military!AU132+Rezone!Y132+Imps!AM132-BE132</f>
        <v>0</v>
      </c>
      <c r="AU132" s="26">
        <f>Construction!AQ132+Imps!AN132-BF132</f>
        <v>0</v>
      </c>
      <c r="AV132" s="26">
        <f>Magic!AD132</f>
        <v>0</v>
      </c>
      <c r="AW132" s="26">
        <f ca="1">Military!AV132+Imps!AO132-BG132</f>
        <v>0</v>
      </c>
      <c r="AX132" s="26">
        <f>Imps!AP132-BH132</f>
        <v>0</v>
      </c>
      <c r="AY132" s="26">
        <f ca="1">Military!AZ132</f>
        <v>0</v>
      </c>
      <c r="AZ132" s="57">
        <f ca="1">Military!BA132</f>
        <v>0</v>
      </c>
      <c r="BB132" s="56" t="b">
        <f t="shared" si="64"/>
        <v>0</v>
      </c>
      <c r="BC132" s="332"/>
      <c r="BD132" s="979">
        <v>58</v>
      </c>
      <c r="BE132" s="332"/>
      <c r="BF132" s="370"/>
      <c r="BG132" s="370"/>
      <c r="BH132" s="744"/>
      <c r="BI132" s="1036">
        <f>B132</f>
        <v>43697.374999999687</v>
      </c>
      <c r="BJ132" s="159" t="str">
        <f t="shared" si="61"/>
        <v/>
      </c>
      <c r="BK132" s="26">
        <f ca="1">H132</f>
        <v>4321490</v>
      </c>
      <c r="BL132" s="26">
        <f t="shared" ca="1" si="69"/>
        <v>353364</v>
      </c>
      <c r="BM132" s="26">
        <f t="shared" ca="1" si="69"/>
        <v>264326</v>
      </c>
      <c r="BN132" s="26">
        <f t="shared" ca="1" si="69"/>
        <v>59363</v>
      </c>
      <c r="BO132" s="57">
        <f t="shared" ca="1" si="69"/>
        <v>231000</v>
      </c>
    </row>
    <row r="133" spans="1:67" s="16" customFormat="1">
      <c r="A133" s="987">
        <v>59</v>
      </c>
      <c r="B133" s="816">
        <f>Imps!L133</f>
        <v>43697.416666666351</v>
      </c>
      <c r="C133" s="332"/>
      <c r="D133" s="835"/>
      <c r="E133" s="56">
        <f>Construction!E133</f>
        <v>1000</v>
      </c>
      <c r="F133" s="26">
        <f ca="1">Population!$C133</f>
        <v>3945</v>
      </c>
      <c r="G133" s="26">
        <f ca="1">Military!EM133</f>
        <v>39460</v>
      </c>
      <c r="H133" s="26">
        <f ca="1">H132+S132 - AT133 + IF(C133,Population!C133*4)</f>
        <v>4332141</v>
      </c>
      <c r="I133" s="26">
        <f t="shared" ref="I133:I135" ca="1" si="72">I132+T132-AY133</f>
        <v>354560</v>
      </c>
      <c r="J133" s="26">
        <f t="shared" ca="1" si="70"/>
        <v>264183</v>
      </c>
      <c r="K133" s="26">
        <f t="shared" ca="1" si="70"/>
        <v>59426</v>
      </c>
      <c r="L133" s="26">
        <f t="shared" ca="1" si="70"/>
        <v>231000</v>
      </c>
      <c r="M133" s="26">
        <f t="shared" ca="1" si="67"/>
        <v>20000</v>
      </c>
      <c r="N133" s="26">
        <f t="shared" ref="N133:N135" ca="1" si="73">N132+Y132-AZ133</f>
        <v>200</v>
      </c>
      <c r="O133" s="26">
        <f t="shared" si="62"/>
        <v>500</v>
      </c>
      <c r="P133" s="26">
        <f>ROUNDDOWN(P132+MAX(Construction!BO133/2,Construction!BO133*(1-Construction!BO133/(E133-Explore!S133*20)))-Q133*SUM(Techs!AY133:BY133),0)</f>
        <v>0</v>
      </c>
      <c r="Q133" s="166">
        <f>MAX(min_tech_cost,ROUNDDOWN(tech_cost_per_acre*Construction!E133,0))</f>
        <v>6426</v>
      </c>
      <c r="S133" s="152">
        <f ca="1">ROUNDDOWN(AA133*(1+AH133),0)</f>
        <v>10651</v>
      </c>
      <c r="T133" s="164">
        <f ca="1">ROUND(AB133*(1+AI133)-AO133-AP133,0)</f>
        <v>1184</v>
      </c>
      <c r="U133" s="164">
        <f t="shared" ca="1" si="68"/>
        <v>-142</v>
      </c>
      <c r="V133" s="164">
        <f t="shared" ca="1" si="68"/>
        <v>61</v>
      </c>
      <c r="W133" s="164">
        <f t="shared" ca="1" si="71"/>
        <v>0</v>
      </c>
      <c r="X133" s="164">
        <f t="shared" ca="1" si="71"/>
        <v>0</v>
      </c>
      <c r="Y133" s="265">
        <f>Construction!BP134*dock_boats_hr</f>
        <v>0</v>
      </c>
      <c r="Z133" s="164"/>
      <c r="AA133" s="152">
        <f ca="1">Population!C133*tax*Population!I133 + (Construction!AY134+Construction!BW134)*(alch_plat+(Magic!AR133&gt;0)*alchemist_flame_bonus)</f>
        <v>10651.5</v>
      </c>
      <c r="AB133" s="164">
        <f>Construction!$AZ133*farm_food + Construction!$BP133*dock_food+IF(race="Growth",ROUNDDOWN(Military!G133*8,0),0)</f>
        <v>6400</v>
      </c>
      <c r="AC133" s="164">
        <f>Construction!$BC133*ly_lumber+IF(race="Ants",ROUNDDOWN(Military!F133/2,0),0)</f>
        <v>2500</v>
      </c>
      <c r="AD133" s="26">
        <f>Construction!$BK134*tower_mana+IF(race="Templars",ROUNDDOWN(Military!F133*0.02,0),0)+IF(race="Black Orc",Military!G133*5,0)+IF(race="Growth",ROUNDDOWN(Military!G133*0.1,0),0)+IF(race="Void",ROUNDDOWN(Military!F133*1.5,0),0)+IF(race="Void",ROUNDDOWN(Military!G133*4,0),0)</f>
        <v>1250</v>
      </c>
      <c r="AE133" s="164">
        <f>Construction!$BE134*om_ore+IF(race="Dwarf",ROUNDDOWN(Military!F133*2,0),0)</f>
        <v>0</v>
      </c>
      <c r="AF133" s="57">
        <f>Construction!$BN134*dm_gems+IF(race="Dwarf",ROUNDDOWN(Military!F133/2,0),0)</f>
        <v>0</v>
      </c>
      <c r="AH133" s="266">
        <f ca="1">MIN(race_platinum_bonus + IF(Magic!AJ133&gt;0,midas_bonus) + Imps!Y133 - BB133*0.02+MAX(tech_production_plat*Techs!Y133,tech_treasure_hunt_plat*Techs!AR133), 0.5)</f>
        <v>0</v>
      </c>
      <c r="AI133" s="455">
        <f ca="1">race_food_bonus + IF(Magic!AO133&gt;0,gaias_blessing_food,IF(Magic!AG133&gt;0,gaias_watch_bonus)) + Imps!AD133+tech_production_food*Techs!W133 + O133/100*prestige_food_bonus</f>
        <v>0.1</v>
      </c>
      <c r="AJ133" s="267">
        <f ca="1">race_lumber_bonus+ IF(Magic!AO133&gt;0,gaias_blessing_lumber)+tech_fruits_of_labor1*Techs!AP133</f>
        <v>0</v>
      </c>
      <c r="AK133" s="267">
        <f ca="1">race_mana_bonus+tech_enchanted_lands_mana*Techs!AT133</f>
        <v>0</v>
      </c>
      <c r="AL133" s="267">
        <f ca="1">race_ore_bonus + IF(Magic!AL133&gt;0,miners_sight_bonus,IF(Magic!AH133&gt;0,mining_strength_bonus))+tech_fruits_of_labor1*Techs!AP133</f>
        <v>0</v>
      </c>
      <c r="AM133" s="193">
        <f ca="1">race_gem_bonus+MAX(tech_production_gems*Techs!X133,tech_fruits_of_labor_gems*Techs!AP133)</f>
        <v>0</v>
      </c>
      <c r="AO133" s="56">
        <f ca="1">I133*food_decay*IF(Magic!AZ133&gt;0,0.5,1)</f>
        <v>3545.6</v>
      </c>
      <c r="AP133" s="26">
        <f ca="1">(1+race_food_consumption)*Population!F133*food_per_person</f>
        <v>2310</v>
      </c>
      <c r="AQ133" s="26">
        <f t="shared" ca="1" si="65"/>
        <v>2641.83</v>
      </c>
      <c r="AR133" s="57">
        <f t="shared" ca="1" si="66"/>
        <v>1188.52</v>
      </c>
      <c r="AS133" s="26"/>
      <c r="AT133" s="56">
        <f ca="1">Explore!AH133+Construction!AP133+Military!AU133+Rezone!Y133+Imps!AM133-BE133</f>
        <v>0</v>
      </c>
      <c r="AU133" s="26">
        <f>Construction!AQ133+Imps!AN133-BF133</f>
        <v>0</v>
      </c>
      <c r="AV133" s="26">
        <f>Magic!AD133</f>
        <v>0</v>
      </c>
      <c r="AW133" s="26">
        <f ca="1">Military!AV133+Imps!AO133-BG133</f>
        <v>0</v>
      </c>
      <c r="AX133" s="26">
        <f>Imps!AP133-BH133</f>
        <v>0</v>
      </c>
      <c r="AY133" s="26">
        <f ca="1">Military!AZ133</f>
        <v>0</v>
      </c>
      <c r="AZ133" s="57">
        <f ca="1">Military!BA133</f>
        <v>0</v>
      </c>
      <c r="BB133" s="56" t="b">
        <f t="shared" si="64"/>
        <v>0</v>
      </c>
      <c r="BC133" s="332"/>
      <c r="BD133" s="979">
        <v>59</v>
      </c>
      <c r="BE133" s="332"/>
      <c r="BF133" s="370"/>
      <c r="BG133" s="370"/>
      <c r="BH133" s="744"/>
      <c r="BI133" s="1036">
        <f>B133</f>
        <v>43697.416666666351</v>
      </c>
      <c r="BJ133" s="159" t="str">
        <f t="shared" si="61"/>
        <v/>
      </c>
      <c r="BK133" s="26">
        <f ca="1">H133</f>
        <v>4332141</v>
      </c>
      <c r="BL133" s="26">
        <f t="shared" ca="1" si="69"/>
        <v>354560</v>
      </c>
      <c r="BM133" s="26">
        <f t="shared" ca="1" si="69"/>
        <v>264183</v>
      </c>
      <c r="BN133" s="26">
        <f t="shared" ca="1" si="69"/>
        <v>59426</v>
      </c>
      <c r="BO133" s="57">
        <f t="shared" ca="1" si="69"/>
        <v>231000</v>
      </c>
    </row>
    <row r="134" spans="1:67" s="16" customFormat="1">
      <c r="A134" s="987">
        <v>60</v>
      </c>
      <c r="B134" s="532">
        <f>Imps!L134</f>
        <v>43697.458333333016</v>
      </c>
      <c r="C134" s="332"/>
      <c r="D134" s="835"/>
      <c r="E134" s="56">
        <f>Construction!E134</f>
        <v>1000</v>
      </c>
      <c r="F134" s="26">
        <f ca="1">Population!$C134</f>
        <v>3945</v>
      </c>
      <c r="G134" s="26">
        <f ca="1">Military!EM134</f>
        <v>39460</v>
      </c>
      <c r="H134" s="26">
        <f ca="1">H133+S133 - AT134 + IF(C134,Population!C134*4)</f>
        <v>4342792</v>
      </c>
      <c r="I134" s="26">
        <f t="shared" ca="1" si="72"/>
        <v>355744</v>
      </c>
      <c r="J134" s="26">
        <f t="shared" ca="1" si="70"/>
        <v>264041</v>
      </c>
      <c r="K134" s="26">
        <f t="shared" ca="1" si="70"/>
        <v>59487</v>
      </c>
      <c r="L134" s="26">
        <f t="shared" ca="1" si="70"/>
        <v>231000</v>
      </c>
      <c r="M134" s="26">
        <f t="shared" ca="1" si="67"/>
        <v>20000</v>
      </c>
      <c r="N134" s="26">
        <f t="shared" ca="1" si="73"/>
        <v>200</v>
      </c>
      <c r="O134" s="26">
        <f t="shared" si="62"/>
        <v>500</v>
      </c>
      <c r="P134" s="26">
        <f>ROUNDDOWN(P133+MAX(Construction!BO134/2,Construction!BO134*(1-Construction!BO134/(E134-Explore!S134*20)))-Q134*SUM(Techs!AY134:BY134),0)</f>
        <v>0</v>
      </c>
      <c r="Q134" s="166">
        <f>MAX(min_tech_cost,ROUNDDOWN(tech_cost_per_acre*Construction!E134,0))</f>
        <v>6426</v>
      </c>
      <c r="S134" s="152">
        <f ca="1">ROUNDDOWN(AA134*(1+AH134),0)</f>
        <v>10651</v>
      </c>
      <c r="T134" s="164">
        <f ca="1">ROUND(AB134*(1+AI134)-AO134-AP134,0)</f>
        <v>1173</v>
      </c>
      <c r="U134" s="164">
        <f t="shared" ca="1" si="68"/>
        <v>-140</v>
      </c>
      <c r="V134" s="164">
        <f t="shared" ca="1" si="68"/>
        <v>60</v>
      </c>
      <c r="W134" s="164">
        <f t="shared" ca="1" si="71"/>
        <v>0</v>
      </c>
      <c r="X134" s="164">
        <f t="shared" ca="1" si="71"/>
        <v>0</v>
      </c>
      <c r="Y134" s="265">
        <f>Construction!BP135*dock_boats_hr</f>
        <v>0</v>
      </c>
      <c r="Z134" s="164"/>
      <c r="AA134" s="152">
        <f ca="1">Population!C134*tax*Population!I134 + (Construction!AY135+Construction!BW135)*(alch_plat+(Magic!AR134&gt;0)*alchemist_flame_bonus)</f>
        <v>10651.5</v>
      </c>
      <c r="AB134" s="164">
        <f>Construction!$AZ134*farm_food + Construction!$BP134*dock_food+IF(race="Growth",ROUNDDOWN(Military!G134*8,0),0)</f>
        <v>6400</v>
      </c>
      <c r="AC134" s="164">
        <f>Construction!$BC134*ly_lumber+IF(race="Ants",ROUNDDOWN(Military!F134/2,0),0)</f>
        <v>2500</v>
      </c>
      <c r="AD134" s="26">
        <f>Construction!$BK135*tower_mana+IF(race="Templars",ROUNDDOWN(Military!F134*0.02,0),0)+IF(race="Black Orc",Military!G134*5,0)+IF(race="Growth",ROUNDDOWN(Military!G134*0.1,0),0)+IF(race="Void",ROUNDDOWN(Military!F134*1.5,0),0)+IF(race="Void",ROUNDDOWN(Military!G134*4,0),0)</f>
        <v>1250</v>
      </c>
      <c r="AE134" s="164">
        <f>Construction!$BE135*om_ore+IF(race="Dwarf",ROUNDDOWN(Military!F134*2,0),0)</f>
        <v>0</v>
      </c>
      <c r="AF134" s="57">
        <f>Construction!$BN135*dm_gems+IF(race="Dwarf",ROUNDDOWN(Military!F134/2,0),0)</f>
        <v>0</v>
      </c>
      <c r="AH134" s="266">
        <f ca="1">MIN(race_platinum_bonus + IF(Magic!AJ134&gt;0,midas_bonus) + Imps!Y134 - BB134*0.02+MAX(tech_production_plat*Techs!Y134,tech_treasure_hunt_plat*Techs!AR134), 0.5)</f>
        <v>0</v>
      </c>
      <c r="AI134" s="455">
        <f ca="1">race_food_bonus + IF(Magic!AO134&gt;0,gaias_blessing_food,IF(Magic!AG134&gt;0,gaias_watch_bonus)) + Imps!AD134+tech_production_food*Techs!W134 + O134/100*prestige_food_bonus</f>
        <v>0.1</v>
      </c>
      <c r="AJ134" s="267">
        <f ca="1">race_lumber_bonus+ IF(Magic!AO134&gt;0,gaias_blessing_lumber)+tech_fruits_of_labor1*Techs!AP134</f>
        <v>0</v>
      </c>
      <c r="AK134" s="267">
        <f ca="1">race_mana_bonus+tech_enchanted_lands_mana*Techs!AT134</f>
        <v>0</v>
      </c>
      <c r="AL134" s="267">
        <f ca="1">race_ore_bonus + IF(Magic!AL134&gt;0,miners_sight_bonus,IF(Magic!AH134&gt;0,mining_strength_bonus))+tech_fruits_of_labor1*Techs!AP134</f>
        <v>0</v>
      </c>
      <c r="AM134" s="193">
        <f ca="1">race_gem_bonus+MAX(tech_production_gems*Techs!X134,tech_fruits_of_labor_gems*Techs!AP134)</f>
        <v>0</v>
      </c>
      <c r="AO134" s="56">
        <f ca="1">I134*food_decay*IF(Magic!AZ134&gt;0,0.5,1)</f>
        <v>3557.44</v>
      </c>
      <c r="AP134" s="26">
        <f ca="1">(1+race_food_consumption)*Population!F134*food_per_person</f>
        <v>2310</v>
      </c>
      <c r="AQ134" s="26">
        <f t="shared" ca="1" si="65"/>
        <v>2640.41</v>
      </c>
      <c r="AR134" s="57">
        <f t="shared" ca="1" si="66"/>
        <v>1189.74</v>
      </c>
      <c r="AS134" s="26"/>
      <c r="AT134" s="56">
        <f ca="1">Explore!AH134+Construction!AP134+Military!AU134+Rezone!Y134+Imps!AM134-BE134</f>
        <v>0</v>
      </c>
      <c r="AU134" s="26">
        <f>Construction!AQ134+Imps!AN134-BF134</f>
        <v>0</v>
      </c>
      <c r="AV134" s="26">
        <f>Magic!AD134</f>
        <v>0</v>
      </c>
      <c r="AW134" s="26">
        <f ca="1">Military!AV134+Imps!AO134-BG134</f>
        <v>0</v>
      </c>
      <c r="AX134" s="26">
        <f>Imps!AP134-BH134</f>
        <v>0</v>
      </c>
      <c r="AY134" s="26">
        <f ca="1">Military!AZ134</f>
        <v>0</v>
      </c>
      <c r="AZ134" s="57">
        <f ca="1">Military!BA134</f>
        <v>0</v>
      </c>
      <c r="BB134" s="56" t="b">
        <f t="shared" si="64"/>
        <v>0</v>
      </c>
      <c r="BC134" s="332"/>
      <c r="BD134" s="979">
        <v>60</v>
      </c>
      <c r="BE134" s="332"/>
      <c r="BF134" s="370"/>
      <c r="BG134" s="370"/>
      <c r="BH134" s="744"/>
      <c r="BI134" s="1036">
        <f>B134</f>
        <v>43697.458333333016</v>
      </c>
      <c r="BJ134" s="159" t="str">
        <f>IF(AND(BE134=0,BF134=0,BG134=0,BH134=0),"",IF(BE134&gt;0,IF((BF134+BG134)/2+BH134*2+BE134=0,"Ok","Nope"),IF(BF134&gt;0,IF((BE134+BG134)/2+BH134*2+BF134=0,"Ok","Nope"),IF(BG134&gt;0,IF((BE134+BF134)/2+BH134*2+BG134=0,"Ok","Nope")))))</f>
        <v/>
      </c>
      <c r="BK134" s="26">
        <f ca="1">H134</f>
        <v>4342792</v>
      </c>
      <c r="BL134" s="26">
        <f t="shared" ca="1" si="69"/>
        <v>355744</v>
      </c>
      <c r="BM134" s="26">
        <f t="shared" ca="1" si="69"/>
        <v>264041</v>
      </c>
      <c r="BN134" s="26">
        <f t="shared" ca="1" si="69"/>
        <v>59487</v>
      </c>
      <c r="BO134" s="57">
        <f t="shared" ca="1" si="69"/>
        <v>231000</v>
      </c>
    </row>
    <row r="135" spans="1:67" s="12" customFormat="1">
      <c r="A135" s="990">
        <v>61</v>
      </c>
      <c r="B135" s="677">
        <f>Imps!L135</f>
        <v>43697.49999999968</v>
      </c>
      <c r="C135" s="333"/>
      <c r="D135" s="838"/>
      <c r="E135" s="54">
        <f>Construction!E135</f>
        <v>1000</v>
      </c>
      <c r="F135" s="153">
        <f ca="1">Population!$C135</f>
        <v>3945</v>
      </c>
      <c r="G135" s="153">
        <f ca="1">Military!EM135</f>
        <v>39460</v>
      </c>
      <c r="H135" s="13">
        <f ca="1">H134+S134 - AT135 + IF(C135,Population!C135*4)</f>
        <v>4353443</v>
      </c>
      <c r="I135" s="13">
        <f t="shared" ca="1" si="72"/>
        <v>356917</v>
      </c>
      <c r="J135" s="13">
        <f t="shared" ca="1" si="70"/>
        <v>263901</v>
      </c>
      <c r="K135" s="13">
        <f t="shared" ca="1" si="70"/>
        <v>59547</v>
      </c>
      <c r="L135" s="13">
        <f t="shared" ca="1" si="70"/>
        <v>231000</v>
      </c>
      <c r="M135" s="13">
        <f t="shared" ca="1" si="67"/>
        <v>20000</v>
      </c>
      <c r="N135" s="13">
        <f t="shared" ca="1" si="73"/>
        <v>200</v>
      </c>
      <c r="O135" s="13">
        <f t="shared" si="62"/>
        <v>500</v>
      </c>
      <c r="P135" s="13">
        <f>ROUNDDOWN(P134+MAX(Construction!BO135/2,Construction!BO135*(1-Construction!BO135/(E135-Explore!S135*20)))-Q135*SUM(Techs!AY135:BY135),0)</f>
        <v>0</v>
      </c>
      <c r="Q135" s="55">
        <f>MAX(min_tech_cost,ROUNDDOWN(tech_cost_per_acre*Construction!E135,0))</f>
        <v>6426</v>
      </c>
      <c r="S135" s="151">
        <f ca="1">ROUNDDOWN(AA135*(1+AH135),0)</f>
        <v>0</v>
      </c>
      <c r="T135" s="153">
        <f ca="1">ROUND(AB135*(1+AI135)-AO135-AP135,0)</f>
        <v>1161</v>
      </c>
      <c r="U135" s="153">
        <f t="shared" ca="1" si="68"/>
        <v>-139</v>
      </c>
      <c r="V135" s="153">
        <f t="shared" ca="1" si="68"/>
        <v>-1191</v>
      </c>
      <c r="W135" s="153">
        <f t="shared" ca="1" si="71"/>
        <v>0</v>
      </c>
      <c r="X135" s="153">
        <f t="shared" ca="1" si="71"/>
        <v>0</v>
      </c>
      <c r="Y135" s="262">
        <f>Construction!BP136*dock_boats_hr</f>
        <v>0</v>
      </c>
      <c r="Z135" s="203"/>
      <c r="AA135" s="151">
        <f ca="1">Population!C135*tax*Population!I135 + (Construction!AY136+Construction!BW136)*(alch_plat+(Magic!AR135&gt;0)*alchemist_flame_bonus)</f>
        <v>0</v>
      </c>
      <c r="AB135" s="153">
        <f>Construction!$AZ135*farm_food + Construction!$BP135*dock_food+IF(race="Growth",ROUNDDOWN(Military!G135*8,0),0)</f>
        <v>6400</v>
      </c>
      <c r="AC135" s="153">
        <f>Construction!$BC135*ly_lumber+IF(race="Ants",ROUNDDOWN(Military!F135/2,0),0)</f>
        <v>2500</v>
      </c>
      <c r="AD135" s="13">
        <f>Construction!$BK136*tower_mana+IF(race="Templars",ROUNDDOWN(Military!F135*0.02,0),0)+IF(race="Black Orc",Military!G135*5,0)+IF(race="Growth",ROUNDDOWN(Military!G135*0.1,0),0)+IF(race="Void",ROUNDDOWN(Military!F135*1.5,0),0)+IF(race="Void",ROUNDDOWN(Military!G135*4,0),0)</f>
        <v>0</v>
      </c>
      <c r="AE135" s="153">
        <f>Construction!$BE136*om_ore+IF(race="Dwarf",ROUNDDOWN(Military!F135*2,0),0)</f>
        <v>0</v>
      </c>
      <c r="AF135" s="55">
        <f>Construction!$BN136*dm_gems+IF(race="Dwarf",ROUNDDOWN(Military!F135/2,0),0)</f>
        <v>0</v>
      </c>
      <c r="AH135" s="263">
        <f ca="1">MIN(race_platinum_bonus + IF(Magic!AJ135&gt;0,midas_bonus) + Imps!Y135 - BB135*0.02+MAX(tech_production_plat*Techs!Y135,tech_treasure_hunt_plat*Techs!AR135), 0.5)</f>
        <v>0</v>
      </c>
      <c r="AI135" s="447">
        <f ca="1">race_food_bonus + IF(Magic!AO135&gt;0,gaias_blessing_food,IF(Magic!AG135&gt;0,gaias_watch_bonus)) + Imps!AD135+tech_production_food*Techs!W135 + O135/100*prestige_food_bonus</f>
        <v>0.1</v>
      </c>
      <c r="AJ135" s="264">
        <f ca="1">race_lumber_bonus+ IF(Magic!AO135&gt;0,gaias_blessing_lumber)+tech_fruits_of_labor1*Techs!AP135</f>
        <v>0</v>
      </c>
      <c r="AK135" s="264">
        <f ca="1">race_mana_bonus+tech_enchanted_lands_mana*Techs!AT135</f>
        <v>0</v>
      </c>
      <c r="AL135" s="264">
        <f ca="1">race_ore_bonus + IF(Magic!AL135&gt;0,miners_sight_bonus,IF(Magic!AH135&gt;0,mining_strength_bonus))+tech_fruits_of_labor1*Techs!AP135</f>
        <v>0</v>
      </c>
      <c r="AM135" s="194">
        <f ca="1">race_gem_bonus+MAX(tech_production_gems*Techs!X135,tech_fruits_of_labor_gems*Techs!AP135)</f>
        <v>0</v>
      </c>
      <c r="AO135" s="54">
        <f ca="1">I135*food_decay*IF(Magic!AZ135&gt;0,0.5,1)</f>
        <v>3569.17</v>
      </c>
      <c r="AP135" s="13">
        <f ca="1">(1+race_food_consumption)*Population!F135*food_per_person</f>
        <v>2310</v>
      </c>
      <c r="AQ135" s="13">
        <f t="shared" ca="1" si="65"/>
        <v>2639.01</v>
      </c>
      <c r="AR135" s="55">
        <f t="shared" ca="1" si="66"/>
        <v>1190.94</v>
      </c>
      <c r="AS135" s="13"/>
      <c r="AT135" s="54">
        <f ca="1">Explore!AH135+Construction!AP135+Military!AU135+Rezone!Y135+Imps!AM135-BE135</f>
        <v>0</v>
      </c>
      <c r="AU135" s="13">
        <f>Construction!AQ135+Imps!AN135-BF135</f>
        <v>0</v>
      </c>
      <c r="AV135" s="13">
        <f>Magic!AD135</f>
        <v>0</v>
      </c>
      <c r="AW135" s="13">
        <f ca="1">Military!AV135+Imps!AO135-BG135</f>
        <v>0</v>
      </c>
      <c r="AX135" s="13">
        <f>Imps!AP135-BH135</f>
        <v>0</v>
      </c>
      <c r="AY135" s="13">
        <f ca="1">Military!AZ135</f>
        <v>0</v>
      </c>
      <c r="AZ135" s="55">
        <f ca="1">Military!BA135</f>
        <v>0</v>
      </c>
      <c r="BB135" s="54" t="b">
        <f t="shared" si="64"/>
        <v>0</v>
      </c>
      <c r="BC135" s="333"/>
      <c r="BD135" s="982">
        <v>61</v>
      </c>
      <c r="BE135" s="333"/>
      <c r="BF135" s="429"/>
      <c r="BG135" s="429"/>
      <c r="BH135" s="747"/>
      <c r="BI135" s="1038">
        <f>B135</f>
        <v>43697.49999999968</v>
      </c>
      <c r="BJ135" s="287" t="str">
        <f>IF(AND(BE135=0,BF135=0,BG135=0,BH135=0),"",IF(BE135&gt;0,IF((BF135+BG135)/2+BH135*2+BE135=0,"Ok","Nope"),IF(BF135&gt;0,IF((BE135+BG135)/2+BH135*2+BF135=0,"Ok","Nope"),IF(BG135&gt;0,IF((BE135+BF135)/2+BH135*2+BG135=0,"Ok","Nope")))))</f>
        <v/>
      </c>
      <c r="BK135" s="13">
        <f ca="1">H135</f>
        <v>4353443</v>
      </c>
      <c r="BL135" s="13">
        <f t="shared" ca="1" si="69"/>
        <v>356917</v>
      </c>
      <c r="BM135" s="13">
        <f t="shared" ca="1" si="69"/>
        <v>263901</v>
      </c>
      <c r="BN135" s="13">
        <f t="shared" ca="1" si="69"/>
        <v>59547</v>
      </c>
      <c r="BO135" s="55">
        <f t="shared" ca="1" si="69"/>
        <v>231000</v>
      </c>
    </row>
    <row r="1268" spans="3:12">
      <c r="C1268" s="1463" t="s">
        <v>332</v>
      </c>
      <c r="D1268" s="1406"/>
      <c r="L1268" s="320"/>
    </row>
    <row r="1269" spans="3:12">
      <c r="C1269" s="672">
        <f ca="1">Overview!E17</f>
        <v>1185</v>
      </c>
      <c r="D1269" s="672"/>
      <c r="E1269" s="578"/>
      <c r="F1269" s="578"/>
      <c r="G1269" s="578"/>
      <c r="H1269" s="578"/>
      <c r="I1269" s="578"/>
      <c r="J1269" s="578"/>
      <c r="K1269" s="577"/>
      <c r="L1269" s="576"/>
    </row>
  </sheetData>
  <mergeCells count="5">
    <mergeCell ref="C1268:D1268"/>
    <mergeCell ref="AH1:AM1"/>
    <mergeCell ref="AT1:AU1"/>
    <mergeCell ref="S1:U1"/>
    <mergeCell ref="AA1:AB1"/>
  </mergeCells>
  <phoneticPr fontId="0" type="noConversion"/>
  <conditionalFormatting sqref="U18618:BN29786 BO18582:IX29750 B136:BN446 BO8134:IX8134 B12455:BM20567 B12455:C20612 B8182:BN8182 BO136:IX410">
    <cfRule type="expression" dxfId="98" priority="1" stopIfTrue="1">
      <formula>ROW()-2=#REF!</formula>
    </cfRule>
  </conditionalFormatting>
  <conditionalFormatting sqref="A1268:XFD1269">
    <cfRule type="expression" dxfId="97" priority="2" stopIfTrue="1">
      <formula>$C$1269&gt;144</formula>
    </cfRule>
  </conditionalFormatting>
  <conditionalFormatting sqref="A3:B135 BP3:IX135 R3:BI135">
    <cfRule type="expression" dxfId="96" priority="3" stopIfTrue="1">
      <formula>ROW()-3=$C$1269</formula>
    </cfRule>
  </conditionalFormatting>
  <conditionalFormatting sqref="BK3:BO135 E3:Q135">
    <cfRule type="expression" dxfId="95" priority="4" stopIfTrue="1">
      <formula>OR(ROW()-3=$C$1269,E3&lt;0)</formula>
    </cfRule>
  </conditionalFormatting>
  <conditionalFormatting sqref="C3:D135">
    <cfRule type="expression" dxfId="94" priority="5" stopIfTrue="1">
      <formula>OR(ROW()-3=$C$1269,AND(C3&lt;&gt;1,C3&lt;&gt;""))</formula>
    </cfRule>
  </conditionalFormatting>
  <conditionalFormatting sqref="A1:XFD2">
    <cfRule type="expression" dxfId="93" priority="6" stopIfTrue="1">
      <formula>$C$1269&lt;1</formula>
    </cfRule>
  </conditionalFormatting>
  <conditionalFormatting sqref="BJ3:BJ135">
    <cfRule type="cellIs" dxfId="92" priority="7" stopIfTrue="1" operator="equal">
      <formula>"Nope"</formula>
    </cfRule>
  </conditionalFormatting>
  <dataValidations count="1">
    <dataValidation type="whole" operator="equal" allowBlank="1" showInputMessage="1" showErrorMessage="1" sqref="C3:D135 BC3:BC135">
      <formula1>1</formula1>
    </dataValidation>
  </dataValidations>
  <pageMargins left="0.75" right="0.75" top="1" bottom="1" header="0.5" footer="0.5"/>
  <pageSetup paperSize="9"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sheetPr codeName="Sheet4"/>
  <dimension ref="A1:DJ1269"/>
  <sheetViews>
    <sheetView zoomScale="80" workbookViewId="0">
      <pane ySplit="2" topLeftCell="A3" activePane="bottomLeft" state="frozenSplit"/>
      <selection activeCell="A3" sqref="A3"/>
      <selection pane="bottomLeft" activeCell="Q4" sqref="Q4"/>
    </sheetView>
  </sheetViews>
  <sheetFormatPr defaultRowHeight="12.75"/>
  <cols>
    <col min="1" max="1" width="6.7109375" style="1" bestFit="1" customWidth="1"/>
    <col min="2" max="2" width="8.5703125" style="1" bestFit="1" customWidth="1"/>
    <col min="3" max="3" width="9.42578125" style="1" customWidth="1"/>
    <col min="4" max="4" width="5.7109375" bestFit="1" customWidth="1"/>
    <col min="5" max="5" width="5.140625" style="16" bestFit="1" customWidth="1"/>
    <col min="6" max="6" width="5.140625" style="2" bestFit="1" customWidth="1"/>
    <col min="7" max="7" width="6.42578125" style="3" bestFit="1" customWidth="1"/>
    <col min="8" max="8" width="8.5703125" style="4" customWidth="1"/>
    <col min="9" max="9" width="4.42578125" style="5" bestFit="1" customWidth="1"/>
    <col min="10" max="10" width="7.42578125" style="6" bestFit="1" customWidth="1"/>
    <col min="11" max="11" width="7" style="7" bestFit="1" customWidth="1"/>
    <col min="12" max="12" width="6" style="8" customWidth="1"/>
    <col min="13" max="13" width="4.7109375" style="635" customWidth="1"/>
    <col min="14" max="14" width="4.85546875" style="35" bestFit="1" customWidth="1"/>
    <col min="15" max="15" width="4.42578125" style="35" bestFit="1" customWidth="1"/>
    <col min="16" max="16" width="4.140625" style="35" bestFit="1" customWidth="1"/>
    <col min="17" max="17" width="4.85546875" style="35" bestFit="1" customWidth="1"/>
    <col min="18" max="18" width="4.5703125" style="35" customWidth="1"/>
    <col min="19" max="19" width="4.140625" style="35" bestFit="1" customWidth="1"/>
    <col min="20" max="20" width="4.28515625" style="35" customWidth="1"/>
    <col min="21" max="21" width="4.140625" style="35" bestFit="1" customWidth="1"/>
    <col min="22" max="22" width="3.7109375" style="35" customWidth="1"/>
    <col min="23" max="23" width="4.140625" style="35" customWidth="1"/>
    <col min="24" max="24" width="3.5703125" style="35" bestFit="1" customWidth="1"/>
    <col min="25" max="25" width="3.7109375" style="35" customWidth="1"/>
    <col min="26" max="26" width="3.5703125" style="35" customWidth="1"/>
    <col min="27" max="27" width="4.85546875" style="35" bestFit="1" customWidth="1"/>
    <col min="28" max="28" width="4.85546875" style="35" customWidth="1"/>
    <col min="29" max="29" width="4.28515625" style="35" customWidth="1"/>
    <col min="30" max="30" width="3.85546875" style="35" customWidth="1"/>
    <col min="31" max="31" width="4" style="35" customWidth="1"/>
    <col min="32" max="32" width="4.28515625" style="35" customWidth="1"/>
    <col min="33" max="33" width="6" bestFit="1" customWidth="1"/>
    <col min="36" max="36" width="9.85546875" bestFit="1" customWidth="1"/>
    <col min="37" max="37" width="8.140625" bestFit="1" customWidth="1"/>
    <col min="38" max="38" width="8.42578125" customWidth="1"/>
    <col min="39" max="39" width="11.5703125" bestFit="1" customWidth="1"/>
    <col min="40" max="40" width="8.42578125" customWidth="1"/>
    <col min="41" max="41" width="11.5703125" bestFit="1" customWidth="1"/>
    <col min="42" max="42" width="8.28515625" customWidth="1"/>
    <col min="43" max="43" width="7.140625" customWidth="1"/>
    <col min="44" max="44" width="8.5703125" bestFit="1" customWidth="1"/>
    <col min="45" max="45" width="7.140625" customWidth="1"/>
    <col min="46" max="46" width="6.5703125" bestFit="1" customWidth="1"/>
    <col min="47" max="47" width="8.42578125" customWidth="1"/>
    <col min="48" max="48" width="11.5703125" bestFit="1" customWidth="1"/>
    <col min="49" max="49" width="3" style="16" customWidth="1"/>
    <col min="50" max="50" width="5" style="297" bestFit="1" customWidth="1"/>
    <col min="51" max="52" width="4" style="2" bestFit="1" customWidth="1"/>
    <col min="53" max="53" width="4.42578125" style="2" bestFit="1" customWidth="1"/>
    <col min="54" max="54" width="4.7109375" style="2" bestFit="1" customWidth="1"/>
    <col min="55" max="55" width="3.42578125" style="3" bestFit="1" customWidth="1"/>
    <col min="56" max="56" width="4.42578125" style="3" bestFit="1" customWidth="1"/>
    <col min="57" max="57" width="4.140625" style="4" bestFit="1" customWidth="1"/>
    <col min="58" max="58" width="3.7109375" style="4" bestFit="1" customWidth="1"/>
    <col min="59" max="59" width="4.140625" style="5" bestFit="1" customWidth="1"/>
    <col min="60" max="60" width="3.5703125" style="5" bestFit="1" customWidth="1"/>
    <col min="61" max="61" width="3.7109375" style="5" customWidth="1"/>
    <col min="62" max="62" width="4.28515625" style="5" bestFit="1" customWidth="1"/>
    <col min="63" max="63" width="4.85546875" style="6" bestFit="1" customWidth="1"/>
    <col min="64" max="64" width="4.85546875" style="6" customWidth="1"/>
    <col min="65" max="65" width="4.28515625" style="6" bestFit="1" customWidth="1"/>
    <col min="66" max="66" width="4.140625" style="7" customWidth="1"/>
    <col min="67" max="67" width="4.5703125" style="7" customWidth="1"/>
    <col min="68" max="68" width="8.42578125" style="8" bestFit="1" customWidth="1"/>
    <col min="69" max="69" width="4.7109375" customWidth="1"/>
    <col min="70" max="70" width="6" style="35" customWidth="1"/>
    <col min="71" max="71" width="5.140625" bestFit="1" customWidth="1"/>
    <col min="72" max="72" width="5.7109375" bestFit="1" customWidth="1"/>
    <col min="73" max="73" width="2.140625" bestFit="1" customWidth="1"/>
    <col min="74" max="74" width="4.85546875" style="297" bestFit="1" customWidth="1"/>
    <col min="75" max="76" width="3.85546875" style="2" bestFit="1" customWidth="1"/>
    <col min="77" max="77" width="4.28515625" style="2" customWidth="1"/>
    <col min="78" max="78" width="4.5703125" style="2" customWidth="1"/>
    <col min="79" max="79" width="3.42578125" style="3" bestFit="1" customWidth="1"/>
    <col min="80" max="80" width="4.28515625" style="3" customWidth="1"/>
    <col min="81" max="81" width="4" style="4" customWidth="1"/>
    <col min="82" max="82" width="3.7109375" style="4" customWidth="1"/>
    <col min="83" max="83" width="4.140625" style="5" customWidth="1"/>
    <col min="84" max="84" width="3.5703125" style="5" bestFit="1" customWidth="1"/>
    <col min="85" max="85" width="3.7109375" style="4" customWidth="1"/>
    <col min="86" max="86" width="3.5703125" style="5" customWidth="1"/>
    <col min="87" max="88" width="4.85546875" style="6" customWidth="1"/>
    <col min="89" max="89" width="4.28515625" style="6" customWidth="1"/>
    <col min="90" max="90" width="3.85546875" style="7" customWidth="1"/>
    <col min="91" max="91" width="3.85546875" style="7" bestFit="1" customWidth="1"/>
    <col min="92" max="92" width="4.28515625" style="8" customWidth="1"/>
    <col min="93" max="93" width="2.140625" bestFit="1" customWidth="1"/>
    <col min="94" max="94" width="5.140625" style="2" bestFit="1" customWidth="1"/>
    <col min="95" max="95" width="6.42578125" style="3" bestFit="1" customWidth="1"/>
    <col min="96" max="96" width="8.5703125" style="4" bestFit="1" customWidth="1"/>
    <col min="97" max="97" width="3.5703125" style="5" bestFit="1" customWidth="1"/>
    <col min="98" max="98" width="7.42578125" style="6" bestFit="1" customWidth="1"/>
    <col min="99" max="99" width="7" style="7" bestFit="1" customWidth="1"/>
    <col min="100" max="100" width="6" style="8" bestFit="1" customWidth="1"/>
    <col min="101" max="101" width="10.42578125" bestFit="1" customWidth="1"/>
    <col min="102" max="102" width="2.140625" bestFit="1" customWidth="1"/>
    <col min="103" max="103" width="5.140625" bestFit="1" customWidth="1"/>
    <col min="104" max="104" width="6.42578125" bestFit="1" customWidth="1"/>
    <col min="105" max="105" width="8.5703125" bestFit="1" customWidth="1"/>
    <col min="106" max="106" width="3.5703125" bestFit="1" customWidth="1"/>
    <col min="107" max="107" width="7.42578125" bestFit="1" customWidth="1"/>
    <col min="108" max="108" width="7" bestFit="1" customWidth="1"/>
    <col min="109" max="109" width="6" bestFit="1" customWidth="1"/>
    <col min="110" max="110" width="8.5703125" bestFit="1" customWidth="1"/>
    <col min="111" max="111" width="6.85546875" bestFit="1" customWidth="1"/>
    <col min="112" max="112" width="5" bestFit="1" customWidth="1"/>
    <col min="113" max="113" width="7.28515625" bestFit="1" customWidth="1"/>
  </cols>
  <sheetData>
    <row r="1" spans="1:114" s="106" customFormat="1">
      <c r="A1" s="137"/>
      <c r="B1" s="137"/>
      <c r="C1" s="137"/>
      <c r="E1" s="444"/>
      <c r="F1" s="1469" t="s">
        <v>56</v>
      </c>
      <c r="G1" s="1469"/>
      <c r="M1" s="672"/>
      <c r="N1" s="1469" t="s">
        <v>58</v>
      </c>
      <c r="O1" s="1469"/>
      <c r="P1" s="1406"/>
      <c r="AH1" s="1190" t="s">
        <v>594</v>
      </c>
      <c r="AI1" s="1190" t="s">
        <v>597</v>
      </c>
      <c r="AJ1" s="1469" t="s">
        <v>80</v>
      </c>
      <c r="AK1" s="1469"/>
      <c r="AL1" s="1468" t="s">
        <v>595</v>
      </c>
      <c r="AM1" s="1468"/>
      <c r="AN1" s="1468" t="s">
        <v>596</v>
      </c>
      <c r="AO1" s="1468"/>
      <c r="AP1" s="1468" t="s">
        <v>593</v>
      </c>
      <c r="AQ1" s="1468"/>
      <c r="AU1" s="106" t="s">
        <v>592</v>
      </c>
      <c r="AW1" s="444"/>
      <c r="AX1" s="1470" t="s">
        <v>54</v>
      </c>
      <c r="AY1" s="1470"/>
      <c r="AZ1" s="1470"/>
      <c r="BV1" s="1469" t="s">
        <v>87</v>
      </c>
      <c r="BW1" s="1469"/>
      <c r="CP1" s="1469" t="s">
        <v>18</v>
      </c>
      <c r="CQ1" s="1469"/>
      <c r="CY1" s="1469" t="s">
        <v>308</v>
      </c>
      <c r="CZ1" s="1469"/>
      <c r="DA1" s="1469"/>
      <c r="DB1" s="1469"/>
      <c r="DC1" s="1469"/>
      <c r="DF1" s="1469" t="s">
        <v>273</v>
      </c>
      <c r="DG1" s="1469"/>
    </row>
    <row r="2" spans="1:114" s="825" customFormat="1" ht="13.5" thickBot="1">
      <c r="A2" s="825" t="s">
        <v>56</v>
      </c>
      <c r="B2" s="825" t="s">
        <v>54</v>
      </c>
      <c r="C2" s="825" t="s">
        <v>55</v>
      </c>
      <c r="E2" s="825" t="s">
        <v>1</v>
      </c>
      <c r="F2" s="1137" t="s">
        <v>259</v>
      </c>
      <c r="G2" s="1138" t="s">
        <v>60</v>
      </c>
      <c r="H2" s="1139" t="s">
        <v>261</v>
      </c>
      <c r="I2" s="1140" t="s">
        <v>260</v>
      </c>
      <c r="J2" s="1141" t="s">
        <v>63</v>
      </c>
      <c r="K2" s="1142" t="s">
        <v>258</v>
      </c>
      <c r="L2" s="1143" t="s">
        <v>65</v>
      </c>
      <c r="M2" s="825" t="s">
        <v>0</v>
      </c>
      <c r="N2" s="1144" t="s">
        <v>75</v>
      </c>
      <c r="O2" s="1145" t="s">
        <v>74</v>
      </c>
      <c r="P2" s="1145" t="s">
        <v>73</v>
      </c>
      <c r="Q2" s="1145" t="s">
        <v>72</v>
      </c>
      <c r="R2" s="1145" t="s">
        <v>71</v>
      </c>
      <c r="S2" s="1138" t="s">
        <v>66</v>
      </c>
      <c r="T2" s="1138" t="s">
        <v>365</v>
      </c>
      <c r="U2" s="1139" t="s">
        <v>67</v>
      </c>
      <c r="V2" s="1139" t="s">
        <v>68</v>
      </c>
      <c r="W2" s="1140" t="s">
        <v>69</v>
      </c>
      <c r="X2" s="1140" t="s">
        <v>70</v>
      </c>
      <c r="Y2" s="1140" t="s">
        <v>367</v>
      </c>
      <c r="Z2" s="1140" t="s">
        <v>370</v>
      </c>
      <c r="AA2" s="1141" t="s">
        <v>77</v>
      </c>
      <c r="AB2" s="1141" t="s">
        <v>368</v>
      </c>
      <c r="AC2" s="1141" t="s">
        <v>312</v>
      </c>
      <c r="AD2" s="1142" t="s">
        <v>78</v>
      </c>
      <c r="AE2" s="1142" t="s">
        <v>387</v>
      </c>
      <c r="AF2" s="1143" t="s">
        <v>79</v>
      </c>
      <c r="AG2" s="825" t="s">
        <v>379</v>
      </c>
      <c r="AH2" s="825" t="s">
        <v>202</v>
      </c>
      <c r="AI2" s="1188" t="s">
        <v>202</v>
      </c>
      <c r="AJ2" s="825" t="s">
        <v>2</v>
      </c>
      <c r="AK2" s="825" t="s">
        <v>7</v>
      </c>
      <c r="AL2" s="825" t="s">
        <v>2</v>
      </c>
      <c r="AM2" s="825" t="s">
        <v>7</v>
      </c>
      <c r="AN2" s="825" t="s">
        <v>2</v>
      </c>
      <c r="AO2" s="825" t="s">
        <v>7</v>
      </c>
      <c r="AP2" s="825" t="s">
        <v>2</v>
      </c>
      <c r="AQ2" s="825" t="s">
        <v>7</v>
      </c>
      <c r="AR2" s="825" t="s">
        <v>598</v>
      </c>
      <c r="AS2" s="825" t="s">
        <v>599</v>
      </c>
      <c r="AU2" s="825" t="s">
        <v>2</v>
      </c>
      <c r="AV2" s="825" t="s">
        <v>7</v>
      </c>
      <c r="AX2" s="1146" t="s">
        <v>75</v>
      </c>
      <c r="AY2" s="1145" t="s">
        <v>74</v>
      </c>
      <c r="AZ2" s="1145" t="s">
        <v>73</v>
      </c>
      <c r="BA2" s="1145" t="s">
        <v>72</v>
      </c>
      <c r="BB2" s="1145" t="s">
        <v>71</v>
      </c>
      <c r="BC2" s="1138" t="s">
        <v>66</v>
      </c>
      <c r="BD2" s="1138" t="s">
        <v>365</v>
      </c>
      <c r="BE2" s="1139" t="s">
        <v>67</v>
      </c>
      <c r="BF2" s="1139" t="s">
        <v>68</v>
      </c>
      <c r="BG2" s="1140" t="s">
        <v>69</v>
      </c>
      <c r="BH2" s="1140" t="s">
        <v>70</v>
      </c>
      <c r="BI2" s="1140" t="s">
        <v>367</v>
      </c>
      <c r="BJ2" s="1140" t="s">
        <v>370</v>
      </c>
      <c r="BK2" s="1141" t="s">
        <v>77</v>
      </c>
      <c r="BL2" s="1141" t="s">
        <v>368</v>
      </c>
      <c r="BM2" s="1141" t="s">
        <v>312</v>
      </c>
      <c r="BN2" s="1142" t="s">
        <v>78</v>
      </c>
      <c r="BO2" s="1142" t="s">
        <v>387</v>
      </c>
      <c r="BP2" s="1147" t="s">
        <v>79</v>
      </c>
      <c r="BR2" s="1148"/>
      <c r="BS2" s="825" t="s">
        <v>1</v>
      </c>
      <c r="BT2" s="825" t="s">
        <v>327</v>
      </c>
      <c r="BV2" s="1149" t="s">
        <v>75</v>
      </c>
      <c r="BW2" s="1145" t="s">
        <v>74</v>
      </c>
      <c r="BX2" s="1145" t="s">
        <v>73</v>
      </c>
      <c r="BY2" s="1145" t="s">
        <v>72</v>
      </c>
      <c r="BZ2" s="1145" t="s">
        <v>71</v>
      </c>
      <c r="CA2" s="1138" t="s">
        <v>66</v>
      </c>
      <c r="CB2" s="1138" t="s">
        <v>365</v>
      </c>
      <c r="CC2" s="1139" t="s">
        <v>67</v>
      </c>
      <c r="CD2" s="1139" t="s">
        <v>68</v>
      </c>
      <c r="CE2" s="1140" t="s">
        <v>69</v>
      </c>
      <c r="CF2" s="1140" t="s">
        <v>70</v>
      </c>
      <c r="CG2" s="1139" t="s">
        <v>367</v>
      </c>
      <c r="CH2" s="1140" t="s">
        <v>370</v>
      </c>
      <c r="CI2" s="1141" t="s">
        <v>77</v>
      </c>
      <c r="CJ2" s="1141" t="s">
        <v>368</v>
      </c>
      <c r="CK2" s="1141" t="s">
        <v>312</v>
      </c>
      <c r="CL2" s="1142" t="s">
        <v>78</v>
      </c>
      <c r="CM2" s="1142" t="s">
        <v>387</v>
      </c>
      <c r="CN2" s="1143" t="s">
        <v>79</v>
      </c>
      <c r="CP2" s="1145" t="s">
        <v>259</v>
      </c>
      <c r="CQ2" s="1138" t="s">
        <v>60</v>
      </c>
      <c r="CR2" s="1139" t="s">
        <v>261</v>
      </c>
      <c r="CS2" s="1140" t="s">
        <v>260</v>
      </c>
      <c r="CT2" s="1141" t="s">
        <v>63</v>
      </c>
      <c r="CU2" s="1142" t="s">
        <v>258</v>
      </c>
      <c r="CV2" s="1143" t="s">
        <v>65</v>
      </c>
      <c r="CW2" s="825" t="s">
        <v>273</v>
      </c>
      <c r="CY2" s="825" t="s">
        <v>259</v>
      </c>
      <c r="CZ2" s="825" t="s">
        <v>60</v>
      </c>
      <c r="DA2" s="825" t="s">
        <v>261</v>
      </c>
      <c r="DB2" s="825" t="s">
        <v>260</v>
      </c>
      <c r="DC2" s="825" t="s">
        <v>63</v>
      </c>
      <c r="DD2" s="825" t="s">
        <v>258</v>
      </c>
      <c r="DE2" s="825" t="s">
        <v>65</v>
      </c>
      <c r="DF2" s="825" t="str">
        <f>Overview!$B$67</f>
        <v>Plain</v>
      </c>
      <c r="DG2" s="825" t="s">
        <v>309</v>
      </c>
      <c r="DH2" s="825" t="s">
        <v>311</v>
      </c>
      <c r="DI2" s="825" t="s">
        <v>310</v>
      </c>
    </row>
    <row r="3" spans="1:114" s="1011" customFormat="1">
      <c r="A3" s="1117">
        <f t="shared" ref="A3:A14" si="0">SUM(F3:L3)</f>
        <v>620</v>
      </c>
      <c r="B3" s="1117">
        <f t="shared" ref="B3:B14" si="1">SUM(AX3:BP3)</f>
        <v>180</v>
      </c>
      <c r="C3" s="1118">
        <f>SUM(N$3:AF3)</f>
        <v>200</v>
      </c>
      <c r="D3" s="796"/>
      <c r="E3" s="1011">
        <f t="shared" ref="E3:E34" si="2">A3+B3+C3</f>
        <v>1000</v>
      </c>
      <c r="F3" s="1119">
        <f>start_plains+CP3</f>
        <v>0</v>
      </c>
      <c r="G3" s="1120">
        <f>start_forest+CQ3</f>
        <v>100</v>
      </c>
      <c r="H3" s="1121">
        <f>start_mountains+CR3</f>
        <v>150</v>
      </c>
      <c r="I3" s="1122">
        <f>start_hills+CS3</f>
        <v>150</v>
      </c>
      <c r="J3" s="1123">
        <f>start_swamp+CT3</f>
        <v>100</v>
      </c>
      <c r="K3" s="1124">
        <f>start_caverns+CU3</f>
        <v>20</v>
      </c>
      <c r="L3" s="1125">
        <f>start_water+CV3</f>
        <v>100</v>
      </c>
      <c r="M3" s="822">
        <f>Rezone!J3</f>
        <v>1</v>
      </c>
      <c r="N3" s="1082"/>
      <c r="O3" s="1087"/>
      <c r="P3" s="1083"/>
      <c r="Q3" s="1083">
        <v>200</v>
      </c>
      <c r="R3" s="1083"/>
      <c r="S3" s="1083"/>
      <c r="T3" s="1083"/>
      <c r="U3" s="1083"/>
      <c r="V3" s="1083"/>
      <c r="W3" s="1087"/>
      <c r="X3" s="1083"/>
      <c r="Y3" s="1083"/>
      <c r="Z3" s="1083"/>
      <c r="AA3" s="1083"/>
      <c r="AB3" s="1087"/>
      <c r="AC3" s="1083"/>
      <c r="AD3" s="1083"/>
      <c r="AE3" s="1083"/>
      <c r="AF3" s="1115"/>
      <c r="AG3" s="796">
        <f>Imps!L3</f>
        <v>43692</v>
      </c>
      <c r="AH3" s="831">
        <f>MIN(25%,(BG3+CE3)/(E3-Explore!S3*20))</f>
        <v>0</v>
      </c>
      <c r="AI3" s="1183">
        <f>MIN(25%,(BG3+CE3)/E3)</f>
        <v>0</v>
      </c>
      <c r="AJ3" s="1069">
        <f ca="1">Production!$H3</f>
        <v>3936000</v>
      </c>
      <c r="AK3" s="236">
        <f ca="1">Production!$J3</f>
        <v>302400</v>
      </c>
      <c r="AL3" s="685">
        <f ca="1">ROUND( (1 - MIN(facs_constr_factor*$AH3,facs_constr_max)) * (1+MIN(tech_construction*Techs!AC3,tech_conquerors_crafts*Techs!AS3)) * AU3*(1+race_construction_cost),0)</f>
        <v>1615</v>
      </c>
      <c r="AM3" s="687">
        <f t="shared" ref="AM3:AM34" si="3">ROUND( (1 - MIN(facs_constr_factor*$AH3,facs_constr_max)) * AV3,0)</f>
        <v>263</v>
      </c>
      <c r="AN3" s="685">
        <f ca="1">ROUND( (1 - MIN(facs_constr_factor*$AI3,facs_constr_max)) * (1+MIN(tech_construction*Techs!AC3,tech_conquerors_crafts*Techs!AS3)) * AU3*(1+race_construction_cost),0)</f>
        <v>1615</v>
      </c>
      <c r="AO3" s="687">
        <f>ROUND( (1 - MIN(facs_constr_factor*$AI3,facs_constr_max)) * AV3,0)</f>
        <v>263</v>
      </c>
      <c r="AP3" s="1011">
        <f ca="1">SUM($N3:$AF3)*AL3</f>
        <v>323000</v>
      </c>
      <c r="AQ3" s="1071">
        <f>SUM($N3:$AF3)*AM3</f>
        <v>52600</v>
      </c>
      <c r="AR3" s="1011">
        <f>MIN(SUM(Constants!A27:G27)+SUM(BV3:CN3),SUM($N3:$AF3))</f>
        <v>200</v>
      </c>
      <c r="AS3" s="1011">
        <f>IF(Explore!S3&lt;&gt;0,MAX(0, MIN(20, 20 + SUM(N3:AF3) - SUM(BV3:CN3) - SUM(Constants!A27:G27)-20*Explore!S3)),0)</f>
        <v>0</v>
      </c>
      <c r="AU3" s="1069">
        <f>(MAX($B3,250,0.75*E3)-250) * 1.53 + 850</f>
        <v>1615</v>
      </c>
      <c r="AV3" s="236">
        <f>(MAX($B3,250,0.75*E3)-250) * 0.35+87.5</f>
        <v>262.5</v>
      </c>
      <c r="AW3" s="1080"/>
      <c r="AX3" s="1126">
        <f>start_homes-BV3</f>
        <v>0</v>
      </c>
      <c r="AY3" s="1127">
        <f>start_alchs-BW3</f>
        <v>0</v>
      </c>
      <c r="AZ3" s="1127">
        <f>start_farms-BX3</f>
        <v>80</v>
      </c>
      <c r="BA3" s="1127">
        <f>start_smithies-BY3</f>
        <v>0</v>
      </c>
      <c r="BB3" s="1127">
        <f>start_masons-BZ3</f>
        <v>0</v>
      </c>
      <c r="BC3" s="1128">
        <f>start_ly-CA3</f>
        <v>50</v>
      </c>
      <c r="BD3" s="1128">
        <f>start_havens-CB3</f>
        <v>0</v>
      </c>
      <c r="BE3" s="1129">
        <f>start_om-CC3</f>
        <v>0</v>
      </c>
      <c r="BF3" s="1129">
        <f>start_gn-CD3</f>
        <v>0</v>
      </c>
      <c r="BG3" s="1130">
        <f>start_facs-CE3</f>
        <v>0</v>
      </c>
      <c r="BH3" s="1130">
        <f>start_gt-CF3</f>
        <v>0</v>
      </c>
      <c r="BI3" s="1130">
        <f>start_rax-CG3</f>
        <v>0</v>
      </c>
      <c r="BJ3" s="1130">
        <f>start_shrines-CH3</f>
        <v>0</v>
      </c>
      <c r="BK3" s="1131">
        <f>start_towers-CI3</f>
        <v>50</v>
      </c>
      <c r="BL3" s="1131">
        <f>start_temples-CJ3</f>
        <v>0</v>
      </c>
      <c r="BM3" s="1131">
        <f>start_temples-CK3</f>
        <v>0</v>
      </c>
      <c r="BN3" s="1132">
        <f>start_dm-CL3</f>
        <v>0</v>
      </c>
      <c r="BO3" s="1132">
        <f>start_schools-CM3</f>
        <v>0</v>
      </c>
      <c r="BP3" s="1133">
        <f>start_docks-CN3</f>
        <v>0</v>
      </c>
      <c r="BR3" s="1134"/>
      <c r="BS3" s="538">
        <f t="shared" ref="BS3:BS34" si="4">E3</f>
        <v>1000</v>
      </c>
      <c r="BT3" s="796">
        <f>Imps!L3</f>
        <v>43692</v>
      </c>
      <c r="BU3" s="1135"/>
      <c r="BV3" s="1082"/>
      <c r="BW3" s="1083"/>
      <c r="BX3" s="1083"/>
      <c r="BY3" s="1083"/>
      <c r="BZ3" s="1083"/>
      <c r="CA3" s="1083"/>
      <c r="CB3" s="1083"/>
      <c r="CC3" s="1083"/>
      <c r="CD3" s="1083"/>
      <c r="CE3" s="1083"/>
      <c r="CF3" s="1083"/>
      <c r="CG3" s="1083"/>
      <c r="CH3" s="1083"/>
      <c r="CI3" s="1083"/>
      <c r="CJ3" s="1083"/>
      <c r="CK3" s="1083"/>
      <c r="CL3" s="1083"/>
      <c r="CM3" s="1136"/>
      <c r="CN3" s="1084"/>
      <c r="CP3" s="1119">
        <f>-SUM($O3:$R3)+SUM($BW3:BZ3)+Rezone!L3+IF(home_land=CP$2,CW3)</f>
        <v>-70</v>
      </c>
      <c r="CQ3" s="1120">
        <f>-SUM($S3:$T3)+SUM($CA3:$CB3) +Rezone!M3 + IF(home_land=CQ$2,CW3)</f>
        <v>0</v>
      </c>
      <c r="CR3" s="1129">
        <f>-SUM($U3:$V3)+SUM($CC3:$CD3) +Rezone!N3 + IF(home_land=CR$2,CW3)</f>
        <v>0</v>
      </c>
      <c r="CS3" s="1122">
        <f>-SUM($W3:$Z3)+SUM($CE3:$CH3) +Rezone!O3 + IF(home_land=CS$2,CW3)</f>
        <v>0</v>
      </c>
      <c r="CT3" s="1123">
        <f>-SUM($AA3:$AC3)+SUM($CI3:$CK3) +Rezone!P3 + IF(home_land=CT$2,CW3)</f>
        <v>0</v>
      </c>
      <c r="CU3" s="1124">
        <f xml:space="preserve"> - SUM($AD3,$AE3)+SUM($CL3,$CM3) +Rezone!Q3 + IF(home_land=CU$2,CW3)</f>
        <v>-130</v>
      </c>
      <c r="CV3" s="1187">
        <f>-$AF3+$CN3 +Rezone!R3 + IF(home_land=CV$2,CW3)</f>
        <v>0</v>
      </c>
      <c r="CW3" s="1042">
        <f>IF(Explore!S3=1,25) - N3 + BV3</f>
        <v>0</v>
      </c>
      <c r="CY3" s="1069">
        <f>F3+SUM(O$3:R3)+SUM(AY3:BB3)</f>
        <v>280</v>
      </c>
      <c r="CZ3" s="1080">
        <f>G3+SUM(S$3:T3)+SUM(BC3:BD3)</f>
        <v>150</v>
      </c>
      <c r="DA3" s="1011">
        <f>H3+SUM(U$3:V3)+SUM(BE3:BF3)</f>
        <v>150</v>
      </c>
      <c r="DB3" s="1080">
        <f>I3+SUM(W$3:X3)+SUM(BG3:BH3)</f>
        <v>150</v>
      </c>
      <c r="DC3" s="1080">
        <f>J3+SUM(AA$3:AC3)+SUM(BK3:BM3)</f>
        <v>150</v>
      </c>
      <c r="DD3" s="1011">
        <f>K3+SUM(AD$3:AD3)+BN3</f>
        <v>20</v>
      </c>
      <c r="DE3" s="236">
        <f>L3+SUM(AF$3:AF3)+BP3</f>
        <v>100</v>
      </c>
      <c r="DF3" s="1080">
        <f ca="1">INDIRECT(ADDRESS(DH3,$DI$4))+DG3</f>
        <v>280</v>
      </c>
      <c r="DG3" s="1011">
        <f>SUM(N$3:N3)+AX3</f>
        <v>0</v>
      </c>
      <c r="DH3" s="1069">
        <v>3</v>
      </c>
      <c r="DI3" s="236">
        <f>MATCH(DF2,CY2:DE2,0)</f>
        <v>1</v>
      </c>
      <c r="DJ3" s="1080"/>
    </row>
    <row r="4" spans="1:114" s="170" customFormat="1">
      <c r="A4" s="242">
        <f t="shared" si="0"/>
        <v>620</v>
      </c>
      <c r="B4" s="242">
        <f t="shared" si="1"/>
        <v>180</v>
      </c>
      <c r="C4" s="243">
        <f>SUM(N$3:AF4)</f>
        <v>200</v>
      </c>
      <c r="D4" s="532"/>
      <c r="E4" s="170">
        <f t="shared" si="2"/>
        <v>1000</v>
      </c>
      <c r="F4" s="245">
        <f t="shared" ref="F4:F35" si="5">F3+CP4</f>
        <v>0</v>
      </c>
      <c r="G4" s="246">
        <f t="shared" ref="G4:G35" si="6">G3+CQ4</f>
        <v>100</v>
      </c>
      <c r="H4" s="247">
        <f t="shared" ref="H4:H35" si="7">H3+CR4</f>
        <v>150</v>
      </c>
      <c r="I4" s="248">
        <f t="shared" ref="I4:I35" si="8">I3+CS4</f>
        <v>150</v>
      </c>
      <c r="J4" s="249">
        <f t="shared" ref="J4:J35" si="9">J3+CT4</f>
        <v>100</v>
      </c>
      <c r="K4" s="250">
        <f t="shared" ref="K4:K35" si="10">K3+CU4</f>
        <v>20</v>
      </c>
      <c r="L4" s="498">
        <f t="shared" ref="L4:L35" si="11">L3+CV4</f>
        <v>100</v>
      </c>
      <c r="M4" s="634">
        <f>Rezone!J4</f>
        <v>2</v>
      </c>
      <c r="N4" s="352"/>
      <c r="O4" s="345"/>
      <c r="P4" s="345"/>
      <c r="Q4" s="345"/>
      <c r="R4" s="345"/>
      <c r="S4" s="345"/>
      <c r="T4" s="345"/>
      <c r="U4" s="345"/>
      <c r="V4" s="345"/>
      <c r="W4" s="345"/>
      <c r="X4" s="345"/>
      <c r="Y4" s="345"/>
      <c r="Z4" s="345"/>
      <c r="AA4" s="345"/>
      <c r="AB4" s="345"/>
      <c r="AC4" s="345"/>
      <c r="AD4" s="345"/>
      <c r="AE4" s="345"/>
      <c r="AF4" s="336"/>
      <c r="AG4" s="532">
        <f t="shared" ref="AG4:AG14" si="12">AG3+1/24</f>
        <v>43692.041666666664</v>
      </c>
      <c r="AH4" s="251">
        <f>MIN(25%,(BG4+CE4)/(E4-Explore!S4*20))</f>
        <v>0</v>
      </c>
      <c r="AI4" s="187">
        <f t="shared" ref="AI4:AI67" si="13">MIN(25%,(BG4+CE4)/E4)</f>
        <v>0</v>
      </c>
      <c r="AJ4" s="152">
        <f ca="1">Production!$H4</f>
        <v>3945720</v>
      </c>
      <c r="AK4" s="166">
        <f ca="1">Production!$J4</f>
        <v>301876</v>
      </c>
      <c r="AL4" s="152">
        <f ca="1">ROUND( (1 - MIN(facs_constr_factor*$AH4,facs_constr_max)) * (1+MIN(tech_construction*Techs!AC4,tech_conquerors_crafts*Techs!AS4)) * AU4*(1+race_construction_cost),0)</f>
        <v>1615</v>
      </c>
      <c r="AM4" s="166">
        <f t="shared" si="3"/>
        <v>263</v>
      </c>
      <c r="AN4" s="152">
        <f ca="1">ROUND( (1 - MIN(facs_constr_factor*$AI4,facs_constr_max)) * (1+MIN(tech_construction*Techs!AE4,tech_conquerors_crafts*Techs!AU4)) * AU4*(1+race_construction_cost),0)</f>
        <v>1615</v>
      </c>
      <c r="AO4" s="166">
        <f t="shared" ref="AO4:AO35" si="14">ROUND( (1 - MIN(facs_constr_factor*$AH4,facs_constr_max)) * AV4,0)</f>
        <v>263</v>
      </c>
      <c r="AP4" s="170">
        <f t="shared" ref="AP4:AP17" ca="1" si="15">AR4*AL4 + AS4*AN4</f>
        <v>0</v>
      </c>
      <c r="AQ4" s="157">
        <f t="shared" ref="AQ4:AQ16" si="16">AR4*AM4+AS4*AO4</f>
        <v>0</v>
      </c>
      <c r="AR4" s="164">
        <f>MIN(SUM(F3:L3)+SUM(BV4:CN4),SUM($N4:$AF4))</f>
        <v>0</v>
      </c>
      <c r="AS4" s="170">
        <f>IF(Explore!S4&lt;&gt;0,MAX(0, MIN(20, 20 + SUM(N4:AF4) - SUM(BV4:CN4) - SUM(F3:L3)-20*Explore!S4)),0)</f>
        <v>0</v>
      </c>
      <c r="AU4" s="152">
        <f t="shared" ref="AU4:AU67" si="17">(MAX($B4,250,0.75*E4)-250) * 1.53 + 850</f>
        <v>1615</v>
      </c>
      <c r="AV4" s="166">
        <f t="shared" ref="AV4:AV67" si="18">(MAX($B4,250,0.75*E4)-250) * 0.35+87.5</f>
        <v>262.5</v>
      </c>
      <c r="AW4" s="164"/>
      <c r="AX4" s="293">
        <f t="shared" ref="AX4:AX11" si="19">AX3 -BV4</f>
        <v>0</v>
      </c>
      <c r="AY4" s="244">
        <f t="shared" ref="AY4:AY11" si="20">AY3 -BW4</f>
        <v>0</v>
      </c>
      <c r="AZ4" s="244">
        <f t="shared" ref="AZ4:AZ11" si="21">AZ3 -BX4</f>
        <v>80</v>
      </c>
      <c r="BA4" s="244">
        <f t="shared" ref="BA4:BA11" si="22">BA3 -BY4</f>
        <v>0</v>
      </c>
      <c r="BB4" s="244">
        <f t="shared" ref="BB4:BB11" si="23">BB3 -BZ4</f>
        <v>0</v>
      </c>
      <c r="BC4" s="206">
        <f t="shared" ref="BC4:BC11" si="24">BC3  -CA4</f>
        <v>50</v>
      </c>
      <c r="BD4" s="206">
        <f t="shared" ref="BD4:BD11" si="25">BD3  -CB4</f>
        <v>0</v>
      </c>
      <c r="BE4" s="207">
        <f t="shared" ref="BE4:BE11" si="26">BE3  -CC4</f>
        <v>0</v>
      </c>
      <c r="BF4" s="207">
        <f t="shared" ref="BF4:BF11" si="27">BF3  -CD4</f>
        <v>0</v>
      </c>
      <c r="BG4" s="208">
        <f t="shared" ref="BG4:BG11" si="28">BG3  -CE4</f>
        <v>0</v>
      </c>
      <c r="BH4" s="208">
        <f t="shared" ref="BH4:BH11" si="29">BH3  -CF4</f>
        <v>0</v>
      </c>
      <c r="BI4" s="208">
        <f t="shared" ref="BI4:BI11" si="30">BI3  -CG4</f>
        <v>0</v>
      </c>
      <c r="BJ4" s="208">
        <f t="shared" ref="BJ4:BJ11" si="31">BJ3  -CH4</f>
        <v>0</v>
      </c>
      <c r="BK4" s="209">
        <f t="shared" ref="BK4:BK11" si="32">BK3  -CI4</f>
        <v>50</v>
      </c>
      <c r="BL4" s="209">
        <f t="shared" ref="BL4:BL11" si="33">BL3  -CJ4</f>
        <v>0</v>
      </c>
      <c r="BM4" s="209">
        <f t="shared" ref="BM4:BM11" si="34">BM3  -CK4</f>
        <v>0</v>
      </c>
      <c r="BN4" s="210">
        <f t="shared" ref="BN4:BO11" si="35">BN3  -CL4</f>
        <v>0</v>
      </c>
      <c r="BO4" s="210">
        <f t="shared" si="35"/>
        <v>0</v>
      </c>
      <c r="BP4" s="211">
        <f t="shared" ref="BP4:BP11" si="36">BP3  -CN4</f>
        <v>0</v>
      </c>
      <c r="BR4" s="440"/>
      <c r="BS4" s="156">
        <f t="shared" si="4"/>
        <v>1000</v>
      </c>
      <c r="BT4" s="532">
        <f t="shared" ref="BT4:BT14" si="37">BT3+1/24</f>
        <v>43692.041666666664</v>
      </c>
      <c r="BV4" s="352"/>
      <c r="BW4" s="345"/>
      <c r="BX4" s="345"/>
      <c r="BY4" s="345"/>
      <c r="BZ4" s="345"/>
      <c r="CA4" s="345"/>
      <c r="CB4" s="345"/>
      <c r="CC4" s="345"/>
      <c r="CD4" s="345"/>
      <c r="CE4" s="345"/>
      <c r="CF4" s="345"/>
      <c r="CG4" s="345"/>
      <c r="CH4" s="345"/>
      <c r="CI4" s="345"/>
      <c r="CJ4" s="345"/>
      <c r="CK4" s="345"/>
      <c r="CL4" s="345"/>
      <c r="CM4" s="763"/>
      <c r="CN4" s="353"/>
      <c r="CP4" s="245">
        <f>-SUM($O4:$R4)+SUM($BW4:BZ4)+Rezone!L4+IF(home_land=CP$2,CW4)</f>
        <v>0</v>
      </c>
      <c r="CQ4" s="246">
        <f>-SUM($S4:$T4)+SUM($CA4:$CB4) +Rezone!M4 + IF(home_land=CQ$2,CW4)</f>
        <v>0</v>
      </c>
      <c r="CR4" s="247">
        <f>-SUM($U4:$V4)+SUM($CC4:$CD4) +Rezone!N4 + IF(home_land=CR$2,CW4)</f>
        <v>0</v>
      </c>
      <c r="CS4" s="248">
        <f>-SUM($W4:$Z4)+SUM($CE4:$CH4) +Rezone!O4 + IF(home_land=CS$2,CW4)</f>
        <v>0</v>
      </c>
      <c r="CT4" s="249">
        <f>-SUM($AA4:$AC4)+SUM($CI4:$CK4) +Rezone!P4 + IF(home_land=CT$2,CW4)</f>
        <v>0</v>
      </c>
      <c r="CU4" s="250">
        <f xml:space="preserve"> - SUM($AD4,$AE4)+SUM($CL4,$CM4) +Rezone!Q4 + IF(home_land=CU$2,CW4)</f>
        <v>0</v>
      </c>
      <c r="CV4" s="729">
        <f>-$AF4+$CN4 +Rezone!R4 + IF(home_land=CV$2,CW4)</f>
        <v>0</v>
      </c>
      <c r="CW4" s="159">
        <f>IF(Explore!S4=1,25) - N4 + BV4</f>
        <v>0</v>
      </c>
      <c r="CY4" s="152">
        <f>F4+SUM(O$3:R4)+SUM(AY4:BB4)</f>
        <v>280</v>
      </c>
      <c r="CZ4" s="164">
        <f>G4+SUM(S$3:T4)+SUM(BC4:BD4)</f>
        <v>150</v>
      </c>
      <c r="DA4" s="170">
        <f>H4+SUM(U$3:V4)+SUM(BE4:BF4)</f>
        <v>150</v>
      </c>
      <c r="DB4" s="164">
        <f>I4+SUM(W$3:X4)+SUM(BG4:BH4)</f>
        <v>150</v>
      </c>
      <c r="DC4" s="164">
        <f>J4+SUM(AA$3:AC4)+SUM(BK4:BM4)</f>
        <v>150</v>
      </c>
      <c r="DD4" s="170">
        <f>K4+SUM(AD$3:AD4)+BN4</f>
        <v>20</v>
      </c>
      <c r="DE4" s="166">
        <f>L4+SUM(AF$3:AF4)+BP4</f>
        <v>100</v>
      </c>
      <c r="DF4" s="164">
        <f t="shared" ref="DF4:DF15" ca="1" si="38">INDIRECT(ADDRESS(DH4,$DI$4))+DG4</f>
        <v>280</v>
      </c>
      <c r="DG4" s="170">
        <f>SUM(N$3:N4)+AX4</f>
        <v>0</v>
      </c>
      <c r="DH4" s="152">
        <f>DH3+1</f>
        <v>4</v>
      </c>
      <c r="DI4" s="166">
        <f>COLUMN(CY4)+DI3-1</f>
        <v>103</v>
      </c>
      <c r="DJ4" s="164"/>
    </row>
    <row r="5" spans="1:114" s="170" customFormat="1">
      <c r="A5" s="242">
        <f t="shared" si="0"/>
        <v>620</v>
      </c>
      <c r="B5" s="242">
        <f t="shared" si="1"/>
        <v>180</v>
      </c>
      <c r="C5" s="243">
        <f>SUM(N$3:AF5)</f>
        <v>200</v>
      </c>
      <c r="D5" s="532"/>
      <c r="E5" s="170">
        <f t="shared" si="2"/>
        <v>1000</v>
      </c>
      <c r="F5" s="245">
        <f t="shared" si="5"/>
        <v>0</v>
      </c>
      <c r="G5" s="246">
        <f t="shared" si="6"/>
        <v>100</v>
      </c>
      <c r="H5" s="247">
        <f t="shared" si="7"/>
        <v>150</v>
      </c>
      <c r="I5" s="248">
        <f t="shared" si="8"/>
        <v>150</v>
      </c>
      <c r="J5" s="249">
        <f t="shared" si="9"/>
        <v>100</v>
      </c>
      <c r="K5" s="250">
        <f t="shared" si="10"/>
        <v>20</v>
      </c>
      <c r="L5" s="498">
        <f t="shared" si="11"/>
        <v>100</v>
      </c>
      <c r="M5" s="634">
        <f>Rezone!J5</f>
        <v>3</v>
      </c>
      <c r="N5" s="352"/>
      <c r="O5" s="345"/>
      <c r="P5" s="345"/>
      <c r="Q5" s="345"/>
      <c r="R5" s="345"/>
      <c r="S5" s="345"/>
      <c r="T5" s="345"/>
      <c r="U5" s="345"/>
      <c r="V5" s="345"/>
      <c r="W5" s="345"/>
      <c r="X5" s="345"/>
      <c r="Y5" s="345"/>
      <c r="Z5" s="345"/>
      <c r="AA5" s="345"/>
      <c r="AB5" s="345"/>
      <c r="AC5" s="345"/>
      <c r="AD5" s="345"/>
      <c r="AE5" s="345"/>
      <c r="AF5" s="336"/>
      <c r="AG5" s="532">
        <f t="shared" si="12"/>
        <v>43692.083333333328</v>
      </c>
      <c r="AH5" s="251">
        <f>MIN(25%,(BG5+CE5)/(E5-Explore!S5*20))</f>
        <v>0</v>
      </c>
      <c r="AI5" s="187">
        <f t="shared" si="13"/>
        <v>0</v>
      </c>
      <c r="AJ5" s="152">
        <f ca="1">Production!$H5</f>
        <v>3955440</v>
      </c>
      <c r="AK5" s="166">
        <f ca="1">Production!$J5</f>
        <v>301357</v>
      </c>
      <c r="AL5" s="152">
        <f ca="1">ROUND( (1 - MIN(facs_constr_factor*$AH5,facs_constr_max)) * (1+MIN(tech_construction*Techs!AC5,tech_conquerors_crafts*Techs!AS5)) * AU5*(1+race_construction_cost),0)</f>
        <v>1615</v>
      </c>
      <c r="AM5" s="166">
        <f t="shared" si="3"/>
        <v>263</v>
      </c>
      <c r="AN5" s="152">
        <f ca="1">ROUND( (1 - MIN(facs_constr_factor*$AI5,facs_constr_max)) * (1+MIN(tech_construction*Techs!AE5,tech_conquerors_crafts*Techs!AU5)) * AU5*(1+race_construction_cost),0)</f>
        <v>1615</v>
      </c>
      <c r="AO5" s="166">
        <f t="shared" si="14"/>
        <v>263</v>
      </c>
      <c r="AP5" s="170">
        <f t="shared" ca="1" si="15"/>
        <v>0</v>
      </c>
      <c r="AQ5" s="157">
        <f t="shared" si="16"/>
        <v>0</v>
      </c>
      <c r="AR5" s="170">
        <f t="shared" ref="AR5:AR13" si="39">MIN(SUM(F4:L4)+SUM(BV5:CN5),SUM($N5:$AF5))</f>
        <v>0</v>
      </c>
      <c r="AS5" s="170">
        <f>IF(Explore!S5&lt;&gt;0,MAX(0, MIN(20, 20 + SUM(N5:AF5) - SUM(BV5:CN5) - SUM(F4:L4)-20*Explore!S5)),0)</f>
        <v>0</v>
      </c>
      <c r="AU5" s="152">
        <f t="shared" si="17"/>
        <v>1615</v>
      </c>
      <c r="AV5" s="166">
        <f t="shared" si="18"/>
        <v>262.5</v>
      </c>
      <c r="AW5" s="164"/>
      <c r="AX5" s="293">
        <f>AX4 -BV5</f>
        <v>0</v>
      </c>
      <c r="AY5" s="244">
        <f t="shared" si="20"/>
        <v>0</v>
      </c>
      <c r="AZ5" s="244">
        <f t="shared" si="21"/>
        <v>80</v>
      </c>
      <c r="BA5" s="244">
        <f t="shared" si="22"/>
        <v>0</v>
      </c>
      <c r="BB5" s="244">
        <f t="shared" si="23"/>
        <v>0</v>
      </c>
      <c r="BC5" s="206">
        <f t="shared" si="24"/>
        <v>50</v>
      </c>
      <c r="BD5" s="206">
        <f t="shared" si="25"/>
        <v>0</v>
      </c>
      <c r="BE5" s="207">
        <f t="shared" si="26"/>
        <v>0</v>
      </c>
      <c r="BF5" s="207">
        <f t="shared" si="27"/>
        <v>0</v>
      </c>
      <c r="BG5" s="208">
        <f t="shared" si="28"/>
        <v>0</v>
      </c>
      <c r="BH5" s="208">
        <f t="shared" si="29"/>
        <v>0</v>
      </c>
      <c r="BI5" s="208">
        <f t="shared" si="30"/>
        <v>0</v>
      </c>
      <c r="BJ5" s="208">
        <f t="shared" si="31"/>
        <v>0</v>
      </c>
      <c r="BK5" s="209">
        <f t="shared" si="32"/>
        <v>50</v>
      </c>
      <c r="BL5" s="209">
        <f t="shared" si="33"/>
        <v>0</v>
      </c>
      <c r="BM5" s="209">
        <f t="shared" si="34"/>
        <v>0</v>
      </c>
      <c r="BN5" s="210">
        <f t="shared" si="35"/>
        <v>0</v>
      </c>
      <c r="BO5" s="210">
        <f t="shared" si="35"/>
        <v>0</v>
      </c>
      <c r="BP5" s="211">
        <f t="shared" si="36"/>
        <v>0</v>
      </c>
      <c r="BR5" s="440"/>
      <c r="BS5" s="156">
        <f t="shared" si="4"/>
        <v>1000</v>
      </c>
      <c r="BT5" s="532">
        <f t="shared" si="37"/>
        <v>43692.083333333328</v>
      </c>
      <c r="BV5" s="352"/>
      <c r="BW5" s="345"/>
      <c r="BX5" s="345"/>
      <c r="BY5" s="345"/>
      <c r="BZ5" s="345"/>
      <c r="CA5" s="345"/>
      <c r="CB5" s="345"/>
      <c r="CC5" s="345"/>
      <c r="CD5" s="345"/>
      <c r="CE5" s="345"/>
      <c r="CF5" s="345"/>
      <c r="CG5" s="345"/>
      <c r="CH5" s="345"/>
      <c r="CI5" s="345"/>
      <c r="CJ5" s="345"/>
      <c r="CK5" s="345"/>
      <c r="CL5" s="345"/>
      <c r="CM5" s="763"/>
      <c r="CN5" s="353"/>
      <c r="CP5" s="245">
        <f>-SUM($O5:$R5)+SUM($BW5:BZ5)+Rezone!L5+IF(home_land=CP$2,CW5)</f>
        <v>0</v>
      </c>
      <c r="CQ5" s="246">
        <f>-SUM($S5:$T5)+SUM($CA5:$CB5) +Rezone!M5 + IF(home_land=CQ$2,CW5)</f>
        <v>0</v>
      </c>
      <c r="CR5" s="247">
        <f>-SUM($U5:$V5)+SUM($CC5:$CD5) +Rezone!N5 + IF(home_land=CR$2,CW5)</f>
        <v>0</v>
      </c>
      <c r="CS5" s="248">
        <f>-SUM($W5:$Z5)+SUM($CE5:$CH5) +Rezone!O5 + IF(home_land=CS$2,CW5)</f>
        <v>0</v>
      </c>
      <c r="CT5" s="249">
        <f>-SUM($AA5:$AC5)+SUM($CI5:$CK5) +Rezone!P5 + IF(home_land=CT$2,CW5)</f>
        <v>0</v>
      </c>
      <c r="CU5" s="250">
        <f xml:space="preserve"> - SUM($AD5,$AE5)+SUM($CL5,$CM5) +Rezone!Q5 + IF(home_land=CU$2,CW5)</f>
        <v>0</v>
      </c>
      <c r="CV5" s="729">
        <f>-$AF5+$CN5 +Rezone!R5 + IF(home_land=CV$2,CW5)</f>
        <v>0</v>
      </c>
      <c r="CW5" s="159">
        <f>IF(Explore!S5=1,25) - N5 + BV5</f>
        <v>0</v>
      </c>
      <c r="CY5" s="152">
        <f>F5+SUM(O$3:R5)+SUM(AY5:BB5)</f>
        <v>280</v>
      </c>
      <c r="CZ5" s="164">
        <f>G5+SUM(S$3:T5)+SUM(BC5:BD5)</f>
        <v>150</v>
      </c>
      <c r="DA5" s="170">
        <f>H5+SUM(U$3:V5)+SUM(BE5:BF5)</f>
        <v>150</v>
      </c>
      <c r="DB5" s="164">
        <f>I5+SUM(W$3:X5)+SUM(BG5:BH5)</f>
        <v>150</v>
      </c>
      <c r="DC5" s="164">
        <f>J5+SUM(AA$3:AC5)+SUM(BK5:BM5)</f>
        <v>150</v>
      </c>
      <c r="DD5" s="170">
        <f>K5+SUM(AD$3:AD5)+BN5</f>
        <v>20</v>
      </c>
      <c r="DE5" s="166">
        <f>L5+SUM(AF$3:AF5)+BP5</f>
        <v>100</v>
      </c>
      <c r="DF5" s="164">
        <f t="shared" ca="1" si="38"/>
        <v>280</v>
      </c>
      <c r="DG5" s="170">
        <f>SUM(N$3:N5)+AX5</f>
        <v>0</v>
      </c>
      <c r="DH5" s="152">
        <f t="shared" ref="DH5:DH14" si="40">DH4+1</f>
        <v>5</v>
      </c>
      <c r="DI5" s="166"/>
    </row>
    <row r="6" spans="1:114" s="16" customFormat="1">
      <c r="A6" s="36">
        <f t="shared" si="0"/>
        <v>620</v>
      </c>
      <c r="B6" s="36">
        <f t="shared" si="1"/>
        <v>180</v>
      </c>
      <c r="C6" s="83">
        <f>SUM(N$3:AF6)</f>
        <v>200</v>
      </c>
      <c r="D6" s="574"/>
      <c r="E6" s="16">
        <f t="shared" si="2"/>
        <v>1000</v>
      </c>
      <c r="F6" s="86">
        <f t="shared" si="5"/>
        <v>0</v>
      </c>
      <c r="G6" s="37">
        <f t="shared" si="6"/>
        <v>100</v>
      </c>
      <c r="H6" s="247">
        <f t="shared" si="7"/>
        <v>150</v>
      </c>
      <c r="I6" s="38">
        <f t="shared" si="8"/>
        <v>150</v>
      </c>
      <c r="J6" s="39">
        <f t="shared" si="9"/>
        <v>100</v>
      </c>
      <c r="K6" s="40">
        <f t="shared" si="10"/>
        <v>20</v>
      </c>
      <c r="L6" s="500">
        <f t="shared" si="11"/>
        <v>100</v>
      </c>
      <c r="M6" s="635">
        <f>Rezone!J6</f>
        <v>4</v>
      </c>
      <c r="N6" s="356"/>
      <c r="O6" s="345"/>
      <c r="P6" s="348"/>
      <c r="Q6" s="348"/>
      <c r="R6" s="345"/>
      <c r="S6" s="348"/>
      <c r="T6" s="348"/>
      <c r="U6" s="348"/>
      <c r="V6" s="348"/>
      <c r="W6" s="345"/>
      <c r="X6" s="345"/>
      <c r="Y6" s="348"/>
      <c r="Z6" s="345"/>
      <c r="AA6" s="348"/>
      <c r="AB6" s="348"/>
      <c r="AC6" s="345"/>
      <c r="AD6" s="348"/>
      <c r="AE6" s="348"/>
      <c r="AF6" s="336"/>
      <c r="AG6" s="532">
        <f t="shared" si="12"/>
        <v>43692.124999999993</v>
      </c>
      <c r="AH6" s="91">
        <f>MIN(25%,(BG6+CE6)/(E6-Explore!S6*20))</f>
        <v>0</v>
      </c>
      <c r="AI6" s="59">
        <f t="shared" si="13"/>
        <v>0</v>
      </c>
      <c r="AJ6" s="56">
        <f ca="1">Production!$H6</f>
        <v>3965160</v>
      </c>
      <c r="AK6" s="57">
        <f ca="1">Production!$J6</f>
        <v>300843</v>
      </c>
      <c r="AL6" s="152">
        <f ca="1">ROUND( (1 - MIN(facs_constr_factor*$AH6,facs_constr_max)) * (1+MIN(tech_construction*Techs!AC6,tech_conquerors_crafts*Techs!AS6)) * AU6*(1+race_construction_cost),0)</f>
        <v>1615</v>
      </c>
      <c r="AM6" s="166">
        <f t="shared" si="3"/>
        <v>263</v>
      </c>
      <c r="AN6" s="152">
        <f ca="1">ROUND( (1 - MIN(facs_constr_factor*$AI6,facs_constr_max)) * (1+MIN(tech_construction*Techs!AE6,tech_conquerors_crafts*Techs!AU6)) * AU6*(1+race_construction_cost),0)</f>
        <v>1615</v>
      </c>
      <c r="AO6" s="166">
        <f t="shared" si="14"/>
        <v>263</v>
      </c>
      <c r="AP6" s="16">
        <f t="shared" ca="1" si="15"/>
        <v>0</v>
      </c>
      <c r="AQ6" s="53">
        <f t="shared" si="16"/>
        <v>0</v>
      </c>
      <c r="AR6" s="16">
        <f t="shared" si="39"/>
        <v>0</v>
      </c>
      <c r="AS6" s="16">
        <f>IF(Explore!S6&lt;&gt;0,MAX(0, MIN(20, 20 + SUM(N6:AF6) - SUM(BV6:CN6) - SUM(F5:L5)-20*Explore!S6)),0)</f>
        <v>0</v>
      </c>
      <c r="AU6" s="152">
        <f t="shared" si="17"/>
        <v>1615</v>
      </c>
      <c r="AV6" s="166">
        <f t="shared" si="18"/>
        <v>262.5</v>
      </c>
      <c r="AW6" s="164"/>
      <c r="AX6" s="295">
        <f t="shared" si="19"/>
        <v>0</v>
      </c>
      <c r="AY6" s="28">
        <f t="shared" si="20"/>
        <v>0</v>
      </c>
      <c r="AZ6" s="28">
        <f t="shared" si="21"/>
        <v>80</v>
      </c>
      <c r="BA6" s="28">
        <f t="shared" si="22"/>
        <v>0</v>
      </c>
      <c r="BB6" s="28">
        <f t="shared" si="23"/>
        <v>0</v>
      </c>
      <c r="BC6" s="29">
        <f t="shared" si="24"/>
        <v>50</v>
      </c>
      <c r="BD6" s="29">
        <f t="shared" si="25"/>
        <v>0</v>
      </c>
      <c r="BE6" s="30">
        <f t="shared" si="26"/>
        <v>0</v>
      </c>
      <c r="BF6" s="30">
        <f t="shared" si="27"/>
        <v>0</v>
      </c>
      <c r="BG6" s="31">
        <f t="shared" si="28"/>
        <v>0</v>
      </c>
      <c r="BH6" s="31">
        <f t="shared" si="29"/>
        <v>0</v>
      </c>
      <c r="BI6" s="31">
        <f t="shared" si="30"/>
        <v>0</v>
      </c>
      <c r="BJ6" s="31">
        <f t="shared" si="31"/>
        <v>0</v>
      </c>
      <c r="BK6" s="32">
        <f t="shared" si="32"/>
        <v>50</v>
      </c>
      <c r="BL6" s="32">
        <f t="shared" si="33"/>
        <v>0</v>
      </c>
      <c r="BM6" s="32">
        <f t="shared" si="34"/>
        <v>0</v>
      </c>
      <c r="BN6" s="33">
        <f t="shared" si="35"/>
        <v>0</v>
      </c>
      <c r="BO6" s="33">
        <f t="shared" si="35"/>
        <v>0</v>
      </c>
      <c r="BP6" s="69">
        <f t="shared" si="36"/>
        <v>0</v>
      </c>
      <c r="BR6" s="442"/>
      <c r="BS6" s="156">
        <f t="shared" si="4"/>
        <v>1000</v>
      </c>
      <c r="BT6" s="574">
        <f t="shared" si="37"/>
        <v>43692.124999999993</v>
      </c>
      <c r="BV6" s="356"/>
      <c r="BW6" s="348"/>
      <c r="BX6" s="348"/>
      <c r="BY6" s="348"/>
      <c r="BZ6" s="348"/>
      <c r="CA6" s="348"/>
      <c r="CB6" s="348"/>
      <c r="CC6" s="348"/>
      <c r="CD6" s="348"/>
      <c r="CE6" s="348"/>
      <c r="CF6" s="348"/>
      <c r="CG6" s="348"/>
      <c r="CH6" s="348"/>
      <c r="CI6" s="348"/>
      <c r="CJ6" s="348"/>
      <c r="CK6" s="348"/>
      <c r="CL6" s="348"/>
      <c r="CM6" s="360"/>
      <c r="CN6" s="357"/>
      <c r="CP6" s="245">
        <f>-SUM($O6:$R6)+SUM($BW6:BZ6)+Rezone!L6+IF(home_land=CP$2,CW6)</f>
        <v>0</v>
      </c>
      <c r="CQ6" s="246">
        <f>-SUM($S6:$T6)+SUM($CA6:$CB6) +Rezone!M6 + IF(home_land=CQ$2,CW6)</f>
        <v>0</v>
      </c>
      <c r="CR6" s="247">
        <f>-SUM($U6:$V6)+SUM($CC6:$CD6) +Rezone!N6 + IF(home_land=CR$2,CW6)</f>
        <v>0</v>
      </c>
      <c r="CS6" s="248">
        <f>-SUM($W6:$Z6)+SUM($CE6:$CH6) +Rezone!O6 + IF(home_land=CS$2,CW6)</f>
        <v>0</v>
      </c>
      <c r="CT6" s="249">
        <f>-SUM($AA6:$AC6)+SUM($CI6:$CK6) +Rezone!P6 + IF(home_land=CT$2,CW6)</f>
        <v>0</v>
      </c>
      <c r="CU6" s="250">
        <f xml:space="preserve"> - SUM($AD6,$AE6)+SUM($CL6,$CM6) +Rezone!Q6 + IF(home_land=CU$2,CW6)</f>
        <v>0</v>
      </c>
      <c r="CV6" s="729">
        <f>-$AF6+$CN6 +Rezone!R6 + IF(home_land=CV$2,CW6)</f>
        <v>0</v>
      </c>
      <c r="CW6" s="159">
        <f>IF(Explore!S6=1,25) - N6 + BV6</f>
        <v>0</v>
      </c>
      <c r="CY6" s="152">
        <f>F6+SUM(O$3:R6)+SUM(AY6:BB6)</f>
        <v>280</v>
      </c>
      <c r="CZ6" s="164">
        <f>G6+SUM(S$3:T6)+SUM(BC6:BD6)</f>
        <v>150</v>
      </c>
      <c r="DA6" s="170">
        <f>H6+SUM(U$3:V6)+SUM(BE6:BF6)</f>
        <v>150</v>
      </c>
      <c r="DB6" s="164">
        <f>I6+SUM(W$3:X6)+SUM(BG6:BH6)</f>
        <v>150</v>
      </c>
      <c r="DC6" s="164">
        <f>J6+SUM(AA$3:AC6)+SUM(BK6:BM6)</f>
        <v>150</v>
      </c>
      <c r="DD6" s="170">
        <f>K6+SUM(AD$3:AD6)+BN6</f>
        <v>20</v>
      </c>
      <c r="DE6" s="166">
        <f>L6+SUM(AF$3:AF6)+BP6</f>
        <v>100</v>
      </c>
      <c r="DF6" s="164">
        <f t="shared" ca="1" si="38"/>
        <v>280</v>
      </c>
      <c r="DG6" s="170">
        <f>SUM(N$3:N6)+AX6</f>
        <v>0</v>
      </c>
      <c r="DH6" s="152">
        <f t="shared" si="40"/>
        <v>6</v>
      </c>
      <c r="DI6" s="166"/>
    </row>
    <row r="7" spans="1:114" s="16" customFormat="1">
      <c r="A7" s="36">
        <f t="shared" si="0"/>
        <v>620</v>
      </c>
      <c r="B7" s="36">
        <f t="shared" si="1"/>
        <v>180</v>
      </c>
      <c r="C7" s="83">
        <f>SUM(N$3:AF7)</f>
        <v>200</v>
      </c>
      <c r="D7" s="574"/>
      <c r="E7" s="16">
        <f t="shared" si="2"/>
        <v>1000</v>
      </c>
      <c r="F7" s="86">
        <f t="shared" si="5"/>
        <v>0</v>
      </c>
      <c r="G7" s="37">
        <f t="shared" si="6"/>
        <v>100</v>
      </c>
      <c r="H7" s="247">
        <f t="shared" si="7"/>
        <v>150</v>
      </c>
      <c r="I7" s="38">
        <f t="shared" si="8"/>
        <v>150</v>
      </c>
      <c r="J7" s="39">
        <f t="shared" si="9"/>
        <v>100</v>
      </c>
      <c r="K7" s="40">
        <f t="shared" si="10"/>
        <v>20</v>
      </c>
      <c r="L7" s="500">
        <f t="shared" si="11"/>
        <v>100</v>
      </c>
      <c r="M7" s="635">
        <f>Rezone!J7</f>
        <v>5</v>
      </c>
      <c r="N7" s="356"/>
      <c r="O7" s="345"/>
      <c r="P7" s="348"/>
      <c r="Q7" s="348"/>
      <c r="R7" s="345"/>
      <c r="S7" s="348"/>
      <c r="T7" s="348"/>
      <c r="U7" s="348"/>
      <c r="V7" s="348"/>
      <c r="W7" s="345"/>
      <c r="X7" s="345"/>
      <c r="Y7" s="348"/>
      <c r="Z7" s="345"/>
      <c r="AA7" s="348"/>
      <c r="AB7" s="348"/>
      <c r="AC7" s="345"/>
      <c r="AD7" s="348"/>
      <c r="AE7" s="348"/>
      <c r="AF7" s="336"/>
      <c r="AG7" s="532">
        <f t="shared" si="12"/>
        <v>43692.166666666657</v>
      </c>
      <c r="AH7" s="91">
        <f>MIN(25%,(BG7+CE7)/(E7-Explore!S7*20))</f>
        <v>0</v>
      </c>
      <c r="AI7" s="59">
        <f t="shared" si="13"/>
        <v>0</v>
      </c>
      <c r="AJ7" s="56">
        <f ca="1">Production!$H7</f>
        <v>3974880</v>
      </c>
      <c r="AK7" s="57">
        <f ca="1">Production!$J7</f>
        <v>300335</v>
      </c>
      <c r="AL7" s="152">
        <f ca="1">ROUND( (1 - MIN(facs_constr_factor*$AH7,facs_constr_max)) * (1+MIN(tech_construction*Techs!AC7,tech_conquerors_crafts*Techs!AS7)) * AU7*(1+race_construction_cost),0)</f>
        <v>1615</v>
      </c>
      <c r="AM7" s="166">
        <f t="shared" si="3"/>
        <v>263</v>
      </c>
      <c r="AN7" s="152">
        <f ca="1">ROUND( (1 - MIN(facs_constr_factor*$AI7,facs_constr_max)) * (1+MIN(tech_construction*Techs!AE7,tech_conquerors_crafts*Techs!AU7)) * AU7*(1+race_construction_cost),0)</f>
        <v>1615</v>
      </c>
      <c r="AO7" s="166">
        <f t="shared" si="14"/>
        <v>263</v>
      </c>
      <c r="AP7" s="16">
        <f t="shared" ca="1" si="15"/>
        <v>0</v>
      </c>
      <c r="AQ7" s="53">
        <f t="shared" si="16"/>
        <v>0</v>
      </c>
      <c r="AR7" s="16">
        <f t="shared" si="39"/>
        <v>0</v>
      </c>
      <c r="AS7" s="16">
        <f>IF(Explore!S7&lt;&gt;0,MAX(0, MIN(20, 20 + SUM(N7:AF7) - SUM(BV7:CN7) - SUM(F6:L6)-20*Explore!S7)),0)</f>
        <v>0</v>
      </c>
      <c r="AU7" s="152">
        <f t="shared" si="17"/>
        <v>1615</v>
      </c>
      <c r="AV7" s="166">
        <f t="shared" si="18"/>
        <v>262.5</v>
      </c>
      <c r="AW7" s="164"/>
      <c r="AX7" s="295">
        <f t="shared" si="19"/>
        <v>0</v>
      </c>
      <c r="AY7" s="28">
        <f t="shared" si="20"/>
        <v>0</v>
      </c>
      <c r="AZ7" s="28">
        <f t="shared" si="21"/>
        <v>80</v>
      </c>
      <c r="BA7" s="28">
        <f t="shared" si="22"/>
        <v>0</v>
      </c>
      <c r="BB7" s="28">
        <f t="shared" si="23"/>
        <v>0</v>
      </c>
      <c r="BC7" s="29">
        <f t="shared" si="24"/>
        <v>50</v>
      </c>
      <c r="BD7" s="29">
        <f t="shared" si="25"/>
        <v>0</v>
      </c>
      <c r="BE7" s="30">
        <f t="shared" si="26"/>
        <v>0</v>
      </c>
      <c r="BF7" s="30">
        <f t="shared" si="27"/>
        <v>0</v>
      </c>
      <c r="BG7" s="31">
        <f t="shared" si="28"/>
        <v>0</v>
      </c>
      <c r="BH7" s="31">
        <f t="shared" si="29"/>
        <v>0</v>
      </c>
      <c r="BI7" s="31">
        <f t="shared" si="30"/>
        <v>0</v>
      </c>
      <c r="BJ7" s="31">
        <f t="shared" si="31"/>
        <v>0</v>
      </c>
      <c r="BK7" s="32">
        <f t="shared" si="32"/>
        <v>50</v>
      </c>
      <c r="BL7" s="32">
        <f t="shared" si="33"/>
        <v>0</v>
      </c>
      <c r="BM7" s="32">
        <f t="shared" si="34"/>
        <v>0</v>
      </c>
      <c r="BN7" s="33">
        <f t="shared" si="35"/>
        <v>0</v>
      </c>
      <c r="BO7" s="33">
        <f t="shared" si="35"/>
        <v>0</v>
      </c>
      <c r="BP7" s="69">
        <f t="shared" si="36"/>
        <v>0</v>
      </c>
      <c r="BR7" s="442"/>
      <c r="BS7" s="156">
        <f t="shared" si="4"/>
        <v>1000</v>
      </c>
      <c r="BT7" s="574">
        <f t="shared" si="37"/>
        <v>43692.166666666657</v>
      </c>
      <c r="BV7" s="356"/>
      <c r="BW7" s="348"/>
      <c r="BX7" s="348"/>
      <c r="BY7" s="348"/>
      <c r="BZ7" s="348"/>
      <c r="CA7" s="348"/>
      <c r="CB7" s="348"/>
      <c r="CC7" s="348"/>
      <c r="CD7" s="348"/>
      <c r="CE7" s="348"/>
      <c r="CF7" s="348"/>
      <c r="CG7" s="348"/>
      <c r="CH7" s="348"/>
      <c r="CI7" s="348"/>
      <c r="CJ7" s="348"/>
      <c r="CK7" s="348"/>
      <c r="CL7" s="348"/>
      <c r="CM7" s="360"/>
      <c r="CN7" s="357"/>
      <c r="CP7" s="245">
        <f>-SUM($O7:$R7)+SUM($BW7:BZ7)+Rezone!L7+IF(home_land=CP$2,CW7)</f>
        <v>0</v>
      </c>
      <c r="CQ7" s="246">
        <f>-SUM($S7:$T7)+SUM($CA7:$CB7) +Rezone!M7 + IF(home_land=CQ$2,CW7)</f>
        <v>0</v>
      </c>
      <c r="CR7" s="247">
        <f>-SUM($U7:$V7)+SUM($CC7:$CD7) +Rezone!N7 + IF(home_land=CR$2,CW7)</f>
        <v>0</v>
      </c>
      <c r="CS7" s="248">
        <f>-SUM($W7:$Z7)+SUM($CE7:$CH7) +Rezone!O7 + IF(home_land=CS$2,CW7)</f>
        <v>0</v>
      </c>
      <c r="CT7" s="249">
        <f>-SUM($AA7:$AC7)+SUM($CI7:$CK7) +Rezone!P7 + IF(home_land=CT$2,CW7)</f>
        <v>0</v>
      </c>
      <c r="CU7" s="250">
        <f xml:space="preserve"> - SUM($AD7,$AE7)+SUM($CL7,$CM7) +Rezone!Q7 + IF(home_land=CU$2,CW7)</f>
        <v>0</v>
      </c>
      <c r="CV7" s="729">
        <f>-$AF7+$CN7 +Rezone!R7 + IF(home_land=CV$2,CW7)</f>
        <v>0</v>
      </c>
      <c r="CW7" s="159">
        <f>IF(Explore!S7=1,25) - N7 + BV7</f>
        <v>0</v>
      </c>
      <c r="CY7" s="152">
        <f>F7+SUM(O$3:R7)+SUM(AY7:BB7)</f>
        <v>280</v>
      </c>
      <c r="CZ7" s="164">
        <f>G7+SUM(S$3:T7)+SUM(BC7:BD7)</f>
        <v>150</v>
      </c>
      <c r="DA7" s="170">
        <f>H7+SUM(U$3:V7)+SUM(BE7:BF7)</f>
        <v>150</v>
      </c>
      <c r="DB7" s="164">
        <f>I7+SUM(W$3:X7)+SUM(BG7:BH7)</f>
        <v>150</v>
      </c>
      <c r="DC7" s="164">
        <f>J7+SUM(AA$3:AC7)+SUM(BK7:BM7)</f>
        <v>150</v>
      </c>
      <c r="DD7" s="170">
        <f>K7+SUM(AD$3:AD7)+BN7</f>
        <v>20</v>
      </c>
      <c r="DE7" s="166">
        <f>L7+SUM(AF$3:AF7)+BP7</f>
        <v>100</v>
      </c>
      <c r="DF7" s="164">
        <f t="shared" ca="1" si="38"/>
        <v>280</v>
      </c>
      <c r="DG7" s="170">
        <f>SUM(N$3:N7)+AX7</f>
        <v>0</v>
      </c>
      <c r="DH7" s="152">
        <f t="shared" si="40"/>
        <v>7</v>
      </c>
      <c r="DI7" s="166"/>
    </row>
    <row r="8" spans="1:114" s="16" customFormat="1">
      <c r="A8" s="36">
        <f t="shared" si="0"/>
        <v>620</v>
      </c>
      <c r="B8" s="36">
        <f t="shared" si="1"/>
        <v>180</v>
      </c>
      <c r="C8" s="83">
        <f>SUM(N$3:AF8)</f>
        <v>200</v>
      </c>
      <c r="D8" s="574"/>
      <c r="E8" s="16">
        <f t="shared" si="2"/>
        <v>1000</v>
      </c>
      <c r="F8" s="86">
        <f t="shared" si="5"/>
        <v>0</v>
      </c>
      <c r="G8" s="37">
        <f t="shared" si="6"/>
        <v>100</v>
      </c>
      <c r="H8" s="247">
        <f t="shared" si="7"/>
        <v>150</v>
      </c>
      <c r="I8" s="38">
        <f t="shared" si="8"/>
        <v>150</v>
      </c>
      <c r="J8" s="39">
        <f t="shared" si="9"/>
        <v>100</v>
      </c>
      <c r="K8" s="40">
        <f t="shared" si="10"/>
        <v>20</v>
      </c>
      <c r="L8" s="500">
        <f t="shared" si="11"/>
        <v>100</v>
      </c>
      <c r="M8" s="635">
        <f>Rezone!J8</f>
        <v>6</v>
      </c>
      <c r="N8" s="356"/>
      <c r="O8" s="345"/>
      <c r="P8" s="348"/>
      <c r="Q8" s="348"/>
      <c r="R8" s="345"/>
      <c r="S8" s="348"/>
      <c r="T8" s="348"/>
      <c r="U8" s="348"/>
      <c r="V8" s="348"/>
      <c r="W8" s="345"/>
      <c r="X8" s="345"/>
      <c r="Y8" s="348"/>
      <c r="Z8" s="345"/>
      <c r="AA8" s="348"/>
      <c r="AB8" s="348"/>
      <c r="AC8" s="345"/>
      <c r="AD8" s="348"/>
      <c r="AE8" s="348"/>
      <c r="AF8" s="336"/>
      <c r="AG8" s="532">
        <f t="shared" si="12"/>
        <v>43692.208333333321</v>
      </c>
      <c r="AH8" s="91">
        <f>MIN(25%,(BG8+CE8)/(E8-Explore!S8*20))</f>
        <v>0</v>
      </c>
      <c r="AI8" s="59">
        <f t="shared" si="13"/>
        <v>0</v>
      </c>
      <c r="AJ8" s="56">
        <f ca="1">Production!$H8</f>
        <v>3984600</v>
      </c>
      <c r="AK8" s="57">
        <f ca="1">Production!$J8</f>
        <v>299832</v>
      </c>
      <c r="AL8" s="152">
        <f ca="1">ROUND( (1 - MIN(facs_constr_factor*$AH8,facs_constr_max)) * (1+MIN(tech_construction*Techs!AC8,tech_conquerors_crafts*Techs!AS8)) * AU8*(1+race_construction_cost),0)</f>
        <v>1615</v>
      </c>
      <c r="AM8" s="166">
        <f t="shared" si="3"/>
        <v>263</v>
      </c>
      <c r="AN8" s="152">
        <f ca="1">ROUND( (1 - MIN(facs_constr_factor*$AI8,facs_constr_max)) * (1+MIN(tech_construction*Techs!AE8,tech_conquerors_crafts*Techs!AU8)) * AU8*(1+race_construction_cost),0)</f>
        <v>1615</v>
      </c>
      <c r="AO8" s="166">
        <f t="shared" si="14"/>
        <v>263</v>
      </c>
      <c r="AP8" s="16">
        <f t="shared" ca="1" si="15"/>
        <v>0</v>
      </c>
      <c r="AQ8" s="53">
        <f t="shared" si="16"/>
        <v>0</v>
      </c>
      <c r="AR8" s="16">
        <f t="shared" si="39"/>
        <v>0</v>
      </c>
      <c r="AS8" s="16">
        <f>IF(Explore!S8&lt;&gt;0,MAX(0, MIN(20, 20 + SUM(N8:AF8) - SUM(BV8:CN8) - SUM(F7:L7)-20*Explore!S8)),0)</f>
        <v>0</v>
      </c>
      <c r="AU8" s="152">
        <f t="shared" si="17"/>
        <v>1615</v>
      </c>
      <c r="AV8" s="166">
        <f t="shared" si="18"/>
        <v>262.5</v>
      </c>
      <c r="AW8" s="164"/>
      <c r="AX8" s="295">
        <f t="shared" si="19"/>
        <v>0</v>
      </c>
      <c r="AY8" s="28">
        <f t="shared" si="20"/>
        <v>0</v>
      </c>
      <c r="AZ8" s="28">
        <f t="shared" si="21"/>
        <v>80</v>
      </c>
      <c r="BA8" s="28">
        <f t="shared" si="22"/>
        <v>0</v>
      </c>
      <c r="BB8" s="28">
        <f t="shared" si="23"/>
        <v>0</v>
      </c>
      <c r="BC8" s="29">
        <f t="shared" si="24"/>
        <v>50</v>
      </c>
      <c r="BD8" s="29">
        <f t="shared" si="25"/>
        <v>0</v>
      </c>
      <c r="BE8" s="30">
        <f t="shared" si="26"/>
        <v>0</v>
      </c>
      <c r="BF8" s="30">
        <f t="shared" si="27"/>
        <v>0</v>
      </c>
      <c r="BG8" s="31">
        <f t="shared" si="28"/>
        <v>0</v>
      </c>
      <c r="BH8" s="31">
        <f t="shared" si="29"/>
        <v>0</v>
      </c>
      <c r="BI8" s="31">
        <f t="shared" si="30"/>
        <v>0</v>
      </c>
      <c r="BJ8" s="31">
        <f t="shared" si="31"/>
        <v>0</v>
      </c>
      <c r="BK8" s="32">
        <f t="shared" si="32"/>
        <v>50</v>
      </c>
      <c r="BL8" s="32">
        <f t="shared" si="33"/>
        <v>0</v>
      </c>
      <c r="BM8" s="32">
        <f t="shared" si="34"/>
        <v>0</v>
      </c>
      <c r="BN8" s="33">
        <f t="shared" si="35"/>
        <v>0</v>
      </c>
      <c r="BO8" s="33">
        <f t="shared" si="35"/>
        <v>0</v>
      </c>
      <c r="BP8" s="69">
        <f t="shared" si="36"/>
        <v>0</v>
      </c>
      <c r="BR8" s="442"/>
      <c r="BS8" s="156">
        <f t="shared" si="4"/>
        <v>1000</v>
      </c>
      <c r="BT8" s="574">
        <f t="shared" si="37"/>
        <v>43692.208333333321</v>
      </c>
      <c r="BV8" s="356"/>
      <c r="BW8" s="348"/>
      <c r="BX8" s="348"/>
      <c r="BY8" s="348"/>
      <c r="BZ8" s="348"/>
      <c r="CA8" s="348"/>
      <c r="CB8" s="348"/>
      <c r="CC8" s="348"/>
      <c r="CD8" s="348"/>
      <c r="CE8" s="348"/>
      <c r="CF8" s="348"/>
      <c r="CG8" s="348"/>
      <c r="CH8" s="348"/>
      <c r="CI8" s="348"/>
      <c r="CJ8" s="348"/>
      <c r="CK8" s="348"/>
      <c r="CL8" s="348"/>
      <c r="CM8" s="360"/>
      <c r="CN8" s="357"/>
      <c r="CP8" s="245">
        <f>-SUM($O8:$R8)+SUM($BW8:BZ8)+Rezone!L8+IF(home_land=CP$2,CW8)</f>
        <v>0</v>
      </c>
      <c r="CQ8" s="246">
        <f>-SUM($S8:$T8)+SUM($CA8:$CB8) +Rezone!M8 + IF(home_land=CQ$2,CW8)</f>
        <v>0</v>
      </c>
      <c r="CR8" s="247">
        <f>-SUM($U8:$V8)+SUM($CC8:$CD8) +Rezone!N8 + IF(home_land=CR$2,CW8)</f>
        <v>0</v>
      </c>
      <c r="CS8" s="248">
        <f>-SUM($W8:$Z8)+SUM($CE8:$CH8) +Rezone!O8 + IF(home_land=CS$2,CW8)</f>
        <v>0</v>
      </c>
      <c r="CT8" s="249">
        <f>-SUM($AA8:$AC8)+SUM($CI8:$CK8) +Rezone!P8 + IF(home_land=CT$2,CW8)</f>
        <v>0</v>
      </c>
      <c r="CU8" s="250">
        <f xml:space="preserve"> - SUM($AD8,$AE8)+SUM($CL8,$CM8) +Rezone!Q8 + IF(home_land=CU$2,CW8)</f>
        <v>0</v>
      </c>
      <c r="CV8" s="729">
        <f>-$AF8+$CN8 +Rezone!R8 + IF(home_land=CV$2,CW8)</f>
        <v>0</v>
      </c>
      <c r="CW8" s="159">
        <f>IF(Explore!S8=1,25) - N8 + BV8</f>
        <v>0</v>
      </c>
      <c r="CY8" s="152">
        <f>F8+SUM(O$3:R8)+SUM(AY8:BB8)</f>
        <v>280</v>
      </c>
      <c r="CZ8" s="164">
        <f>G8+SUM(S$3:T8)+SUM(BC8:BD8)</f>
        <v>150</v>
      </c>
      <c r="DA8" s="170">
        <f>H8+SUM(U$3:V8)+SUM(BE8:BF8)</f>
        <v>150</v>
      </c>
      <c r="DB8" s="164">
        <f>I8+SUM(W$3:X8)+SUM(BG8:BH8)</f>
        <v>150</v>
      </c>
      <c r="DC8" s="164">
        <f>J8+SUM(AA$3:AC8)+SUM(BK8:BM8)</f>
        <v>150</v>
      </c>
      <c r="DD8" s="170">
        <f>K8+SUM(AD$3:AD8)+BN8</f>
        <v>20</v>
      </c>
      <c r="DE8" s="166">
        <f>L8+SUM(AF$3:AF8)+BP8</f>
        <v>100</v>
      </c>
      <c r="DF8" s="164">
        <f t="shared" ca="1" si="38"/>
        <v>280</v>
      </c>
      <c r="DG8" s="170">
        <f>SUM(N$3:N8)+AX8</f>
        <v>0</v>
      </c>
      <c r="DH8" s="152">
        <f t="shared" si="40"/>
        <v>8</v>
      </c>
      <c r="DI8" s="166"/>
    </row>
    <row r="9" spans="1:114" s="16" customFormat="1">
      <c r="A9" s="36">
        <f t="shared" si="0"/>
        <v>620</v>
      </c>
      <c r="B9" s="36">
        <f t="shared" si="1"/>
        <v>180</v>
      </c>
      <c r="C9" s="83">
        <f>SUM(N$3:AF9)</f>
        <v>200</v>
      </c>
      <c r="D9" s="574"/>
      <c r="E9" s="16">
        <f t="shared" si="2"/>
        <v>1000</v>
      </c>
      <c r="F9" s="86">
        <f t="shared" si="5"/>
        <v>0</v>
      </c>
      <c r="G9" s="37">
        <f t="shared" si="6"/>
        <v>100</v>
      </c>
      <c r="H9" s="247">
        <f t="shared" si="7"/>
        <v>150</v>
      </c>
      <c r="I9" s="38">
        <f t="shared" si="8"/>
        <v>150</v>
      </c>
      <c r="J9" s="39">
        <f t="shared" si="9"/>
        <v>100</v>
      </c>
      <c r="K9" s="40">
        <f t="shared" si="10"/>
        <v>20</v>
      </c>
      <c r="L9" s="500">
        <f t="shared" si="11"/>
        <v>100</v>
      </c>
      <c r="M9" s="635">
        <f>Rezone!J9</f>
        <v>7</v>
      </c>
      <c r="N9" s="356"/>
      <c r="O9" s="345"/>
      <c r="P9" s="348"/>
      <c r="Q9" s="348"/>
      <c r="R9" s="345"/>
      <c r="S9" s="348"/>
      <c r="T9" s="348"/>
      <c r="U9" s="348"/>
      <c r="V9" s="348"/>
      <c r="W9" s="345"/>
      <c r="X9" s="345"/>
      <c r="Y9" s="348"/>
      <c r="Z9" s="345"/>
      <c r="AA9" s="348"/>
      <c r="AB9" s="348"/>
      <c r="AC9" s="345"/>
      <c r="AD9" s="348"/>
      <c r="AE9" s="348"/>
      <c r="AF9" s="336"/>
      <c r="AG9" s="532">
        <f t="shared" si="12"/>
        <v>43692.249999999985</v>
      </c>
      <c r="AH9" s="91">
        <f>MIN(25%,(BG9+CE9)/(E9-Explore!S9*20))</f>
        <v>0</v>
      </c>
      <c r="AI9" s="59">
        <f t="shared" si="13"/>
        <v>0</v>
      </c>
      <c r="AJ9" s="56">
        <f ca="1">Production!$H9</f>
        <v>3994320</v>
      </c>
      <c r="AK9" s="57">
        <f ca="1">Production!$J9</f>
        <v>299334</v>
      </c>
      <c r="AL9" s="152">
        <f ca="1">ROUND( (1 - MIN(facs_constr_factor*$AH9,facs_constr_max)) * (1+MIN(tech_construction*Techs!AC9,tech_conquerors_crafts*Techs!AS9)) * AU9*(1+race_construction_cost),0)</f>
        <v>1615</v>
      </c>
      <c r="AM9" s="166">
        <f t="shared" si="3"/>
        <v>263</v>
      </c>
      <c r="AN9" s="152">
        <f ca="1">ROUND( (1 - MIN(facs_constr_factor*$AI9,facs_constr_max)) * (1+MIN(tech_construction*Techs!AE9,tech_conquerors_crafts*Techs!AU9)) * AU9*(1+race_construction_cost),0)</f>
        <v>1615</v>
      </c>
      <c r="AO9" s="166">
        <f t="shared" si="14"/>
        <v>263</v>
      </c>
      <c r="AP9" s="16">
        <f t="shared" ca="1" si="15"/>
        <v>0</v>
      </c>
      <c r="AQ9" s="53">
        <f t="shared" si="16"/>
        <v>0</v>
      </c>
      <c r="AR9" s="16">
        <f t="shared" si="39"/>
        <v>0</v>
      </c>
      <c r="AS9" s="16">
        <f>IF(Explore!S9&lt;&gt;0,MAX(0, MIN(20, 20 + SUM(N9:AF9) - SUM(BV9:CN9) - SUM(F8:L8)-20*Explore!S9)),0)</f>
        <v>0</v>
      </c>
      <c r="AU9" s="152">
        <f t="shared" si="17"/>
        <v>1615</v>
      </c>
      <c r="AV9" s="166">
        <f t="shared" si="18"/>
        <v>262.5</v>
      </c>
      <c r="AW9" s="164"/>
      <c r="AX9" s="295">
        <f t="shared" si="19"/>
        <v>0</v>
      </c>
      <c r="AY9" s="28">
        <f t="shared" si="20"/>
        <v>0</v>
      </c>
      <c r="AZ9" s="28">
        <f t="shared" si="21"/>
        <v>80</v>
      </c>
      <c r="BA9" s="28">
        <f t="shared" si="22"/>
        <v>0</v>
      </c>
      <c r="BB9" s="28">
        <f t="shared" si="23"/>
        <v>0</v>
      </c>
      <c r="BC9" s="29">
        <f t="shared" si="24"/>
        <v>50</v>
      </c>
      <c r="BD9" s="29">
        <f t="shared" si="25"/>
        <v>0</v>
      </c>
      <c r="BE9" s="30">
        <f t="shared" si="26"/>
        <v>0</v>
      </c>
      <c r="BF9" s="30">
        <f t="shared" si="27"/>
        <v>0</v>
      </c>
      <c r="BG9" s="31">
        <f t="shared" si="28"/>
        <v>0</v>
      </c>
      <c r="BH9" s="31">
        <f t="shared" si="29"/>
        <v>0</v>
      </c>
      <c r="BI9" s="31">
        <f t="shared" si="30"/>
        <v>0</v>
      </c>
      <c r="BJ9" s="31">
        <f t="shared" si="31"/>
        <v>0</v>
      </c>
      <c r="BK9" s="32">
        <f t="shared" si="32"/>
        <v>50</v>
      </c>
      <c r="BL9" s="32">
        <f t="shared" si="33"/>
        <v>0</v>
      </c>
      <c r="BM9" s="32">
        <f t="shared" si="34"/>
        <v>0</v>
      </c>
      <c r="BN9" s="33">
        <f t="shared" si="35"/>
        <v>0</v>
      </c>
      <c r="BO9" s="33">
        <f t="shared" si="35"/>
        <v>0</v>
      </c>
      <c r="BP9" s="69">
        <f t="shared" si="36"/>
        <v>0</v>
      </c>
      <c r="BR9" s="442"/>
      <c r="BS9" s="156">
        <f t="shared" si="4"/>
        <v>1000</v>
      </c>
      <c r="BT9" s="574">
        <f t="shared" si="37"/>
        <v>43692.249999999985</v>
      </c>
      <c r="BV9" s="356"/>
      <c r="BW9" s="348"/>
      <c r="BX9" s="348"/>
      <c r="BY9" s="348"/>
      <c r="BZ9" s="348"/>
      <c r="CA9" s="348"/>
      <c r="CB9" s="348"/>
      <c r="CC9" s="348"/>
      <c r="CD9" s="348"/>
      <c r="CE9" s="348"/>
      <c r="CF9" s="348"/>
      <c r="CG9" s="348"/>
      <c r="CH9" s="348"/>
      <c r="CI9" s="348"/>
      <c r="CJ9" s="348"/>
      <c r="CK9" s="348"/>
      <c r="CL9" s="348"/>
      <c r="CM9" s="360"/>
      <c r="CN9" s="357"/>
      <c r="CP9" s="245">
        <f>-SUM($O9:$R9)+SUM($BW9:BZ9)+Rezone!L9+IF(home_land=CP$2,CW9)</f>
        <v>0</v>
      </c>
      <c r="CQ9" s="246">
        <f>-SUM($S9:$T9)+SUM($CA9:$CB9) +Rezone!M9 + IF(home_land=CQ$2,CW9)</f>
        <v>0</v>
      </c>
      <c r="CR9" s="247">
        <f>-SUM($U9:$V9)+SUM($CC9:$CD9) +Rezone!N9 + IF(home_land=CR$2,CW9)</f>
        <v>0</v>
      </c>
      <c r="CS9" s="248">
        <f>-SUM($W9:$Z9)+SUM($CE9:$CH9) +Rezone!O9 + IF(home_land=CS$2,CW9)</f>
        <v>0</v>
      </c>
      <c r="CT9" s="249">
        <f>-SUM($AA9:$AC9)+SUM($CI9:$CK9) +Rezone!P9 + IF(home_land=CT$2,CW9)</f>
        <v>0</v>
      </c>
      <c r="CU9" s="250">
        <f xml:space="preserve"> - SUM($AD9,$AE9)+SUM($CL9,$CM9) +Rezone!Q9 + IF(home_land=CU$2,CW9)</f>
        <v>0</v>
      </c>
      <c r="CV9" s="729">
        <f>-$AF9+$CN9 +Rezone!R9 + IF(home_land=CV$2,CW9)</f>
        <v>0</v>
      </c>
      <c r="CW9" s="159">
        <f>IF(Explore!S9=1,25) - N9 + BV9</f>
        <v>0</v>
      </c>
      <c r="CY9" s="152">
        <f>F9+SUM(O$3:R9)+SUM(AY9:BB9)</f>
        <v>280</v>
      </c>
      <c r="CZ9" s="164">
        <f>G9+SUM(S$3:T9)+SUM(BC9:BD9)</f>
        <v>150</v>
      </c>
      <c r="DA9" s="170">
        <f>H9+SUM(U$3:V9)+SUM(BE9:BF9)</f>
        <v>150</v>
      </c>
      <c r="DB9" s="164">
        <f>I9+SUM(W$3:X9)+SUM(BG9:BH9)</f>
        <v>150</v>
      </c>
      <c r="DC9" s="164">
        <f>J9+SUM(AA$3:AC9)+SUM(BK9:BM9)</f>
        <v>150</v>
      </c>
      <c r="DD9" s="170">
        <f>K9+SUM(AD$3:AD9)+BN9</f>
        <v>20</v>
      </c>
      <c r="DE9" s="166">
        <f>L9+SUM(AF$3:AF9)+BP9</f>
        <v>100</v>
      </c>
      <c r="DF9" s="164">
        <f t="shared" ca="1" si="38"/>
        <v>280</v>
      </c>
      <c r="DG9" s="170">
        <f>SUM(N$3:N9)+AX9</f>
        <v>0</v>
      </c>
      <c r="DH9" s="152">
        <f t="shared" si="40"/>
        <v>9</v>
      </c>
      <c r="DI9" s="166"/>
    </row>
    <row r="10" spans="1:114" s="16" customFormat="1">
      <c r="A10" s="36">
        <f t="shared" si="0"/>
        <v>620</v>
      </c>
      <c r="B10" s="36">
        <f t="shared" si="1"/>
        <v>180</v>
      </c>
      <c r="C10" s="83">
        <f>SUM(N$3:AF10)</f>
        <v>200</v>
      </c>
      <c r="D10" s="574"/>
      <c r="E10" s="16">
        <f t="shared" si="2"/>
        <v>1000</v>
      </c>
      <c r="F10" s="86">
        <f t="shared" si="5"/>
        <v>0</v>
      </c>
      <c r="G10" s="37">
        <f t="shared" si="6"/>
        <v>100</v>
      </c>
      <c r="H10" s="247">
        <f t="shared" si="7"/>
        <v>150</v>
      </c>
      <c r="I10" s="38">
        <f t="shared" si="8"/>
        <v>150</v>
      </c>
      <c r="J10" s="39">
        <f t="shared" si="9"/>
        <v>100</v>
      </c>
      <c r="K10" s="40">
        <f t="shared" si="10"/>
        <v>20</v>
      </c>
      <c r="L10" s="500">
        <f t="shared" si="11"/>
        <v>100</v>
      </c>
      <c r="M10" s="635">
        <f>Rezone!J10</f>
        <v>8</v>
      </c>
      <c r="N10" s="356"/>
      <c r="O10" s="345"/>
      <c r="P10" s="348"/>
      <c r="Q10" s="348"/>
      <c r="R10" s="345"/>
      <c r="S10" s="348"/>
      <c r="T10" s="348"/>
      <c r="U10" s="348"/>
      <c r="V10" s="348"/>
      <c r="W10" s="345"/>
      <c r="X10" s="345"/>
      <c r="Y10" s="348"/>
      <c r="Z10" s="345"/>
      <c r="AA10" s="348"/>
      <c r="AB10" s="348"/>
      <c r="AC10" s="345"/>
      <c r="AD10" s="348"/>
      <c r="AE10" s="348"/>
      <c r="AF10" s="336"/>
      <c r="AG10" s="532">
        <f t="shared" si="12"/>
        <v>43692.29166666665</v>
      </c>
      <c r="AH10" s="91">
        <f>MIN(25%,(BG10+CE10)/(E10-Explore!S10*20))</f>
        <v>0</v>
      </c>
      <c r="AI10" s="59">
        <f t="shared" si="13"/>
        <v>0</v>
      </c>
      <c r="AJ10" s="56">
        <f ca="1">Production!$H10</f>
        <v>4004040</v>
      </c>
      <c r="AK10" s="57">
        <f ca="1">Production!$J10</f>
        <v>298841</v>
      </c>
      <c r="AL10" s="152">
        <f ca="1">ROUND( (1 - MIN(facs_constr_factor*$AH10,facs_constr_max)) * (1+MIN(tech_construction*Techs!AC10,tech_conquerors_crafts*Techs!AS10)) * AU10*(1+race_construction_cost),0)</f>
        <v>1615</v>
      </c>
      <c r="AM10" s="166">
        <f t="shared" si="3"/>
        <v>263</v>
      </c>
      <c r="AN10" s="152">
        <f ca="1">ROUND( (1 - MIN(facs_constr_factor*$AI10,facs_constr_max)) * (1+MIN(tech_construction*Techs!AE10,tech_conquerors_crafts*Techs!AU10)) * AU10*(1+race_construction_cost),0)</f>
        <v>1615</v>
      </c>
      <c r="AO10" s="166">
        <f t="shared" si="14"/>
        <v>263</v>
      </c>
      <c r="AP10" s="16">
        <f t="shared" ca="1" si="15"/>
        <v>0</v>
      </c>
      <c r="AQ10" s="53">
        <f t="shared" si="16"/>
        <v>0</v>
      </c>
      <c r="AR10" s="16">
        <f t="shared" si="39"/>
        <v>0</v>
      </c>
      <c r="AS10" s="16">
        <f>IF(Explore!S10&lt;&gt;0,MAX(0, MIN(20, 20 + SUM(N10:AF10) - SUM(BV10:CN10) - SUM(F9:L9)-20*Explore!S10)),0)</f>
        <v>0</v>
      </c>
      <c r="AU10" s="152">
        <f t="shared" si="17"/>
        <v>1615</v>
      </c>
      <c r="AV10" s="166">
        <f t="shared" si="18"/>
        <v>262.5</v>
      </c>
      <c r="AW10" s="164"/>
      <c r="AX10" s="295">
        <f t="shared" si="19"/>
        <v>0</v>
      </c>
      <c r="AY10" s="28">
        <f t="shared" si="20"/>
        <v>0</v>
      </c>
      <c r="AZ10" s="28">
        <f t="shared" si="21"/>
        <v>80</v>
      </c>
      <c r="BA10" s="28">
        <f t="shared" si="22"/>
        <v>0</v>
      </c>
      <c r="BB10" s="28">
        <f t="shared" si="23"/>
        <v>0</v>
      </c>
      <c r="BC10" s="29">
        <f t="shared" si="24"/>
        <v>50</v>
      </c>
      <c r="BD10" s="29">
        <f t="shared" si="25"/>
        <v>0</v>
      </c>
      <c r="BE10" s="30">
        <f t="shared" si="26"/>
        <v>0</v>
      </c>
      <c r="BF10" s="30">
        <f t="shared" si="27"/>
        <v>0</v>
      </c>
      <c r="BG10" s="31">
        <f t="shared" si="28"/>
        <v>0</v>
      </c>
      <c r="BH10" s="31">
        <f t="shared" si="29"/>
        <v>0</v>
      </c>
      <c r="BI10" s="31">
        <f t="shared" si="30"/>
        <v>0</v>
      </c>
      <c r="BJ10" s="31">
        <f t="shared" si="31"/>
        <v>0</v>
      </c>
      <c r="BK10" s="32">
        <f t="shared" si="32"/>
        <v>50</v>
      </c>
      <c r="BL10" s="32">
        <f t="shared" si="33"/>
        <v>0</v>
      </c>
      <c r="BM10" s="32">
        <f t="shared" si="34"/>
        <v>0</v>
      </c>
      <c r="BN10" s="33">
        <f t="shared" si="35"/>
        <v>0</v>
      </c>
      <c r="BO10" s="33">
        <f t="shared" si="35"/>
        <v>0</v>
      </c>
      <c r="BP10" s="69">
        <f t="shared" si="36"/>
        <v>0</v>
      </c>
      <c r="BR10" s="442"/>
      <c r="BS10" s="156">
        <f t="shared" si="4"/>
        <v>1000</v>
      </c>
      <c r="BT10" s="574">
        <f t="shared" si="37"/>
        <v>43692.29166666665</v>
      </c>
      <c r="BV10" s="356"/>
      <c r="BW10" s="348"/>
      <c r="BX10" s="348"/>
      <c r="BY10" s="348"/>
      <c r="BZ10" s="348"/>
      <c r="CA10" s="348"/>
      <c r="CB10" s="348"/>
      <c r="CC10" s="348"/>
      <c r="CD10" s="348"/>
      <c r="CE10" s="348"/>
      <c r="CF10" s="348"/>
      <c r="CG10" s="348"/>
      <c r="CH10" s="348"/>
      <c r="CI10" s="348"/>
      <c r="CJ10" s="348"/>
      <c r="CK10" s="348"/>
      <c r="CL10" s="348"/>
      <c r="CM10" s="360"/>
      <c r="CN10" s="357"/>
      <c r="CP10" s="245">
        <f>-SUM($O10:$R10)+SUM($BW10:BZ10)+Rezone!L10+IF(home_land=CP$2,CW10)</f>
        <v>0</v>
      </c>
      <c r="CQ10" s="246">
        <f>-SUM($S10:$T10)+SUM($CA10:$CB10) +Rezone!M10 + IF(home_land=CQ$2,CW10)</f>
        <v>0</v>
      </c>
      <c r="CR10" s="247">
        <f>-SUM($U10:$V10)+SUM($CC10:$CD10) +Rezone!N10 + IF(home_land=CR$2,CW10)</f>
        <v>0</v>
      </c>
      <c r="CS10" s="248">
        <f>-SUM($W10:$Z10)+SUM($CE10:$CH10) +Rezone!O10 + IF(home_land=CS$2,CW10)</f>
        <v>0</v>
      </c>
      <c r="CT10" s="249">
        <f>-SUM($AA10:$AC10)+SUM($CI10:$CK10) +Rezone!P10 + IF(home_land=CT$2,CW10)</f>
        <v>0</v>
      </c>
      <c r="CU10" s="250">
        <f xml:space="preserve"> - SUM($AD10,$AE10)+SUM($CL10,$CM10) +Rezone!Q10 + IF(home_land=CU$2,CW10)</f>
        <v>0</v>
      </c>
      <c r="CV10" s="729">
        <f>-$AF10+$CN10 +Rezone!R10 + IF(home_land=CV$2,CW10)</f>
        <v>0</v>
      </c>
      <c r="CW10" s="159">
        <f>IF(Explore!S10=1,25) - N10 + BV10</f>
        <v>0</v>
      </c>
      <c r="CY10" s="152">
        <f>F10+SUM(O$3:R10)+SUM(AY10:BB10)</f>
        <v>280</v>
      </c>
      <c r="CZ10" s="164">
        <f>G10+SUM(S$3:T10)+SUM(BC10:BD10)</f>
        <v>150</v>
      </c>
      <c r="DA10" s="170">
        <f>H10+SUM(U$3:V10)+SUM(BE10:BF10)</f>
        <v>150</v>
      </c>
      <c r="DB10" s="164">
        <f>I10+SUM(W$3:X10)+SUM(BG10:BH10)</f>
        <v>150</v>
      </c>
      <c r="DC10" s="164">
        <f>J10+SUM(AA$3:AC10)+SUM(BK10:BM10)</f>
        <v>150</v>
      </c>
      <c r="DD10" s="170">
        <f>K10+SUM(AD$3:AD10)+BN10</f>
        <v>20</v>
      </c>
      <c r="DE10" s="166">
        <f>L10+SUM(AF$3:AF10)+BP10</f>
        <v>100</v>
      </c>
      <c r="DF10" s="164">
        <f t="shared" ca="1" si="38"/>
        <v>280</v>
      </c>
      <c r="DG10" s="170">
        <f>SUM(N$3:N10)+AX10</f>
        <v>0</v>
      </c>
      <c r="DH10" s="152">
        <f t="shared" si="40"/>
        <v>10</v>
      </c>
      <c r="DI10" s="166"/>
    </row>
    <row r="11" spans="1:114" s="16" customFormat="1">
      <c r="A11" s="36">
        <f t="shared" si="0"/>
        <v>620</v>
      </c>
      <c r="B11" s="36">
        <f t="shared" si="1"/>
        <v>180</v>
      </c>
      <c r="C11" s="83">
        <f>SUM(N$3:AF11)</f>
        <v>200</v>
      </c>
      <c r="D11" s="574"/>
      <c r="E11" s="16">
        <f t="shared" si="2"/>
        <v>1000</v>
      </c>
      <c r="F11" s="86">
        <f t="shared" si="5"/>
        <v>0</v>
      </c>
      <c r="G11" s="37">
        <f t="shared" si="6"/>
        <v>100</v>
      </c>
      <c r="H11" s="247">
        <f t="shared" si="7"/>
        <v>150</v>
      </c>
      <c r="I11" s="38">
        <f t="shared" si="8"/>
        <v>150</v>
      </c>
      <c r="J11" s="39">
        <f t="shared" si="9"/>
        <v>100</v>
      </c>
      <c r="K11" s="40">
        <f t="shared" si="10"/>
        <v>20</v>
      </c>
      <c r="L11" s="500">
        <f t="shared" si="11"/>
        <v>100</v>
      </c>
      <c r="M11" s="635">
        <f>Rezone!J11</f>
        <v>9</v>
      </c>
      <c r="N11" s="356"/>
      <c r="O11" s="345"/>
      <c r="P11" s="348"/>
      <c r="Q11" s="376"/>
      <c r="R11" s="345"/>
      <c r="S11" s="348"/>
      <c r="T11" s="348"/>
      <c r="U11" s="348"/>
      <c r="V11" s="348"/>
      <c r="W11" s="345"/>
      <c r="X11" s="345"/>
      <c r="Y11" s="348"/>
      <c r="Z11" s="345"/>
      <c r="AA11" s="348"/>
      <c r="AB11" s="348"/>
      <c r="AC11" s="345"/>
      <c r="AD11" s="348"/>
      <c r="AE11" s="348"/>
      <c r="AF11" s="336"/>
      <c r="AG11" s="532">
        <f t="shared" si="12"/>
        <v>43692.333333333314</v>
      </c>
      <c r="AH11" s="91">
        <f>MIN(25%,(BG11+CE11)/(E11-Explore!S11*20))</f>
        <v>0</v>
      </c>
      <c r="AI11" s="59">
        <f t="shared" si="13"/>
        <v>0</v>
      </c>
      <c r="AJ11" s="56">
        <f ca="1">Production!$H11</f>
        <v>4013760</v>
      </c>
      <c r="AK11" s="57">
        <f ca="1">Production!$J11</f>
        <v>298353</v>
      </c>
      <c r="AL11" s="152">
        <f ca="1">ROUND( (1 - MIN(facs_constr_factor*$AH11,facs_constr_max)) * (1+MIN(tech_construction*Techs!AC11,tech_conquerors_crafts*Techs!AS11)) * AU11*(1+race_construction_cost),0)</f>
        <v>1615</v>
      </c>
      <c r="AM11" s="166">
        <f t="shared" si="3"/>
        <v>263</v>
      </c>
      <c r="AN11" s="152">
        <f ca="1">ROUND( (1 - MIN(facs_constr_factor*$AI11,facs_constr_max)) * (1+MIN(tech_construction*Techs!AE11,tech_conquerors_crafts*Techs!AU11)) * AU11*(1+race_construction_cost),0)</f>
        <v>1615</v>
      </c>
      <c r="AO11" s="166">
        <f t="shared" si="14"/>
        <v>263</v>
      </c>
      <c r="AP11" s="16">
        <f t="shared" ca="1" si="15"/>
        <v>0</v>
      </c>
      <c r="AQ11" s="53">
        <f t="shared" si="16"/>
        <v>0</v>
      </c>
      <c r="AR11" s="16">
        <f t="shared" si="39"/>
        <v>0</v>
      </c>
      <c r="AS11" s="16">
        <f>IF(Explore!S11&lt;&gt;0,MAX(0, MIN(20, 20 + SUM(N11:AF11) - SUM(BV11:CN11) - SUM(F10:L10)-20*Explore!S11)),0)</f>
        <v>0</v>
      </c>
      <c r="AU11" s="152">
        <f t="shared" si="17"/>
        <v>1615</v>
      </c>
      <c r="AV11" s="166">
        <f t="shared" si="18"/>
        <v>262.5</v>
      </c>
      <c r="AW11" s="164"/>
      <c r="AX11" s="295">
        <f t="shared" si="19"/>
        <v>0</v>
      </c>
      <c r="AY11" s="28">
        <f t="shared" si="20"/>
        <v>0</v>
      </c>
      <c r="AZ11" s="28">
        <f t="shared" si="21"/>
        <v>80</v>
      </c>
      <c r="BA11" s="28">
        <f t="shared" si="22"/>
        <v>0</v>
      </c>
      <c r="BB11" s="28">
        <f t="shared" si="23"/>
        <v>0</v>
      </c>
      <c r="BC11" s="29">
        <f t="shared" si="24"/>
        <v>50</v>
      </c>
      <c r="BD11" s="29">
        <f t="shared" si="25"/>
        <v>0</v>
      </c>
      <c r="BE11" s="30">
        <f t="shared" si="26"/>
        <v>0</v>
      </c>
      <c r="BF11" s="30">
        <f t="shared" si="27"/>
        <v>0</v>
      </c>
      <c r="BG11" s="31">
        <f t="shared" si="28"/>
        <v>0</v>
      </c>
      <c r="BH11" s="31">
        <f t="shared" si="29"/>
        <v>0</v>
      </c>
      <c r="BI11" s="31">
        <f t="shared" si="30"/>
        <v>0</v>
      </c>
      <c r="BJ11" s="31">
        <f t="shared" si="31"/>
        <v>0</v>
      </c>
      <c r="BK11" s="32">
        <f t="shared" si="32"/>
        <v>50</v>
      </c>
      <c r="BL11" s="32">
        <f t="shared" si="33"/>
        <v>0</v>
      </c>
      <c r="BM11" s="32">
        <f t="shared" si="34"/>
        <v>0</v>
      </c>
      <c r="BN11" s="33">
        <f t="shared" si="35"/>
        <v>0</v>
      </c>
      <c r="BO11" s="33">
        <f t="shared" si="35"/>
        <v>0</v>
      </c>
      <c r="BP11" s="69">
        <f t="shared" si="36"/>
        <v>0</v>
      </c>
      <c r="BR11" s="442"/>
      <c r="BS11" s="156">
        <f t="shared" si="4"/>
        <v>1000</v>
      </c>
      <c r="BT11" s="574">
        <f t="shared" si="37"/>
        <v>43692.333333333314</v>
      </c>
      <c r="BV11" s="356"/>
      <c r="BW11" s="348"/>
      <c r="BX11" s="348"/>
      <c r="BY11" s="348"/>
      <c r="BZ11" s="348"/>
      <c r="CA11" s="348"/>
      <c r="CB11" s="348"/>
      <c r="CC11" s="348"/>
      <c r="CD11" s="348"/>
      <c r="CE11" s="348"/>
      <c r="CF11" s="348"/>
      <c r="CG11" s="348"/>
      <c r="CH11" s="348"/>
      <c r="CI11" s="348"/>
      <c r="CJ11" s="348"/>
      <c r="CK11" s="348"/>
      <c r="CL11" s="348"/>
      <c r="CM11" s="360"/>
      <c r="CN11" s="357"/>
      <c r="CP11" s="245">
        <f>-SUM($O11:$R11)+SUM($BW11:BZ11)+Rezone!L11+IF(home_land=CP$2,CW11)</f>
        <v>0</v>
      </c>
      <c r="CQ11" s="246">
        <f>-SUM($S11:$T11)+SUM($CA11:$CB11) +Rezone!M11 + IF(home_land=CQ$2,CW11)</f>
        <v>0</v>
      </c>
      <c r="CR11" s="247">
        <f>-SUM($U11:$V11)+SUM($CC11:$CD11) +Rezone!N11 + IF(home_land=CR$2,CW11)</f>
        <v>0</v>
      </c>
      <c r="CS11" s="248">
        <f>-SUM($W11:$Z11)+SUM($CE11:$CH11) +Rezone!O11 + IF(home_land=CS$2,CW11)</f>
        <v>0</v>
      </c>
      <c r="CT11" s="249">
        <f>-SUM($AA11:$AC11)+SUM($CI11:$CK11) +Rezone!P11 + IF(home_land=CT$2,CW11)</f>
        <v>0</v>
      </c>
      <c r="CU11" s="250">
        <f xml:space="preserve"> - SUM($AD11,$AE11)+SUM($CL11,$CM11) +Rezone!Q11 + IF(home_land=CU$2,CW11)</f>
        <v>0</v>
      </c>
      <c r="CV11" s="729">
        <f>-$AF11+$CN11 +Rezone!R11 + IF(home_land=CV$2,CW11)</f>
        <v>0</v>
      </c>
      <c r="CW11" s="159">
        <f>IF(Explore!S11=1,25) - N11 + BV11</f>
        <v>0</v>
      </c>
      <c r="CY11" s="152">
        <f>F11+SUM(O$3:R11)+SUM(AY11:BB11)</f>
        <v>280</v>
      </c>
      <c r="CZ11" s="164">
        <f>G11+SUM(S$3:T11)+SUM(BC11:BD11)</f>
        <v>150</v>
      </c>
      <c r="DA11" s="170">
        <f>H11+SUM(U$3:V11)+SUM(BE11:BF11)</f>
        <v>150</v>
      </c>
      <c r="DB11" s="164">
        <f>I11+SUM(W$3:X11)+SUM(BG11:BH11)</f>
        <v>150</v>
      </c>
      <c r="DC11" s="164">
        <f>J11+SUM(AA$3:AC11)+SUM(BK11:BM11)</f>
        <v>150</v>
      </c>
      <c r="DD11" s="170">
        <f>K11+SUM(AD$3:AD11)+BN11</f>
        <v>20</v>
      </c>
      <c r="DE11" s="166">
        <f>L11+SUM(AF$3:AF11)+BP11</f>
        <v>100</v>
      </c>
      <c r="DF11" s="164">
        <f t="shared" ca="1" si="38"/>
        <v>280</v>
      </c>
      <c r="DG11" s="170">
        <f>SUM(N$3:N11)+AX11</f>
        <v>0</v>
      </c>
      <c r="DH11" s="152">
        <f t="shared" si="40"/>
        <v>11</v>
      </c>
      <c r="DI11" s="166"/>
    </row>
    <row r="12" spans="1:114" s="16" customFormat="1">
      <c r="A12" s="36">
        <f t="shared" si="0"/>
        <v>620</v>
      </c>
      <c r="B12" s="36">
        <f t="shared" si="1"/>
        <v>180</v>
      </c>
      <c r="C12" s="83">
        <f>SUM(N$3:AF12)</f>
        <v>200</v>
      </c>
      <c r="D12" s="574"/>
      <c r="E12" s="16">
        <f t="shared" si="2"/>
        <v>1000</v>
      </c>
      <c r="F12" s="86">
        <f t="shared" si="5"/>
        <v>0</v>
      </c>
      <c r="G12" s="37">
        <f t="shared" si="6"/>
        <v>100</v>
      </c>
      <c r="H12" s="247">
        <f t="shared" si="7"/>
        <v>150</v>
      </c>
      <c r="I12" s="38">
        <f t="shared" si="8"/>
        <v>150</v>
      </c>
      <c r="J12" s="39">
        <f t="shared" si="9"/>
        <v>100</v>
      </c>
      <c r="K12" s="40">
        <f t="shared" si="10"/>
        <v>20</v>
      </c>
      <c r="L12" s="500">
        <f t="shared" si="11"/>
        <v>100</v>
      </c>
      <c r="M12" s="635">
        <f>Rezone!J12</f>
        <v>10</v>
      </c>
      <c r="N12" s="356"/>
      <c r="O12" s="345"/>
      <c r="P12" s="348"/>
      <c r="Q12" s="376"/>
      <c r="R12" s="345"/>
      <c r="S12" s="348"/>
      <c r="T12" s="348"/>
      <c r="U12" s="348"/>
      <c r="V12" s="348"/>
      <c r="W12" s="345"/>
      <c r="X12" s="345"/>
      <c r="Y12" s="348"/>
      <c r="Z12" s="345"/>
      <c r="AA12" s="348"/>
      <c r="AB12" s="348"/>
      <c r="AC12" s="345"/>
      <c r="AD12" s="348"/>
      <c r="AE12" s="348"/>
      <c r="AF12" s="336"/>
      <c r="AG12" s="532">
        <f t="shared" si="12"/>
        <v>43692.374999999978</v>
      </c>
      <c r="AH12" s="91">
        <f>MIN(25%,(BG12+CE12)/(E12-Explore!S12*20))</f>
        <v>0</v>
      </c>
      <c r="AI12" s="59">
        <f t="shared" si="13"/>
        <v>0</v>
      </c>
      <c r="AJ12" s="56">
        <f ca="1">Production!$H12</f>
        <v>4023480</v>
      </c>
      <c r="AK12" s="57">
        <f ca="1">Production!$J12</f>
        <v>297869</v>
      </c>
      <c r="AL12" s="152">
        <f ca="1">ROUND( (1 - MIN(facs_constr_factor*$AH12,facs_constr_max)) * (1+MIN(tech_construction*Techs!AC12,tech_conquerors_crafts*Techs!AS12)) * AU12*(1+race_construction_cost),0)</f>
        <v>1615</v>
      </c>
      <c r="AM12" s="166">
        <f t="shared" si="3"/>
        <v>263</v>
      </c>
      <c r="AN12" s="152">
        <f ca="1">ROUND( (1 - MIN(facs_constr_factor*$AI12,facs_constr_max)) * (1+MIN(tech_construction*Techs!AE12,tech_conquerors_crafts*Techs!AU12)) * AU12*(1+race_construction_cost),0)</f>
        <v>1615</v>
      </c>
      <c r="AO12" s="166">
        <f t="shared" si="14"/>
        <v>263</v>
      </c>
      <c r="AP12" s="16">
        <f t="shared" ca="1" si="15"/>
        <v>0</v>
      </c>
      <c r="AQ12" s="53">
        <f t="shared" si="16"/>
        <v>0</v>
      </c>
      <c r="AR12" s="16">
        <f t="shared" si="39"/>
        <v>0</v>
      </c>
      <c r="AS12" s="16">
        <f>IF(Explore!S12&lt;&gt;0,MAX(0, MIN(20, 20 + SUM(N12:AF12) - SUM(BV12:CN12) - SUM(F11:L11)-20*Explore!S12)),0)</f>
        <v>0</v>
      </c>
      <c r="AU12" s="152">
        <f t="shared" si="17"/>
        <v>1615</v>
      </c>
      <c r="AV12" s="166">
        <f t="shared" si="18"/>
        <v>262.5</v>
      </c>
      <c r="AW12" s="164"/>
      <c r="AX12" s="295">
        <f>AX11 -BV12 +  IF(Overview!$B$14="Gnome",N3,0)</f>
        <v>0</v>
      </c>
      <c r="AY12" s="28">
        <f>AY11 -BW12 +  IF(Overview!$B$14="Gnome",O3,0)</f>
        <v>0</v>
      </c>
      <c r="AZ12" s="28">
        <f>AZ11 -BX12 +  IF(Overview!$B$14="Gnome",P3,0)</f>
        <v>80</v>
      </c>
      <c r="BA12" s="28">
        <f>BA11 -BY12 +  IF(Overview!$B$14="Gnome",Q3,0)</f>
        <v>0</v>
      </c>
      <c r="BB12" s="28">
        <f>BB11 -BZ12 +  IF(Overview!$B$14="Gnome",R3,0)</f>
        <v>0</v>
      </c>
      <c r="BC12" s="29">
        <f>BC11 -CA12 +  IF(Overview!$B$14="Gnome",S3,0)</f>
        <v>50</v>
      </c>
      <c r="BD12" s="29">
        <f>BD11 -CB12 +  IF(Overview!$B$14="Gnome",T3,0)</f>
        <v>0</v>
      </c>
      <c r="BE12" s="30">
        <f>BE11 -CC12 +  IF(Overview!$B$14="Gnome",U3,0)</f>
        <v>0</v>
      </c>
      <c r="BF12" s="30">
        <f>BF11 -CD12 +  IF(Overview!$B$14="Gnome",V3,0)</f>
        <v>0</v>
      </c>
      <c r="BG12" s="31">
        <f>BG11 -CE12 +  IF(Overview!$B$14="Gnome",W3,0)</f>
        <v>0</v>
      </c>
      <c r="BH12" s="31">
        <f>BH11 -CF12 +  IF(Overview!$B$14="Gnome",X3,0)</f>
        <v>0</v>
      </c>
      <c r="BI12" s="31">
        <f>BI11 -CG12 +  IF(Overview!$B$14="Gnome",Y3,0)</f>
        <v>0</v>
      </c>
      <c r="BJ12" s="31">
        <f>BJ11 -CH12 +  IF(Overview!$B$14="Gnome",Z3,0)</f>
        <v>0</v>
      </c>
      <c r="BK12" s="32">
        <f>BK11 -CI12 +  IF(Overview!$B$14="Gnome",AA3,0)</f>
        <v>50</v>
      </c>
      <c r="BL12" s="32">
        <f>BL11 -CJ12 +  IF(Overview!$B$14="Gnome",AB3,0)</f>
        <v>0</v>
      </c>
      <c r="BM12" s="32">
        <f>BM11 -CK12 +  IF(Overview!$B$14="Gnome",AC3,0)</f>
        <v>0</v>
      </c>
      <c r="BN12" s="33">
        <f>BN11 -CL12 +  IF(Overview!$B$14="Gnome",AD3,0)</f>
        <v>0</v>
      </c>
      <c r="BO12" s="33">
        <f>BO11 -CM12 +  IF(Overview!$B$14="Gnome",AE3,0)</f>
        <v>0</v>
      </c>
      <c r="BP12" s="69">
        <f>BP11 -CN12 +  IF(Overview!$B$14="Gnome",AF3,0)</f>
        <v>0</v>
      </c>
      <c r="BR12" s="442"/>
      <c r="BS12" s="156">
        <f t="shared" si="4"/>
        <v>1000</v>
      </c>
      <c r="BT12" s="574">
        <f t="shared" si="37"/>
        <v>43692.374999999978</v>
      </c>
      <c r="BV12" s="356"/>
      <c r="BW12" s="348"/>
      <c r="BX12" s="348"/>
      <c r="BY12" s="348"/>
      <c r="BZ12" s="348"/>
      <c r="CA12" s="348"/>
      <c r="CB12" s="348"/>
      <c r="CC12" s="348"/>
      <c r="CD12" s="348"/>
      <c r="CE12" s="348"/>
      <c r="CF12" s="348"/>
      <c r="CG12" s="348"/>
      <c r="CH12" s="348"/>
      <c r="CI12" s="348"/>
      <c r="CJ12" s="348"/>
      <c r="CK12" s="348"/>
      <c r="CL12" s="348"/>
      <c r="CM12" s="360"/>
      <c r="CN12" s="357"/>
      <c r="CP12" s="245">
        <f>-SUM($O12:$R12)+SUM($BW12:BZ12)+Rezone!L12+IF(home_land=CP$2,CW12)</f>
        <v>0</v>
      </c>
      <c r="CQ12" s="246">
        <f>-SUM($S12:$T12)+SUM($CA12:$CB12) +Rezone!M12 + IF(home_land=CQ$2,CW12)</f>
        <v>0</v>
      </c>
      <c r="CR12" s="247">
        <f>-SUM($U12:$V12)+SUM($CC12:$CD12) +Rezone!N12 + IF(home_land=CR$2,CW12)</f>
        <v>0</v>
      </c>
      <c r="CS12" s="248">
        <f>-SUM($W12:$Z12)+SUM($CE12:$CH12) +Rezone!O12 + IF(home_land=CS$2,CW12)</f>
        <v>0</v>
      </c>
      <c r="CT12" s="249">
        <f>-SUM($AA12:$AC12)+SUM($CI12:$CK12) +Rezone!P12 + IF(home_land=CT$2,CW12)</f>
        <v>0</v>
      </c>
      <c r="CU12" s="250">
        <f xml:space="preserve"> - SUM($AD12,$AE12)+SUM($CL12,$CM12) +Rezone!Q12 + IF(home_land=CU$2,CW12)</f>
        <v>0</v>
      </c>
      <c r="CV12" s="729">
        <f>-$AF12+$CN12 +Rezone!R12 + IF(home_land=CV$2,CW12)</f>
        <v>0</v>
      </c>
      <c r="CW12" s="159">
        <f>IF(Explore!S12=1,25) - N12 + BV12</f>
        <v>0</v>
      </c>
      <c r="CY12" s="152">
        <f>F12+SUM(O$3:R12)+SUM(AY12:BB12)</f>
        <v>280</v>
      </c>
      <c r="CZ12" s="164">
        <f>G12+SUM(S$3:T12)+SUM(BC12:BD12)</f>
        <v>150</v>
      </c>
      <c r="DA12" s="170">
        <f>H12+SUM(U$3:V12)+SUM(BE12:BF12)</f>
        <v>150</v>
      </c>
      <c r="DB12" s="164">
        <f>I12+SUM(W$3:X12)+SUM(BG12:BH12)</f>
        <v>150</v>
      </c>
      <c r="DC12" s="164">
        <f>J12+SUM(AA$3:AC12)+SUM(BK12:BM12)</f>
        <v>150</v>
      </c>
      <c r="DD12" s="170">
        <f>K12+SUM(AD$3:AD12)+BN12</f>
        <v>20</v>
      </c>
      <c r="DE12" s="166">
        <f>L12+SUM(AF$3:AF12)+BP12</f>
        <v>100</v>
      </c>
      <c r="DF12" s="164">
        <f t="shared" ca="1" si="38"/>
        <v>280</v>
      </c>
      <c r="DG12" s="170">
        <f>SUM(N$3:N12)+AX12</f>
        <v>0</v>
      </c>
      <c r="DH12" s="152">
        <f t="shared" si="40"/>
        <v>12</v>
      </c>
      <c r="DI12" s="166"/>
    </row>
    <row r="13" spans="1:114" s="16" customFormat="1">
      <c r="A13" s="36">
        <f t="shared" si="0"/>
        <v>620</v>
      </c>
      <c r="B13" s="36">
        <f t="shared" si="1"/>
        <v>180</v>
      </c>
      <c r="C13" s="83">
        <f>SUM(N$3:AF13)</f>
        <v>200</v>
      </c>
      <c r="D13" s="574"/>
      <c r="E13" s="16">
        <f t="shared" si="2"/>
        <v>1000</v>
      </c>
      <c r="F13" s="86">
        <f t="shared" si="5"/>
        <v>0</v>
      </c>
      <c r="G13" s="37">
        <f t="shared" si="6"/>
        <v>100</v>
      </c>
      <c r="H13" s="247">
        <f t="shared" si="7"/>
        <v>150</v>
      </c>
      <c r="I13" s="38">
        <f t="shared" si="8"/>
        <v>150</v>
      </c>
      <c r="J13" s="39">
        <f t="shared" si="9"/>
        <v>100</v>
      </c>
      <c r="K13" s="40">
        <f t="shared" si="10"/>
        <v>20</v>
      </c>
      <c r="L13" s="500">
        <f t="shared" si="11"/>
        <v>100</v>
      </c>
      <c r="M13" s="635">
        <f>Rezone!J13</f>
        <v>11</v>
      </c>
      <c r="N13" s="356"/>
      <c r="O13" s="345"/>
      <c r="P13" s="348"/>
      <c r="Q13" s="376"/>
      <c r="R13" s="345"/>
      <c r="S13" s="348"/>
      <c r="T13" s="348"/>
      <c r="U13" s="348"/>
      <c r="V13" s="348"/>
      <c r="W13" s="345"/>
      <c r="X13" s="345"/>
      <c r="Y13" s="348"/>
      <c r="Z13" s="345"/>
      <c r="AA13" s="348"/>
      <c r="AB13" s="348"/>
      <c r="AC13" s="345"/>
      <c r="AD13" s="348"/>
      <c r="AE13" s="348"/>
      <c r="AF13" s="336"/>
      <c r="AG13" s="532">
        <f t="shared" si="12"/>
        <v>43692.416666666642</v>
      </c>
      <c r="AH13" s="91">
        <f>MIN(25%,(BG13+CE13)/(E13-Explore!S13*20))</f>
        <v>0</v>
      </c>
      <c r="AI13" s="59">
        <f t="shared" si="13"/>
        <v>0</v>
      </c>
      <c r="AJ13" s="56">
        <f ca="1">Production!$H13</f>
        <v>4033200</v>
      </c>
      <c r="AK13" s="57">
        <f ca="1">Production!$J13</f>
        <v>297390</v>
      </c>
      <c r="AL13" s="152">
        <f ca="1">ROUND( (1 - MIN(facs_constr_factor*$AH13,facs_constr_max)) * (1+MIN(tech_construction*Techs!AC13,tech_conquerors_crafts*Techs!AS13)) * AU13*(1+race_construction_cost),0)</f>
        <v>1615</v>
      </c>
      <c r="AM13" s="166">
        <f t="shared" si="3"/>
        <v>263</v>
      </c>
      <c r="AN13" s="152">
        <f ca="1">ROUND( (1 - MIN(facs_constr_factor*$AI13,facs_constr_max)) * (1+MIN(tech_construction*Techs!AE13,tech_conquerors_crafts*Techs!AU13)) * AU13*(1+race_construction_cost),0)</f>
        <v>1615</v>
      </c>
      <c r="AO13" s="166">
        <f t="shared" si="14"/>
        <v>263</v>
      </c>
      <c r="AP13" s="16">
        <f t="shared" ca="1" si="15"/>
        <v>0</v>
      </c>
      <c r="AQ13" s="53">
        <f t="shared" si="16"/>
        <v>0</v>
      </c>
      <c r="AR13" s="16">
        <f t="shared" si="39"/>
        <v>0</v>
      </c>
      <c r="AS13" s="16">
        <f>IF(Explore!S13&lt;&gt;0,MAX(0, MIN(20, 20 + SUM(N13:AF13) - SUM(BV13:CN13) - SUM(F12:L12)-20*Explore!S13)),0)</f>
        <v>0</v>
      </c>
      <c r="AU13" s="152">
        <f t="shared" si="17"/>
        <v>1615</v>
      </c>
      <c r="AV13" s="166">
        <f t="shared" si="18"/>
        <v>262.5</v>
      </c>
      <c r="AW13" s="164"/>
      <c r="AX13" s="295">
        <f>AX12 -BV13 +  IF(Overview!$B$14="Gnome",N4,0)</f>
        <v>0</v>
      </c>
      <c r="AY13" s="28">
        <f>AY12 -BW13 +  IF(Overview!$B$14="Gnome",O4,0)</f>
        <v>0</v>
      </c>
      <c r="AZ13" s="28">
        <f>AZ12 -BX13 +  IF(Overview!$B$14="Gnome",P4,0)</f>
        <v>80</v>
      </c>
      <c r="BA13" s="28">
        <f>BA12 -BY13 +  IF(Overview!$B$14="Gnome",Q4,0)</f>
        <v>0</v>
      </c>
      <c r="BB13" s="28">
        <f>BB12 -BZ13 +  IF(Overview!$B$14="Gnome",R4,0)</f>
        <v>0</v>
      </c>
      <c r="BC13" s="29">
        <f>BC12 -CA13 +  IF(Overview!$B$14="Gnome",S4,0)</f>
        <v>50</v>
      </c>
      <c r="BD13" s="29">
        <f>BD12 -CB13 +  IF(Overview!$B$14="Gnome",T4,0)</f>
        <v>0</v>
      </c>
      <c r="BE13" s="30">
        <f>BE12 -CC13 +  IF(Overview!$B$14="Gnome",U4,0)</f>
        <v>0</v>
      </c>
      <c r="BF13" s="30">
        <f>BF12 -CD13 +  IF(Overview!$B$14="Gnome",V4,0)</f>
        <v>0</v>
      </c>
      <c r="BG13" s="31">
        <f>BG12 -CE13 +  IF(Overview!$B$14="Gnome",W4,0)</f>
        <v>0</v>
      </c>
      <c r="BH13" s="31">
        <f>BH12 -CF13 +  IF(Overview!$B$14="Gnome",X4,0)</f>
        <v>0</v>
      </c>
      <c r="BI13" s="31">
        <f>BI12 -CG13 +  IF(Overview!$B$14="Gnome",Y4,0)</f>
        <v>0</v>
      </c>
      <c r="BJ13" s="31">
        <f>BJ12 -CH13 +  IF(Overview!$B$14="Gnome",Z4,0)</f>
        <v>0</v>
      </c>
      <c r="BK13" s="32">
        <f>BK12 -CI13 +  IF(Overview!$B$14="Gnome",AA4,0)</f>
        <v>50</v>
      </c>
      <c r="BL13" s="32">
        <f>BL12 -CJ13 +  IF(Overview!$B$14="Gnome",AB4,0)</f>
        <v>0</v>
      </c>
      <c r="BM13" s="32">
        <f>BM12 -CK13 +  IF(Overview!$B$14="Gnome",AC4,0)</f>
        <v>0</v>
      </c>
      <c r="BN13" s="33">
        <f>BN12 -CL13 +  IF(Overview!$B$14="Gnome",AD4,0)</f>
        <v>0</v>
      </c>
      <c r="BO13" s="33">
        <f>BO12 -CM13 +  IF(Overview!$B$14="Gnome",AE4,0)</f>
        <v>0</v>
      </c>
      <c r="BP13" s="69">
        <f>BP12 -CN13 +  IF(Overview!$B$14="Gnome",AF4,0)</f>
        <v>0</v>
      </c>
      <c r="BR13" s="442"/>
      <c r="BS13" s="156">
        <f t="shared" si="4"/>
        <v>1000</v>
      </c>
      <c r="BT13" s="574">
        <f t="shared" si="37"/>
        <v>43692.416666666642</v>
      </c>
      <c r="BV13" s="356"/>
      <c r="BW13" s="348"/>
      <c r="BX13" s="348"/>
      <c r="BY13" s="348"/>
      <c r="BZ13" s="348"/>
      <c r="CA13" s="348"/>
      <c r="CB13" s="348"/>
      <c r="CC13" s="348"/>
      <c r="CD13" s="348"/>
      <c r="CE13" s="348"/>
      <c r="CF13" s="348"/>
      <c r="CG13" s="348"/>
      <c r="CH13" s="348"/>
      <c r="CI13" s="348"/>
      <c r="CJ13" s="348"/>
      <c r="CK13" s="348"/>
      <c r="CL13" s="348"/>
      <c r="CM13" s="360"/>
      <c r="CN13" s="357"/>
      <c r="CP13" s="245">
        <f>-SUM($O13:$R13)+SUM($BW13:BZ13)+Rezone!L13+IF(home_land=CP$2,CW13)</f>
        <v>0</v>
      </c>
      <c r="CQ13" s="246">
        <f>-SUM($S13:$T13)+SUM($CA13:$CB13) +Rezone!M13 + IF(home_land=CQ$2,CW13)</f>
        <v>0</v>
      </c>
      <c r="CR13" s="247">
        <f>-SUM($U13:$V13)+SUM($CC13:$CD13) +Rezone!N13 + IF(home_land=CR$2,CW13)</f>
        <v>0</v>
      </c>
      <c r="CS13" s="248">
        <f>-SUM($W13:$Z13)+SUM($CE13:$CH13) +Rezone!O13 + IF(home_land=CS$2,CW13)</f>
        <v>0</v>
      </c>
      <c r="CT13" s="249">
        <f>-SUM($AA13:$AC13)+SUM($CI13:$CK13) +Rezone!P13 + IF(home_land=CT$2,CW13)</f>
        <v>0</v>
      </c>
      <c r="CU13" s="250">
        <f xml:space="preserve"> - SUM($AD13,$AE13)+SUM($CL13,$CM13) +Rezone!Q13 + IF(home_land=CU$2,CW13)</f>
        <v>0</v>
      </c>
      <c r="CV13" s="729">
        <f>-$AF13+$CN13 +Rezone!R13 + IF(home_land=CV$2,CW13)</f>
        <v>0</v>
      </c>
      <c r="CW13" s="159">
        <f>IF(Explore!S13=1,25) - N13 + BV13</f>
        <v>0</v>
      </c>
      <c r="CY13" s="152">
        <f>F13+SUM(O$3:R13)+SUM(AY13:BB13)</f>
        <v>280</v>
      </c>
      <c r="CZ13" s="164">
        <f>G13+SUM(S$3:T13)+SUM(BC13:BD13)</f>
        <v>150</v>
      </c>
      <c r="DA13" s="170">
        <f>H13+SUM(U$3:V13)+SUM(BE13:BF13)</f>
        <v>150</v>
      </c>
      <c r="DB13" s="164">
        <f>I13+SUM(W$3:X13)+SUM(BG13:BH13)</f>
        <v>150</v>
      </c>
      <c r="DC13" s="164">
        <f>J13+SUM(AA$3:AC13)+SUM(BK13:BM13)</f>
        <v>150</v>
      </c>
      <c r="DD13" s="170">
        <f>K13+SUM(AD$3:AD13)+BN13</f>
        <v>20</v>
      </c>
      <c r="DE13" s="166">
        <f>L13+SUM(AF$3:AF13)+BP13</f>
        <v>100</v>
      </c>
      <c r="DF13" s="164">
        <f t="shared" ca="1" si="38"/>
        <v>280</v>
      </c>
      <c r="DG13" s="170">
        <f>SUM(N$3:N13)+AX13</f>
        <v>0</v>
      </c>
      <c r="DH13" s="152">
        <f t="shared" si="40"/>
        <v>13</v>
      </c>
      <c r="DI13" s="166"/>
    </row>
    <row r="14" spans="1:114" s="170" customFormat="1">
      <c r="A14" s="242">
        <f t="shared" si="0"/>
        <v>620</v>
      </c>
      <c r="B14" s="242">
        <f t="shared" si="1"/>
        <v>180</v>
      </c>
      <c r="C14" s="243">
        <f>SUM(N$3:AF14)</f>
        <v>200</v>
      </c>
      <c r="D14" s="532"/>
      <c r="E14" s="170">
        <f t="shared" si="2"/>
        <v>1000</v>
      </c>
      <c r="F14" s="245">
        <f t="shared" si="5"/>
        <v>0</v>
      </c>
      <c r="G14" s="246">
        <f t="shared" si="6"/>
        <v>100</v>
      </c>
      <c r="H14" s="247">
        <f t="shared" si="7"/>
        <v>150</v>
      </c>
      <c r="I14" s="248">
        <f t="shared" si="8"/>
        <v>150</v>
      </c>
      <c r="J14" s="249">
        <f t="shared" si="9"/>
        <v>100</v>
      </c>
      <c r="K14" s="250">
        <f t="shared" si="10"/>
        <v>20</v>
      </c>
      <c r="L14" s="498">
        <f t="shared" si="11"/>
        <v>100</v>
      </c>
      <c r="M14" s="634">
        <f>Rezone!J14</f>
        <v>12</v>
      </c>
      <c r="N14" s="352"/>
      <c r="O14" s="345"/>
      <c r="P14" s="345"/>
      <c r="Q14" s="345"/>
      <c r="R14" s="345"/>
      <c r="S14" s="345"/>
      <c r="T14" s="345"/>
      <c r="U14" s="345"/>
      <c r="V14" s="345"/>
      <c r="W14" s="345"/>
      <c r="X14" s="345"/>
      <c r="Y14" s="345"/>
      <c r="Z14" s="345"/>
      <c r="AA14" s="345"/>
      <c r="AB14" s="345"/>
      <c r="AC14" s="345"/>
      <c r="AD14" s="345"/>
      <c r="AE14" s="345"/>
      <c r="AF14" s="336"/>
      <c r="AG14" s="532">
        <f t="shared" si="12"/>
        <v>43692.458333333307</v>
      </c>
      <c r="AH14" s="251">
        <f>MIN(25%,(BG14+CE14)/(E14-Explore!S14*20))</f>
        <v>0</v>
      </c>
      <c r="AI14" s="187">
        <f t="shared" si="13"/>
        <v>0</v>
      </c>
      <c r="AJ14" s="152">
        <f ca="1">Production!$H14</f>
        <v>4042920</v>
      </c>
      <c r="AK14" s="166">
        <f ca="1">Production!$J14</f>
        <v>296916</v>
      </c>
      <c r="AL14" s="152">
        <f ca="1">ROUND( (1 - MIN(facs_constr_factor*$AH14,facs_constr_max)) * (1+MIN(tech_construction*Techs!AC14,tech_conquerors_crafts*Techs!AS14)) * AU14*(1+race_construction_cost),0)</f>
        <v>1615</v>
      </c>
      <c r="AM14" s="166">
        <f t="shared" si="3"/>
        <v>263</v>
      </c>
      <c r="AN14" s="152">
        <f ca="1">ROUND( (1 - MIN(facs_constr_factor*$AI14,facs_constr_max)) * (1+MIN(tech_construction*Techs!AE14,tech_conquerors_crafts*Techs!AU14)) * AU14*(1+race_construction_cost),0)</f>
        <v>1615</v>
      </c>
      <c r="AO14" s="166">
        <f t="shared" si="14"/>
        <v>263</v>
      </c>
      <c r="AP14" s="170">
        <f t="shared" ca="1" si="15"/>
        <v>0</v>
      </c>
      <c r="AQ14" s="157">
        <f t="shared" si="16"/>
        <v>0</v>
      </c>
      <c r="AR14" s="164">
        <f>MIN(SUM(F13:L13)+SUM(BV14:CN14),SUM($N14:$AF14))</f>
        <v>0</v>
      </c>
      <c r="AS14" s="170">
        <f>IF(Explore!S14&lt;&gt;0,MAX(0, MIN(20, 20 + SUM(N14:AF14) - SUM(BV14:CN14) - SUM(F13:L13)-20*Explore!S14)),0)</f>
        <v>0</v>
      </c>
      <c r="AU14" s="152">
        <f t="shared" si="17"/>
        <v>1615</v>
      </c>
      <c r="AV14" s="166">
        <f t="shared" si="18"/>
        <v>262.5</v>
      </c>
      <c r="AW14" s="164"/>
      <c r="AX14" s="293">
        <f>AX13 -BV14 +  IF(Overview!$B$14="Gnome",N5,0)</f>
        <v>0</v>
      </c>
      <c r="AY14" s="244">
        <f>AY13 -BW14 +  IF(Overview!$B$14="Gnome",O5,0)</f>
        <v>0</v>
      </c>
      <c r="AZ14" s="244">
        <f>AZ13 -BX14 +  IF(Overview!$B$14="Gnome",P5,0)</f>
        <v>80</v>
      </c>
      <c r="BA14" s="244">
        <f>BA13 -BY14 +  IF(Overview!$B$14="Gnome",Q5,0)</f>
        <v>0</v>
      </c>
      <c r="BB14" s="244">
        <f>BB13 -BZ14 +  IF(Overview!$B$14="Gnome",R5,0)</f>
        <v>0</v>
      </c>
      <c r="BC14" s="206">
        <f>BC13 -CA14 +  IF(Overview!$B$14="Gnome",S5,0)</f>
        <v>50</v>
      </c>
      <c r="BD14" s="206">
        <f>BD13 -CB14 +  IF(Overview!$B$14="Gnome",T5,0)</f>
        <v>0</v>
      </c>
      <c r="BE14" s="207">
        <f>BE13 -CC14 +  IF(Overview!$B$14="Gnome",U5,0)</f>
        <v>0</v>
      </c>
      <c r="BF14" s="207">
        <f>BF13 -CD14 +  IF(Overview!$B$14="Gnome",V5,0)</f>
        <v>0</v>
      </c>
      <c r="BG14" s="208">
        <f>BG13 -CE14 +  IF(Overview!$B$14="Gnome",W5,0)</f>
        <v>0</v>
      </c>
      <c r="BH14" s="208">
        <f>BH13 -CF14 +  IF(Overview!$B$14="Gnome",X5,0)</f>
        <v>0</v>
      </c>
      <c r="BI14" s="208">
        <f>BI13 -CG14 +  IF(Overview!$B$14="Gnome",Y5,0)</f>
        <v>0</v>
      </c>
      <c r="BJ14" s="208">
        <f>BJ13 -CH14 +  IF(Overview!$B$14="Gnome",Z5,0)</f>
        <v>0</v>
      </c>
      <c r="BK14" s="209">
        <f>BK13 -CI14 +  IF(Overview!$B$14="Gnome",AA5,0)</f>
        <v>50</v>
      </c>
      <c r="BL14" s="209">
        <f>BL13 -CJ14 +  IF(Overview!$B$14="Gnome",AB5,0)</f>
        <v>0</v>
      </c>
      <c r="BM14" s="209">
        <f>BM13 -CK14 +  IF(Overview!$B$14="Gnome",AC5,0)</f>
        <v>0</v>
      </c>
      <c r="BN14" s="210">
        <f>BN13 -CL14 +  IF(Overview!$B$14="Gnome",AD5,0)</f>
        <v>0</v>
      </c>
      <c r="BO14" s="210">
        <f>BO13 -CM14 +  IF(Overview!$B$14="Gnome",AE5,0)</f>
        <v>0</v>
      </c>
      <c r="BP14" s="211">
        <f>BP13 -CN14 +  IF(Overview!$B$14="Gnome",AF5,0)</f>
        <v>0</v>
      </c>
      <c r="BR14" s="440"/>
      <c r="BS14" s="156">
        <f t="shared" si="4"/>
        <v>1000</v>
      </c>
      <c r="BT14" s="532">
        <f t="shared" si="37"/>
        <v>43692.458333333307</v>
      </c>
      <c r="BV14" s="352"/>
      <c r="BW14" s="345"/>
      <c r="BX14" s="345"/>
      <c r="BY14" s="345"/>
      <c r="BZ14" s="345"/>
      <c r="CA14" s="345"/>
      <c r="CB14" s="345"/>
      <c r="CC14" s="345"/>
      <c r="CD14" s="345"/>
      <c r="CE14" s="345"/>
      <c r="CF14" s="345"/>
      <c r="CG14" s="345"/>
      <c r="CH14" s="345"/>
      <c r="CI14" s="345"/>
      <c r="CJ14" s="345"/>
      <c r="CK14" s="345"/>
      <c r="CL14" s="345"/>
      <c r="CM14" s="763"/>
      <c r="CN14" s="353"/>
      <c r="CP14" s="245">
        <f>-SUM($O14:$R14)+SUM($BW14:BZ14)+Rezone!L14+IF(home_land=CP$2,CW14)</f>
        <v>0</v>
      </c>
      <c r="CQ14" s="246">
        <f>-SUM($S14:$T14)+SUM($CA14:$CB14) +Rezone!M14 + IF(home_land=CQ$2,CW14)</f>
        <v>0</v>
      </c>
      <c r="CR14" s="247">
        <f>-SUM($U14:$V14)+SUM($CC14:$CD14) +Rezone!N14 + IF(home_land=CR$2,CW14)</f>
        <v>0</v>
      </c>
      <c r="CS14" s="248">
        <f>-SUM($W14:$Z14)+SUM($CE14:$CH14) +Rezone!O14 + IF(home_land=CS$2,CW14)</f>
        <v>0</v>
      </c>
      <c r="CT14" s="249">
        <f>-SUM($AA14:$AC14)+SUM($CI14:$CK14) +Rezone!P14 + IF(home_land=CT$2,CW14)</f>
        <v>0</v>
      </c>
      <c r="CU14" s="250">
        <f xml:space="preserve"> - SUM($AD14,$AE14)+SUM($CL14,$CM14) +Rezone!Q14 + IF(home_land=CU$2,CW14)</f>
        <v>0</v>
      </c>
      <c r="CV14" s="729">
        <f>-$AF14+$CN14 +Rezone!R14 + IF(home_land=CV$2,CW14)</f>
        <v>0</v>
      </c>
      <c r="CW14" s="159">
        <f>IF(Explore!S14=1,25) - N14 + BV14</f>
        <v>0</v>
      </c>
      <c r="CY14" s="152">
        <f>F14+SUM(O$3:R14)+SUM(AY14:BB14)</f>
        <v>280</v>
      </c>
      <c r="CZ14" s="164">
        <f>G14+SUM(S$3:T14)+SUM(BC14:BD14)</f>
        <v>150</v>
      </c>
      <c r="DA14" s="170">
        <f>H14+SUM(U$3:V14)+SUM(BE14:BF14)</f>
        <v>150</v>
      </c>
      <c r="DB14" s="164">
        <f>I14+SUM(W$3:X14)+SUM(BG14:BH14)</f>
        <v>150</v>
      </c>
      <c r="DC14" s="164">
        <f>J14+SUM(AA$3:AC14)+SUM(BK14:BM14)</f>
        <v>150</v>
      </c>
      <c r="DD14" s="170">
        <f>K14+SUM(AD$3:AD14)+BN14</f>
        <v>20</v>
      </c>
      <c r="DE14" s="166">
        <f>L14+SUM(AF$3:AF14)+BP14</f>
        <v>100</v>
      </c>
      <c r="DF14" s="164">
        <f t="shared" ca="1" si="38"/>
        <v>280</v>
      </c>
      <c r="DG14" s="170">
        <f>SUM(N$3:N14)+AX14</f>
        <v>0</v>
      </c>
      <c r="DH14" s="152">
        <f t="shared" si="40"/>
        <v>14</v>
      </c>
      <c r="DI14" s="166"/>
    </row>
    <row r="15" spans="1:114" s="163" customFormat="1">
      <c r="A15" s="711">
        <f t="shared" ref="A15:A34" si="41">SUM(F15:L15)</f>
        <v>620</v>
      </c>
      <c r="B15" s="711">
        <f>SUM(AX15:BP15)</f>
        <v>380</v>
      </c>
      <c r="C15" s="712">
        <f t="shared" ref="C15:C45" si="42">SUM(N4:AF15)</f>
        <v>0</v>
      </c>
      <c r="D15" s="677"/>
      <c r="E15" s="163">
        <f t="shared" si="2"/>
        <v>1000</v>
      </c>
      <c r="F15" s="713">
        <f t="shared" si="5"/>
        <v>0</v>
      </c>
      <c r="G15" s="714">
        <f t="shared" si="6"/>
        <v>100</v>
      </c>
      <c r="H15" s="272">
        <f t="shared" si="7"/>
        <v>150</v>
      </c>
      <c r="I15" s="715">
        <f t="shared" si="8"/>
        <v>150</v>
      </c>
      <c r="J15" s="716">
        <f t="shared" si="9"/>
        <v>100</v>
      </c>
      <c r="K15" s="717">
        <f t="shared" si="10"/>
        <v>20</v>
      </c>
      <c r="L15" s="718">
        <f t="shared" si="11"/>
        <v>100</v>
      </c>
      <c r="M15" s="318">
        <f>Rezone!J15</f>
        <v>13</v>
      </c>
      <c r="N15" s="371"/>
      <c r="O15" s="771"/>
      <c r="P15" s="346"/>
      <c r="Q15" s="346"/>
      <c r="R15" s="346"/>
      <c r="S15" s="346"/>
      <c r="T15" s="346"/>
      <c r="U15" s="771"/>
      <c r="V15" s="346"/>
      <c r="W15" s="771"/>
      <c r="X15" s="346"/>
      <c r="Y15" s="346"/>
      <c r="Z15" s="346"/>
      <c r="AA15" s="346"/>
      <c r="AB15" s="346"/>
      <c r="AC15" s="346"/>
      <c r="AD15" s="346"/>
      <c r="AE15" s="346"/>
      <c r="AF15" s="745"/>
      <c r="AG15" s="677">
        <f>AG14+1/24</f>
        <v>43692.499999999971</v>
      </c>
      <c r="AH15" s="305">
        <f>MIN(25%,(BG15+CE15)/(E15-Explore!S15*20))</f>
        <v>0</v>
      </c>
      <c r="AI15" s="186">
        <f t="shared" si="13"/>
        <v>0</v>
      </c>
      <c r="AJ15" s="151">
        <f ca="1">Production!$H15</f>
        <v>3058809</v>
      </c>
      <c r="AK15" s="158">
        <f ca="1">Production!$J15</f>
        <v>296447</v>
      </c>
      <c r="AL15" s="151">
        <f ca="1">ROUND( (1 - MIN(facs_constr_factor*$AH15,facs_constr_max)) * (1+MIN(tech_construction*Techs!AC15,tech_conquerors_crafts*Techs!AS15)) * AU15*(1+race_construction_cost),0)</f>
        <v>1615</v>
      </c>
      <c r="AM15" s="158">
        <f t="shared" si="3"/>
        <v>263</v>
      </c>
      <c r="AN15" s="151">
        <f ca="1">ROUND( (1 - MIN(facs_constr_factor*$AI15,facs_constr_max)) * (1+MIN(tech_construction*Techs!AE15,tech_conquerors_crafts*Techs!AU15)) * AU15*(1+race_construction_cost),0)</f>
        <v>1615</v>
      </c>
      <c r="AO15" s="158">
        <f t="shared" si="14"/>
        <v>263</v>
      </c>
      <c r="AP15" s="163">
        <f t="shared" ca="1" si="15"/>
        <v>0</v>
      </c>
      <c r="AQ15" s="185">
        <f t="shared" si="16"/>
        <v>0</v>
      </c>
      <c r="AR15" s="163">
        <f>MIN(SUM(F14:L14)+SUM(Explore!T3:Z3)+SUM(BV15:CN15),SUM($N15:$AF15))</f>
        <v>0</v>
      </c>
      <c r="AS15" s="163">
        <f>IF(Explore!S15&lt;&gt;0,MAX(0, MIN(20, 20 + SUM(N15:AF15) - SUM(BV15:CN15) - SUM(F14:L14)-SUM(Explore!T3:Z3)-20*Explore!S15)),0)</f>
        <v>0</v>
      </c>
      <c r="AU15" s="151">
        <f t="shared" si="17"/>
        <v>1615</v>
      </c>
      <c r="AV15" s="158">
        <f t="shared" si="18"/>
        <v>262.5</v>
      </c>
      <c r="AW15" s="153"/>
      <c r="AX15" s="719">
        <f>AX14 + IF(Overview!$B$14="Gnome",N6,N3) -BV15</f>
        <v>0</v>
      </c>
      <c r="AY15" s="288">
        <f>AY14 + IF(Overview!$B$14="Gnome",O6,O3) -BW15</f>
        <v>0</v>
      </c>
      <c r="AZ15" s="288">
        <f>AZ14 + IF(Overview!$B$14="Gnome",P6,P3) -BX15</f>
        <v>80</v>
      </c>
      <c r="BA15" s="288">
        <f>BA14 + IF(Overview!$B$14="Gnome",Q6,Q3) -BY15</f>
        <v>200</v>
      </c>
      <c r="BB15" s="288">
        <f>BB14 + IF(Overview!$B$14="Gnome",R6,R3) -BZ15</f>
        <v>0</v>
      </c>
      <c r="BC15" s="197">
        <f>BC14 + IF(Overview!$B$14="Gnome",S6,S3) -CA15</f>
        <v>50</v>
      </c>
      <c r="BD15" s="197">
        <f>BD14 + IF(Overview!$B$14="Gnome",T6,T3) -CB15</f>
        <v>0</v>
      </c>
      <c r="BE15" s="198">
        <f>BE14 + IF(Overview!$B$14="Gnome",U6,U3) -CC15</f>
        <v>0</v>
      </c>
      <c r="BF15" s="198">
        <f>BF14 + IF(Overview!$B$14="Gnome",V6,V3) -CD15</f>
        <v>0</v>
      </c>
      <c r="BG15" s="199">
        <f>BG14 + IF(Overview!$B$14="Gnome",W6,W3) -CE15</f>
        <v>0</v>
      </c>
      <c r="BH15" s="199">
        <f>BH14 + IF(Overview!$B$14="Gnome",X6,X3) -CF15</f>
        <v>0</v>
      </c>
      <c r="BI15" s="199">
        <f>BI14 + IF(Overview!$B$14="Gnome",Y6,Y3) -CG15</f>
        <v>0</v>
      </c>
      <c r="BJ15" s="199">
        <f>BJ14 + IF(Overview!$B$14="Gnome",Z6,Z3) -CH15</f>
        <v>0</v>
      </c>
      <c r="BK15" s="200">
        <f>BK14 + IF(Overview!$B$14="Gnome",AA6,AA3) -CI15</f>
        <v>50</v>
      </c>
      <c r="BL15" s="200">
        <f>BL14 + IF(Overview!$B$14="Gnome",AB6,AB3) -CJ15</f>
        <v>0</v>
      </c>
      <c r="BM15" s="200">
        <f>BM14 + IF(Overview!$B$14="Gnome",AC6,AC3) -CK15</f>
        <v>0</v>
      </c>
      <c r="BN15" s="201">
        <f>BN14 + IF(Overview!$B$14="Gnome",AD6,AD3) -CL15</f>
        <v>0</v>
      </c>
      <c r="BO15" s="201">
        <f>BO14 + IF(Overview!$B$14="Gnome",AE6,AE3) -CM15</f>
        <v>0</v>
      </c>
      <c r="BP15" s="202">
        <f>BP14 + IF(Overview!$B$14="Gnome",AF6,AF3) -CN15</f>
        <v>0</v>
      </c>
      <c r="BR15" s="720"/>
      <c r="BS15" s="184">
        <f t="shared" si="4"/>
        <v>1000</v>
      </c>
      <c r="BT15" s="677">
        <f t="shared" ref="BT15:BT69" si="43">BT14+1/24</f>
        <v>43692.499999999971</v>
      </c>
      <c r="BU15" s="581"/>
      <c r="BV15" s="371"/>
      <c r="BW15" s="346"/>
      <c r="BX15" s="771"/>
      <c r="BY15" s="346"/>
      <c r="BZ15" s="346"/>
      <c r="CA15" s="346"/>
      <c r="CB15" s="346"/>
      <c r="CC15" s="346"/>
      <c r="CD15" s="346"/>
      <c r="CE15" s="346"/>
      <c r="CF15" s="346"/>
      <c r="CG15" s="346"/>
      <c r="CH15" s="346"/>
      <c r="CI15" s="346"/>
      <c r="CJ15" s="346"/>
      <c r="CK15" s="346"/>
      <c r="CL15" s="346"/>
      <c r="CM15" s="764"/>
      <c r="CN15" s="372"/>
      <c r="CP15" s="713">
        <f>-SUM($O15:$R15)+SUM($BW15:BZ15)+Rezone!L15+IF(home_land=CP$2,CW15) + Explore!T3</f>
        <v>0</v>
      </c>
      <c r="CQ15" s="714">
        <f>-SUM($S15:$T15)+SUM($CA15:$CB15) +Rezone!M15 + IF(home_land=CQ$2,CW15) + Explore!U3</f>
        <v>0</v>
      </c>
      <c r="CR15" s="272">
        <f>-SUM($U15:$V15)+SUM($CC15:$CD15) +Rezone!N15 + IF(home_land=CR$2,CW15) + Explore!V3</f>
        <v>0</v>
      </c>
      <c r="CS15" s="715">
        <f>-SUM($W15:$Z15)+SUM($CE15:$CH15) +Rezone!O15 + IF(home_land=CS$2,CW15) + Explore!W3</f>
        <v>0</v>
      </c>
      <c r="CT15" s="716">
        <f>-SUM($AA15:$AC15)+SUM($CI15:$CK15) +Rezone!P15 + IF(home_land=CT$2,CW15) + Explore!X3</f>
        <v>0</v>
      </c>
      <c r="CU15" s="717">
        <f xml:space="preserve"> - SUM($AD15,$AE15)+SUM($CL15,$CM15) +Rezone!Q15 + IF(home_land=CU$2,CW15)+Explore!Y3</f>
        <v>0</v>
      </c>
      <c r="CV15" s="718">
        <f>-$AF15+$CN15 +Rezone!R15 + IF(home_land=CV$2,CW15) + Explore!Z3</f>
        <v>0</v>
      </c>
      <c r="CW15" s="287">
        <f>IF(Explore!S15=1,25) - N15 + BV15</f>
        <v>0</v>
      </c>
      <c r="CY15" s="151">
        <f t="shared" ref="CY15:CY46" si="44">F15+SUM(O4:R15)+SUM(AY15:BB15)</f>
        <v>280</v>
      </c>
      <c r="CZ15" s="153">
        <f t="shared" ref="CZ15:CZ46" si="45">G15+SUM(S4:T15)+SUM(BC15:BD15)</f>
        <v>150</v>
      </c>
      <c r="DA15" s="163">
        <f t="shared" ref="DA15:DA46" si="46">H15+SUM(U4:V15)+SUM(BE15:BF15)</f>
        <v>150</v>
      </c>
      <c r="DB15" s="153">
        <f t="shared" ref="DB15:DB46" si="47">I15+SUM(W4:X15)+SUM(BG15:BH15)</f>
        <v>150</v>
      </c>
      <c r="DC15" s="153">
        <f t="shared" ref="DC15:DC46" si="48">J15+SUM(AA4:AC15)+SUM(BK15:BM15)</f>
        <v>150</v>
      </c>
      <c r="DD15" s="163">
        <f t="shared" ref="DD15:DD46" si="49">K15+SUM(AD4:AD15)+BN15</f>
        <v>20</v>
      </c>
      <c r="DE15" s="158">
        <f t="shared" ref="DE15:DE46" si="50">L15+SUM(AF4:AF15)+BP15</f>
        <v>100</v>
      </c>
      <c r="DF15" s="153">
        <f t="shared" ca="1" si="38"/>
        <v>280</v>
      </c>
      <c r="DG15" s="163">
        <f>SUM(N4:N15)+AX15</f>
        <v>0</v>
      </c>
      <c r="DH15" s="163">
        <f>DH14+1</f>
        <v>15</v>
      </c>
      <c r="DI15" s="158"/>
    </row>
    <row r="16" spans="1:114" s="170" customFormat="1">
      <c r="A16" s="242">
        <f t="shared" si="41"/>
        <v>620</v>
      </c>
      <c r="B16" s="242">
        <f t="shared" ref="B16:B74" si="51">SUM(AX16:BP16)</f>
        <v>380</v>
      </c>
      <c r="C16" s="243">
        <f t="shared" si="42"/>
        <v>0</v>
      </c>
      <c r="D16" s="532"/>
      <c r="E16" s="170">
        <f t="shared" si="2"/>
        <v>1000</v>
      </c>
      <c r="F16" s="245">
        <f t="shared" si="5"/>
        <v>0</v>
      </c>
      <c r="G16" s="246">
        <f t="shared" si="6"/>
        <v>100</v>
      </c>
      <c r="H16" s="247">
        <f t="shared" si="7"/>
        <v>150</v>
      </c>
      <c r="I16" s="248">
        <f t="shared" si="8"/>
        <v>150</v>
      </c>
      <c r="J16" s="249">
        <f t="shared" si="9"/>
        <v>100</v>
      </c>
      <c r="K16" s="250">
        <f t="shared" si="10"/>
        <v>20</v>
      </c>
      <c r="L16" s="498">
        <f t="shared" si="11"/>
        <v>100</v>
      </c>
      <c r="M16" s="634">
        <f>Rezone!J16</f>
        <v>14</v>
      </c>
      <c r="N16" s="352"/>
      <c r="O16" s="345"/>
      <c r="P16" s="345"/>
      <c r="Q16" s="345"/>
      <c r="R16" s="345"/>
      <c r="S16" s="345"/>
      <c r="T16" s="345"/>
      <c r="U16" s="345"/>
      <c r="V16" s="345"/>
      <c r="W16" s="363"/>
      <c r="X16" s="345"/>
      <c r="Y16" s="345"/>
      <c r="Z16" s="345"/>
      <c r="AA16" s="345"/>
      <c r="AB16" s="345"/>
      <c r="AC16" s="345"/>
      <c r="AD16" s="345"/>
      <c r="AE16" s="345"/>
      <c r="AF16" s="336"/>
      <c r="AG16" s="532">
        <f t="shared" ref="AG16:AG74" si="52">AG15+1/24</f>
        <v>43692.541666666635</v>
      </c>
      <c r="AH16" s="251">
        <f>MIN(25%,(BG16+CE16)/(E16-Explore!S16*20))</f>
        <v>0</v>
      </c>
      <c r="AI16" s="187">
        <f t="shared" si="13"/>
        <v>0</v>
      </c>
      <c r="AJ16" s="152">
        <f ca="1">Production!$H16</f>
        <v>3073904</v>
      </c>
      <c r="AK16" s="166">
        <f ca="1">Production!$J16</f>
        <v>295983</v>
      </c>
      <c r="AL16" s="152">
        <f ca="1">ROUND( (1 - MIN(facs_constr_factor*$AH16,facs_constr_max)) * (1+MIN(tech_construction*Techs!AC16,tech_conquerors_crafts*Techs!AS16)) * AU16*(1+race_construction_cost),0)</f>
        <v>1615</v>
      </c>
      <c r="AM16" s="166">
        <f t="shared" si="3"/>
        <v>263</v>
      </c>
      <c r="AN16" s="152">
        <f ca="1">ROUND( (1 - MIN(facs_constr_factor*$AI16,facs_constr_max)) * (1+MIN(tech_construction*Techs!AE16,tech_conquerors_crafts*Techs!AU16)) * AU16*(1+race_construction_cost),0)</f>
        <v>1615</v>
      </c>
      <c r="AO16" s="166">
        <f t="shared" si="14"/>
        <v>263</v>
      </c>
      <c r="AP16" s="170">
        <f t="shared" ca="1" si="15"/>
        <v>0</v>
      </c>
      <c r="AQ16" s="157">
        <f t="shared" si="16"/>
        <v>0</v>
      </c>
      <c r="AR16" s="170">
        <f>MIN(SUM(F15:L15)+SUM(Explore!T4:Z4)+SUM(BV16:CN16),SUM($N16:$AF16))</f>
        <v>0</v>
      </c>
      <c r="AS16" s="170">
        <f>IF(Explore!S16&lt;&gt;0,MAX(0, MIN(20, 20 + SUM(N16:AF16) - SUM(BV16:CN16) - SUM(F15:L15)-SUM(Explore!T4:Z4)-20*Explore!S16)),0)</f>
        <v>0</v>
      </c>
      <c r="AT16" s="164"/>
      <c r="AU16" s="152">
        <f t="shared" si="17"/>
        <v>1615</v>
      </c>
      <c r="AV16" s="166">
        <f t="shared" si="18"/>
        <v>262.5</v>
      </c>
      <c r="AW16" s="164"/>
      <c r="AX16" s="293">
        <f>AX15 + IF(Overview!$B$14="Gnome",N7,N4) -BV16</f>
        <v>0</v>
      </c>
      <c r="AY16" s="244">
        <f>AY15 + IF(Overview!$B$14="Gnome",O7,O4) -BW16</f>
        <v>0</v>
      </c>
      <c r="AZ16" s="244">
        <f>AZ15 + IF(Overview!$B$14="Gnome",P7,P4) -BX16</f>
        <v>80</v>
      </c>
      <c r="BA16" s="244">
        <f>BA15 + IF(Overview!$B$14="Gnome",Q7,Q4) -BY16</f>
        <v>200</v>
      </c>
      <c r="BB16" s="244">
        <f>BB15 + IF(Overview!$B$14="Gnome",R7,R4) -BZ16</f>
        <v>0</v>
      </c>
      <c r="BC16" s="206">
        <f>BC15 + IF(Overview!$B$14="Gnome",S7,S4) -CA16</f>
        <v>50</v>
      </c>
      <c r="BD16" s="206">
        <f>BD15 + IF(Overview!$B$14="Gnome",T7,T4) -CB16</f>
        <v>0</v>
      </c>
      <c r="BE16" s="207">
        <f>BE15 + IF(Overview!$B$14="Gnome",U7,U4) -CC16</f>
        <v>0</v>
      </c>
      <c r="BF16" s="207">
        <f>BF15 + IF(Overview!$B$14="Gnome",V7,V4) -CD16</f>
        <v>0</v>
      </c>
      <c r="BG16" s="208">
        <f>BG15 + IF(Overview!$B$14="Gnome",W7,W4) -CE16</f>
        <v>0</v>
      </c>
      <c r="BH16" s="208">
        <f>BH15 + IF(Overview!$B$14="Gnome",X7,X4) -CF16</f>
        <v>0</v>
      </c>
      <c r="BI16" s="208">
        <f>BI15 + IF(Overview!$B$14="Gnome",Y7,Y4) -CG16</f>
        <v>0</v>
      </c>
      <c r="BJ16" s="208">
        <f>BJ15 + IF(Overview!$B$14="Gnome",Z7,Z4) -CH16</f>
        <v>0</v>
      </c>
      <c r="BK16" s="209">
        <f>BK15 + IF(Overview!$B$14="Gnome",AA7,AA4) -CI16</f>
        <v>50</v>
      </c>
      <c r="BL16" s="209">
        <f>BL15 + IF(Overview!$B$14="Gnome",AB7,AB4) -CJ16</f>
        <v>0</v>
      </c>
      <c r="BM16" s="209">
        <f>BM15 + IF(Overview!$B$14="Gnome",AC7,AC4) -CK16</f>
        <v>0</v>
      </c>
      <c r="BN16" s="210">
        <f>BN15 + IF(Overview!$B$14="Gnome",AD7,AD4) -CL16</f>
        <v>0</v>
      </c>
      <c r="BO16" s="210">
        <f>BO15 + IF(Overview!$B$14="Gnome",AE7,AE4) -CM16</f>
        <v>0</v>
      </c>
      <c r="BP16" s="211">
        <f>BP15 + IF(Overview!$B$14="Gnome",AF7,AF4) -CN16</f>
        <v>0</v>
      </c>
      <c r="BR16" s="440"/>
      <c r="BS16" s="156">
        <f t="shared" si="4"/>
        <v>1000</v>
      </c>
      <c r="BT16" s="532">
        <f t="shared" si="43"/>
        <v>43692.541666666635</v>
      </c>
      <c r="BV16" s="352"/>
      <c r="BW16" s="345"/>
      <c r="BX16" s="345"/>
      <c r="BY16" s="345"/>
      <c r="BZ16" s="345"/>
      <c r="CA16" s="345"/>
      <c r="CB16" s="345"/>
      <c r="CC16" s="345"/>
      <c r="CD16" s="345"/>
      <c r="CE16" s="345"/>
      <c r="CF16" s="345"/>
      <c r="CG16" s="345"/>
      <c r="CH16" s="345"/>
      <c r="CI16" s="345"/>
      <c r="CJ16" s="345"/>
      <c r="CK16" s="345"/>
      <c r="CL16" s="345"/>
      <c r="CM16" s="763"/>
      <c r="CN16" s="353"/>
      <c r="CP16" s="245">
        <f>-SUM($O16:$R16)+SUM($BW16:BZ16)+Rezone!L16+IF(home_land=CP$2,CW16) + Explore!T4</f>
        <v>0</v>
      </c>
      <c r="CQ16" s="246">
        <f>-SUM($S16:$T16)+SUM($CA16:$CB16) +Rezone!M16 + IF(home_land=CQ$2,CW16) + Explore!U4</f>
        <v>0</v>
      </c>
      <c r="CR16" s="247">
        <f>-SUM($U16:$V16)+SUM($CC16:$CD16) +Rezone!N16 + IF(home_land=CR$2,CW16) + Explore!V4</f>
        <v>0</v>
      </c>
      <c r="CS16" s="248">
        <f>-SUM($W16:$Z16)+SUM($CE16:$CH16) +Rezone!O16 + IF(home_land=CS$2,CW16) + Explore!W4</f>
        <v>0</v>
      </c>
      <c r="CT16" s="249">
        <f>-SUM($AA16:$AC16)+SUM($CI16:$CK16) +Rezone!P16 + IF(home_land=CT$2,CW16) + Explore!X4</f>
        <v>0</v>
      </c>
      <c r="CU16" s="250">
        <f xml:space="preserve"> - SUM($AD16,$AE16)+SUM($CL16,$CM16) +Rezone!Q16 + IF(home_land=CU$2,CW16)+Explore!Y4</f>
        <v>0</v>
      </c>
      <c r="CV16" s="498">
        <f>-$AF16+$CN16 +Rezone!R16 + IF(home_land=CV$2,CW16) + Explore!Z4</f>
        <v>0</v>
      </c>
      <c r="CW16" s="159">
        <f>IF(Explore!S16=1,25) - N16 + BV16</f>
        <v>0</v>
      </c>
      <c r="CY16" s="152">
        <f t="shared" si="44"/>
        <v>280</v>
      </c>
      <c r="CZ16" s="164">
        <f t="shared" si="45"/>
        <v>150</v>
      </c>
      <c r="DA16" s="170">
        <f t="shared" si="46"/>
        <v>150</v>
      </c>
      <c r="DB16" s="164">
        <f t="shared" si="47"/>
        <v>150</v>
      </c>
      <c r="DC16" s="164">
        <f t="shared" si="48"/>
        <v>150</v>
      </c>
      <c r="DD16" s="170">
        <f t="shared" si="49"/>
        <v>20</v>
      </c>
      <c r="DE16" s="166">
        <f t="shared" si="50"/>
        <v>100</v>
      </c>
      <c r="DF16" s="164">
        <f t="shared" ref="DF16:DF74" ca="1" si="53">INDIRECT(ADDRESS(DH16,$DI$4))+DG16</f>
        <v>280</v>
      </c>
      <c r="DG16" s="170">
        <f t="shared" ref="DG16:DG74" si="54">SUM(N5:N16)+AX16</f>
        <v>0</v>
      </c>
      <c r="DH16" s="170">
        <f t="shared" ref="DH16:DH74" si="55">DH15+1</f>
        <v>16</v>
      </c>
      <c r="DI16" s="166"/>
    </row>
    <row r="17" spans="1:113" s="170" customFormat="1">
      <c r="A17" s="242">
        <f t="shared" si="41"/>
        <v>620</v>
      </c>
      <c r="B17" s="242">
        <f t="shared" si="51"/>
        <v>380</v>
      </c>
      <c r="C17" s="243">
        <f t="shared" si="42"/>
        <v>0</v>
      </c>
      <c r="D17" s="532"/>
      <c r="E17" s="170">
        <f t="shared" si="2"/>
        <v>1000</v>
      </c>
      <c r="F17" s="245">
        <f t="shared" si="5"/>
        <v>0</v>
      </c>
      <c r="G17" s="246">
        <f t="shared" si="6"/>
        <v>100</v>
      </c>
      <c r="H17" s="247">
        <f t="shared" si="7"/>
        <v>150</v>
      </c>
      <c r="I17" s="248">
        <f t="shared" si="8"/>
        <v>150</v>
      </c>
      <c r="J17" s="249">
        <f t="shared" si="9"/>
        <v>100</v>
      </c>
      <c r="K17" s="250">
        <f t="shared" si="10"/>
        <v>20</v>
      </c>
      <c r="L17" s="498">
        <f t="shared" si="11"/>
        <v>100</v>
      </c>
      <c r="M17" s="634">
        <f>Rezone!J17</f>
        <v>15</v>
      </c>
      <c r="N17" s="352"/>
      <c r="O17" s="345"/>
      <c r="P17" s="345"/>
      <c r="Q17" s="345"/>
      <c r="R17" s="345"/>
      <c r="S17" s="345"/>
      <c r="T17" s="345"/>
      <c r="U17" s="345"/>
      <c r="V17" s="345"/>
      <c r="W17" s="345"/>
      <c r="X17" s="345"/>
      <c r="Y17" s="345"/>
      <c r="Z17" s="345"/>
      <c r="AA17" s="345"/>
      <c r="AB17" s="345"/>
      <c r="AC17" s="345"/>
      <c r="AD17" s="345"/>
      <c r="AE17" s="345"/>
      <c r="AF17" s="336"/>
      <c r="AG17" s="532">
        <f t="shared" si="52"/>
        <v>43692.583333333299</v>
      </c>
      <c r="AH17" s="251">
        <f>MIN(25%,(BG17+CE17)/(E17-Explore!S17*20))</f>
        <v>0</v>
      </c>
      <c r="AI17" s="187">
        <f t="shared" si="13"/>
        <v>0</v>
      </c>
      <c r="AJ17" s="152">
        <f ca="1">Production!$H17</f>
        <v>3088244</v>
      </c>
      <c r="AK17" s="166">
        <f ca="1">Production!$J17</f>
        <v>295523</v>
      </c>
      <c r="AL17" s="152">
        <f ca="1">ROUND( (1 - MIN(facs_constr_factor*$AH17,facs_constr_max)) * (1+MIN(tech_construction*Techs!AC17,tech_conquerors_crafts*Techs!AS17)) * AU17*(1+race_construction_cost),0)</f>
        <v>1615</v>
      </c>
      <c r="AM17" s="166">
        <f t="shared" si="3"/>
        <v>263</v>
      </c>
      <c r="AN17" s="152">
        <f ca="1">ROUND( (1 - MIN(facs_constr_factor*$AI17,facs_constr_max)) * (1+MIN(tech_construction*Techs!AE17,tech_conquerors_crafts*Techs!AU17)) * AU17*(1+race_construction_cost),0)</f>
        <v>1615</v>
      </c>
      <c r="AO17" s="166">
        <f t="shared" si="14"/>
        <v>263</v>
      </c>
      <c r="AP17" s="170">
        <f t="shared" ca="1" si="15"/>
        <v>0</v>
      </c>
      <c r="AQ17" s="157">
        <f>AR17*AM17+AS17*AO17</f>
        <v>0</v>
      </c>
      <c r="AR17" s="164">
        <f>MIN(SUM(F16:L16)+SUM(Explore!T5:Z5)+SUM(BV17:CN17),SUM($N17:$AF17))</f>
        <v>0</v>
      </c>
      <c r="AS17" s="170">
        <f>IF(Explore!S17&lt;&gt;0,MAX(0, MIN(20, 20 + SUM(N17:AF17) - SUM(BV17:CN17) - SUM(F16:L16)-SUM(Explore!T5:Z5)-20*Explore!S17)),0)</f>
        <v>0</v>
      </c>
      <c r="AU17" s="152">
        <f t="shared" si="17"/>
        <v>1615</v>
      </c>
      <c r="AV17" s="166">
        <f t="shared" si="18"/>
        <v>262.5</v>
      </c>
      <c r="AW17" s="164"/>
      <c r="AX17" s="293">
        <f>AX16 + IF(Overview!$B$14="Gnome",N8,N5) -BV17</f>
        <v>0</v>
      </c>
      <c r="AY17" s="244">
        <f>AY16 + IF(Overview!$B$14="Gnome",O8,O5) -BW17</f>
        <v>0</v>
      </c>
      <c r="AZ17" s="244">
        <f>AZ16 + IF(Overview!$B$14="Gnome",P8,P5) -BX17</f>
        <v>80</v>
      </c>
      <c r="BA17" s="244">
        <f>BA16 + IF(Overview!$B$14="Gnome",Q8,Q5) -BY17</f>
        <v>200</v>
      </c>
      <c r="BB17" s="244">
        <f>BB16 + IF(Overview!$B$14="Gnome",R8,R5) -BZ17</f>
        <v>0</v>
      </c>
      <c r="BC17" s="206">
        <f>BC16 + IF(Overview!$B$14="Gnome",S8,S5) -CA17</f>
        <v>50</v>
      </c>
      <c r="BD17" s="206">
        <f>BD16 + IF(Overview!$B$14="Gnome",T8,T5) -CB17</f>
        <v>0</v>
      </c>
      <c r="BE17" s="207">
        <f>BE16 + IF(Overview!$B$14="Gnome",U8,U5) -CC17</f>
        <v>0</v>
      </c>
      <c r="BF17" s="207">
        <f>BF16 + IF(Overview!$B$14="Gnome",V8,V5) -CD17</f>
        <v>0</v>
      </c>
      <c r="BG17" s="208">
        <f>BG16 + IF(Overview!$B$14="Gnome",W8,W5) -CE17</f>
        <v>0</v>
      </c>
      <c r="BH17" s="208">
        <f>BH16 + IF(Overview!$B$14="Gnome",X8,X5) -CF17</f>
        <v>0</v>
      </c>
      <c r="BI17" s="208">
        <f>BI16 + IF(Overview!$B$14="Gnome",Y8,Y5) -CG17</f>
        <v>0</v>
      </c>
      <c r="BJ17" s="208">
        <f>BJ16 + IF(Overview!$B$14="Gnome",Z8,Z5) -CH17</f>
        <v>0</v>
      </c>
      <c r="BK17" s="209">
        <f>BK16 + IF(Overview!$B$14="Gnome",AA8,AA5) -CI17</f>
        <v>50</v>
      </c>
      <c r="BL17" s="209">
        <f>BL16 + IF(Overview!$B$14="Gnome",AB8,AB5) -CJ17</f>
        <v>0</v>
      </c>
      <c r="BM17" s="209">
        <f>BM16 + IF(Overview!$B$14="Gnome",AC8,AC5) -CK17</f>
        <v>0</v>
      </c>
      <c r="BN17" s="210">
        <f>BN16 + IF(Overview!$B$14="Gnome",AD8,AD5) -CL17</f>
        <v>0</v>
      </c>
      <c r="BO17" s="210">
        <f>BO16 + IF(Overview!$B$14="Gnome",AE8,AE5) -CM17</f>
        <v>0</v>
      </c>
      <c r="BP17" s="211">
        <f>BP16 + IF(Overview!$B$14="Gnome",AF8,AF5) -CN17</f>
        <v>0</v>
      </c>
      <c r="BR17" s="440"/>
      <c r="BS17" s="156">
        <f t="shared" si="4"/>
        <v>1000</v>
      </c>
      <c r="BT17" s="532">
        <f t="shared" si="43"/>
        <v>43692.583333333299</v>
      </c>
      <c r="BV17" s="352"/>
      <c r="BW17" s="345"/>
      <c r="BX17" s="345"/>
      <c r="BY17" s="345"/>
      <c r="BZ17" s="345"/>
      <c r="CA17" s="345"/>
      <c r="CB17" s="345"/>
      <c r="CC17" s="345"/>
      <c r="CD17" s="345"/>
      <c r="CE17" s="345"/>
      <c r="CF17" s="345"/>
      <c r="CG17" s="345"/>
      <c r="CH17" s="345"/>
      <c r="CI17" s="345"/>
      <c r="CJ17" s="345"/>
      <c r="CK17" s="345"/>
      <c r="CL17" s="345"/>
      <c r="CM17" s="763"/>
      <c r="CN17" s="353"/>
      <c r="CP17" s="245">
        <f>-SUM($O17:$R17)+SUM($BW17:BZ17)+Rezone!L17+IF(home_land=CP$2,CW17) + Explore!T5</f>
        <v>0</v>
      </c>
      <c r="CQ17" s="246">
        <f>-SUM($S17:$T17)+SUM($CA17:$CB17) +Rezone!M17 + IF(home_land=CQ$2,CW17) + Explore!U5</f>
        <v>0</v>
      </c>
      <c r="CR17" s="247">
        <f>-SUM($U17:$V17)+SUM($CC17:$CD17) +Rezone!N17 + IF(home_land=CR$2,CW17) + Explore!V5</f>
        <v>0</v>
      </c>
      <c r="CS17" s="248">
        <f>-SUM($W17:$Z17)+SUM($CE17:$CH17) +Rezone!O17 + IF(home_land=CS$2,CW17) + Explore!W5</f>
        <v>0</v>
      </c>
      <c r="CT17" s="249">
        <f>-SUM($AA17:$AC17)+SUM($CI17:$CK17) +Rezone!P17 + IF(home_land=CT$2,CW17) + Explore!X5</f>
        <v>0</v>
      </c>
      <c r="CU17" s="250">
        <f xml:space="preserve"> - SUM($AD17,$AE17)+SUM($CL17,$CM17) +Rezone!Q17 + IF(home_land=CU$2,CW17)+Explore!Y5</f>
        <v>0</v>
      </c>
      <c r="CV17" s="498">
        <f>-$AF17+$CN17 +Rezone!R17 + IF(home_land=CV$2,CW17) + Explore!Z5</f>
        <v>0</v>
      </c>
      <c r="CW17" s="159">
        <f>IF(Explore!S17=1,25) - N17 + BV17</f>
        <v>0</v>
      </c>
      <c r="CY17" s="152">
        <f t="shared" si="44"/>
        <v>280</v>
      </c>
      <c r="CZ17" s="164">
        <f t="shared" si="45"/>
        <v>150</v>
      </c>
      <c r="DA17" s="170">
        <f t="shared" si="46"/>
        <v>150</v>
      </c>
      <c r="DB17" s="164">
        <f t="shared" si="47"/>
        <v>150</v>
      </c>
      <c r="DC17" s="164">
        <f t="shared" si="48"/>
        <v>150</v>
      </c>
      <c r="DD17" s="170">
        <f t="shared" si="49"/>
        <v>20</v>
      </c>
      <c r="DE17" s="166">
        <f t="shared" si="50"/>
        <v>100</v>
      </c>
      <c r="DF17" s="164">
        <f t="shared" ca="1" si="53"/>
        <v>280</v>
      </c>
      <c r="DG17" s="170">
        <f t="shared" si="54"/>
        <v>0</v>
      </c>
      <c r="DH17" s="170">
        <f t="shared" si="55"/>
        <v>17</v>
      </c>
      <c r="DI17" s="166"/>
    </row>
    <row r="18" spans="1:113" s="16" customFormat="1">
      <c r="A18" s="36">
        <f t="shared" si="41"/>
        <v>620</v>
      </c>
      <c r="B18" s="36">
        <f t="shared" si="51"/>
        <v>380</v>
      </c>
      <c r="C18" s="83">
        <f t="shared" si="42"/>
        <v>0</v>
      </c>
      <c r="D18" s="574"/>
      <c r="E18" s="16">
        <f t="shared" si="2"/>
        <v>1000</v>
      </c>
      <c r="F18" s="86">
        <f t="shared" si="5"/>
        <v>0</v>
      </c>
      <c r="G18" s="37">
        <f t="shared" si="6"/>
        <v>100</v>
      </c>
      <c r="H18" s="247">
        <f t="shared" si="7"/>
        <v>150</v>
      </c>
      <c r="I18" s="38">
        <f t="shared" si="8"/>
        <v>150</v>
      </c>
      <c r="J18" s="39">
        <f t="shared" si="9"/>
        <v>100</v>
      </c>
      <c r="K18" s="40">
        <f t="shared" si="10"/>
        <v>20</v>
      </c>
      <c r="L18" s="500">
        <f t="shared" si="11"/>
        <v>100</v>
      </c>
      <c r="M18" s="635">
        <f>Rezone!J18</f>
        <v>16</v>
      </c>
      <c r="N18" s="356"/>
      <c r="O18" s="345"/>
      <c r="P18" s="348"/>
      <c r="Q18" s="348"/>
      <c r="R18" s="345"/>
      <c r="S18" s="348"/>
      <c r="T18" s="348"/>
      <c r="U18" s="348"/>
      <c r="V18" s="348"/>
      <c r="W18" s="345"/>
      <c r="X18" s="345"/>
      <c r="Y18" s="348"/>
      <c r="Z18" s="345"/>
      <c r="AA18" s="348"/>
      <c r="AB18" s="348"/>
      <c r="AC18" s="345"/>
      <c r="AD18" s="348"/>
      <c r="AE18" s="348"/>
      <c r="AF18" s="336"/>
      <c r="AG18" s="532">
        <f t="shared" si="52"/>
        <v>43692.624999999964</v>
      </c>
      <c r="AH18" s="91">
        <f>MIN(25%,(BG18+CE18)/(E18-Explore!S18*20))</f>
        <v>0</v>
      </c>
      <c r="AI18" s="59">
        <f t="shared" si="13"/>
        <v>0</v>
      </c>
      <c r="AJ18" s="56">
        <f ca="1">Production!$H18</f>
        <v>3101867</v>
      </c>
      <c r="AK18" s="57">
        <f ca="1">Production!$J18</f>
        <v>295068</v>
      </c>
      <c r="AL18" s="152">
        <f ca="1">ROUND( (1 - MIN(facs_constr_factor*$AH18,facs_constr_max)) * (1+MIN(tech_construction*Techs!AC18,tech_conquerors_crafts*Techs!AS18)) * AU18*(1+race_construction_cost),0)</f>
        <v>1615</v>
      </c>
      <c r="AM18" s="166">
        <f t="shared" si="3"/>
        <v>263</v>
      </c>
      <c r="AN18" s="152">
        <f ca="1">ROUND( (1 - MIN(facs_constr_factor*$AI18,facs_constr_max)) * (1+MIN(tech_construction*Techs!AE18,tech_conquerors_crafts*Techs!AU18)) * AU18*(1+race_construction_cost),0)</f>
        <v>1615</v>
      </c>
      <c r="AO18" s="166">
        <f t="shared" si="14"/>
        <v>263</v>
      </c>
      <c r="AP18" s="16">
        <f t="shared" ref="AP18:AP81" ca="1" si="56">AR18*AL18 + AS18*AN18</f>
        <v>0</v>
      </c>
      <c r="AQ18" s="53">
        <f t="shared" ref="AQ18:AQ81" si="57">AR18*AM18+AS18*AO18</f>
        <v>0</v>
      </c>
      <c r="AR18" s="16">
        <f>MIN(SUM(F17:L17)+SUM(Explore!T6:Z6)+SUM(BV18:CN18),SUM($N18:$AF18))</f>
        <v>0</v>
      </c>
      <c r="AS18" s="16">
        <f>IF(Explore!S18&lt;&gt;0,MAX(0, MIN(20, 20 + SUM(N18:AF18) - SUM(BV18:CN18) - SUM(F17:L17)-SUM(Explore!T6:Z6)-20*Explore!S18)),0)</f>
        <v>0</v>
      </c>
      <c r="AU18" s="152">
        <f t="shared" si="17"/>
        <v>1615</v>
      </c>
      <c r="AV18" s="166">
        <f t="shared" si="18"/>
        <v>262.5</v>
      </c>
      <c r="AW18" s="164"/>
      <c r="AX18" s="295">
        <f>AX17 + IF(Overview!$B$14="Gnome",N9,N6) -BV18</f>
        <v>0</v>
      </c>
      <c r="AY18" s="28">
        <f>AY17 + IF(Overview!$B$14="Gnome",O9,O6) -BW18</f>
        <v>0</v>
      </c>
      <c r="AZ18" s="28">
        <f>AZ17 + IF(Overview!$B$14="Gnome",P9,P6) -BX18</f>
        <v>80</v>
      </c>
      <c r="BA18" s="28">
        <f>BA17 + IF(Overview!$B$14="Gnome",Q9,Q6) -BY18</f>
        <v>200</v>
      </c>
      <c r="BB18" s="28">
        <f>BB17 + IF(Overview!$B$14="Gnome",R9,R6) -BZ18</f>
        <v>0</v>
      </c>
      <c r="BC18" s="29">
        <f>BC17 + IF(Overview!$B$14="Gnome",S9,S6) -CA18</f>
        <v>50</v>
      </c>
      <c r="BD18" s="29">
        <f>BD17 + IF(Overview!$B$14="Gnome",T9,T6) -CB18</f>
        <v>0</v>
      </c>
      <c r="BE18" s="30">
        <f>BE17 + IF(Overview!$B$14="Gnome",U9,U6) -CC18</f>
        <v>0</v>
      </c>
      <c r="BF18" s="30">
        <f>BF17 + IF(Overview!$B$14="Gnome",V9,V6) -CD18</f>
        <v>0</v>
      </c>
      <c r="BG18" s="31">
        <f>BG17 + IF(Overview!$B$14="Gnome",W9,W6) -CE18</f>
        <v>0</v>
      </c>
      <c r="BH18" s="31">
        <f>BH17 + IF(Overview!$B$14="Gnome",X9,X6) -CF18</f>
        <v>0</v>
      </c>
      <c r="BI18" s="31">
        <f>BI17 + IF(Overview!$B$14="Gnome",Y9,Y6) -CG18</f>
        <v>0</v>
      </c>
      <c r="BJ18" s="31">
        <f>BJ17 + IF(Overview!$B$14="Gnome",Z9,Z6) -CH18</f>
        <v>0</v>
      </c>
      <c r="BK18" s="32">
        <f>BK17 + IF(Overview!$B$14="Gnome",AA9,AA6) -CI18</f>
        <v>50</v>
      </c>
      <c r="BL18" s="32">
        <f>BL17 + IF(Overview!$B$14="Gnome",AB9,AB6) -CJ18</f>
        <v>0</v>
      </c>
      <c r="BM18" s="32">
        <f>BM17 + IF(Overview!$B$14="Gnome",AC9,AC6) -CK18</f>
        <v>0</v>
      </c>
      <c r="BN18" s="33">
        <f>BN17 + IF(Overview!$B$14="Gnome",AD9,AD6) -CL18</f>
        <v>0</v>
      </c>
      <c r="BO18" s="33">
        <f>BO17 + IF(Overview!$B$14="Gnome",AE9,AE6) -CM18</f>
        <v>0</v>
      </c>
      <c r="BP18" s="69">
        <f>BP17 + IF(Overview!$B$14="Gnome",AF9,AF6) -CN18</f>
        <v>0</v>
      </c>
      <c r="BR18" s="442"/>
      <c r="BS18" s="156">
        <f t="shared" si="4"/>
        <v>1000</v>
      </c>
      <c r="BT18" s="574">
        <f t="shared" si="43"/>
        <v>43692.624999999964</v>
      </c>
      <c r="BV18" s="356"/>
      <c r="BW18" s="348"/>
      <c r="BX18" s="348"/>
      <c r="BY18" s="348"/>
      <c r="BZ18" s="348"/>
      <c r="CA18" s="348"/>
      <c r="CB18" s="348"/>
      <c r="CC18" s="348"/>
      <c r="CD18" s="348"/>
      <c r="CE18" s="348"/>
      <c r="CF18" s="348"/>
      <c r="CG18" s="348"/>
      <c r="CH18" s="348"/>
      <c r="CI18" s="348"/>
      <c r="CJ18" s="348"/>
      <c r="CK18" s="348"/>
      <c r="CL18" s="348"/>
      <c r="CM18" s="360"/>
      <c r="CN18" s="357"/>
      <c r="CP18" s="86">
        <f>-SUM($O18:$R18)+SUM($BW18:BZ18)+Rezone!L18+IF(home_land=CP$2,CW18) + Explore!T6</f>
        <v>0</v>
      </c>
      <c r="CQ18" s="37">
        <f>-SUM($S18:$T18)+SUM($CA18:$CB18) +Rezone!M18 + IF(home_land=CQ$2,CW18) + Explore!U6</f>
        <v>0</v>
      </c>
      <c r="CR18" s="247">
        <f>-SUM($U18:$V18)+SUM($CC18:$CD18) +Rezone!N18 + IF(home_land=CR$2,CW18) + Explore!V6</f>
        <v>0</v>
      </c>
      <c r="CS18" s="38">
        <f>-SUM($W18:$Z18)+SUM($CE18:$CH18) +Rezone!O18 + IF(home_land=CS$2,CW18) + Explore!W6</f>
        <v>0</v>
      </c>
      <c r="CT18" s="39">
        <f>-SUM($AA18:$AC18)+SUM($CI18:$CK18) +Rezone!P18 + IF(home_land=CT$2,CW18) + Explore!X6</f>
        <v>0</v>
      </c>
      <c r="CU18" s="40">
        <f xml:space="preserve"> - SUM($AD18,$AE18)+SUM($CL18,$CM18) +Rezone!Q18 + IF(home_land=CU$2,CW18)+Explore!Y6</f>
        <v>0</v>
      </c>
      <c r="CV18" s="500">
        <f>-$AF18+$CN18 +Rezone!R18 + IF(home_land=CV$2,CW18) + Explore!Z6</f>
        <v>0</v>
      </c>
      <c r="CW18" s="159">
        <f>IF(Explore!S18=1,25) - N18 + BV18</f>
        <v>0</v>
      </c>
      <c r="CY18" s="152">
        <f t="shared" si="44"/>
        <v>280</v>
      </c>
      <c r="CZ18" s="164">
        <f t="shared" si="45"/>
        <v>150</v>
      </c>
      <c r="DA18" s="16">
        <f t="shared" si="46"/>
        <v>150</v>
      </c>
      <c r="DB18" s="164">
        <f t="shared" si="47"/>
        <v>150</v>
      </c>
      <c r="DC18" s="164">
        <f t="shared" si="48"/>
        <v>150</v>
      </c>
      <c r="DD18" s="16">
        <f t="shared" si="49"/>
        <v>20</v>
      </c>
      <c r="DE18" s="166">
        <f t="shared" si="50"/>
        <v>100</v>
      </c>
      <c r="DF18" s="164">
        <f t="shared" ca="1" si="53"/>
        <v>280</v>
      </c>
      <c r="DG18" s="16">
        <f t="shared" si="54"/>
        <v>0</v>
      </c>
      <c r="DH18" s="16">
        <f t="shared" si="55"/>
        <v>18</v>
      </c>
      <c r="DI18" s="166"/>
    </row>
    <row r="19" spans="1:113" s="16" customFormat="1">
      <c r="A19" s="36">
        <f t="shared" si="41"/>
        <v>620</v>
      </c>
      <c r="B19" s="36">
        <f t="shared" si="51"/>
        <v>380</v>
      </c>
      <c r="C19" s="83">
        <f t="shared" si="42"/>
        <v>0</v>
      </c>
      <c r="D19" s="574"/>
      <c r="E19" s="16">
        <f t="shared" si="2"/>
        <v>1000</v>
      </c>
      <c r="F19" s="86">
        <f t="shared" si="5"/>
        <v>0</v>
      </c>
      <c r="G19" s="37">
        <f t="shared" si="6"/>
        <v>100</v>
      </c>
      <c r="H19" s="247">
        <f t="shared" si="7"/>
        <v>150</v>
      </c>
      <c r="I19" s="38">
        <f t="shared" si="8"/>
        <v>150</v>
      </c>
      <c r="J19" s="39">
        <f t="shared" si="9"/>
        <v>100</v>
      </c>
      <c r="K19" s="40">
        <f t="shared" si="10"/>
        <v>20</v>
      </c>
      <c r="L19" s="500">
        <f t="shared" si="11"/>
        <v>100</v>
      </c>
      <c r="M19" s="635">
        <f>Rezone!J19</f>
        <v>17</v>
      </c>
      <c r="N19" s="356"/>
      <c r="O19" s="345"/>
      <c r="P19" s="348"/>
      <c r="Q19" s="348"/>
      <c r="R19" s="345"/>
      <c r="S19" s="348"/>
      <c r="T19" s="348"/>
      <c r="U19" s="348"/>
      <c r="V19" s="348"/>
      <c r="W19" s="345"/>
      <c r="X19" s="345"/>
      <c r="Y19" s="348"/>
      <c r="Z19" s="345"/>
      <c r="AA19" s="348"/>
      <c r="AB19" s="348"/>
      <c r="AC19" s="345"/>
      <c r="AD19" s="348"/>
      <c r="AE19" s="348"/>
      <c r="AF19" s="336"/>
      <c r="AG19" s="532">
        <f t="shared" si="52"/>
        <v>43692.666666666628</v>
      </c>
      <c r="AH19" s="91">
        <f>MIN(25%,(BG19+CE19)/(E19-Explore!S19*20))</f>
        <v>0</v>
      </c>
      <c r="AI19" s="59">
        <f t="shared" si="13"/>
        <v>0</v>
      </c>
      <c r="AJ19" s="56">
        <f ca="1">Production!$H19</f>
        <v>3114809</v>
      </c>
      <c r="AK19" s="57">
        <f ca="1">Production!$J19</f>
        <v>294617</v>
      </c>
      <c r="AL19" s="152">
        <f ca="1">ROUND( (1 - MIN(facs_constr_factor*$AH19,facs_constr_max)) * (1+MIN(tech_construction*Techs!AC19,tech_conquerors_crafts*Techs!AS19)) * AU19*(1+race_construction_cost),0)</f>
        <v>1615</v>
      </c>
      <c r="AM19" s="166">
        <f t="shared" si="3"/>
        <v>263</v>
      </c>
      <c r="AN19" s="152">
        <f ca="1">ROUND( (1 - MIN(facs_constr_factor*$AI19,facs_constr_max)) * (1+MIN(tech_construction*Techs!AE19,tech_conquerors_crafts*Techs!AU19)) * AU19*(1+race_construction_cost),0)</f>
        <v>1615</v>
      </c>
      <c r="AO19" s="166">
        <f t="shared" si="14"/>
        <v>263</v>
      </c>
      <c r="AP19" s="16">
        <f t="shared" ca="1" si="56"/>
        <v>0</v>
      </c>
      <c r="AQ19" s="53">
        <f t="shared" si="57"/>
        <v>0</v>
      </c>
      <c r="AR19" s="16">
        <f>MIN(SUM(F18:L18)+SUM(Explore!T7:Z7)+SUM(BV19:CN19),SUM($N19:$AF19))</f>
        <v>0</v>
      </c>
      <c r="AS19" s="16">
        <f>IF(Explore!S19&lt;&gt;0,MAX(0, MIN(20, 20 + SUM(N19:AF19) - SUM(BV19:CN19) - SUM(F18:L18)-SUM(Explore!T7:Z7)-20*Explore!S19)),0)</f>
        <v>0</v>
      </c>
      <c r="AU19" s="152">
        <f t="shared" si="17"/>
        <v>1615</v>
      </c>
      <c r="AV19" s="166">
        <f t="shared" si="18"/>
        <v>262.5</v>
      </c>
      <c r="AW19" s="164"/>
      <c r="AX19" s="295">
        <f>AX18 + IF(Overview!$B$14="Gnome",N10,N7) -BV19</f>
        <v>0</v>
      </c>
      <c r="AY19" s="28">
        <f>AY18 + IF(Overview!$B$14="Gnome",O10,O7) -BW19</f>
        <v>0</v>
      </c>
      <c r="AZ19" s="28">
        <f>AZ18 + IF(Overview!$B$14="Gnome",P10,P7) -BX19</f>
        <v>80</v>
      </c>
      <c r="BA19" s="28">
        <f>BA18 + IF(Overview!$B$14="Gnome",Q10,Q7) -BY19</f>
        <v>200</v>
      </c>
      <c r="BB19" s="28">
        <f>BB18 + IF(Overview!$B$14="Gnome",R10,R7) -BZ19</f>
        <v>0</v>
      </c>
      <c r="BC19" s="29">
        <f>BC18 + IF(Overview!$B$14="Gnome",S10,S7) -CA19</f>
        <v>50</v>
      </c>
      <c r="BD19" s="29">
        <f>BD18 + IF(Overview!$B$14="Gnome",T10,T7) -CB19</f>
        <v>0</v>
      </c>
      <c r="BE19" s="30">
        <f>BE18 + IF(Overview!$B$14="Gnome",U10,U7) -CC19</f>
        <v>0</v>
      </c>
      <c r="BF19" s="30">
        <f>BF18 + IF(Overview!$B$14="Gnome",V10,V7) -CD19</f>
        <v>0</v>
      </c>
      <c r="BG19" s="31">
        <f>BG18 + IF(Overview!$B$14="Gnome",W10,W7) -CE19</f>
        <v>0</v>
      </c>
      <c r="BH19" s="31">
        <f>BH18 + IF(Overview!$B$14="Gnome",X10,X7) -CF19</f>
        <v>0</v>
      </c>
      <c r="BI19" s="31">
        <f>BI18 + IF(Overview!$B$14="Gnome",Y10,Y7) -CG19</f>
        <v>0</v>
      </c>
      <c r="BJ19" s="31">
        <f>BJ18 + IF(Overview!$B$14="Gnome",Z10,Z7) -CH19</f>
        <v>0</v>
      </c>
      <c r="BK19" s="32">
        <f>BK18 + IF(Overview!$B$14="Gnome",AA10,AA7) -CI19</f>
        <v>50</v>
      </c>
      <c r="BL19" s="32">
        <f>BL18 + IF(Overview!$B$14="Gnome",AB10,AB7) -CJ19</f>
        <v>0</v>
      </c>
      <c r="BM19" s="32">
        <f>BM18 + IF(Overview!$B$14="Gnome",AC10,AC7) -CK19</f>
        <v>0</v>
      </c>
      <c r="BN19" s="33">
        <f>BN18 + IF(Overview!$B$14="Gnome",AD10,AD7) -CL19</f>
        <v>0</v>
      </c>
      <c r="BO19" s="33">
        <f>BO18 + IF(Overview!$B$14="Gnome",AE10,AE7) -CM19</f>
        <v>0</v>
      </c>
      <c r="BP19" s="69">
        <f>BP18 + IF(Overview!$B$14="Gnome",AF10,AF7) -CN19</f>
        <v>0</v>
      </c>
      <c r="BR19" s="442"/>
      <c r="BS19" s="156">
        <f t="shared" si="4"/>
        <v>1000</v>
      </c>
      <c r="BT19" s="574">
        <f t="shared" si="43"/>
        <v>43692.666666666628</v>
      </c>
      <c r="BV19" s="356"/>
      <c r="BW19" s="348"/>
      <c r="BX19" s="348"/>
      <c r="BY19" s="348"/>
      <c r="BZ19" s="348"/>
      <c r="CA19" s="348"/>
      <c r="CB19" s="348"/>
      <c r="CC19" s="348"/>
      <c r="CD19" s="348"/>
      <c r="CE19" s="348"/>
      <c r="CF19" s="348"/>
      <c r="CG19" s="348"/>
      <c r="CH19" s="348"/>
      <c r="CI19" s="348"/>
      <c r="CJ19" s="348"/>
      <c r="CK19" s="348"/>
      <c r="CL19" s="348"/>
      <c r="CM19" s="360"/>
      <c r="CN19" s="357"/>
      <c r="CP19" s="86">
        <f>-SUM($O19:$R19)+SUM($BW19:BZ19)+Rezone!L19+IF(home_land=CP$2,CW19) + Explore!T7</f>
        <v>0</v>
      </c>
      <c r="CQ19" s="37">
        <f>-SUM($S19:$T19)+SUM($CA19:$CB19) +Rezone!M19 + IF(home_land=CQ$2,CW19) + Explore!U7</f>
        <v>0</v>
      </c>
      <c r="CR19" s="247">
        <f>-SUM($U19:$V19)+SUM($CC19:$CD19) +Rezone!N19 + IF(home_land=CR$2,CW19) + Explore!V7</f>
        <v>0</v>
      </c>
      <c r="CS19" s="38">
        <f>-SUM($W19:$Z19)+SUM($CE19:$CH19) +Rezone!O19 + IF(home_land=CS$2,CW19) + Explore!W7</f>
        <v>0</v>
      </c>
      <c r="CT19" s="39">
        <f>-SUM($AA19:$AC19)+SUM($CI19:$CK19) +Rezone!P19 + IF(home_land=CT$2,CW19) + Explore!X7</f>
        <v>0</v>
      </c>
      <c r="CU19" s="40">
        <f xml:space="preserve"> - SUM($AD19,$AE19)+SUM($CL19,$CM19) +Rezone!Q19 + IF(home_land=CU$2,CW19)+Explore!Y7</f>
        <v>0</v>
      </c>
      <c r="CV19" s="500">
        <f>-$AF19+$CN19 +Rezone!R19 + IF(home_land=CV$2,CW19) + Explore!Z7</f>
        <v>0</v>
      </c>
      <c r="CW19" s="159">
        <f>IF(Explore!S19=1,25) - N19 + BV19</f>
        <v>0</v>
      </c>
      <c r="CY19" s="152">
        <f t="shared" si="44"/>
        <v>280</v>
      </c>
      <c r="CZ19" s="164">
        <f t="shared" si="45"/>
        <v>150</v>
      </c>
      <c r="DA19" s="16">
        <f t="shared" si="46"/>
        <v>150</v>
      </c>
      <c r="DB19" s="164">
        <f t="shared" si="47"/>
        <v>150</v>
      </c>
      <c r="DC19" s="164">
        <f t="shared" si="48"/>
        <v>150</v>
      </c>
      <c r="DD19" s="16">
        <f t="shared" si="49"/>
        <v>20</v>
      </c>
      <c r="DE19" s="166">
        <f t="shared" si="50"/>
        <v>100</v>
      </c>
      <c r="DF19" s="164">
        <f t="shared" ca="1" si="53"/>
        <v>280</v>
      </c>
      <c r="DG19" s="16">
        <f t="shared" si="54"/>
        <v>0</v>
      </c>
      <c r="DH19" s="16">
        <f t="shared" si="55"/>
        <v>19</v>
      </c>
      <c r="DI19" s="166"/>
    </row>
    <row r="20" spans="1:113" s="16" customFormat="1">
      <c r="A20" s="36">
        <f t="shared" si="41"/>
        <v>620</v>
      </c>
      <c r="B20" s="36">
        <f t="shared" si="51"/>
        <v>380</v>
      </c>
      <c r="C20" s="83">
        <f t="shared" si="42"/>
        <v>0</v>
      </c>
      <c r="D20" s="574"/>
      <c r="E20" s="16">
        <f t="shared" si="2"/>
        <v>1000</v>
      </c>
      <c r="F20" s="86">
        <f t="shared" si="5"/>
        <v>0</v>
      </c>
      <c r="G20" s="37">
        <f t="shared" si="6"/>
        <v>100</v>
      </c>
      <c r="H20" s="247">
        <f t="shared" si="7"/>
        <v>150</v>
      </c>
      <c r="I20" s="38">
        <f t="shared" si="8"/>
        <v>150</v>
      </c>
      <c r="J20" s="39">
        <f t="shared" si="9"/>
        <v>100</v>
      </c>
      <c r="K20" s="40">
        <f t="shared" si="10"/>
        <v>20</v>
      </c>
      <c r="L20" s="500">
        <f t="shared" si="11"/>
        <v>100</v>
      </c>
      <c r="M20" s="635">
        <f>Rezone!J20</f>
        <v>18</v>
      </c>
      <c r="N20" s="356"/>
      <c r="O20" s="345"/>
      <c r="P20" s="348"/>
      <c r="Q20" s="348"/>
      <c r="R20" s="345"/>
      <c r="S20" s="348"/>
      <c r="T20" s="348"/>
      <c r="U20" s="348"/>
      <c r="V20" s="348"/>
      <c r="W20" s="345"/>
      <c r="X20" s="345"/>
      <c r="Y20" s="348"/>
      <c r="Z20" s="345"/>
      <c r="AA20" s="348"/>
      <c r="AB20" s="348"/>
      <c r="AC20" s="345"/>
      <c r="AD20" s="348"/>
      <c r="AE20" s="348"/>
      <c r="AF20" s="336"/>
      <c r="AG20" s="532">
        <f t="shared" si="52"/>
        <v>43692.708333333292</v>
      </c>
      <c r="AH20" s="91">
        <f>MIN(25%,(BG20+CE20)/(E20-Explore!S20*20))</f>
        <v>0</v>
      </c>
      <c r="AI20" s="59">
        <f t="shared" si="13"/>
        <v>0</v>
      </c>
      <c r="AJ20" s="56">
        <f ca="1">Production!$H20</f>
        <v>3127104</v>
      </c>
      <c r="AK20" s="57">
        <f ca="1">Production!$J20</f>
        <v>294171</v>
      </c>
      <c r="AL20" s="152">
        <f ca="1">ROUND( (1 - MIN(facs_constr_factor*$AH20,facs_constr_max)) * (1+MIN(tech_construction*Techs!AC20,tech_conquerors_crafts*Techs!AS20)) * AU20*(1+race_construction_cost),0)</f>
        <v>1615</v>
      </c>
      <c r="AM20" s="166">
        <f t="shared" si="3"/>
        <v>263</v>
      </c>
      <c r="AN20" s="152">
        <f ca="1">ROUND( (1 - MIN(facs_constr_factor*$AI20,facs_constr_max)) * (1+MIN(tech_construction*Techs!AE20,tech_conquerors_crafts*Techs!AU20)) * AU20*(1+race_construction_cost),0)</f>
        <v>1615</v>
      </c>
      <c r="AO20" s="166">
        <f t="shared" si="14"/>
        <v>263</v>
      </c>
      <c r="AP20" s="16">
        <f t="shared" ca="1" si="56"/>
        <v>0</v>
      </c>
      <c r="AQ20" s="53">
        <f t="shared" si="57"/>
        <v>0</v>
      </c>
      <c r="AR20" s="16">
        <f>MIN(SUM(F19:L19)+SUM(Explore!T8:Z8)+SUM(BV20:CN20),SUM($N20:$AF20))</f>
        <v>0</v>
      </c>
      <c r="AS20" s="16">
        <f>IF(Explore!S20&lt;&gt;0,MAX(0, MIN(20, 20 + SUM(N20:AF20) - SUM(BV20:CN20) - SUM(F19:L19)-SUM(Explore!T8:Z8)-20*Explore!S20)),0)</f>
        <v>0</v>
      </c>
      <c r="AU20" s="152">
        <f t="shared" si="17"/>
        <v>1615</v>
      </c>
      <c r="AV20" s="166">
        <f t="shared" si="18"/>
        <v>262.5</v>
      </c>
      <c r="AW20" s="164"/>
      <c r="AX20" s="295">
        <f>AX19 + IF(Overview!$B$14="Gnome",N11,N8) -BV20</f>
        <v>0</v>
      </c>
      <c r="AY20" s="28">
        <f>AY19 + IF(Overview!$B$14="Gnome",O11,O8) -BW20</f>
        <v>0</v>
      </c>
      <c r="AZ20" s="28">
        <f>AZ19 + IF(Overview!$B$14="Gnome",P11,P8) -BX20</f>
        <v>80</v>
      </c>
      <c r="BA20" s="28">
        <f>BA19 + IF(Overview!$B$14="Gnome",Q11,Q8) -BY20</f>
        <v>200</v>
      </c>
      <c r="BB20" s="28">
        <f>BB19 + IF(Overview!$B$14="Gnome",R11,R8) -BZ20</f>
        <v>0</v>
      </c>
      <c r="BC20" s="29">
        <f>BC19 + IF(Overview!$B$14="Gnome",S11,S8) -CA20</f>
        <v>50</v>
      </c>
      <c r="BD20" s="29">
        <f>BD19 + IF(Overview!$B$14="Gnome",T11,T8) -CB20</f>
        <v>0</v>
      </c>
      <c r="BE20" s="30">
        <f>BE19 + IF(Overview!$B$14="Gnome",U11,U8) -CC20</f>
        <v>0</v>
      </c>
      <c r="BF20" s="30">
        <f>BF19 + IF(Overview!$B$14="Gnome",V11,V8) -CD20</f>
        <v>0</v>
      </c>
      <c r="BG20" s="31">
        <f>BG19 + IF(Overview!$B$14="Gnome",W11,W8) -CE20</f>
        <v>0</v>
      </c>
      <c r="BH20" s="31">
        <f>BH19 + IF(Overview!$B$14="Gnome",X11,X8) -CF20</f>
        <v>0</v>
      </c>
      <c r="BI20" s="31">
        <f>BI19 + IF(Overview!$B$14="Gnome",Y11,Y8) -CG20</f>
        <v>0</v>
      </c>
      <c r="BJ20" s="31">
        <f>BJ19 + IF(Overview!$B$14="Gnome",Z11,Z8) -CH20</f>
        <v>0</v>
      </c>
      <c r="BK20" s="32">
        <f>BK19 + IF(Overview!$B$14="Gnome",AA11,AA8) -CI20</f>
        <v>50</v>
      </c>
      <c r="BL20" s="32">
        <f>BL19 + IF(Overview!$B$14="Gnome",AB11,AB8) -CJ20</f>
        <v>0</v>
      </c>
      <c r="BM20" s="32">
        <f>BM19 + IF(Overview!$B$14="Gnome",AC11,AC8) -CK20</f>
        <v>0</v>
      </c>
      <c r="BN20" s="33">
        <f>BN19 + IF(Overview!$B$14="Gnome",AD11,AD8) -CL20</f>
        <v>0</v>
      </c>
      <c r="BO20" s="33">
        <f>BO19 + IF(Overview!$B$14="Gnome",AE11,AE8) -CM20</f>
        <v>0</v>
      </c>
      <c r="BP20" s="69">
        <f>BP19 + IF(Overview!$B$14="Gnome",AF11,AF8) -CN20</f>
        <v>0</v>
      </c>
      <c r="BR20" s="442"/>
      <c r="BS20" s="156">
        <f t="shared" si="4"/>
        <v>1000</v>
      </c>
      <c r="BT20" s="574">
        <f t="shared" si="43"/>
        <v>43692.708333333292</v>
      </c>
      <c r="BV20" s="356"/>
      <c r="BW20" s="348"/>
      <c r="BX20" s="348"/>
      <c r="BY20" s="348"/>
      <c r="BZ20" s="348"/>
      <c r="CA20" s="348"/>
      <c r="CB20" s="348"/>
      <c r="CC20" s="348"/>
      <c r="CD20" s="348"/>
      <c r="CE20" s="348"/>
      <c r="CF20" s="348"/>
      <c r="CG20" s="348"/>
      <c r="CH20" s="348"/>
      <c r="CI20" s="348"/>
      <c r="CJ20" s="348"/>
      <c r="CK20" s="348"/>
      <c r="CL20" s="348"/>
      <c r="CM20" s="360"/>
      <c r="CN20" s="357"/>
      <c r="CP20" s="86">
        <f>-SUM($O20:$R20)+SUM($BW20:BZ20)+Rezone!L20+IF(home_land=CP$2,CW20) + Explore!T8</f>
        <v>0</v>
      </c>
      <c r="CQ20" s="37">
        <f>-SUM($S20:$T20)+SUM($CA20:$CB20) +Rezone!M20 + IF(home_land=CQ$2,CW20) + Explore!U8</f>
        <v>0</v>
      </c>
      <c r="CR20" s="247">
        <f>-SUM($U20:$V20)+SUM($CC20:$CD20) +Rezone!N20 + IF(home_land=CR$2,CW20) + Explore!V8</f>
        <v>0</v>
      </c>
      <c r="CS20" s="38">
        <f>-SUM($W20:$Z20)+SUM($CE20:$CH20) +Rezone!O20 + IF(home_land=CS$2,CW20) + Explore!W8</f>
        <v>0</v>
      </c>
      <c r="CT20" s="39">
        <f>-SUM($AA20:$AC20)+SUM($CI20:$CK20) +Rezone!P20 + IF(home_land=CT$2,CW20) + Explore!X8</f>
        <v>0</v>
      </c>
      <c r="CU20" s="40">
        <f xml:space="preserve"> - SUM($AD20,$AE20)+SUM($CL20,$CM20) +Rezone!Q20 + IF(home_land=CU$2,CW20)+Explore!Y8</f>
        <v>0</v>
      </c>
      <c r="CV20" s="500">
        <f>-$AF20+$CN20 +Rezone!R20 + IF(home_land=CV$2,CW20) + Explore!Z8</f>
        <v>0</v>
      </c>
      <c r="CW20" s="159">
        <f>IF(Explore!S20=1,25) - N20 + BV20</f>
        <v>0</v>
      </c>
      <c r="CY20" s="152">
        <f t="shared" si="44"/>
        <v>280</v>
      </c>
      <c r="CZ20" s="164">
        <f t="shared" si="45"/>
        <v>150</v>
      </c>
      <c r="DA20" s="16">
        <f t="shared" si="46"/>
        <v>150</v>
      </c>
      <c r="DB20" s="164">
        <f t="shared" si="47"/>
        <v>150</v>
      </c>
      <c r="DC20" s="164">
        <f t="shared" si="48"/>
        <v>150</v>
      </c>
      <c r="DD20" s="16">
        <f t="shared" si="49"/>
        <v>20</v>
      </c>
      <c r="DE20" s="166">
        <f t="shared" si="50"/>
        <v>100</v>
      </c>
      <c r="DF20" s="164">
        <f t="shared" ca="1" si="53"/>
        <v>280</v>
      </c>
      <c r="DG20" s="16">
        <f t="shared" si="54"/>
        <v>0</v>
      </c>
      <c r="DH20" s="16">
        <f t="shared" si="55"/>
        <v>20</v>
      </c>
      <c r="DI20" s="166"/>
    </row>
    <row r="21" spans="1:113" s="16" customFormat="1">
      <c r="A21" s="36">
        <f t="shared" si="41"/>
        <v>620</v>
      </c>
      <c r="B21" s="36">
        <f t="shared" si="51"/>
        <v>380</v>
      </c>
      <c r="C21" s="83">
        <f t="shared" si="42"/>
        <v>0</v>
      </c>
      <c r="D21" s="574"/>
      <c r="E21" s="16">
        <f t="shared" si="2"/>
        <v>1000</v>
      </c>
      <c r="F21" s="86">
        <f t="shared" si="5"/>
        <v>0</v>
      </c>
      <c r="G21" s="37">
        <f t="shared" si="6"/>
        <v>100</v>
      </c>
      <c r="H21" s="247">
        <f t="shared" si="7"/>
        <v>150</v>
      </c>
      <c r="I21" s="38">
        <f t="shared" si="8"/>
        <v>150</v>
      </c>
      <c r="J21" s="39">
        <f t="shared" si="9"/>
        <v>100</v>
      </c>
      <c r="K21" s="40">
        <f t="shared" si="10"/>
        <v>20</v>
      </c>
      <c r="L21" s="500">
        <f t="shared" si="11"/>
        <v>100</v>
      </c>
      <c r="M21" s="635">
        <f>Rezone!J21</f>
        <v>19</v>
      </c>
      <c r="N21" s="356"/>
      <c r="O21" s="345"/>
      <c r="P21" s="348"/>
      <c r="Q21" s="348"/>
      <c r="R21" s="345"/>
      <c r="S21" s="348"/>
      <c r="T21" s="348"/>
      <c r="U21" s="348"/>
      <c r="V21" s="348"/>
      <c r="W21" s="345"/>
      <c r="X21" s="345"/>
      <c r="Y21" s="348"/>
      <c r="Z21" s="345"/>
      <c r="AA21" s="348"/>
      <c r="AB21" s="348"/>
      <c r="AC21" s="345"/>
      <c r="AD21" s="348"/>
      <c r="AE21" s="348"/>
      <c r="AF21" s="336"/>
      <c r="AG21" s="532">
        <f t="shared" si="52"/>
        <v>43692.749999999956</v>
      </c>
      <c r="AH21" s="91">
        <f>MIN(25%,(BG21+CE21)/(E21-Explore!S21*20))</f>
        <v>0</v>
      </c>
      <c r="AI21" s="59">
        <f t="shared" si="13"/>
        <v>0</v>
      </c>
      <c r="AJ21" s="56">
        <f ca="1">Production!$H21</f>
        <v>3138784</v>
      </c>
      <c r="AK21" s="57">
        <f ca="1">Production!$J21</f>
        <v>293729</v>
      </c>
      <c r="AL21" s="152">
        <f ca="1">ROUND( (1 - MIN(facs_constr_factor*$AH21,facs_constr_max)) * (1+MIN(tech_construction*Techs!AC21,tech_conquerors_crafts*Techs!AS21)) * AU21*(1+race_construction_cost),0)</f>
        <v>1615</v>
      </c>
      <c r="AM21" s="166">
        <f t="shared" si="3"/>
        <v>263</v>
      </c>
      <c r="AN21" s="152">
        <f ca="1">ROUND( (1 - MIN(facs_constr_factor*$AI21,facs_constr_max)) * (1+MIN(tech_construction*Techs!AE21,tech_conquerors_crafts*Techs!AU21)) * AU21*(1+race_construction_cost),0)</f>
        <v>1615</v>
      </c>
      <c r="AO21" s="166">
        <f t="shared" si="14"/>
        <v>263</v>
      </c>
      <c r="AP21" s="16">
        <f t="shared" ca="1" si="56"/>
        <v>0</v>
      </c>
      <c r="AQ21" s="53">
        <f t="shared" si="57"/>
        <v>0</v>
      </c>
      <c r="AR21" s="16">
        <f>MIN(SUM(F20:L20)+SUM(Explore!T9:Z9)+SUM(BV21:CN21),SUM($N21:$AF21))</f>
        <v>0</v>
      </c>
      <c r="AS21" s="16">
        <f>IF(Explore!S21&lt;&gt;0,MAX(0, MIN(20, 20 + SUM(N21:AF21) - SUM(BV21:CN21) - SUM(F20:L20)-SUM(Explore!T9:Z9)-20*Explore!S21)),0)</f>
        <v>0</v>
      </c>
      <c r="AU21" s="152">
        <f t="shared" si="17"/>
        <v>1615</v>
      </c>
      <c r="AV21" s="166">
        <f t="shared" si="18"/>
        <v>262.5</v>
      </c>
      <c r="AW21" s="164"/>
      <c r="AX21" s="295">
        <f>AX20 + IF(Overview!$B$14="Gnome",N12,N9) -BV21</f>
        <v>0</v>
      </c>
      <c r="AY21" s="28">
        <f>AY20 + IF(Overview!$B$14="Gnome",O12,O9) -BW21</f>
        <v>0</v>
      </c>
      <c r="AZ21" s="28">
        <f>AZ20 + IF(Overview!$B$14="Gnome",P12,P9) -BX21</f>
        <v>80</v>
      </c>
      <c r="BA21" s="28">
        <f>BA20 + IF(Overview!$B$14="Gnome",Q12,Q9) -BY21</f>
        <v>200</v>
      </c>
      <c r="BB21" s="28">
        <f>BB20 + IF(Overview!$B$14="Gnome",R12,R9) -BZ21</f>
        <v>0</v>
      </c>
      <c r="BC21" s="29">
        <f>BC20 + IF(Overview!$B$14="Gnome",S12,S9) -CA21</f>
        <v>50</v>
      </c>
      <c r="BD21" s="29">
        <f>BD20 + IF(Overview!$B$14="Gnome",T12,T9) -CB21</f>
        <v>0</v>
      </c>
      <c r="BE21" s="30">
        <f>BE20 + IF(Overview!$B$14="Gnome",U12,U9) -CC21</f>
        <v>0</v>
      </c>
      <c r="BF21" s="30">
        <f>BF20 + IF(Overview!$B$14="Gnome",V12,V9) -CD21</f>
        <v>0</v>
      </c>
      <c r="BG21" s="31">
        <f>BG20 + IF(Overview!$B$14="Gnome",W12,W9) -CE21</f>
        <v>0</v>
      </c>
      <c r="BH21" s="31">
        <f>BH20 + IF(Overview!$B$14="Gnome",X12,X9) -CF21</f>
        <v>0</v>
      </c>
      <c r="BI21" s="31">
        <f>BI20 + IF(Overview!$B$14="Gnome",Y12,Y9) -CG21</f>
        <v>0</v>
      </c>
      <c r="BJ21" s="31">
        <f>BJ20 + IF(Overview!$B$14="Gnome",Z12,Z9) -CH21</f>
        <v>0</v>
      </c>
      <c r="BK21" s="32">
        <f>BK20 + IF(Overview!$B$14="Gnome",AA12,AA9) -CI21</f>
        <v>50</v>
      </c>
      <c r="BL21" s="32">
        <f>BL20 + IF(Overview!$B$14="Gnome",AB12,AB9) -CJ21</f>
        <v>0</v>
      </c>
      <c r="BM21" s="32">
        <f>BM20 + IF(Overview!$B$14="Gnome",AC12,AC9) -CK21</f>
        <v>0</v>
      </c>
      <c r="BN21" s="33">
        <f>BN20 + IF(Overview!$B$14="Gnome",AD12,AD9) -CL21</f>
        <v>0</v>
      </c>
      <c r="BO21" s="33">
        <f>BO20 + IF(Overview!$B$14="Gnome",AE12,AE9) -CM21</f>
        <v>0</v>
      </c>
      <c r="BP21" s="69">
        <f>BP20 + IF(Overview!$B$14="Gnome",AF12,AF9) -CN21</f>
        <v>0</v>
      </c>
      <c r="BR21" s="442"/>
      <c r="BS21" s="156">
        <f t="shared" si="4"/>
        <v>1000</v>
      </c>
      <c r="BT21" s="574">
        <f t="shared" si="43"/>
        <v>43692.749999999956</v>
      </c>
      <c r="BV21" s="356"/>
      <c r="BW21" s="348"/>
      <c r="BX21" s="348"/>
      <c r="BY21" s="348"/>
      <c r="BZ21" s="348"/>
      <c r="CA21" s="348"/>
      <c r="CB21" s="348"/>
      <c r="CC21" s="348"/>
      <c r="CD21" s="348"/>
      <c r="CE21" s="348"/>
      <c r="CF21" s="348"/>
      <c r="CG21" s="348"/>
      <c r="CH21" s="348"/>
      <c r="CI21" s="348"/>
      <c r="CJ21" s="348"/>
      <c r="CK21" s="348"/>
      <c r="CL21" s="348"/>
      <c r="CM21" s="360"/>
      <c r="CN21" s="357"/>
      <c r="CP21" s="86">
        <f>-SUM($O21:$R21)+SUM($BW21:BZ21)+Rezone!L21+IF(home_land=CP$2,CW21) + Explore!T9</f>
        <v>0</v>
      </c>
      <c r="CQ21" s="37">
        <f>-SUM($S21:$T21)+SUM($CA21:$CB21) +Rezone!M21 + IF(home_land=CQ$2,CW21) + Explore!U9</f>
        <v>0</v>
      </c>
      <c r="CR21" s="247">
        <f>-SUM($U21:$V21)+SUM($CC21:$CD21) +Rezone!N21 + IF(home_land=CR$2,CW21) + Explore!V9</f>
        <v>0</v>
      </c>
      <c r="CS21" s="38">
        <f>-SUM($W21:$Z21)+SUM($CE21:$CH21) +Rezone!O21 + IF(home_land=CS$2,CW21) + Explore!W9</f>
        <v>0</v>
      </c>
      <c r="CT21" s="39">
        <f>-SUM($AA21:$AC21)+SUM($CI21:$CK21) +Rezone!P21 + IF(home_land=CT$2,CW21) + Explore!X9</f>
        <v>0</v>
      </c>
      <c r="CU21" s="40">
        <f xml:space="preserve"> - SUM($AD21,$AE21)+SUM($CL21,$CM21) +Rezone!Q21 + IF(home_land=CU$2,CW21)+Explore!Y9</f>
        <v>0</v>
      </c>
      <c r="CV21" s="500">
        <f>-$AF21+$CN21 +Rezone!R21 + IF(home_land=CV$2,CW21) + Explore!Z9</f>
        <v>0</v>
      </c>
      <c r="CW21" s="159">
        <f>IF(Explore!S21=1,25) - N21 + BV21</f>
        <v>0</v>
      </c>
      <c r="CY21" s="152">
        <f t="shared" si="44"/>
        <v>280</v>
      </c>
      <c r="CZ21" s="164">
        <f t="shared" si="45"/>
        <v>150</v>
      </c>
      <c r="DA21" s="16">
        <f t="shared" si="46"/>
        <v>150</v>
      </c>
      <c r="DB21" s="164">
        <f t="shared" si="47"/>
        <v>150</v>
      </c>
      <c r="DC21" s="164">
        <f t="shared" si="48"/>
        <v>150</v>
      </c>
      <c r="DD21" s="16">
        <f t="shared" si="49"/>
        <v>20</v>
      </c>
      <c r="DE21" s="166">
        <f t="shared" si="50"/>
        <v>100</v>
      </c>
      <c r="DF21" s="164">
        <f t="shared" ca="1" si="53"/>
        <v>280</v>
      </c>
      <c r="DG21" s="16">
        <f t="shared" si="54"/>
        <v>0</v>
      </c>
      <c r="DH21" s="16">
        <f t="shared" si="55"/>
        <v>21</v>
      </c>
      <c r="DI21" s="166"/>
    </row>
    <row r="22" spans="1:113" s="16" customFormat="1">
      <c r="A22" s="36">
        <f t="shared" si="41"/>
        <v>620</v>
      </c>
      <c r="B22" s="36">
        <f t="shared" si="51"/>
        <v>380</v>
      </c>
      <c r="C22" s="83">
        <f t="shared" si="42"/>
        <v>0</v>
      </c>
      <c r="D22" s="574"/>
      <c r="E22" s="16">
        <f t="shared" si="2"/>
        <v>1000</v>
      </c>
      <c r="F22" s="86">
        <f t="shared" si="5"/>
        <v>0</v>
      </c>
      <c r="G22" s="37">
        <f t="shared" si="6"/>
        <v>100</v>
      </c>
      <c r="H22" s="247">
        <f t="shared" si="7"/>
        <v>150</v>
      </c>
      <c r="I22" s="38">
        <f t="shared" si="8"/>
        <v>150</v>
      </c>
      <c r="J22" s="39">
        <f t="shared" si="9"/>
        <v>100</v>
      </c>
      <c r="K22" s="40">
        <f t="shared" si="10"/>
        <v>20</v>
      </c>
      <c r="L22" s="500">
        <f t="shared" si="11"/>
        <v>100</v>
      </c>
      <c r="M22" s="635">
        <f>Rezone!J22</f>
        <v>20</v>
      </c>
      <c r="N22" s="356"/>
      <c r="O22" s="345"/>
      <c r="P22" s="348"/>
      <c r="Q22" s="348"/>
      <c r="R22" s="345"/>
      <c r="S22" s="348"/>
      <c r="T22" s="348"/>
      <c r="U22" s="348"/>
      <c r="V22" s="348"/>
      <c r="W22" s="345"/>
      <c r="X22" s="345"/>
      <c r="Y22" s="348"/>
      <c r="Z22" s="345"/>
      <c r="AA22" s="348"/>
      <c r="AB22" s="348"/>
      <c r="AC22" s="345"/>
      <c r="AD22" s="348"/>
      <c r="AE22" s="348"/>
      <c r="AF22" s="336"/>
      <c r="AG22" s="532">
        <f t="shared" si="52"/>
        <v>43692.791666666621</v>
      </c>
      <c r="AH22" s="91">
        <f>MIN(25%,(BG22+CE22)/(E22-Explore!S22*20))</f>
        <v>0</v>
      </c>
      <c r="AI22" s="59">
        <f t="shared" si="13"/>
        <v>0</v>
      </c>
      <c r="AJ22" s="56">
        <f ca="1">Production!$H22</f>
        <v>3149880</v>
      </c>
      <c r="AK22" s="57">
        <f ca="1">Production!$J22</f>
        <v>293292</v>
      </c>
      <c r="AL22" s="152">
        <f ca="1">ROUND( (1 - MIN(facs_constr_factor*$AH22,facs_constr_max)) * (1+MIN(tech_construction*Techs!AC22,tech_conquerors_crafts*Techs!AS22)) * AU22*(1+race_construction_cost),0)</f>
        <v>1615</v>
      </c>
      <c r="AM22" s="166">
        <f t="shared" si="3"/>
        <v>263</v>
      </c>
      <c r="AN22" s="152">
        <f ca="1">ROUND( (1 - MIN(facs_constr_factor*$AI22,facs_constr_max)) * (1+MIN(tech_construction*Techs!AE22,tech_conquerors_crafts*Techs!AU22)) * AU22*(1+race_construction_cost),0)</f>
        <v>1615</v>
      </c>
      <c r="AO22" s="166">
        <f t="shared" si="14"/>
        <v>263</v>
      </c>
      <c r="AP22" s="16">
        <f t="shared" ca="1" si="56"/>
        <v>0</v>
      </c>
      <c r="AQ22" s="53">
        <f t="shared" si="57"/>
        <v>0</v>
      </c>
      <c r="AR22" s="16">
        <f>MIN(SUM(F21:L21)+SUM(Explore!T10:Z10)+SUM(BV22:CN22),SUM($N22:$AF22))</f>
        <v>0</v>
      </c>
      <c r="AS22" s="16">
        <f>IF(Explore!S22&lt;&gt;0,MAX(0, MIN(20, 20 + SUM(N22:AF22) - SUM(BV22:CN22) - SUM(F21:L21)-SUM(Explore!T10:Z10)-20*Explore!S22)),0)</f>
        <v>0</v>
      </c>
      <c r="AU22" s="152">
        <f t="shared" si="17"/>
        <v>1615</v>
      </c>
      <c r="AV22" s="166">
        <f t="shared" si="18"/>
        <v>262.5</v>
      </c>
      <c r="AW22" s="164"/>
      <c r="AX22" s="295">
        <f>AX21 + IF(Overview!$B$14="Gnome",N13,N10) -BV22</f>
        <v>0</v>
      </c>
      <c r="AY22" s="28">
        <f>AY21 + IF(Overview!$B$14="Gnome",O13,O10) -BW22</f>
        <v>0</v>
      </c>
      <c r="AZ22" s="28">
        <f>AZ21 + IF(Overview!$B$14="Gnome",P13,P10) -BX22</f>
        <v>80</v>
      </c>
      <c r="BA22" s="28">
        <f>BA21 + IF(Overview!$B$14="Gnome",Q13,Q10) -BY22</f>
        <v>200</v>
      </c>
      <c r="BB22" s="28">
        <f>BB21 + IF(Overview!$B$14="Gnome",R13,R10) -BZ22</f>
        <v>0</v>
      </c>
      <c r="BC22" s="29">
        <f>BC21 + IF(Overview!$B$14="Gnome",S13,S10) -CA22</f>
        <v>50</v>
      </c>
      <c r="BD22" s="29">
        <f>BD21 + IF(Overview!$B$14="Gnome",T13,T10) -CB22</f>
        <v>0</v>
      </c>
      <c r="BE22" s="30">
        <f>BE21 + IF(Overview!$B$14="Gnome",U13,U10) -CC22</f>
        <v>0</v>
      </c>
      <c r="BF22" s="30">
        <f>BF21 + IF(Overview!$B$14="Gnome",V13,V10) -CD22</f>
        <v>0</v>
      </c>
      <c r="BG22" s="31">
        <f>BG21 + IF(Overview!$B$14="Gnome",W13,W10) -CE22</f>
        <v>0</v>
      </c>
      <c r="BH22" s="31">
        <f>BH21 + IF(Overview!$B$14="Gnome",X13,X10) -CF22</f>
        <v>0</v>
      </c>
      <c r="BI22" s="31">
        <f>BI21 + IF(Overview!$B$14="Gnome",Y13,Y10) -CG22</f>
        <v>0</v>
      </c>
      <c r="BJ22" s="31">
        <f>BJ21 + IF(Overview!$B$14="Gnome",Z13,Z10) -CH22</f>
        <v>0</v>
      </c>
      <c r="BK22" s="32">
        <f>BK21 + IF(Overview!$B$14="Gnome",AA13,AA10) -CI22</f>
        <v>50</v>
      </c>
      <c r="BL22" s="32">
        <f>BL21 + IF(Overview!$B$14="Gnome",AB13,AB10) -CJ22</f>
        <v>0</v>
      </c>
      <c r="BM22" s="32">
        <f>BM21 + IF(Overview!$B$14="Gnome",AC13,AC10) -CK22</f>
        <v>0</v>
      </c>
      <c r="BN22" s="33">
        <f>BN21 + IF(Overview!$B$14="Gnome",AD13,AD10) -CL22</f>
        <v>0</v>
      </c>
      <c r="BO22" s="33">
        <f>BO21 + IF(Overview!$B$14="Gnome",AE13,AE10) -CM22</f>
        <v>0</v>
      </c>
      <c r="BP22" s="69">
        <f>BP21 + IF(Overview!$B$14="Gnome",AF13,AF10) -CN22</f>
        <v>0</v>
      </c>
      <c r="BR22" s="442"/>
      <c r="BS22" s="156">
        <f t="shared" si="4"/>
        <v>1000</v>
      </c>
      <c r="BT22" s="574">
        <f t="shared" si="43"/>
        <v>43692.791666666621</v>
      </c>
      <c r="BV22" s="356"/>
      <c r="BW22" s="348"/>
      <c r="BX22" s="348"/>
      <c r="BY22" s="348"/>
      <c r="BZ22" s="348"/>
      <c r="CA22" s="348"/>
      <c r="CB22" s="348"/>
      <c r="CC22" s="348"/>
      <c r="CD22" s="348"/>
      <c r="CE22" s="348"/>
      <c r="CF22" s="348"/>
      <c r="CG22" s="348"/>
      <c r="CH22" s="348"/>
      <c r="CI22" s="348"/>
      <c r="CJ22" s="348"/>
      <c r="CK22" s="348"/>
      <c r="CL22" s="348"/>
      <c r="CM22" s="360"/>
      <c r="CN22" s="357"/>
      <c r="CP22" s="86">
        <f>-SUM($O22:$R22)+SUM($BW22:BZ22)+Rezone!L22+IF(home_land=CP$2,CW22) + Explore!T10</f>
        <v>0</v>
      </c>
      <c r="CQ22" s="37">
        <f>-SUM($S22:$T22)+SUM($CA22:$CB22) +Rezone!M22 + IF(home_land=CQ$2,CW22) + Explore!U10</f>
        <v>0</v>
      </c>
      <c r="CR22" s="247">
        <f>-SUM($U22:$V22)+SUM($CC22:$CD22) +Rezone!N22 + IF(home_land=CR$2,CW22) + Explore!V10</f>
        <v>0</v>
      </c>
      <c r="CS22" s="38">
        <f>-SUM($W22:$Z22)+SUM($CE22:$CH22) +Rezone!O22 + IF(home_land=CS$2,CW22) + Explore!W10</f>
        <v>0</v>
      </c>
      <c r="CT22" s="39">
        <f>-SUM($AA22:$AC22)+SUM($CI22:$CK22) +Rezone!P22 + IF(home_land=CT$2,CW22) + Explore!X10</f>
        <v>0</v>
      </c>
      <c r="CU22" s="40">
        <f xml:space="preserve"> - SUM($AD22,$AE22)+SUM($CL22,$CM22) +Rezone!Q22 + IF(home_land=CU$2,CW22)+Explore!Y10</f>
        <v>0</v>
      </c>
      <c r="CV22" s="500">
        <f>-$AF22+$CN22 +Rezone!R22 + IF(home_land=CV$2,CW22) + Explore!Z10</f>
        <v>0</v>
      </c>
      <c r="CW22" s="159">
        <f>IF(Explore!S22=1,25) - N22 + BV22</f>
        <v>0</v>
      </c>
      <c r="CY22" s="152">
        <f t="shared" si="44"/>
        <v>280</v>
      </c>
      <c r="CZ22" s="164">
        <f t="shared" si="45"/>
        <v>150</v>
      </c>
      <c r="DA22" s="16">
        <f t="shared" si="46"/>
        <v>150</v>
      </c>
      <c r="DB22" s="164">
        <f t="shared" si="47"/>
        <v>150</v>
      </c>
      <c r="DC22" s="164">
        <f t="shared" si="48"/>
        <v>150</v>
      </c>
      <c r="DD22" s="16">
        <f t="shared" si="49"/>
        <v>20</v>
      </c>
      <c r="DE22" s="166">
        <f t="shared" si="50"/>
        <v>100</v>
      </c>
      <c r="DF22" s="164">
        <f t="shared" ca="1" si="53"/>
        <v>280</v>
      </c>
      <c r="DG22" s="16">
        <f t="shared" si="54"/>
        <v>0</v>
      </c>
      <c r="DH22" s="16">
        <f t="shared" si="55"/>
        <v>22</v>
      </c>
      <c r="DI22" s="166"/>
    </row>
    <row r="23" spans="1:113" s="16" customFormat="1">
      <c r="A23" s="36">
        <f t="shared" si="41"/>
        <v>620</v>
      </c>
      <c r="B23" s="36">
        <f t="shared" si="51"/>
        <v>380</v>
      </c>
      <c r="C23" s="83">
        <f t="shared" si="42"/>
        <v>0</v>
      </c>
      <c r="D23" s="574"/>
      <c r="E23" s="16">
        <f t="shared" si="2"/>
        <v>1000</v>
      </c>
      <c r="F23" s="86">
        <f t="shared" si="5"/>
        <v>0</v>
      </c>
      <c r="G23" s="37">
        <f t="shared" si="6"/>
        <v>100</v>
      </c>
      <c r="H23" s="247">
        <f t="shared" si="7"/>
        <v>150</v>
      </c>
      <c r="I23" s="38">
        <f t="shared" si="8"/>
        <v>150</v>
      </c>
      <c r="J23" s="39">
        <f t="shared" si="9"/>
        <v>100</v>
      </c>
      <c r="K23" s="40">
        <f t="shared" si="10"/>
        <v>20</v>
      </c>
      <c r="L23" s="500">
        <f t="shared" si="11"/>
        <v>100</v>
      </c>
      <c r="M23" s="635">
        <f>Rezone!J23</f>
        <v>21</v>
      </c>
      <c r="N23" s="356"/>
      <c r="O23" s="348"/>
      <c r="P23" s="348"/>
      <c r="Q23" s="376"/>
      <c r="R23" s="345"/>
      <c r="S23" s="348"/>
      <c r="T23" s="348"/>
      <c r="U23" s="348"/>
      <c r="V23" s="348"/>
      <c r="W23" s="345"/>
      <c r="X23" s="345"/>
      <c r="Y23" s="348"/>
      <c r="Z23" s="345"/>
      <c r="AA23" s="348"/>
      <c r="AB23" s="348"/>
      <c r="AC23" s="345"/>
      <c r="AD23" s="348"/>
      <c r="AE23" s="348"/>
      <c r="AF23" s="336"/>
      <c r="AG23" s="532">
        <f t="shared" si="52"/>
        <v>43692.833333333285</v>
      </c>
      <c r="AH23" s="91">
        <f>MIN(25%,(BG23+CE23)/(E23-Explore!S23*20))</f>
        <v>0</v>
      </c>
      <c r="AI23" s="59">
        <f t="shared" si="13"/>
        <v>0</v>
      </c>
      <c r="AJ23" s="56">
        <f ca="1">Production!$H23</f>
        <v>3160531</v>
      </c>
      <c r="AK23" s="57">
        <f ca="1">Production!$J23</f>
        <v>292859</v>
      </c>
      <c r="AL23" s="152">
        <f ca="1">ROUND( (1 - MIN(facs_constr_factor*$AH23,facs_constr_max)) * (1+MIN(tech_construction*Techs!AC23,tech_conquerors_crafts*Techs!AS23)) * AU23*(1+race_construction_cost),0)</f>
        <v>1615</v>
      </c>
      <c r="AM23" s="166">
        <f t="shared" si="3"/>
        <v>263</v>
      </c>
      <c r="AN23" s="152">
        <f ca="1">ROUND( (1 - MIN(facs_constr_factor*$AI23,facs_constr_max)) * (1+MIN(tech_construction*Techs!AE23,tech_conquerors_crafts*Techs!AU23)) * AU23*(1+race_construction_cost),0)</f>
        <v>1615</v>
      </c>
      <c r="AO23" s="166">
        <f t="shared" si="14"/>
        <v>263</v>
      </c>
      <c r="AP23" s="16">
        <f t="shared" ca="1" si="56"/>
        <v>0</v>
      </c>
      <c r="AQ23" s="53">
        <f t="shared" si="57"/>
        <v>0</v>
      </c>
      <c r="AR23" s="16">
        <f>MIN(SUM(F22:L22)+SUM(Explore!T11:Z11)+SUM(BV23:CN23),SUM($N23:$AF23))</f>
        <v>0</v>
      </c>
      <c r="AS23" s="16">
        <f>IF(Explore!S23&lt;&gt;0,MAX(0, MIN(20, 20 + SUM(N23:AF23) - SUM(BV23:CN23) - SUM(F22:L22)-SUM(Explore!T11:Z11)-20*Explore!S23)),0)</f>
        <v>0</v>
      </c>
      <c r="AU23" s="152">
        <f t="shared" si="17"/>
        <v>1615</v>
      </c>
      <c r="AV23" s="166">
        <f t="shared" si="18"/>
        <v>262.5</v>
      </c>
      <c r="AW23" s="164"/>
      <c r="AX23" s="295">
        <f>AX22 + IF(Overview!$B$14="Gnome",N14,N11) -BV23</f>
        <v>0</v>
      </c>
      <c r="AY23" s="28">
        <f>AY22 + IF(Overview!$B$14="Gnome",O14,O11) -BW23</f>
        <v>0</v>
      </c>
      <c r="AZ23" s="28">
        <f>AZ22 + IF(Overview!$B$14="Gnome",P14,P11) -BX23</f>
        <v>80</v>
      </c>
      <c r="BA23" s="28">
        <f>BA22 + IF(Overview!$B$14="Gnome",Q14,Q11) -BY23</f>
        <v>200</v>
      </c>
      <c r="BB23" s="28">
        <f>BB22 + IF(Overview!$B$14="Gnome",R14,R11) -BZ23</f>
        <v>0</v>
      </c>
      <c r="BC23" s="29">
        <f>BC22 + IF(Overview!$B$14="Gnome",S14,S11) -CA23</f>
        <v>50</v>
      </c>
      <c r="BD23" s="29">
        <f>BD22 + IF(Overview!$B$14="Gnome",T14,T11) -CB23</f>
        <v>0</v>
      </c>
      <c r="BE23" s="30">
        <f>BE22 + IF(Overview!$B$14="Gnome",U14,U11) -CC23</f>
        <v>0</v>
      </c>
      <c r="BF23" s="30">
        <f>BF22 + IF(Overview!$B$14="Gnome",V14,V11) -CD23</f>
        <v>0</v>
      </c>
      <c r="BG23" s="31">
        <f>BG22 + IF(Overview!$B$14="Gnome",W14,W11) -CE23</f>
        <v>0</v>
      </c>
      <c r="BH23" s="31">
        <f>BH22 + IF(Overview!$B$14="Gnome",X14,X11) -CF23</f>
        <v>0</v>
      </c>
      <c r="BI23" s="31">
        <f>BI22 + IF(Overview!$B$14="Gnome",Y14,Y11) -CG23</f>
        <v>0</v>
      </c>
      <c r="BJ23" s="31">
        <f>BJ22 + IF(Overview!$B$14="Gnome",Z14,Z11) -CH23</f>
        <v>0</v>
      </c>
      <c r="BK23" s="32">
        <f>BK22 + IF(Overview!$B$14="Gnome",AA14,AA11) -CI23</f>
        <v>50</v>
      </c>
      <c r="BL23" s="32">
        <f>BL22 + IF(Overview!$B$14="Gnome",AB14,AB11) -CJ23</f>
        <v>0</v>
      </c>
      <c r="BM23" s="32">
        <f>BM22 + IF(Overview!$B$14="Gnome",AC14,AC11) -CK23</f>
        <v>0</v>
      </c>
      <c r="BN23" s="33">
        <f>BN22 + IF(Overview!$B$14="Gnome",AD14,AD11) -CL23</f>
        <v>0</v>
      </c>
      <c r="BO23" s="33">
        <f>BO22 + IF(Overview!$B$14="Gnome",AE14,AE11) -CM23</f>
        <v>0</v>
      </c>
      <c r="BP23" s="69">
        <f>BP22 + IF(Overview!$B$14="Gnome",AF14,AF11) -CN23</f>
        <v>0</v>
      </c>
      <c r="BR23" s="442"/>
      <c r="BS23" s="156">
        <f t="shared" si="4"/>
        <v>1000</v>
      </c>
      <c r="BT23" s="574">
        <f t="shared" si="43"/>
        <v>43692.833333333285</v>
      </c>
      <c r="BV23" s="356"/>
      <c r="BW23" s="348"/>
      <c r="BX23" s="348"/>
      <c r="BY23" s="348"/>
      <c r="BZ23" s="348"/>
      <c r="CA23" s="348"/>
      <c r="CB23" s="348"/>
      <c r="CC23" s="348"/>
      <c r="CD23" s="348"/>
      <c r="CE23" s="348"/>
      <c r="CF23" s="348"/>
      <c r="CG23" s="348"/>
      <c r="CH23" s="348"/>
      <c r="CI23" s="348"/>
      <c r="CJ23" s="348"/>
      <c r="CK23" s="348"/>
      <c r="CL23" s="348"/>
      <c r="CM23" s="360"/>
      <c r="CN23" s="357"/>
      <c r="CP23" s="86">
        <f>-SUM($O23:$R23)+SUM($BW23:BZ23)+Rezone!L23+IF(home_land=CP$2,CW23) + Explore!T11</f>
        <v>0</v>
      </c>
      <c r="CQ23" s="37">
        <f>-SUM($S23:$T23)+SUM($CA23:$CB23) +Rezone!M23 + IF(home_land=CQ$2,CW23) + Explore!U11</f>
        <v>0</v>
      </c>
      <c r="CR23" s="247">
        <f>-SUM($U23:$V23)+SUM($CC23:$CD23) +Rezone!N23 + IF(home_land=CR$2,CW23) + Explore!V11</f>
        <v>0</v>
      </c>
      <c r="CS23" s="38">
        <f>-SUM($W23:$Z23)+SUM($CE23:$CH23) +Rezone!O23 + IF(home_land=CS$2,CW23) + Explore!W11</f>
        <v>0</v>
      </c>
      <c r="CT23" s="39">
        <f>-SUM($AA23:$AC23)+SUM($CI23:$CK23) +Rezone!P23 + IF(home_land=CT$2,CW23) + Explore!X11</f>
        <v>0</v>
      </c>
      <c r="CU23" s="40">
        <f xml:space="preserve"> - SUM($AD23,$AE23)+SUM($CL23,$CM23) +Rezone!Q23 + IF(home_land=CU$2,CW23)+Explore!Y11</f>
        <v>0</v>
      </c>
      <c r="CV23" s="500">
        <f>-$AF23+$CN23 +Rezone!R23 + IF(home_land=CV$2,CW23) + Explore!Z11</f>
        <v>0</v>
      </c>
      <c r="CW23" s="159">
        <f>IF(Explore!S23=1,25) - N23 + BV23</f>
        <v>0</v>
      </c>
      <c r="CY23" s="152">
        <f t="shared" si="44"/>
        <v>280</v>
      </c>
      <c r="CZ23" s="164">
        <f t="shared" si="45"/>
        <v>150</v>
      </c>
      <c r="DA23" s="16">
        <f t="shared" si="46"/>
        <v>150</v>
      </c>
      <c r="DB23" s="164">
        <f t="shared" si="47"/>
        <v>150</v>
      </c>
      <c r="DC23" s="164">
        <f t="shared" si="48"/>
        <v>150</v>
      </c>
      <c r="DD23" s="16">
        <f t="shared" si="49"/>
        <v>20</v>
      </c>
      <c r="DE23" s="166">
        <f t="shared" si="50"/>
        <v>100</v>
      </c>
      <c r="DF23" s="164">
        <f t="shared" ca="1" si="53"/>
        <v>280</v>
      </c>
      <c r="DG23" s="16">
        <f t="shared" si="54"/>
        <v>0</v>
      </c>
      <c r="DH23" s="16">
        <f t="shared" si="55"/>
        <v>23</v>
      </c>
      <c r="DI23" s="166"/>
    </row>
    <row r="24" spans="1:113" s="16" customFormat="1">
      <c r="A24" s="36">
        <f t="shared" si="41"/>
        <v>620</v>
      </c>
      <c r="B24" s="36">
        <f t="shared" si="51"/>
        <v>380</v>
      </c>
      <c r="C24" s="83">
        <f t="shared" si="42"/>
        <v>0</v>
      </c>
      <c r="D24" s="574"/>
      <c r="E24" s="16">
        <f t="shared" si="2"/>
        <v>1000</v>
      </c>
      <c r="F24" s="86">
        <f t="shared" si="5"/>
        <v>0</v>
      </c>
      <c r="G24" s="37">
        <f t="shared" si="6"/>
        <v>100</v>
      </c>
      <c r="H24" s="247">
        <f t="shared" si="7"/>
        <v>150</v>
      </c>
      <c r="I24" s="38">
        <f t="shared" si="8"/>
        <v>150</v>
      </c>
      <c r="J24" s="39">
        <f t="shared" si="9"/>
        <v>100</v>
      </c>
      <c r="K24" s="40">
        <f t="shared" si="10"/>
        <v>20</v>
      </c>
      <c r="L24" s="500">
        <f t="shared" si="11"/>
        <v>100</v>
      </c>
      <c r="M24" s="635">
        <f>Rezone!J24</f>
        <v>22</v>
      </c>
      <c r="N24" s="356"/>
      <c r="O24" s="348"/>
      <c r="P24" s="348"/>
      <c r="Q24" s="376"/>
      <c r="R24" s="345"/>
      <c r="S24" s="348"/>
      <c r="T24" s="348"/>
      <c r="U24" s="348"/>
      <c r="V24" s="348"/>
      <c r="W24" s="345"/>
      <c r="X24" s="345"/>
      <c r="Y24" s="348"/>
      <c r="Z24" s="345"/>
      <c r="AA24" s="348"/>
      <c r="AB24" s="348"/>
      <c r="AC24" s="345"/>
      <c r="AD24" s="348"/>
      <c r="AE24" s="348"/>
      <c r="AF24" s="336"/>
      <c r="AG24" s="532">
        <f t="shared" si="52"/>
        <v>43692.874999999949</v>
      </c>
      <c r="AH24" s="91">
        <f>MIN(25%,(BG24+CE24)/(E24-Explore!S24*20))</f>
        <v>0</v>
      </c>
      <c r="AI24" s="59">
        <f t="shared" si="13"/>
        <v>0</v>
      </c>
      <c r="AJ24" s="56">
        <f ca="1">Production!$H24</f>
        <v>3171182</v>
      </c>
      <c r="AK24" s="57">
        <f ca="1">Production!$J24</f>
        <v>292430</v>
      </c>
      <c r="AL24" s="152">
        <f ca="1">ROUND( (1 - MIN(facs_constr_factor*$AH24,facs_constr_max)) * (1+MIN(tech_construction*Techs!AC24,tech_conquerors_crafts*Techs!AS24)) * AU24*(1+race_construction_cost),0)</f>
        <v>1615</v>
      </c>
      <c r="AM24" s="166">
        <f t="shared" si="3"/>
        <v>263</v>
      </c>
      <c r="AN24" s="152">
        <f ca="1">ROUND( (1 - MIN(facs_constr_factor*$AI24,facs_constr_max)) * (1+MIN(tech_construction*Techs!AE24,tech_conquerors_crafts*Techs!AU24)) * AU24*(1+race_construction_cost),0)</f>
        <v>1615</v>
      </c>
      <c r="AO24" s="166">
        <f t="shared" si="14"/>
        <v>263</v>
      </c>
      <c r="AP24" s="16">
        <f t="shared" ca="1" si="56"/>
        <v>0</v>
      </c>
      <c r="AQ24" s="53">
        <f t="shared" si="57"/>
        <v>0</v>
      </c>
      <c r="AR24" s="16">
        <f>MIN(SUM(F23:L23)+SUM(Explore!T12:Z12)+SUM(BV24:CN24),SUM($N24:$AF24))</f>
        <v>0</v>
      </c>
      <c r="AS24" s="16">
        <f>IF(Explore!S24&lt;&gt;0,MAX(0, MIN(20, 20 + SUM(N24:AF24) - SUM(BV24:CN24) - SUM(F23:L23)-SUM(Explore!T12:Z12)-20*Explore!S24)),0)</f>
        <v>0</v>
      </c>
      <c r="AU24" s="152">
        <f t="shared" si="17"/>
        <v>1615</v>
      </c>
      <c r="AV24" s="166">
        <f t="shared" si="18"/>
        <v>262.5</v>
      </c>
      <c r="AW24" s="164"/>
      <c r="AX24" s="295">
        <f>AX23 + IF(Overview!$B$14="Gnome",N15,N12) -BV24</f>
        <v>0</v>
      </c>
      <c r="AY24" s="28">
        <f>AY23 + IF(Overview!$B$14="Gnome",O15,O12) -BW24</f>
        <v>0</v>
      </c>
      <c r="AZ24" s="28">
        <f>AZ23 + IF(Overview!$B$14="Gnome",P15,P12) -BX24</f>
        <v>80</v>
      </c>
      <c r="BA24" s="28">
        <f>BA23 + IF(Overview!$B$14="Gnome",Q15,Q12) -BY24</f>
        <v>200</v>
      </c>
      <c r="BB24" s="28">
        <f>BB23 + IF(Overview!$B$14="Gnome",R15,R12) -BZ24</f>
        <v>0</v>
      </c>
      <c r="BC24" s="29">
        <f>BC23 + IF(Overview!$B$14="Gnome",S15,S12) -CA24</f>
        <v>50</v>
      </c>
      <c r="BD24" s="29">
        <f>BD23 + IF(Overview!$B$14="Gnome",T15,T12) -CB24</f>
        <v>0</v>
      </c>
      <c r="BE24" s="30">
        <f>BE23 + IF(Overview!$B$14="Gnome",U15,U12) -CC24</f>
        <v>0</v>
      </c>
      <c r="BF24" s="30">
        <f>BF23 + IF(Overview!$B$14="Gnome",V15,V12) -CD24</f>
        <v>0</v>
      </c>
      <c r="BG24" s="31">
        <f>BG23 + IF(Overview!$B$14="Gnome",W15,W12) -CE24</f>
        <v>0</v>
      </c>
      <c r="BH24" s="31">
        <f>BH23 + IF(Overview!$B$14="Gnome",X15,X12) -CF24</f>
        <v>0</v>
      </c>
      <c r="BI24" s="31">
        <f>BI23 + IF(Overview!$B$14="Gnome",Y15,Y12) -CG24</f>
        <v>0</v>
      </c>
      <c r="BJ24" s="31">
        <f>BJ23 + IF(Overview!$B$14="Gnome",Z15,Z12) -CH24</f>
        <v>0</v>
      </c>
      <c r="BK24" s="32">
        <f>BK23 + IF(Overview!$B$14="Gnome",AA15,AA12) -CI24</f>
        <v>50</v>
      </c>
      <c r="BL24" s="32">
        <f>BL23 + IF(Overview!$B$14="Gnome",AB15,AB12) -CJ24</f>
        <v>0</v>
      </c>
      <c r="BM24" s="32">
        <f>BM23 + IF(Overview!$B$14="Gnome",AC15,AC12) -CK24</f>
        <v>0</v>
      </c>
      <c r="BN24" s="33">
        <f>BN23 + IF(Overview!$B$14="Gnome",AD15,AD12) -CL24</f>
        <v>0</v>
      </c>
      <c r="BO24" s="33">
        <f>BO23 + IF(Overview!$B$14="Gnome",AE15,AE12) -CM24</f>
        <v>0</v>
      </c>
      <c r="BP24" s="69">
        <f>BP23 + IF(Overview!$B$14="Gnome",AF15,AF12) -CN24</f>
        <v>0</v>
      </c>
      <c r="BR24" s="442"/>
      <c r="BS24" s="156">
        <f t="shared" si="4"/>
        <v>1000</v>
      </c>
      <c r="BT24" s="574">
        <f t="shared" si="43"/>
        <v>43692.874999999949</v>
      </c>
      <c r="BV24" s="356"/>
      <c r="BW24" s="348"/>
      <c r="BX24" s="348"/>
      <c r="BY24" s="348"/>
      <c r="BZ24" s="348"/>
      <c r="CA24" s="348"/>
      <c r="CB24" s="348"/>
      <c r="CC24" s="348"/>
      <c r="CD24" s="348"/>
      <c r="CE24" s="348"/>
      <c r="CF24" s="348"/>
      <c r="CG24" s="348"/>
      <c r="CH24" s="348"/>
      <c r="CI24" s="348"/>
      <c r="CJ24" s="348"/>
      <c r="CK24" s="348"/>
      <c r="CL24" s="348"/>
      <c r="CM24" s="360"/>
      <c r="CN24" s="357"/>
      <c r="CP24" s="86">
        <f>-SUM($O24:$R24)+SUM($BW24:BZ24)+Rezone!L24+IF(home_land=CP$2,CW24) + Explore!T12</f>
        <v>0</v>
      </c>
      <c r="CQ24" s="37">
        <f>-SUM($S24:$T24)+SUM($CA24:$CB24) +Rezone!M24 + IF(home_land=CQ$2,CW24) + Explore!U12</f>
        <v>0</v>
      </c>
      <c r="CR24" s="247">
        <f>-SUM($U24:$V24)+SUM($CC24:$CD24) +Rezone!N24 + IF(home_land=CR$2,CW24) + Explore!V12</f>
        <v>0</v>
      </c>
      <c r="CS24" s="38">
        <f>-SUM($W24:$Z24)+SUM($CE24:$CH24) +Rezone!O24 + IF(home_land=CS$2,CW24) + Explore!W12</f>
        <v>0</v>
      </c>
      <c r="CT24" s="39">
        <f>-SUM($AA24:$AC24)+SUM($CI24:$CK24) +Rezone!P24 + IF(home_land=CT$2,CW24) + Explore!X12</f>
        <v>0</v>
      </c>
      <c r="CU24" s="40">
        <f xml:space="preserve"> - SUM($AD24,$AE24)+SUM($CL24,$CM24) +Rezone!Q24 + IF(home_land=CU$2,CW24)+Explore!Y12</f>
        <v>0</v>
      </c>
      <c r="CV24" s="500">
        <f>-$AF24+$CN24 +Rezone!R24 + IF(home_land=CV$2,CW24) + Explore!Z12</f>
        <v>0</v>
      </c>
      <c r="CW24" s="159">
        <f>IF(Explore!S24=1,25) - N24 + BV24</f>
        <v>0</v>
      </c>
      <c r="CY24" s="152">
        <f t="shared" si="44"/>
        <v>280</v>
      </c>
      <c r="CZ24" s="164">
        <f t="shared" si="45"/>
        <v>150</v>
      </c>
      <c r="DA24" s="16">
        <f t="shared" si="46"/>
        <v>150</v>
      </c>
      <c r="DB24" s="164">
        <f t="shared" si="47"/>
        <v>150</v>
      </c>
      <c r="DC24" s="164">
        <f t="shared" si="48"/>
        <v>150</v>
      </c>
      <c r="DD24" s="16">
        <f t="shared" si="49"/>
        <v>20</v>
      </c>
      <c r="DE24" s="166">
        <f t="shared" si="50"/>
        <v>100</v>
      </c>
      <c r="DF24" s="164">
        <f t="shared" ca="1" si="53"/>
        <v>280</v>
      </c>
      <c r="DG24" s="16">
        <f t="shared" si="54"/>
        <v>0</v>
      </c>
      <c r="DH24" s="16">
        <f t="shared" si="55"/>
        <v>24</v>
      </c>
      <c r="DI24" s="166"/>
    </row>
    <row r="25" spans="1:113" s="16" customFormat="1">
      <c r="A25" s="36">
        <f t="shared" si="41"/>
        <v>620</v>
      </c>
      <c r="B25" s="36">
        <f t="shared" si="51"/>
        <v>380</v>
      </c>
      <c r="C25" s="83">
        <f t="shared" si="42"/>
        <v>0</v>
      </c>
      <c r="D25" s="574"/>
      <c r="E25" s="16">
        <f t="shared" si="2"/>
        <v>1000</v>
      </c>
      <c r="F25" s="86">
        <f t="shared" si="5"/>
        <v>0</v>
      </c>
      <c r="G25" s="37">
        <f t="shared" si="6"/>
        <v>100</v>
      </c>
      <c r="H25" s="247">
        <f t="shared" si="7"/>
        <v>150</v>
      </c>
      <c r="I25" s="38">
        <f t="shared" si="8"/>
        <v>150</v>
      </c>
      <c r="J25" s="39">
        <f t="shared" si="9"/>
        <v>100</v>
      </c>
      <c r="K25" s="40">
        <f t="shared" si="10"/>
        <v>20</v>
      </c>
      <c r="L25" s="500">
        <f t="shared" si="11"/>
        <v>100</v>
      </c>
      <c r="M25" s="635">
        <f>Rezone!J25</f>
        <v>23</v>
      </c>
      <c r="N25" s="356"/>
      <c r="O25" s="348"/>
      <c r="P25" s="348"/>
      <c r="Q25" s="376"/>
      <c r="R25" s="345"/>
      <c r="S25" s="348"/>
      <c r="T25" s="348"/>
      <c r="U25" s="348"/>
      <c r="V25" s="348"/>
      <c r="W25" s="345"/>
      <c r="X25" s="345"/>
      <c r="Y25" s="348"/>
      <c r="Z25" s="345"/>
      <c r="AA25" s="348"/>
      <c r="AB25" s="348"/>
      <c r="AC25" s="345"/>
      <c r="AD25" s="348"/>
      <c r="AE25" s="348"/>
      <c r="AF25" s="336"/>
      <c r="AG25" s="532">
        <f t="shared" si="52"/>
        <v>43692.916666666613</v>
      </c>
      <c r="AH25" s="91">
        <f>MIN(25%,(BG25+CE25)/(E25-Explore!S25*20))</f>
        <v>0</v>
      </c>
      <c r="AI25" s="59">
        <f t="shared" si="13"/>
        <v>0</v>
      </c>
      <c r="AJ25" s="56">
        <f ca="1">Production!$H25</f>
        <v>3181833</v>
      </c>
      <c r="AK25" s="57">
        <f ca="1">Production!$J25</f>
        <v>292006</v>
      </c>
      <c r="AL25" s="152">
        <f ca="1">ROUND( (1 - MIN(facs_constr_factor*$AH25,facs_constr_max)) * (1+MIN(tech_construction*Techs!AC25,tech_conquerors_crafts*Techs!AS25)) * AU25*(1+race_construction_cost),0)</f>
        <v>1615</v>
      </c>
      <c r="AM25" s="166">
        <f t="shared" si="3"/>
        <v>263</v>
      </c>
      <c r="AN25" s="152">
        <f ca="1">ROUND( (1 - MIN(facs_constr_factor*$AI25,facs_constr_max)) * (1+MIN(tech_construction*Techs!AE25,tech_conquerors_crafts*Techs!AU25)) * AU25*(1+race_construction_cost),0)</f>
        <v>1615</v>
      </c>
      <c r="AO25" s="166">
        <f t="shared" si="14"/>
        <v>263</v>
      </c>
      <c r="AP25" s="16">
        <f t="shared" ca="1" si="56"/>
        <v>0</v>
      </c>
      <c r="AQ25" s="53">
        <f t="shared" si="57"/>
        <v>0</v>
      </c>
      <c r="AR25" s="16">
        <f>MIN(SUM(F24:L24)+SUM(Explore!T13:Z13)+SUM(BV25:CN25),SUM($N25:$AF25))</f>
        <v>0</v>
      </c>
      <c r="AS25" s="16">
        <f>IF(Explore!S25&lt;&gt;0,MAX(0, MIN(20, 20 + SUM(N25:AF25) - SUM(BV25:CN25) - SUM(F24:L24)-SUM(Explore!T13:Z13)-20*Explore!S25)),0)</f>
        <v>0</v>
      </c>
      <c r="AU25" s="152">
        <f t="shared" si="17"/>
        <v>1615</v>
      </c>
      <c r="AV25" s="166">
        <f t="shared" si="18"/>
        <v>262.5</v>
      </c>
      <c r="AW25" s="164"/>
      <c r="AX25" s="295">
        <f>AX24 + IF(Overview!$B$14="Gnome",N16,N13) -BV25</f>
        <v>0</v>
      </c>
      <c r="AY25" s="28">
        <f>AY24 + IF(Overview!$B$14="Gnome",O16,O13) -BW25</f>
        <v>0</v>
      </c>
      <c r="AZ25" s="28">
        <f>AZ24 + IF(Overview!$B$14="Gnome",P16,P13) -BX25</f>
        <v>80</v>
      </c>
      <c r="BA25" s="28">
        <f>BA24 + IF(Overview!$B$14="Gnome",Q16,Q13) -BY25</f>
        <v>200</v>
      </c>
      <c r="BB25" s="28">
        <f>BB24 + IF(Overview!$B$14="Gnome",R16,R13) -BZ25</f>
        <v>0</v>
      </c>
      <c r="BC25" s="29">
        <f>BC24 + IF(Overview!$B$14="Gnome",S16,S13) -CA25</f>
        <v>50</v>
      </c>
      <c r="BD25" s="29">
        <f>BD24 + IF(Overview!$B$14="Gnome",T16,T13) -CB25</f>
        <v>0</v>
      </c>
      <c r="BE25" s="30">
        <f>BE24 + IF(Overview!$B$14="Gnome",U16,U13) -CC25</f>
        <v>0</v>
      </c>
      <c r="BF25" s="30">
        <f>BF24 + IF(Overview!$B$14="Gnome",V16,V13) -CD25</f>
        <v>0</v>
      </c>
      <c r="BG25" s="31">
        <f>BG24 + IF(Overview!$B$14="Gnome",W16,W13) -CE25</f>
        <v>0</v>
      </c>
      <c r="BH25" s="31">
        <f>BH24 + IF(Overview!$B$14="Gnome",X16,X13) -CF25</f>
        <v>0</v>
      </c>
      <c r="BI25" s="31">
        <f>BI24 + IF(Overview!$B$14="Gnome",Y16,Y13) -CG25</f>
        <v>0</v>
      </c>
      <c r="BJ25" s="31">
        <f>BJ24 + IF(Overview!$B$14="Gnome",Z16,Z13) -CH25</f>
        <v>0</v>
      </c>
      <c r="BK25" s="32">
        <f>BK24 + IF(Overview!$B$14="Gnome",AA16,AA13) -CI25</f>
        <v>50</v>
      </c>
      <c r="BL25" s="32">
        <f>BL24 + IF(Overview!$B$14="Gnome",AB16,AB13) -CJ25</f>
        <v>0</v>
      </c>
      <c r="BM25" s="32">
        <f>BM24 + IF(Overview!$B$14="Gnome",AC16,AC13) -CK25</f>
        <v>0</v>
      </c>
      <c r="BN25" s="33">
        <f>BN24 + IF(Overview!$B$14="Gnome",AD16,AD13) -CL25</f>
        <v>0</v>
      </c>
      <c r="BO25" s="33">
        <f>BO24 + IF(Overview!$B$14="Gnome",AE16,AE13) -CM25</f>
        <v>0</v>
      </c>
      <c r="BP25" s="69">
        <f>BP24 + IF(Overview!$B$14="Gnome",AF16,AF13) -CN25</f>
        <v>0</v>
      </c>
      <c r="BR25" s="442"/>
      <c r="BS25" s="156">
        <f t="shared" si="4"/>
        <v>1000</v>
      </c>
      <c r="BT25" s="574">
        <f t="shared" si="43"/>
        <v>43692.916666666613</v>
      </c>
      <c r="BV25" s="356"/>
      <c r="BW25" s="348"/>
      <c r="BX25" s="348"/>
      <c r="BY25" s="348"/>
      <c r="BZ25" s="348"/>
      <c r="CA25" s="348"/>
      <c r="CB25" s="348"/>
      <c r="CC25" s="348"/>
      <c r="CD25" s="348"/>
      <c r="CE25" s="348"/>
      <c r="CF25" s="348"/>
      <c r="CG25" s="348"/>
      <c r="CH25" s="348"/>
      <c r="CI25" s="348"/>
      <c r="CJ25" s="348"/>
      <c r="CK25" s="348"/>
      <c r="CL25" s="348"/>
      <c r="CM25" s="360"/>
      <c r="CN25" s="357"/>
      <c r="CP25" s="86">
        <f>-SUM($O25:$R25)+SUM($BW25:BZ25)+Rezone!L25+IF(home_land=CP$2,CW25) + Explore!T13</f>
        <v>0</v>
      </c>
      <c r="CQ25" s="37">
        <f>-SUM($S25:$T25)+SUM($CA25:$CB25) +Rezone!M25 + IF(home_land=CQ$2,CW25) + Explore!U13</f>
        <v>0</v>
      </c>
      <c r="CR25" s="247">
        <f>-SUM($U25:$V25)+SUM($CC25:$CD25) +Rezone!N25 + IF(home_land=CR$2,CW25) + Explore!V13</f>
        <v>0</v>
      </c>
      <c r="CS25" s="38">
        <f>-SUM($W25:$Z25)+SUM($CE25:$CH25) +Rezone!O25 + IF(home_land=CS$2,CW25) + Explore!W13</f>
        <v>0</v>
      </c>
      <c r="CT25" s="39">
        <f>-SUM($AA25:$AC25)+SUM($CI25:$CK25) +Rezone!P25 + IF(home_land=CT$2,CW25) + Explore!X13</f>
        <v>0</v>
      </c>
      <c r="CU25" s="40">
        <f xml:space="preserve"> - SUM($AD25,$AE25)+SUM($CL25,$CM25) +Rezone!Q25 + IF(home_land=CU$2,CW25)+Explore!Y13</f>
        <v>0</v>
      </c>
      <c r="CV25" s="500">
        <f>-$AF25+$CN25 +Rezone!R25 + IF(home_land=CV$2,CW25) + Explore!Z13</f>
        <v>0</v>
      </c>
      <c r="CW25" s="159">
        <f>IF(Explore!S25=1,25) - N25 + BV25</f>
        <v>0</v>
      </c>
      <c r="CY25" s="152">
        <f t="shared" si="44"/>
        <v>280</v>
      </c>
      <c r="CZ25" s="164">
        <f t="shared" si="45"/>
        <v>150</v>
      </c>
      <c r="DA25" s="16">
        <f t="shared" si="46"/>
        <v>150</v>
      </c>
      <c r="DB25" s="164">
        <f t="shared" si="47"/>
        <v>150</v>
      </c>
      <c r="DC25" s="164">
        <f t="shared" si="48"/>
        <v>150</v>
      </c>
      <c r="DD25" s="16">
        <f t="shared" si="49"/>
        <v>20</v>
      </c>
      <c r="DE25" s="166">
        <f t="shared" si="50"/>
        <v>100</v>
      </c>
      <c r="DF25" s="164">
        <f t="shared" ca="1" si="53"/>
        <v>280</v>
      </c>
      <c r="DG25" s="16">
        <f t="shared" si="54"/>
        <v>0</v>
      </c>
      <c r="DH25" s="16">
        <f t="shared" si="55"/>
        <v>25</v>
      </c>
      <c r="DI25" s="166"/>
    </row>
    <row r="26" spans="1:113" s="170" customFormat="1" ht="13.5" thickBot="1">
      <c r="A26" s="242">
        <f t="shared" si="41"/>
        <v>620</v>
      </c>
      <c r="B26" s="242">
        <f>SUM(AX26:BP26)</f>
        <v>380</v>
      </c>
      <c r="C26" s="243">
        <f t="shared" si="42"/>
        <v>0</v>
      </c>
      <c r="D26" s="532"/>
      <c r="E26" s="170">
        <f t="shared" si="2"/>
        <v>1000</v>
      </c>
      <c r="F26" s="245">
        <f t="shared" si="5"/>
        <v>0</v>
      </c>
      <c r="G26" s="246">
        <f t="shared" si="6"/>
        <v>100</v>
      </c>
      <c r="H26" s="247">
        <f t="shared" si="7"/>
        <v>150</v>
      </c>
      <c r="I26" s="248">
        <f t="shared" si="8"/>
        <v>150</v>
      </c>
      <c r="J26" s="249">
        <f t="shared" si="9"/>
        <v>100</v>
      </c>
      <c r="K26" s="250">
        <f t="shared" si="10"/>
        <v>20</v>
      </c>
      <c r="L26" s="498">
        <f t="shared" si="11"/>
        <v>100</v>
      </c>
      <c r="M26" s="634">
        <f>Rezone!J26</f>
        <v>24</v>
      </c>
      <c r="N26" s="352"/>
      <c r="O26" s="363"/>
      <c r="P26" s="345"/>
      <c r="Q26" s="345"/>
      <c r="R26" s="345"/>
      <c r="S26" s="345"/>
      <c r="T26" s="345"/>
      <c r="U26" s="345"/>
      <c r="V26" s="345"/>
      <c r="W26" s="345"/>
      <c r="X26" s="345"/>
      <c r="Y26" s="345"/>
      <c r="Z26" s="345"/>
      <c r="AA26" s="345"/>
      <c r="AB26" s="345"/>
      <c r="AC26" s="345"/>
      <c r="AD26" s="345"/>
      <c r="AE26" s="345"/>
      <c r="AF26" s="336"/>
      <c r="AG26" s="532">
        <f t="shared" si="52"/>
        <v>43692.958333333278</v>
      </c>
      <c r="AH26" s="251">
        <f>MIN(25%,(BG26+CE26)/(E26-Explore!S26*20))</f>
        <v>0</v>
      </c>
      <c r="AI26" s="187">
        <f t="shared" si="13"/>
        <v>0</v>
      </c>
      <c r="AJ26" s="152">
        <f ca="1">Production!$H26</f>
        <v>3192484</v>
      </c>
      <c r="AK26" s="166">
        <f ca="1">Production!$J26</f>
        <v>291586</v>
      </c>
      <c r="AL26" s="152">
        <f ca="1">ROUND( (1 - MIN(facs_constr_factor*$AH26,facs_constr_max)) * (1+MIN(tech_construction*Techs!AC26,tech_conquerors_crafts*Techs!AS26)) * AU26*(1+race_construction_cost),0)</f>
        <v>1615</v>
      </c>
      <c r="AM26" s="166">
        <f t="shared" si="3"/>
        <v>263</v>
      </c>
      <c r="AN26" s="152">
        <f ca="1">ROUND( (1 - MIN(facs_constr_factor*$AI26,facs_constr_max)) * (1+MIN(tech_construction*Techs!AE26,tech_conquerors_crafts*Techs!AU26)) * AU26*(1+race_construction_cost),0)</f>
        <v>1615</v>
      </c>
      <c r="AO26" s="166">
        <f t="shared" si="14"/>
        <v>263</v>
      </c>
      <c r="AP26" s="170">
        <f t="shared" ca="1" si="56"/>
        <v>0</v>
      </c>
      <c r="AQ26" s="157">
        <f t="shared" si="57"/>
        <v>0</v>
      </c>
      <c r="AR26" s="170">
        <f>MIN(SUM(F25:L25)+SUM(Explore!T14:Z14)+SUM(BV26:CN26),SUM($N26:$AF26))</f>
        <v>0</v>
      </c>
      <c r="AS26" s="170">
        <f>IF(Explore!S26&lt;&gt;0,MAX(0, MIN(20, 20 + SUM(N26:AF26) - SUM(BV26:CN26) - SUM(F25:L25)-SUM(Explore!T14:Z14)-20*Explore!S26)),0)</f>
        <v>0</v>
      </c>
      <c r="AU26" s="152">
        <f t="shared" si="17"/>
        <v>1615</v>
      </c>
      <c r="AV26" s="166">
        <f t="shared" si="18"/>
        <v>262.5</v>
      </c>
      <c r="AW26" s="164"/>
      <c r="AX26" s="293">
        <f>AX25 + IF(Overview!$B$14="Gnome",N17,N14) -BV26</f>
        <v>0</v>
      </c>
      <c r="AY26" s="244">
        <f>AY25 + IF(Overview!$B$14="Gnome",O17,O14) -BW26</f>
        <v>0</v>
      </c>
      <c r="AZ26" s="244">
        <f>AZ25 + IF(Overview!$B$14="Gnome",P17,P14) -BX26</f>
        <v>80</v>
      </c>
      <c r="BA26" s="244">
        <f>BA25 + IF(Overview!$B$14="Gnome",Q17,Q14) -BY26</f>
        <v>200</v>
      </c>
      <c r="BB26" s="244">
        <f>BB25 + IF(Overview!$B$14="Gnome",R17,R14) -BZ26</f>
        <v>0</v>
      </c>
      <c r="BC26" s="206">
        <f>BC25 + IF(Overview!$B$14="Gnome",S17,S14) -CA26</f>
        <v>50</v>
      </c>
      <c r="BD26" s="206">
        <f>BD25 + IF(Overview!$B$14="Gnome",T17,T14) -CB26</f>
        <v>0</v>
      </c>
      <c r="BE26" s="207">
        <f>BE25 + IF(Overview!$B$14="Gnome",U17,U14) -CC26</f>
        <v>0</v>
      </c>
      <c r="BF26" s="207">
        <f>BF25 + IF(Overview!$B$14="Gnome",V17,V14) -CD26</f>
        <v>0</v>
      </c>
      <c r="BG26" s="208">
        <f>BG25 + IF(Overview!$B$14="Gnome",W17,W14) -CE26</f>
        <v>0</v>
      </c>
      <c r="BH26" s="208">
        <f>BH25 + IF(Overview!$B$14="Gnome",X17,X14) -CF26</f>
        <v>0</v>
      </c>
      <c r="BI26" s="208">
        <f>BI25 + IF(Overview!$B$14="Gnome",Y17,Y14) -CG26</f>
        <v>0</v>
      </c>
      <c r="BJ26" s="208">
        <f>BJ25 + IF(Overview!$B$14="Gnome",Z17,Z14) -CH26</f>
        <v>0</v>
      </c>
      <c r="BK26" s="209">
        <f>BK25 + IF(Overview!$B$14="Gnome",AA17,AA14) -CI26</f>
        <v>50</v>
      </c>
      <c r="BL26" s="209">
        <f>BL25 + IF(Overview!$B$14="Gnome",AB17,AB14) -CJ26</f>
        <v>0</v>
      </c>
      <c r="BM26" s="209">
        <f>BM25 + IF(Overview!$B$14="Gnome",AC17,AC14) -CK26</f>
        <v>0</v>
      </c>
      <c r="BN26" s="210">
        <f>BN25 + IF(Overview!$B$14="Gnome",AD17,AD14) -CL26</f>
        <v>0</v>
      </c>
      <c r="BO26" s="210">
        <f>BO25 + IF(Overview!$B$14="Gnome",AE17,AE14) -CM26</f>
        <v>0</v>
      </c>
      <c r="BP26" s="211">
        <f>BP25 + IF(Overview!$B$14="Gnome",AF17,AF14) -CN26</f>
        <v>0</v>
      </c>
      <c r="BR26" s="440"/>
      <c r="BS26" s="156">
        <f t="shared" si="4"/>
        <v>1000</v>
      </c>
      <c r="BT26" s="532">
        <f t="shared" si="43"/>
        <v>43692.958333333278</v>
      </c>
      <c r="BV26" s="352"/>
      <c r="BW26" s="345"/>
      <c r="BX26" s="345"/>
      <c r="BY26" s="345"/>
      <c r="BZ26" s="345"/>
      <c r="CA26" s="345"/>
      <c r="CB26" s="345"/>
      <c r="CC26" s="345"/>
      <c r="CD26" s="345"/>
      <c r="CE26" s="345"/>
      <c r="CF26" s="345"/>
      <c r="CG26" s="345"/>
      <c r="CH26" s="345"/>
      <c r="CI26" s="345"/>
      <c r="CJ26" s="345"/>
      <c r="CK26" s="345"/>
      <c r="CL26" s="345"/>
      <c r="CM26" s="763"/>
      <c r="CN26" s="353"/>
      <c r="CP26" s="245">
        <f>-SUM($O26:$R26)+SUM($BW26:BZ26)+Rezone!L26+IF(home_land=CP$2,CW26) + Explore!T14</f>
        <v>0</v>
      </c>
      <c r="CQ26" s="246">
        <f>-SUM($S26:$T26)+SUM($CA26:$CB26) +Rezone!M26 + IF(home_land=CQ$2,CW26) + Explore!U14</f>
        <v>0</v>
      </c>
      <c r="CR26" s="247">
        <f>-SUM($U26:$V26)+SUM($CC26:$CD26) +Rezone!N26 + IF(home_land=CR$2,CW26) + Explore!V14</f>
        <v>0</v>
      </c>
      <c r="CS26" s="248">
        <f>-SUM($W26:$Z26)+SUM($CE26:$CH26) +Rezone!O26 + IF(home_land=CS$2,CW26) + Explore!W14</f>
        <v>0</v>
      </c>
      <c r="CT26" s="249">
        <f>-SUM($AA26:$AC26)+SUM($CI26:$CK26) +Rezone!P26 + IF(home_land=CT$2,CW26) + Explore!X14</f>
        <v>0</v>
      </c>
      <c r="CU26" s="250">
        <f xml:space="preserve"> - SUM($AD26,$AE26)+SUM($CL26,$CM26) +Rezone!Q26 + IF(home_land=CU$2,CW26)+Explore!Y14</f>
        <v>0</v>
      </c>
      <c r="CV26" s="498">
        <f>-$AF26+$CN26 +Rezone!R26 + IF(home_land=CV$2,CW26) + Explore!Z14</f>
        <v>0</v>
      </c>
      <c r="CW26" s="159">
        <f>IF(Explore!S26=1,25) - N26 + BV26</f>
        <v>0</v>
      </c>
      <c r="CY26" s="152">
        <f t="shared" si="44"/>
        <v>280</v>
      </c>
      <c r="CZ26" s="164">
        <f t="shared" si="45"/>
        <v>150</v>
      </c>
      <c r="DA26" s="170">
        <f t="shared" si="46"/>
        <v>150</v>
      </c>
      <c r="DB26" s="164">
        <f t="shared" si="47"/>
        <v>150</v>
      </c>
      <c r="DC26" s="164">
        <f t="shared" si="48"/>
        <v>150</v>
      </c>
      <c r="DD26" s="170">
        <f t="shared" si="49"/>
        <v>20</v>
      </c>
      <c r="DE26" s="166">
        <f t="shared" si="50"/>
        <v>100</v>
      </c>
      <c r="DF26" s="164">
        <f t="shared" ca="1" si="53"/>
        <v>280</v>
      </c>
      <c r="DG26" s="170">
        <f t="shared" si="54"/>
        <v>0</v>
      </c>
      <c r="DH26" s="170">
        <f t="shared" si="55"/>
        <v>26</v>
      </c>
      <c r="DI26" s="166"/>
    </row>
    <row r="27" spans="1:113" s="1210" customFormat="1" ht="14.25" thickTop="1" thickBot="1">
      <c r="A27" s="1222">
        <f t="shared" si="41"/>
        <v>620</v>
      </c>
      <c r="B27" s="1222">
        <f>SUM(AX27:BP27)</f>
        <v>380</v>
      </c>
      <c r="C27" s="1223">
        <f t="shared" si="42"/>
        <v>0</v>
      </c>
      <c r="D27" s="1211"/>
      <c r="E27" s="1210">
        <f t="shared" si="2"/>
        <v>1000</v>
      </c>
      <c r="F27" s="1199">
        <f t="shared" si="5"/>
        <v>0</v>
      </c>
      <c r="G27" s="1200">
        <f t="shared" si="6"/>
        <v>100</v>
      </c>
      <c r="H27" s="1200">
        <f t="shared" si="7"/>
        <v>150</v>
      </c>
      <c r="I27" s="1200">
        <f t="shared" si="8"/>
        <v>150</v>
      </c>
      <c r="J27" s="1200">
        <f t="shared" si="9"/>
        <v>100</v>
      </c>
      <c r="K27" s="1200">
        <f t="shared" si="10"/>
        <v>20</v>
      </c>
      <c r="L27" s="1200">
        <f t="shared" si="11"/>
        <v>100</v>
      </c>
      <c r="M27" s="1204">
        <f>Rezone!J27</f>
        <v>25</v>
      </c>
      <c r="N27" s="1224"/>
      <c r="O27" s="1207"/>
      <c r="P27" s="1207"/>
      <c r="Q27" s="1207"/>
      <c r="R27" s="1207"/>
      <c r="S27" s="1225"/>
      <c r="T27" s="1207"/>
      <c r="U27" s="1207"/>
      <c r="V27" s="1207"/>
      <c r="W27" s="1207"/>
      <c r="X27" s="1207"/>
      <c r="Y27" s="1207"/>
      <c r="Z27" s="1207"/>
      <c r="AA27" s="1207"/>
      <c r="AB27" s="1207"/>
      <c r="AC27" s="1207"/>
      <c r="AD27" s="1207"/>
      <c r="AE27" s="1207"/>
      <c r="AF27" s="1226"/>
      <c r="AG27" s="1211">
        <f t="shared" si="52"/>
        <v>43692.999999999942</v>
      </c>
      <c r="AH27" s="1227">
        <f>MIN(25%,(BG27+CE27)/(E27-Explore!S27*20))</f>
        <v>0</v>
      </c>
      <c r="AI27" s="1228">
        <f t="shared" si="13"/>
        <v>0</v>
      </c>
      <c r="AJ27" s="1199">
        <f ca="1">Production!$H27</f>
        <v>3203135</v>
      </c>
      <c r="AK27" s="1205">
        <f ca="1">Production!$J27</f>
        <v>291170</v>
      </c>
      <c r="AL27" s="1199">
        <f ca="1">ROUND( (1 - MIN(facs_constr_factor*$AH27,facs_constr_max)) * (1+MIN(tech_construction*Techs!AC27,tech_conquerors_crafts*Techs!AS27)) * AU27*(1+race_construction_cost),0)</f>
        <v>1615</v>
      </c>
      <c r="AM27" s="1205">
        <f t="shared" si="3"/>
        <v>263</v>
      </c>
      <c r="AN27" s="1199">
        <f ca="1">ROUND( (1 - MIN(facs_constr_factor*$AI27,facs_constr_max)) * (1+MIN(tech_construction*Techs!AE27,tech_conquerors_crafts*Techs!AU27)) * AU27*(1+race_construction_cost),0)</f>
        <v>1615</v>
      </c>
      <c r="AO27" s="1205">
        <f t="shared" si="14"/>
        <v>263</v>
      </c>
      <c r="AP27" s="1210">
        <f t="shared" ca="1" si="56"/>
        <v>0</v>
      </c>
      <c r="AQ27" s="1229">
        <f t="shared" si="57"/>
        <v>0</v>
      </c>
      <c r="AR27" s="1210">
        <f>MIN(SUM(F26:L26)+SUM(Explore!T15:Z15)+SUM(BV27:CN27),SUM($N27:$AF27))</f>
        <v>0</v>
      </c>
      <c r="AS27" s="1210">
        <f>IF(Explore!S27&lt;&gt;0,MAX(0, MIN(20, 20 + SUM(N27:AF27) - SUM(BV27:CN27) - SUM(F26:L26)-SUM(Explore!T15:Z15)-20*Explore!S27)),0)</f>
        <v>0</v>
      </c>
      <c r="AU27" s="1199">
        <f t="shared" si="17"/>
        <v>1615</v>
      </c>
      <c r="AV27" s="1205">
        <f t="shared" si="18"/>
        <v>262.5</v>
      </c>
      <c r="AW27" s="1200"/>
      <c r="AX27" s="1206">
        <f>AX26 + IF(Overview!$B$14="Gnome",N18,N15) -BV27</f>
        <v>0</v>
      </c>
      <c r="AY27" s="1210">
        <f>AY26 + IF(Overview!$B$14="Gnome",O18,O15) -BW27</f>
        <v>0</v>
      </c>
      <c r="AZ27" s="1210">
        <f>AZ26 + IF(Overview!$B$14="Gnome",P18,P15) -BX27</f>
        <v>80</v>
      </c>
      <c r="BA27" s="1210">
        <f>BA26 + IF(Overview!$B$14="Gnome",Q18,Q15) -BY27</f>
        <v>200</v>
      </c>
      <c r="BB27" s="1210">
        <f>BB26 + IF(Overview!$B$14="Gnome",R18,R15) -BZ27</f>
        <v>0</v>
      </c>
      <c r="BC27" s="1210">
        <f>BC26 + IF(Overview!$B$14="Gnome",S18,S15) -CA27</f>
        <v>50</v>
      </c>
      <c r="BD27" s="1210">
        <f>BD26 + IF(Overview!$B$14="Gnome",T18,T15) -CB27</f>
        <v>0</v>
      </c>
      <c r="BE27" s="1210">
        <f>BE26 + IF(Overview!$B$14="Gnome",U18,U15) -CC27</f>
        <v>0</v>
      </c>
      <c r="BF27" s="1210">
        <f>BF26 + IF(Overview!$B$14="Gnome",V18,V15) -CD27</f>
        <v>0</v>
      </c>
      <c r="BG27" s="1210">
        <f>BG26 + IF(Overview!$B$14="Gnome",W18,W15) -CE27</f>
        <v>0</v>
      </c>
      <c r="BH27" s="1210">
        <f>BH26 + IF(Overview!$B$14="Gnome",X18,X15) -CF27</f>
        <v>0</v>
      </c>
      <c r="BI27" s="1210">
        <f>BI26 + IF(Overview!$B$14="Gnome",Y18,Y15) -CG27</f>
        <v>0</v>
      </c>
      <c r="BJ27" s="1210">
        <f>BJ26 + IF(Overview!$B$14="Gnome",Z18,Z15) -CH27</f>
        <v>0</v>
      </c>
      <c r="BK27" s="1210">
        <f>BK26 + IF(Overview!$B$14="Gnome",AA18,AA15) -CI27</f>
        <v>50</v>
      </c>
      <c r="BL27" s="1210">
        <f>BL26 + IF(Overview!$B$14="Gnome",AB18,AB15) -CJ27</f>
        <v>0</v>
      </c>
      <c r="BM27" s="1210">
        <f>BM26 + IF(Overview!$B$14="Gnome",AC18,AC15) -CK27</f>
        <v>0</v>
      </c>
      <c r="BN27" s="1210">
        <f>BN26 + IF(Overview!$B$14="Gnome",AD18,AD15) -CL27</f>
        <v>0</v>
      </c>
      <c r="BO27" s="1210">
        <f>BO26 + IF(Overview!$B$14="Gnome",AE18,AE15) -CM27</f>
        <v>0</v>
      </c>
      <c r="BP27" s="1229">
        <f>BP26 + IF(Overview!$B$14="Gnome",AF18,AF15) -CN27</f>
        <v>0</v>
      </c>
      <c r="BR27" s="1200"/>
      <c r="BS27" s="1206">
        <f t="shared" si="4"/>
        <v>1000</v>
      </c>
      <c r="BT27" s="1211">
        <f t="shared" si="43"/>
        <v>43692.999999999942</v>
      </c>
      <c r="BV27" s="1224"/>
      <c r="BW27" s="1207"/>
      <c r="BX27" s="1207"/>
      <c r="BY27" s="1207"/>
      <c r="BZ27" s="1207"/>
      <c r="CA27" s="1207"/>
      <c r="CB27" s="1207"/>
      <c r="CC27" s="1207"/>
      <c r="CD27" s="1207"/>
      <c r="CE27" s="1207"/>
      <c r="CF27" s="1207"/>
      <c r="CG27" s="1207"/>
      <c r="CH27" s="1207"/>
      <c r="CI27" s="1207"/>
      <c r="CJ27" s="1207"/>
      <c r="CK27" s="1207"/>
      <c r="CL27" s="1207"/>
      <c r="CM27" s="1206"/>
      <c r="CN27" s="1230"/>
      <c r="CP27" s="1199">
        <f>-SUM($O27:$R27)+SUM($BW27:BZ27)+Rezone!L27+IF(home_land=CP$2,CW27) + Explore!T15</f>
        <v>0</v>
      </c>
      <c r="CQ27" s="1200">
        <f>-SUM($S27:$T27)+SUM($CA27:$CB27) +Rezone!M27 + IF(home_land=CQ$2,CW27) + Explore!U15</f>
        <v>0</v>
      </c>
      <c r="CR27" s="1200">
        <f>-SUM($U27:$V27)+SUM($CC27:$CD27) +Rezone!N27 + IF(home_land=CR$2,CW27) + Explore!V15</f>
        <v>0</v>
      </c>
      <c r="CS27" s="1200">
        <f>-SUM($W27:$Z27)+SUM($CE27:$CH27) +Rezone!O27 + IF(home_land=CS$2,CW27) + Explore!W15</f>
        <v>0</v>
      </c>
      <c r="CT27" s="1200">
        <f>-SUM($AA27:$AC27)+SUM($CI27:$CK27) +Rezone!P27 + IF(home_land=CT$2,CW27) + Explore!X15</f>
        <v>0</v>
      </c>
      <c r="CU27" s="1200">
        <f xml:space="preserve"> - SUM($AD27,$AE27)+SUM($CL27,$CM27) +Rezone!Q27 + IF(home_land=CU$2,CW27)+Explore!Y15</f>
        <v>0</v>
      </c>
      <c r="CV27" s="1200">
        <f>-$AF27+$CN27 +Rezone!R27 + IF(home_land=CV$2,CW27) + Explore!Z15</f>
        <v>0</v>
      </c>
      <c r="CW27" s="1207">
        <f>IF(Explore!S27=1,25) - N27 + BV27</f>
        <v>0</v>
      </c>
      <c r="CY27" s="1199">
        <f t="shared" si="44"/>
        <v>280</v>
      </c>
      <c r="CZ27" s="1200">
        <f t="shared" si="45"/>
        <v>150</v>
      </c>
      <c r="DA27" s="1210">
        <f t="shared" si="46"/>
        <v>150</v>
      </c>
      <c r="DB27" s="1200">
        <f t="shared" si="47"/>
        <v>150</v>
      </c>
      <c r="DC27" s="1200">
        <f t="shared" si="48"/>
        <v>150</v>
      </c>
      <c r="DD27" s="1210">
        <f t="shared" si="49"/>
        <v>20</v>
      </c>
      <c r="DE27" s="1205">
        <f t="shared" si="50"/>
        <v>100</v>
      </c>
      <c r="DF27" s="1200">
        <f t="shared" ca="1" si="53"/>
        <v>280</v>
      </c>
      <c r="DG27" s="1210">
        <f t="shared" si="54"/>
        <v>0</v>
      </c>
      <c r="DH27" s="1210">
        <f t="shared" si="55"/>
        <v>27</v>
      </c>
      <c r="DI27" s="1205"/>
    </row>
    <row r="28" spans="1:113" s="170" customFormat="1" ht="13.5" thickTop="1">
      <c r="A28" s="242">
        <f t="shared" si="41"/>
        <v>620</v>
      </c>
      <c r="B28" s="242">
        <f t="shared" si="51"/>
        <v>380</v>
      </c>
      <c r="C28" s="243">
        <f t="shared" si="42"/>
        <v>0</v>
      </c>
      <c r="D28" s="532"/>
      <c r="E28" s="170">
        <f t="shared" si="2"/>
        <v>1000</v>
      </c>
      <c r="F28" s="245">
        <f t="shared" si="5"/>
        <v>0</v>
      </c>
      <c r="G28" s="246">
        <f t="shared" si="6"/>
        <v>100</v>
      </c>
      <c r="H28" s="247">
        <f t="shared" si="7"/>
        <v>150</v>
      </c>
      <c r="I28" s="248">
        <f t="shared" si="8"/>
        <v>150</v>
      </c>
      <c r="J28" s="249">
        <f t="shared" si="9"/>
        <v>100</v>
      </c>
      <c r="K28" s="250">
        <f t="shared" si="10"/>
        <v>20</v>
      </c>
      <c r="L28" s="498">
        <f t="shared" si="11"/>
        <v>100</v>
      </c>
      <c r="M28" s="634">
        <f>Rezone!J28</f>
        <v>26</v>
      </c>
      <c r="N28" s="352"/>
      <c r="O28" s="345"/>
      <c r="P28" s="345"/>
      <c r="Q28" s="345"/>
      <c r="R28" s="345"/>
      <c r="S28" s="348"/>
      <c r="T28" s="345"/>
      <c r="U28" s="345"/>
      <c r="V28" s="345"/>
      <c r="W28" s="345"/>
      <c r="X28" s="345"/>
      <c r="Y28" s="345"/>
      <c r="Z28" s="345"/>
      <c r="AA28" s="345"/>
      <c r="AB28" s="345"/>
      <c r="AC28" s="345"/>
      <c r="AD28" s="345"/>
      <c r="AE28" s="345"/>
      <c r="AF28" s="336"/>
      <c r="AG28" s="532">
        <f t="shared" si="52"/>
        <v>43693.041666666606</v>
      </c>
      <c r="AH28" s="251">
        <f>MIN(25%,(BG28+CE28)/(E28-Explore!S28*20))</f>
        <v>0</v>
      </c>
      <c r="AI28" s="187">
        <f t="shared" si="13"/>
        <v>0</v>
      </c>
      <c r="AJ28" s="152">
        <f ca="1">Production!$H28</f>
        <v>3213786</v>
      </c>
      <c r="AK28" s="166">
        <f ca="1">Production!$J28</f>
        <v>290758</v>
      </c>
      <c r="AL28" s="152">
        <f ca="1">ROUND( (1 - MIN(facs_constr_factor*$AH28,facs_constr_max)) * (1+MIN(tech_construction*Techs!AC28,tech_conquerors_crafts*Techs!AS28)) * AU28*(1+race_construction_cost),0)</f>
        <v>1615</v>
      </c>
      <c r="AM28" s="166">
        <f t="shared" si="3"/>
        <v>263</v>
      </c>
      <c r="AN28" s="152">
        <f ca="1">ROUND( (1 - MIN(facs_constr_factor*$AI28,facs_constr_max)) * (1+MIN(tech_construction*Techs!AE28,tech_conquerors_crafts*Techs!AU28)) * AU28*(1+race_construction_cost),0)</f>
        <v>1615</v>
      </c>
      <c r="AO28" s="166">
        <f t="shared" si="14"/>
        <v>263</v>
      </c>
      <c r="AP28" s="170">
        <f t="shared" ca="1" si="56"/>
        <v>0</v>
      </c>
      <c r="AQ28" s="157">
        <f t="shared" si="57"/>
        <v>0</v>
      </c>
      <c r="AR28" s="170">
        <f>MIN(SUM(F27:L27)+SUM(Explore!T16:Z16)+SUM(BV28:CN28),SUM($N28:$AF28))</f>
        <v>0</v>
      </c>
      <c r="AS28" s="170">
        <f>IF(Explore!S28&lt;&gt;0,MAX(0, MIN(20, 20 + SUM(N28:AF28) - SUM(BV28:CN28) - SUM(F27:L27)-SUM(Explore!T16:Z16)-20*Explore!S28)),0)</f>
        <v>0</v>
      </c>
      <c r="AU28" s="152">
        <f t="shared" si="17"/>
        <v>1615</v>
      </c>
      <c r="AV28" s="166">
        <f t="shared" si="18"/>
        <v>262.5</v>
      </c>
      <c r="AW28" s="164"/>
      <c r="AX28" s="293">
        <f>AX27 + IF(Overview!$B$14="Gnome",N19,N16) -BV28</f>
        <v>0</v>
      </c>
      <c r="AY28" s="244">
        <f>AY27 + IF(Overview!$B$14="Gnome",O19,O16) -BW28</f>
        <v>0</v>
      </c>
      <c r="AZ28" s="244">
        <f>AZ27 + IF(Overview!$B$14="Gnome",P19,P16) -BX28</f>
        <v>80</v>
      </c>
      <c r="BA28" s="244">
        <f>BA27 + IF(Overview!$B$14="Gnome",Q19,Q16) -BY28</f>
        <v>200</v>
      </c>
      <c r="BB28" s="244">
        <f>BB27 + IF(Overview!$B$14="Gnome",R19,R16) -BZ28</f>
        <v>0</v>
      </c>
      <c r="BC28" s="206">
        <f>BC27 + IF(Overview!$B$14="Gnome",S19,S16) -CA28</f>
        <v>50</v>
      </c>
      <c r="BD28" s="206">
        <f>BD27 + IF(Overview!$B$14="Gnome",T19,T16) -CB28</f>
        <v>0</v>
      </c>
      <c r="BE28" s="207">
        <f>BE27 + IF(Overview!$B$14="Gnome",U19,U16) -CC28</f>
        <v>0</v>
      </c>
      <c r="BF28" s="207">
        <f>BF27 + IF(Overview!$B$14="Gnome",V19,V16) -CD28</f>
        <v>0</v>
      </c>
      <c r="BG28" s="208">
        <f>BG27 + IF(Overview!$B$14="Gnome",W19,W16) -CE28</f>
        <v>0</v>
      </c>
      <c r="BH28" s="208">
        <f>BH27 + IF(Overview!$B$14="Gnome",X19,X16) -CF28</f>
        <v>0</v>
      </c>
      <c r="BI28" s="208">
        <f>BI27 + IF(Overview!$B$14="Gnome",Y19,Y16) -CG28</f>
        <v>0</v>
      </c>
      <c r="BJ28" s="208">
        <f>BJ27 + IF(Overview!$B$14="Gnome",Z19,Z16) -CH28</f>
        <v>0</v>
      </c>
      <c r="BK28" s="209">
        <f>BK27 + IF(Overview!$B$14="Gnome",AA19,AA16) -CI28</f>
        <v>50</v>
      </c>
      <c r="BL28" s="209">
        <f>BL27 + IF(Overview!$B$14="Gnome",AB19,AB16) -CJ28</f>
        <v>0</v>
      </c>
      <c r="BM28" s="209">
        <f>BM27 + IF(Overview!$B$14="Gnome",AC19,AC16) -CK28</f>
        <v>0</v>
      </c>
      <c r="BN28" s="210">
        <f>BN27 + IF(Overview!$B$14="Gnome",AD19,AD16) -CL28</f>
        <v>0</v>
      </c>
      <c r="BO28" s="210">
        <f>BO27 + IF(Overview!$B$14="Gnome",AE19,AE16) -CM28</f>
        <v>0</v>
      </c>
      <c r="BP28" s="211">
        <f>BP27 + IF(Overview!$B$14="Gnome",AF19,AF16) -CN28</f>
        <v>0</v>
      </c>
      <c r="BR28" s="440"/>
      <c r="BS28" s="156">
        <f t="shared" si="4"/>
        <v>1000</v>
      </c>
      <c r="BT28" s="532">
        <f t="shared" si="43"/>
        <v>43693.041666666606</v>
      </c>
      <c r="BV28" s="352"/>
      <c r="BW28" s="345"/>
      <c r="BX28" s="345"/>
      <c r="BY28" s="345"/>
      <c r="BZ28" s="345"/>
      <c r="CA28" s="345"/>
      <c r="CB28" s="345"/>
      <c r="CC28" s="345"/>
      <c r="CD28" s="345"/>
      <c r="CE28" s="345"/>
      <c r="CF28" s="345"/>
      <c r="CG28" s="345"/>
      <c r="CH28" s="345"/>
      <c r="CI28" s="345"/>
      <c r="CJ28" s="345"/>
      <c r="CK28" s="345"/>
      <c r="CL28" s="345"/>
      <c r="CM28" s="763"/>
      <c r="CN28" s="353"/>
      <c r="CP28" s="245">
        <f>-SUM($O28:$R28)+SUM($BW28:BZ28)+Rezone!L28+IF(home_land=CP$2,CW28) + Explore!T16</f>
        <v>0</v>
      </c>
      <c r="CQ28" s="246">
        <f>-SUM($S28:$T28)+SUM($CA28:$CB28) +Rezone!M28 + IF(home_land=CQ$2,CW28) + Explore!U16</f>
        <v>0</v>
      </c>
      <c r="CR28" s="247">
        <f>-SUM($U28:$V28)+SUM($CC28:$CD28) +Rezone!N28 + IF(home_land=CR$2,CW28) + Explore!V16</f>
        <v>0</v>
      </c>
      <c r="CS28" s="248">
        <f>-SUM($W28:$Z28)+SUM($CE28:$CH28) +Rezone!O28 + IF(home_land=CS$2,CW28) + Explore!W16</f>
        <v>0</v>
      </c>
      <c r="CT28" s="249">
        <f>-SUM($AA28:$AC28)+SUM($CI28:$CK28) +Rezone!P28 + IF(home_land=CT$2,CW28) + Explore!X16</f>
        <v>0</v>
      </c>
      <c r="CU28" s="250">
        <f xml:space="preserve"> - SUM($AD28,$AE28)+SUM($CL28,$CM28) +Rezone!Q28 + IF(home_land=CU$2,CW28)+Explore!Y16</f>
        <v>0</v>
      </c>
      <c r="CV28" s="498">
        <f>-$AF28+$CN28 +Rezone!R28 + IF(home_land=CV$2,CW28) + Explore!Z16</f>
        <v>0</v>
      </c>
      <c r="CW28" s="159">
        <f>IF(Explore!S28=1,25) - N28 + BV28</f>
        <v>0</v>
      </c>
      <c r="CY28" s="152">
        <f t="shared" si="44"/>
        <v>280</v>
      </c>
      <c r="CZ28" s="164">
        <f t="shared" si="45"/>
        <v>150</v>
      </c>
      <c r="DA28" s="170">
        <f t="shared" si="46"/>
        <v>150</v>
      </c>
      <c r="DB28" s="164">
        <f t="shared" si="47"/>
        <v>150</v>
      </c>
      <c r="DC28" s="164">
        <f t="shared" si="48"/>
        <v>150</v>
      </c>
      <c r="DD28" s="170">
        <f t="shared" si="49"/>
        <v>20</v>
      </c>
      <c r="DE28" s="166">
        <f t="shared" si="50"/>
        <v>100</v>
      </c>
      <c r="DF28" s="164">
        <f t="shared" ca="1" si="53"/>
        <v>280</v>
      </c>
      <c r="DG28" s="170">
        <f t="shared" si="54"/>
        <v>0</v>
      </c>
      <c r="DH28" s="170">
        <f t="shared" si="55"/>
        <v>28</v>
      </c>
      <c r="DI28" s="166"/>
    </row>
    <row r="29" spans="1:113" s="170" customFormat="1">
      <c r="A29" s="242">
        <f t="shared" si="41"/>
        <v>620</v>
      </c>
      <c r="B29" s="242">
        <f t="shared" si="51"/>
        <v>380</v>
      </c>
      <c r="C29" s="243">
        <f t="shared" si="42"/>
        <v>0</v>
      </c>
      <c r="D29" s="532"/>
      <c r="E29" s="170">
        <f t="shared" si="2"/>
        <v>1000</v>
      </c>
      <c r="F29" s="245">
        <f t="shared" si="5"/>
        <v>0</v>
      </c>
      <c r="G29" s="246">
        <f t="shared" si="6"/>
        <v>100</v>
      </c>
      <c r="H29" s="247">
        <f t="shared" si="7"/>
        <v>150</v>
      </c>
      <c r="I29" s="248">
        <f t="shared" si="8"/>
        <v>150</v>
      </c>
      <c r="J29" s="249">
        <f t="shared" si="9"/>
        <v>100</v>
      </c>
      <c r="K29" s="250">
        <f t="shared" si="10"/>
        <v>20</v>
      </c>
      <c r="L29" s="498">
        <f t="shared" si="11"/>
        <v>100</v>
      </c>
      <c r="M29" s="634">
        <f>Rezone!J29</f>
        <v>27</v>
      </c>
      <c r="N29" s="356"/>
      <c r="O29" s="345"/>
      <c r="P29" s="345"/>
      <c r="Q29" s="345"/>
      <c r="R29" s="345"/>
      <c r="S29" s="348"/>
      <c r="T29" s="345"/>
      <c r="U29" s="345"/>
      <c r="V29" s="345"/>
      <c r="W29" s="345"/>
      <c r="X29" s="345"/>
      <c r="Y29" s="345"/>
      <c r="Z29" s="345"/>
      <c r="AA29" s="345"/>
      <c r="AB29" s="345"/>
      <c r="AC29" s="345"/>
      <c r="AD29" s="345"/>
      <c r="AE29" s="345"/>
      <c r="AF29" s="336"/>
      <c r="AG29" s="532">
        <f t="shared" si="52"/>
        <v>43693.08333333327</v>
      </c>
      <c r="AH29" s="251">
        <f>MIN(25%,(BG29+CE29)/(E29-Explore!S29*20))</f>
        <v>0</v>
      </c>
      <c r="AI29" s="187">
        <f t="shared" si="13"/>
        <v>0</v>
      </c>
      <c r="AJ29" s="152">
        <f ca="1">Production!$H29</f>
        <v>3224437</v>
      </c>
      <c r="AK29" s="166">
        <f ca="1">Production!$J29</f>
        <v>290350</v>
      </c>
      <c r="AL29" s="152">
        <f ca="1">ROUND( (1 - MIN(facs_constr_factor*$AH29,facs_constr_max)) * (1+MIN(tech_construction*Techs!AC29,tech_conquerors_crafts*Techs!AS29)) * AU29*(1+race_construction_cost),0)</f>
        <v>1615</v>
      </c>
      <c r="AM29" s="166">
        <f t="shared" si="3"/>
        <v>263</v>
      </c>
      <c r="AN29" s="152">
        <f ca="1">ROUND( (1 - MIN(facs_constr_factor*$AI29,facs_constr_max)) * (1+MIN(tech_construction*Techs!AE29,tech_conquerors_crafts*Techs!AU29)) * AU29*(1+race_construction_cost),0)</f>
        <v>1615</v>
      </c>
      <c r="AO29" s="166">
        <f t="shared" si="14"/>
        <v>263</v>
      </c>
      <c r="AP29" s="170">
        <f t="shared" ca="1" si="56"/>
        <v>0</v>
      </c>
      <c r="AQ29" s="157">
        <f t="shared" si="57"/>
        <v>0</v>
      </c>
      <c r="AR29" s="170">
        <f>MIN(SUM(F28:L28)+SUM(Explore!T17:Z17)+SUM(BV29:CN29),SUM($N29:$AF29))</f>
        <v>0</v>
      </c>
      <c r="AS29" s="170">
        <f>IF(Explore!S29&lt;&gt;0,MAX(0, MIN(20, 20 + SUM(N29:AF29) - SUM(BV29:CN29) - SUM(F28:L28)-SUM(Explore!T17:Z17)-20*Explore!S29)),0)</f>
        <v>0</v>
      </c>
      <c r="AU29" s="152">
        <f t="shared" si="17"/>
        <v>1615</v>
      </c>
      <c r="AV29" s="166">
        <f t="shared" si="18"/>
        <v>262.5</v>
      </c>
      <c r="AW29" s="164"/>
      <c r="AX29" s="293">
        <f>AX28 + IF(Overview!$B$14="Gnome",N20,N17) -BV29</f>
        <v>0</v>
      </c>
      <c r="AY29" s="244">
        <f>AY28 + IF(Overview!$B$14="Gnome",O20,O17) -BW29</f>
        <v>0</v>
      </c>
      <c r="AZ29" s="244">
        <f>AZ28 + IF(Overview!$B$14="Gnome",P20,P17) -BX29</f>
        <v>80</v>
      </c>
      <c r="BA29" s="244">
        <f>BA28 + IF(Overview!$B$14="Gnome",Q20,Q17) -BY29</f>
        <v>200</v>
      </c>
      <c r="BB29" s="244">
        <f>BB28 + IF(Overview!$B$14="Gnome",R20,R17) -BZ29</f>
        <v>0</v>
      </c>
      <c r="BC29" s="206">
        <f>BC28 + IF(Overview!$B$14="Gnome",S20,S17) -CA29</f>
        <v>50</v>
      </c>
      <c r="BD29" s="206">
        <f>BD28 + IF(Overview!$B$14="Gnome",T20,T17) -CB29</f>
        <v>0</v>
      </c>
      <c r="BE29" s="207">
        <f>BE28 + IF(Overview!$B$14="Gnome",U20,U17) -CC29</f>
        <v>0</v>
      </c>
      <c r="BF29" s="207">
        <f>BF28 + IF(Overview!$B$14="Gnome",V20,V17) -CD29</f>
        <v>0</v>
      </c>
      <c r="BG29" s="208">
        <f>BG28 + IF(Overview!$B$14="Gnome",W20,W17) -CE29</f>
        <v>0</v>
      </c>
      <c r="BH29" s="208">
        <f>BH28 + IF(Overview!$B$14="Gnome",X20,X17) -CF29</f>
        <v>0</v>
      </c>
      <c r="BI29" s="208">
        <f>BI28 + IF(Overview!$B$14="Gnome",Y20,Y17) -CG29</f>
        <v>0</v>
      </c>
      <c r="BJ29" s="208">
        <f>BJ28 + IF(Overview!$B$14="Gnome",Z20,Z17) -CH29</f>
        <v>0</v>
      </c>
      <c r="BK29" s="209">
        <f>BK28 + IF(Overview!$B$14="Gnome",AA20,AA17) -CI29</f>
        <v>50</v>
      </c>
      <c r="BL29" s="209">
        <f>BL28 + IF(Overview!$B$14="Gnome",AB20,AB17) -CJ29</f>
        <v>0</v>
      </c>
      <c r="BM29" s="209">
        <f>BM28 + IF(Overview!$B$14="Gnome",AC20,AC17) -CK29</f>
        <v>0</v>
      </c>
      <c r="BN29" s="210">
        <f>BN28 + IF(Overview!$B$14="Gnome",AD20,AD17) -CL29</f>
        <v>0</v>
      </c>
      <c r="BO29" s="210">
        <f>BO28 + IF(Overview!$B$14="Gnome",AE20,AE17) -CM29</f>
        <v>0</v>
      </c>
      <c r="BP29" s="211">
        <f>BP28 + IF(Overview!$B$14="Gnome",AF20,AF17) -CN29</f>
        <v>0</v>
      </c>
      <c r="BR29" s="440"/>
      <c r="BS29" s="156">
        <f t="shared" si="4"/>
        <v>1000</v>
      </c>
      <c r="BT29" s="532">
        <f t="shared" si="43"/>
        <v>43693.08333333327</v>
      </c>
      <c r="BV29" s="352"/>
      <c r="BW29" s="345"/>
      <c r="BX29" s="345"/>
      <c r="BY29" s="345"/>
      <c r="BZ29" s="345"/>
      <c r="CA29" s="345"/>
      <c r="CB29" s="345"/>
      <c r="CC29" s="345"/>
      <c r="CD29" s="345"/>
      <c r="CE29" s="345"/>
      <c r="CF29" s="345"/>
      <c r="CG29" s="345"/>
      <c r="CH29" s="345"/>
      <c r="CI29" s="345"/>
      <c r="CJ29" s="345"/>
      <c r="CK29" s="345"/>
      <c r="CL29" s="345"/>
      <c r="CM29" s="763"/>
      <c r="CN29" s="353"/>
      <c r="CP29" s="245">
        <f>-SUM($O29:$R29)+SUM($BW29:BZ29)+Rezone!L29+IF(home_land=CP$2,CW29) + Explore!T17</f>
        <v>0</v>
      </c>
      <c r="CQ29" s="246">
        <f>-SUM($S29:$T29)+SUM($CA29:$CB29) +Rezone!M29 + IF(home_land=CQ$2,CW29) + Explore!U17</f>
        <v>0</v>
      </c>
      <c r="CR29" s="247">
        <f>-SUM($U29:$V29)+SUM($CC29:$CD29) +Rezone!N29 + IF(home_land=CR$2,CW29) + Explore!V17</f>
        <v>0</v>
      </c>
      <c r="CS29" s="248">
        <f>-SUM($W29:$Z29)+SUM($CE29:$CH29) +Rezone!O29 + IF(home_land=CS$2,CW29) + Explore!W17</f>
        <v>0</v>
      </c>
      <c r="CT29" s="249">
        <f>-SUM($AA29:$AC29)+SUM($CI29:$CK29) +Rezone!P29 + IF(home_land=CT$2,CW29) + Explore!X17</f>
        <v>0</v>
      </c>
      <c r="CU29" s="250">
        <f xml:space="preserve"> - SUM($AD29,$AE29)+SUM($CL29,$CM29) +Rezone!Q29 + IF(home_land=CU$2,CW29)+Explore!Y17</f>
        <v>0</v>
      </c>
      <c r="CV29" s="498">
        <f>-$AF29+$CN29 +Rezone!R29 + IF(home_land=CV$2,CW29) + Explore!Z17</f>
        <v>0</v>
      </c>
      <c r="CW29" s="159">
        <f>IF(Explore!S29=1,25) - N29 + BV29</f>
        <v>0</v>
      </c>
      <c r="CY29" s="152">
        <f t="shared" si="44"/>
        <v>280</v>
      </c>
      <c r="CZ29" s="164">
        <f t="shared" si="45"/>
        <v>150</v>
      </c>
      <c r="DA29" s="170">
        <f t="shared" si="46"/>
        <v>150</v>
      </c>
      <c r="DB29" s="164">
        <f t="shared" si="47"/>
        <v>150</v>
      </c>
      <c r="DC29" s="164">
        <f t="shared" si="48"/>
        <v>150</v>
      </c>
      <c r="DD29" s="170">
        <f t="shared" si="49"/>
        <v>20</v>
      </c>
      <c r="DE29" s="166">
        <f t="shared" si="50"/>
        <v>100</v>
      </c>
      <c r="DF29" s="164">
        <f t="shared" ca="1" si="53"/>
        <v>280</v>
      </c>
      <c r="DG29" s="170">
        <f t="shared" si="54"/>
        <v>0</v>
      </c>
      <c r="DH29" s="170">
        <f t="shared" si="55"/>
        <v>29</v>
      </c>
      <c r="DI29" s="166"/>
    </row>
    <row r="30" spans="1:113" s="16" customFormat="1">
      <c r="A30" s="36">
        <f t="shared" si="41"/>
        <v>620</v>
      </c>
      <c r="B30" s="36">
        <f t="shared" si="51"/>
        <v>380</v>
      </c>
      <c r="C30" s="83">
        <f t="shared" si="42"/>
        <v>0</v>
      </c>
      <c r="D30" s="574"/>
      <c r="E30" s="16">
        <f t="shared" si="2"/>
        <v>1000</v>
      </c>
      <c r="F30" s="86">
        <f t="shared" si="5"/>
        <v>0</v>
      </c>
      <c r="G30" s="37">
        <f t="shared" si="6"/>
        <v>100</v>
      </c>
      <c r="H30" s="247">
        <f t="shared" si="7"/>
        <v>150</v>
      </c>
      <c r="I30" s="38">
        <f t="shared" si="8"/>
        <v>150</v>
      </c>
      <c r="J30" s="39">
        <f t="shared" si="9"/>
        <v>100</v>
      </c>
      <c r="K30" s="40">
        <f t="shared" si="10"/>
        <v>20</v>
      </c>
      <c r="L30" s="500">
        <f t="shared" si="11"/>
        <v>100</v>
      </c>
      <c r="M30" s="635">
        <f>Rezone!J30</f>
        <v>28</v>
      </c>
      <c r="N30" s="356"/>
      <c r="O30" s="363"/>
      <c r="P30" s="348"/>
      <c r="Q30" s="348"/>
      <c r="R30" s="345"/>
      <c r="S30" s="348"/>
      <c r="T30" s="348"/>
      <c r="U30" s="348"/>
      <c r="V30" s="348"/>
      <c r="W30" s="345"/>
      <c r="X30" s="345"/>
      <c r="Y30" s="348"/>
      <c r="Z30" s="345"/>
      <c r="AA30" s="348"/>
      <c r="AB30" s="348"/>
      <c r="AC30" s="345"/>
      <c r="AD30" s="348"/>
      <c r="AE30" s="348"/>
      <c r="AF30" s="336"/>
      <c r="AG30" s="532">
        <f t="shared" si="52"/>
        <v>43693.124999999935</v>
      </c>
      <c r="AH30" s="91">
        <f>MIN(25%,(BG30+CE30)/(E30-Explore!S30*20))</f>
        <v>0</v>
      </c>
      <c r="AI30" s="59">
        <f t="shared" si="13"/>
        <v>0</v>
      </c>
      <c r="AJ30" s="56">
        <f ca="1">Production!$H30</f>
        <v>3235088</v>
      </c>
      <c r="AK30" s="57">
        <f ca="1">Production!$J30</f>
        <v>289946</v>
      </c>
      <c r="AL30" s="152">
        <f ca="1">ROUND( (1 - MIN(facs_constr_factor*$AH30,facs_constr_max)) * (1+MIN(tech_construction*Techs!AC30,tech_conquerors_crafts*Techs!AS30)) * AU30*(1+race_construction_cost),0)</f>
        <v>1615</v>
      </c>
      <c r="AM30" s="166">
        <f t="shared" si="3"/>
        <v>263</v>
      </c>
      <c r="AN30" s="152">
        <f ca="1">ROUND( (1 - MIN(facs_constr_factor*$AI30,facs_constr_max)) * (1+MIN(tech_construction*Techs!AE30,tech_conquerors_crafts*Techs!AU30)) * AU30*(1+race_construction_cost),0)</f>
        <v>1615</v>
      </c>
      <c r="AO30" s="166">
        <f t="shared" si="14"/>
        <v>263</v>
      </c>
      <c r="AP30" s="16">
        <f t="shared" ca="1" si="56"/>
        <v>0</v>
      </c>
      <c r="AQ30" s="53">
        <f t="shared" si="57"/>
        <v>0</v>
      </c>
      <c r="AR30" s="16">
        <f>MIN(SUM(F29:L29)+SUM(Explore!T18:Z18)+SUM(BV30:CN30),SUM($N30:$AF30))</f>
        <v>0</v>
      </c>
      <c r="AS30" s="16">
        <f>IF(Explore!S30&lt;&gt;0,MAX(0, MIN(20, 20 + SUM(N30:AF30) - SUM(BV30:CN30) - SUM(F29:L29)-SUM(Explore!T18:Z18)-20*Explore!S30)),0)</f>
        <v>0</v>
      </c>
      <c r="AU30" s="152">
        <f t="shared" si="17"/>
        <v>1615</v>
      </c>
      <c r="AV30" s="166">
        <f t="shared" si="18"/>
        <v>262.5</v>
      </c>
      <c r="AW30" s="164"/>
      <c r="AX30" s="295">
        <f>AX29 + IF(Overview!$B$14="Gnome",N21,N18) -BV30</f>
        <v>0</v>
      </c>
      <c r="AY30" s="28">
        <f>AY29 + IF(Overview!$B$14="Gnome",O21,O18) -BW30</f>
        <v>0</v>
      </c>
      <c r="AZ30" s="28">
        <f>AZ29 + IF(Overview!$B$14="Gnome",P21,P18) -BX30</f>
        <v>80</v>
      </c>
      <c r="BA30" s="28">
        <f>BA29 + IF(Overview!$B$14="Gnome",Q21,Q18) -BY30</f>
        <v>200</v>
      </c>
      <c r="BB30" s="28">
        <f>BB29 + IF(Overview!$B$14="Gnome",R21,R18) -BZ30</f>
        <v>0</v>
      </c>
      <c r="BC30" s="29">
        <f>BC29 + IF(Overview!$B$14="Gnome",S21,S18) -CA30</f>
        <v>50</v>
      </c>
      <c r="BD30" s="29">
        <f>BD29 + IF(Overview!$B$14="Gnome",T21,T18) -CB30</f>
        <v>0</v>
      </c>
      <c r="BE30" s="30">
        <f>BE29 + IF(Overview!$B$14="Gnome",U21,U18) -CC30</f>
        <v>0</v>
      </c>
      <c r="BF30" s="30">
        <f>BF29 + IF(Overview!$B$14="Gnome",V21,V18) -CD30</f>
        <v>0</v>
      </c>
      <c r="BG30" s="31">
        <f>BG29 + IF(Overview!$B$14="Gnome",W21,W18) -CE30</f>
        <v>0</v>
      </c>
      <c r="BH30" s="31">
        <f>BH29 + IF(Overview!$B$14="Gnome",X21,X18) -CF30</f>
        <v>0</v>
      </c>
      <c r="BI30" s="31">
        <f>BI29 + IF(Overview!$B$14="Gnome",Y21,Y18) -CG30</f>
        <v>0</v>
      </c>
      <c r="BJ30" s="31">
        <f>BJ29 + IF(Overview!$B$14="Gnome",Z21,Z18) -CH30</f>
        <v>0</v>
      </c>
      <c r="BK30" s="32">
        <f>BK29 + IF(Overview!$B$14="Gnome",AA21,AA18) -CI30</f>
        <v>50</v>
      </c>
      <c r="BL30" s="32">
        <f>BL29 + IF(Overview!$B$14="Gnome",AB21,AB18) -CJ30</f>
        <v>0</v>
      </c>
      <c r="BM30" s="32">
        <f>BM29 + IF(Overview!$B$14="Gnome",AC21,AC18) -CK30</f>
        <v>0</v>
      </c>
      <c r="BN30" s="33">
        <f>BN29 + IF(Overview!$B$14="Gnome",AD21,AD18) -CL30</f>
        <v>0</v>
      </c>
      <c r="BO30" s="33">
        <f>BO29 + IF(Overview!$B$14="Gnome",AE21,AE18) -CM30</f>
        <v>0</v>
      </c>
      <c r="BP30" s="69">
        <f>BP29 + IF(Overview!$B$14="Gnome",AF21,AF18) -CN30</f>
        <v>0</v>
      </c>
      <c r="BR30" s="442"/>
      <c r="BS30" s="156">
        <f t="shared" si="4"/>
        <v>1000</v>
      </c>
      <c r="BT30" s="574">
        <f t="shared" si="43"/>
        <v>43693.124999999935</v>
      </c>
      <c r="BV30" s="356"/>
      <c r="BW30" s="348"/>
      <c r="BX30" s="348"/>
      <c r="BY30" s="348"/>
      <c r="BZ30" s="348"/>
      <c r="CA30" s="348"/>
      <c r="CB30" s="348"/>
      <c r="CC30" s="348"/>
      <c r="CD30" s="348"/>
      <c r="CE30" s="348"/>
      <c r="CF30" s="348"/>
      <c r="CG30" s="348"/>
      <c r="CH30" s="348"/>
      <c r="CI30" s="348"/>
      <c r="CJ30" s="348"/>
      <c r="CK30" s="348"/>
      <c r="CL30" s="348"/>
      <c r="CM30" s="360"/>
      <c r="CN30" s="357"/>
      <c r="CP30" s="86">
        <f>-SUM($O30:$R30)+SUM($BW30:BZ30)+Rezone!L30+IF(home_land=CP$2,CW30) + Explore!T18</f>
        <v>0</v>
      </c>
      <c r="CQ30" s="37">
        <f>-SUM($S30:$T30)+SUM($CA30:$CB30) +Rezone!M30 + IF(home_land=CQ$2,CW30) + Explore!U18</f>
        <v>0</v>
      </c>
      <c r="CR30" s="247">
        <f>-SUM($U30:$V30)+SUM($CC30:$CD30) +Rezone!N30 + IF(home_land=CR$2,CW30) + Explore!V18</f>
        <v>0</v>
      </c>
      <c r="CS30" s="38">
        <f>-SUM($W30:$Z30)+SUM($CE30:$CH30) +Rezone!O30 + IF(home_land=CS$2,CW30) + Explore!W18</f>
        <v>0</v>
      </c>
      <c r="CT30" s="39">
        <f>-SUM($AA30:$AC30)+SUM($CI30:$CK30) +Rezone!P30 + IF(home_land=CT$2,CW30) + Explore!X18</f>
        <v>0</v>
      </c>
      <c r="CU30" s="40">
        <f xml:space="preserve"> - SUM($AD30,$AE30)+SUM($CL30,$CM30) +Rezone!Q30 + IF(home_land=CU$2,CW30)+Explore!Y18</f>
        <v>0</v>
      </c>
      <c r="CV30" s="500">
        <f>-$AF30+$CN30 +Rezone!R30 + IF(home_land=CV$2,CW30) + Explore!Z18</f>
        <v>0</v>
      </c>
      <c r="CW30" s="159">
        <f>IF(Explore!S30=1,25) - N30 + BV30</f>
        <v>0</v>
      </c>
      <c r="CY30" s="152">
        <f t="shared" si="44"/>
        <v>280</v>
      </c>
      <c r="CZ30" s="164">
        <f t="shared" si="45"/>
        <v>150</v>
      </c>
      <c r="DA30" s="16">
        <f t="shared" si="46"/>
        <v>150</v>
      </c>
      <c r="DB30" s="164">
        <f t="shared" si="47"/>
        <v>150</v>
      </c>
      <c r="DC30" s="164">
        <f t="shared" si="48"/>
        <v>150</v>
      </c>
      <c r="DD30" s="16">
        <f t="shared" si="49"/>
        <v>20</v>
      </c>
      <c r="DE30" s="166">
        <f t="shared" si="50"/>
        <v>100</v>
      </c>
      <c r="DF30" s="164">
        <f t="shared" ca="1" si="53"/>
        <v>280</v>
      </c>
      <c r="DG30" s="16">
        <f t="shared" si="54"/>
        <v>0</v>
      </c>
      <c r="DH30" s="16">
        <f t="shared" si="55"/>
        <v>30</v>
      </c>
      <c r="DI30" s="166"/>
    </row>
    <row r="31" spans="1:113" s="16" customFormat="1">
      <c r="A31" s="36">
        <f t="shared" si="41"/>
        <v>620</v>
      </c>
      <c r="B31" s="36">
        <f t="shared" si="51"/>
        <v>380</v>
      </c>
      <c r="C31" s="83">
        <f t="shared" si="42"/>
        <v>0</v>
      </c>
      <c r="D31" s="574"/>
      <c r="E31" s="16">
        <f t="shared" si="2"/>
        <v>1000</v>
      </c>
      <c r="F31" s="86">
        <f t="shared" si="5"/>
        <v>0</v>
      </c>
      <c r="G31" s="37">
        <f t="shared" si="6"/>
        <v>100</v>
      </c>
      <c r="H31" s="247">
        <f t="shared" si="7"/>
        <v>150</v>
      </c>
      <c r="I31" s="38">
        <f t="shared" si="8"/>
        <v>150</v>
      </c>
      <c r="J31" s="39">
        <f t="shared" si="9"/>
        <v>100</v>
      </c>
      <c r="K31" s="40">
        <f t="shared" si="10"/>
        <v>20</v>
      </c>
      <c r="L31" s="500">
        <f t="shared" si="11"/>
        <v>100</v>
      </c>
      <c r="M31" s="635">
        <f>Rezone!J31</f>
        <v>29</v>
      </c>
      <c r="N31" s="356"/>
      <c r="O31" s="363"/>
      <c r="P31" s="348"/>
      <c r="Q31" s="348"/>
      <c r="R31" s="345"/>
      <c r="S31" s="348"/>
      <c r="T31" s="348"/>
      <c r="U31" s="348"/>
      <c r="V31" s="348"/>
      <c r="W31" s="345"/>
      <c r="X31" s="345"/>
      <c r="Y31" s="348"/>
      <c r="Z31" s="345"/>
      <c r="AA31" s="348"/>
      <c r="AB31" s="348"/>
      <c r="AC31" s="345"/>
      <c r="AD31" s="348"/>
      <c r="AE31" s="348"/>
      <c r="AF31" s="336"/>
      <c r="AG31" s="532">
        <f t="shared" si="52"/>
        <v>43693.166666666599</v>
      </c>
      <c r="AH31" s="91">
        <f>MIN(25%,(BG31+CE31)/(E31-Explore!S31*20))</f>
        <v>0</v>
      </c>
      <c r="AI31" s="59">
        <f t="shared" si="13"/>
        <v>0</v>
      </c>
      <c r="AJ31" s="56">
        <f ca="1">Production!$H31</f>
        <v>3245739</v>
      </c>
      <c r="AK31" s="57">
        <f ca="1">Production!$J31</f>
        <v>289547</v>
      </c>
      <c r="AL31" s="152">
        <f ca="1">ROUND( (1 - MIN(facs_constr_factor*$AH31,facs_constr_max)) * (1+MIN(tech_construction*Techs!AC31,tech_conquerors_crafts*Techs!AS31)) * AU31*(1+race_construction_cost),0)</f>
        <v>1615</v>
      </c>
      <c r="AM31" s="166">
        <f t="shared" si="3"/>
        <v>263</v>
      </c>
      <c r="AN31" s="152">
        <f ca="1">ROUND( (1 - MIN(facs_constr_factor*$AI31,facs_constr_max)) * (1+MIN(tech_construction*Techs!AE31,tech_conquerors_crafts*Techs!AU31)) * AU31*(1+race_construction_cost),0)</f>
        <v>1615</v>
      </c>
      <c r="AO31" s="166">
        <f t="shared" si="14"/>
        <v>263</v>
      </c>
      <c r="AP31" s="16">
        <f t="shared" ca="1" si="56"/>
        <v>0</v>
      </c>
      <c r="AQ31" s="53">
        <f t="shared" si="57"/>
        <v>0</v>
      </c>
      <c r="AR31" s="16">
        <f>MIN(SUM(F30:L30)+SUM(Explore!T19:Z19)+SUM(BV31:CN31),SUM($N31:$AF31))</f>
        <v>0</v>
      </c>
      <c r="AS31" s="16">
        <f>IF(Explore!S31&lt;&gt;0,MAX(0, MIN(20, 20 + SUM(N31:AF31) - SUM(BV31:CN31) - SUM(F30:L30)-SUM(Explore!T19:Z19)-20*Explore!S31)),0)</f>
        <v>0</v>
      </c>
      <c r="AU31" s="152">
        <f t="shared" si="17"/>
        <v>1615</v>
      </c>
      <c r="AV31" s="166">
        <f t="shared" si="18"/>
        <v>262.5</v>
      </c>
      <c r="AW31" s="164"/>
      <c r="AX31" s="295">
        <f>AX30 + IF(Overview!$B$14="Gnome",N22,N19) -BV31</f>
        <v>0</v>
      </c>
      <c r="AY31" s="28">
        <f>AY30 + IF(Overview!$B$14="Gnome",O22,O19) -BW31</f>
        <v>0</v>
      </c>
      <c r="AZ31" s="28">
        <f>AZ30 + IF(Overview!$B$14="Gnome",P22,P19) -BX31</f>
        <v>80</v>
      </c>
      <c r="BA31" s="28">
        <f>BA30 + IF(Overview!$B$14="Gnome",Q22,Q19) -BY31</f>
        <v>200</v>
      </c>
      <c r="BB31" s="28">
        <f>BB30 + IF(Overview!$B$14="Gnome",R22,R19) -BZ31</f>
        <v>0</v>
      </c>
      <c r="BC31" s="29">
        <f>BC30 + IF(Overview!$B$14="Gnome",S22,S19) -CA31</f>
        <v>50</v>
      </c>
      <c r="BD31" s="29">
        <f>BD30 + IF(Overview!$B$14="Gnome",T22,T19) -CB31</f>
        <v>0</v>
      </c>
      <c r="BE31" s="30">
        <f>BE30 + IF(Overview!$B$14="Gnome",U22,U19) -CC31</f>
        <v>0</v>
      </c>
      <c r="BF31" s="30">
        <f>BF30 + IF(Overview!$B$14="Gnome",V22,V19) -CD31</f>
        <v>0</v>
      </c>
      <c r="BG31" s="31">
        <f>BG30 + IF(Overview!$B$14="Gnome",W22,W19) -CE31</f>
        <v>0</v>
      </c>
      <c r="BH31" s="31">
        <f>BH30 + IF(Overview!$B$14="Gnome",X22,X19) -CF31</f>
        <v>0</v>
      </c>
      <c r="BI31" s="31">
        <f>BI30 + IF(Overview!$B$14="Gnome",Y22,Y19) -CG31</f>
        <v>0</v>
      </c>
      <c r="BJ31" s="31">
        <f>BJ30 + IF(Overview!$B$14="Gnome",Z22,Z19) -CH31</f>
        <v>0</v>
      </c>
      <c r="BK31" s="32">
        <f>BK30 + IF(Overview!$B$14="Gnome",AA22,AA19) -CI31</f>
        <v>50</v>
      </c>
      <c r="BL31" s="32">
        <f>BL30 + IF(Overview!$B$14="Gnome",AB22,AB19) -CJ31</f>
        <v>0</v>
      </c>
      <c r="BM31" s="32">
        <f>BM30 + IF(Overview!$B$14="Gnome",AC22,AC19) -CK31</f>
        <v>0</v>
      </c>
      <c r="BN31" s="33">
        <f>BN30 + IF(Overview!$B$14="Gnome",AD22,AD19) -CL31</f>
        <v>0</v>
      </c>
      <c r="BO31" s="33">
        <f>BO30 + IF(Overview!$B$14="Gnome",AE22,AE19) -CM31</f>
        <v>0</v>
      </c>
      <c r="BP31" s="69">
        <f>BP30 + IF(Overview!$B$14="Gnome",AF22,AF19) -CN31</f>
        <v>0</v>
      </c>
      <c r="BR31" s="442"/>
      <c r="BS31" s="156">
        <f t="shared" si="4"/>
        <v>1000</v>
      </c>
      <c r="BT31" s="574">
        <f t="shared" si="43"/>
        <v>43693.166666666599</v>
      </c>
      <c r="BV31" s="356"/>
      <c r="BW31" s="348"/>
      <c r="BX31" s="348"/>
      <c r="BY31" s="348"/>
      <c r="BZ31" s="348"/>
      <c r="CA31" s="348"/>
      <c r="CB31" s="348"/>
      <c r="CC31" s="348"/>
      <c r="CD31" s="348"/>
      <c r="CE31" s="348"/>
      <c r="CF31" s="348"/>
      <c r="CG31" s="348"/>
      <c r="CH31" s="348"/>
      <c r="CI31" s="348"/>
      <c r="CJ31" s="348"/>
      <c r="CK31" s="348"/>
      <c r="CL31" s="348"/>
      <c r="CM31" s="360"/>
      <c r="CN31" s="357"/>
      <c r="CP31" s="86">
        <f>-SUM($O31:$R31)+SUM($BW31:BZ31)+Rezone!L31+IF(home_land=CP$2,CW31) + Explore!T19</f>
        <v>0</v>
      </c>
      <c r="CQ31" s="37">
        <f>-SUM($S31:$T31)+SUM($CA31:$CB31) +Rezone!M31 + IF(home_land=CQ$2,CW31) + Explore!U19</f>
        <v>0</v>
      </c>
      <c r="CR31" s="247">
        <f>-SUM($U31:$V31)+SUM($CC31:$CD31) +Rezone!N31 + IF(home_land=CR$2,CW31) + Explore!V19</f>
        <v>0</v>
      </c>
      <c r="CS31" s="38">
        <f>-SUM($W31:$Z31)+SUM($CE31:$CH31) +Rezone!O31 + IF(home_land=CS$2,CW31) + Explore!W19</f>
        <v>0</v>
      </c>
      <c r="CT31" s="39">
        <f>-SUM($AA31:$AC31)+SUM($CI31:$CK31) +Rezone!P31 + IF(home_land=CT$2,CW31) + Explore!X19</f>
        <v>0</v>
      </c>
      <c r="CU31" s="40">
        <f xml:space="preserve"> - SUM($AD31,$AE31)+SUM($CL31,$CM31) +Rezone!Q31 + IF(home_land=CU$2,CW31)+Explore!Y19</f>
        <v>0</v>
      </c>
      <c r="CV31" s="500">
        <f>-$AF31+$CN31 +Rezone!R31 + IF(home_land=CV$2,CW31) + Explore!Z19</f>
        <v>0</v>
      </c>
      <c r="CW31" s="159">
        <f>IF(Explore!S31=1,25) - N31 + BV31</f>
        <v>0</v>
      </c>
      <c r="CY31" s="152">
        <f t="shared" si="44"/>
        <v>280</v>
      </c>
      <c r="CZ31" s="164">
        <f t="shared" si="45"/>
        <v>150</v>
      </c>
      <c r="DA31" s="16">
        <f t="shared" si="46"/>
        <v>150</v>
      </c>
      <c r="DB31" s="164">
        <f t="shared" si="47"/>
        <v>150</v>
      </c>
      <c r="DC31" s="164">
        <f t="shared" si="48"/>
        <v>150</v>
      </c>
      <c r="DD31" s="16">
        <f t="shared" si="49"/>
        <v>20</v>
      </c>
      <c r="DE31" s="166">
        <f t="shared" si="50"/>
        <v>100</v>
      </c>
      <c r="DF31" s="164">
        <f t="shared" ca="1" si="53"/>
        <v>280</v>
      </c>
      <c r="DG31" s="16">
        <f t="shared" si="54"/>
        <v>0</v>
      </c>
      <c r="DH31" s="16">
        <f t="shared" si="55"/>
        <v>31</v>
      </c>
      <c r="DI31" s="166"/>
    </row>
    <row r="32" spans="1:113" s="16" customFormat="1">
      <c r="A32" s="36">
        <f t="shared" si="41"/>
        <v>620</v>
      </c>
      <c r="B32" s="36">
        <f t="shared" si="51"/>
        <v>380</v>
      </c>
      <c r="C32" s="83">
        <f t="shared" si="42"/>
        <v>0</v>
      </c>
      <c r="D32" s="574"/>
      <c r="E32" s="16">
        <f t="shared" si="2"/>
        <v>1000</v>
      </c>
      <c r="F32" s="86">
        <f t="shared" si="5"/>
        <v>0</v>
      </c>
      <c r="G32" s="37">
        <f t="shared" si="6"/>
        <v>100</v>
      </c>
      <c r="H32" s="247">
        <f t="shared" si="7"/>
        <v>150</v>
      </c>
      <c r="I32" s="38">
        <f t="shared" si="8"/>
        <v>150</v>
      </c>
      <c r="J32" s="39">
        <f t="shared" si="9"/>
        <v>100</v>
      </c>
      <c r="K32" s="40">
        <f t="shared" si="10"/>
        <v>20</v>
      </c>
      <c r="L32" s="500">
        <f t="shared" si="11"/>
        <v>100</v>
      </c>
      <c r="M32" s="635">
        <f>Rezone!J32</f>
        <v>30</v>
      </c>
      <c r="N32" s="356"/>
      <c r="O32" s="363"/>
      <c r="P32" s="348"/>
      <c r="Q32" s="348"/>
      <c r="R32" s="345"/>
      <c r="S32" s="348"/>
      <c r="T32" s="348"/>
      <c r="U32" s="348"/>
      <c r="V32" s="348"/>
      <c r="W32" s="345"/>
      <c r="X32" s="345"/>
      <c r="Y32" s="348"/>
      <c r="Z32" s="345"/>
      <c r="AA32" s="348"/>
      <c r="AB32" s="348"/>
      <c r="AC32" s="345"/>
      <c r="AD32" s="348"/>
      <c r="AE32" s="348"/>
      <c r="AF32" s="336"/>
      <c r="AG32" s="532">
        <f t="shared" si="52"/>
        <v>43693.208333333263</v>
      </c>
      <c r="AH32" s="91">
        <f>MIN(25%,(BG32+CE32)/(E32-Explore!S32*20))</f>
        <v>0</v>
      </c>
      <c r="AI32" s="59">
        <f t="shared" si="13"/>
        <v>0</v>
      </c>
      <c r="AJ32" s="56">
        <f ca="1">Production!$H32</f>
        <v>3256390</v>
      </c>
      <c r="AK32" s="57">
        <f ca="1">Production!$J32</f>
        <v>289152</v>
      </c>
      <c r="AL32" s="152">
        <f ca="1">ROUND( (1 - MIN(facs_constr_factor*$AH32,facs_constr_max)) * (1+MIN(tech_construction*Techs!AC32,tech_conquerors_crafts*Techs!AS32)) * AU32*(1+race_construction_cost),0)</f>
        <v>1615</v>
      </c>
      <c r="AM32" s="166">
        <f t="shared" si="3"/>
        <v>263</v>
      </c>
      <c r="AN32" s="152">
        <f ca="1">ROUND( (1 - MIN(facs_constr_factor*$AI32,facs_constr_max)) * (1+MIN(tech_construction*Techs!AE32,tech_conquerors_crafts*Techs!AU32)) * AU32*(1+race_construction_cost),0)</f>
        <v>1615</v>
      </c>
      <c r="AO32" s="166">
        <f t="shared" si="14"/>
        <v>263</v>
      </c>
      <c r="AP32" s="16">
        <f t="shared" ca="1" si="56"/>
        <v>0</v>
      </c>
      <c r="AQ32" s="53">
        <f t="shared" si="57"/>
        <v>0</v>
      </c>
      <c r="AR32" s="16">
        <f>MIN(SUM(F31:L31)+SUM(Explore!T20:Z20)+SUM(BV32:CN32),SUM($N32:$AF32))</f>
        <v>0</v>
      </c>
      <c r="AS32" s="16">
        <f>IF(Explore!S32&lt;&gt;0,MAX(0, MIN(20, 20 + SUM(N32:AF32) - SUM(BV32:CN32) - SUM(F31:L31)-SUM(Explore!T20:Z20)-20*Explore!S32)),0)</f>
        <v>0</v>
      </c>
      <c r="AU32" s="152">
        <f t="shared" si="17"/>
        <v>1615</v>
      </c>
      <c r="AV32" s="166">
        <f t="shared" si="18"/>
        <v>262.5</v>
      </c>
      <c r="AW32" s="164"/>
      <c r="AX32" s="295">
        <f>AX31 + IF(Overview!$B$14="Gnome",N23,N20) -BV32</f>
        <v>0</v>
      </c>
      <c r="AY32" s="28">
        <f>AY31 + IF(Overview!$B$14="Gnome",O23,O20) -BW32</f>
        <v>0</v>
      </c>
      <c r="AZ32" s="28">
        <f>AZ31 + IF(Overview!$B$14="Gnome",P23,P20) -BX32</f>
        <v>80</v>
      </c>
      <c r="BA32" s="28">
        <f>BA31 + IF(Overview!$B$14="Gnome",Q23,Q20) -BY32</f>
        <v>200</v>
      </c>
      <c r="BB32" s="28">
        <f>BB31 + IF(Overview!$B$14="Gnome",R23,R20) -BZ32</f>
        <v>0</v>
      </c>
      <c r="BC32" s="29">
        <f>BC31 + IF(Overview!$B$14="Gnome",S23,S20) -CA32</f>
        <v>50</v>
      </c>
      <c r="BD32" s="29">
        <f>BD31 + IF(Overview!$B$14="Gnome",T23,T20) -CB32</f>
        <v>0</v>
      </c>
      <c r="BE32" s="30">
        <f>BE31 + IF(Overview!$B$14="Gnome",U23,U20) -CC32</f>
        <v>0</v>
      </c>
      <c r="BF32" s="30">
        <f>BF31 + IF(Overview!$B$14="Gnome",V23,V20) -CD32</f>
        <v>0</v>
      </c>
      <c r="BG32" s="31">
        <f>BG31 + IF(Overview!$B$14="Gnome",W23,W20) -CE32</f>
        <v>0</v>
      </c>
      <c r="BH32" s="31">
        <f>BH31 + IF(Overview!$B$14="Gnome",X23,X20) -CF32</f>
        <v>0</v>
      </c>
      <c r="BI32" s="31">
        <f>BI31 + IF(Overview!$B$14="Gnome",Y23,Y20) -CG32</f>
        <v>0</v>
      </c>
      <c r="BJ32" s="31">
        <f>BJ31 + IF(Overview!$B$14="Gnome",Z23,Z20) -CH32</f>
        <v>0</v>
      </c>
      <c r="BK32" s="32">
        <f>BK31 + IF(Overview!$B$14="Gnome",AA23,AA20) -CI32</f>
        <v>50</v>
      </c>
      <c r="BL32" s="32">
        <f>BL31 + IF(Overview!$B$14="Gnome",AB23,AB20) -CJ32</f>
        <v>0</v>
      </c>
      <c r="BM32" s="32">
        <f>BM31 + IF(Overview!$B$14="Gnome",AC23,AC20) -CK32</f>
        <v>0</v>
      </c>
      <c r="BN32" s="33">
        <f>BN31 + IF(Overview!$B$14="Gnome",AD23,AD20) -CL32</f>
        <v>0</v>
      </c>
      <c r="BO32" s="33">
        <f>BO31 + IF(Overview!$B$14="Gnome",AE23,AE20) -CM32</f>
        <v>0</v>
      </c>
      <c r="BP32" s="69">
        <f>BP31 + IF(Overview!$B$14="Gnome",AF23,AF20) -CN32</f>
        <v>0</v>
      </c>
      <c r="BR32" s="442"/>
      <c r="BS32" s="156">
        <f t="shared" si="4"/>
        <v>1000</v>
      </c>
      <c r="BT32" s="574">
        <f t="shared" si="43"/>
        <v>43693.208333333263</v>
      </c>
      <c r="BV32" s="356"/>
      <c r="BW32" s="348"/>
      <c r="BX32" s="348"/>
      <c r="BY32" s="348"/>
      <c r="BZ32" s="348"/>
      <c r="CA32" s="348"/>
      <c r="CB32" s="348"/>
      <c r="CC32" s="348"/>
      <c r="CD32" s="348"/>
      <c r="CE32" s="348"/>
      <c r="CF32" s="348"/>
      <c r="CG32" s="348"/>
      <c r="CH32" s="348"/>
      <c r="CI32" s="348"/>
      <c r="CJ32" s="348"/>
      <c r="CK32" s="348"/>
      <c r="CL32" s="348"/>
      <c r="CM32" s="360"/>
      <c r="CN32" s="357"/>
      <c r="CP32" s="86">
        <f>-SUM($O32:$R32)+SUM($BW32:BZ32)+Rezone!L32+IF(home_land=CP$2,CW32) + Explore!T20</f>
        <v>0</v>
      </c>
      <c r="CQ32" s="37">
        <f>-SUM($S32:$T32)+SUM($CA32:$CB32) +Rezone!M32 + IF(home_land=CQ$2,CW32) + Explore!U20</f>
        <v>0</v>
      </c>
      <c r="CR32" s="247">
        <f>-SUM($U32:$V32)+SUM($CC32:$CD32) +Rezone!N32 + IF(home_land=CR$2,CW32) + Explore!V20</f>
        <v>0</v>
      </c>
      <c r="CS32" s="38">
        <f>-SUM($W32:$Z32)+SUM($CE32:$CH32) +Rezone!O32 + IF(home_land=CS$2,CW32) + Explore!W20</f>
        <v>0</v>
      </c>
      <c r="CT32" s="39">
        <f>-SUM($AA32:$AC32)+SUM($CI32:$CK32) +Rezone!P32 + IF(home_land=CT$2,CW32) + Explore!X20</f>
        <v>0</v>
      </c>
      <c r="CU32" s="40">
        <f xml:space="preserve"> - SUM($AD32,$AE32)+SUM($CL32,$CM32) +Rezone!Q32 + IF(home_land=CU$2,CW32)+Explore!Y20</f>
        <v>0</v>
      </c>
      <c r="CV32" s="500">
        <f>-$AF32+$CN32 +Rezone!R32 + IF(home_land=CV$2,CW32) + Explore!Z20</f>
        <v>0</v>
      </c>
      <c r="CW32" s="159">
        <f>IF(Explore!S32=1,25) - N32 + BV32</f>
        <v>0</v>
      </c>
      <c r="CY32" s="152">
        <f t="shared" si="44"/>
        <v>280</v>
      </c>
      <c r="CZ32" s="164">
        <f t="shared" si="45"/>
        <v>150</v>
      </c>
      <c r="DA32" s="16">
        <f t="shared" si="46"/>
        <v>150</v>
      </c>
      <c r="DB32" s="164">
        <f t="shared" si="47"/>
        <v>150</v>
      </c>
      <c r="DC32" s="164">
        <f t="shared" si="48"/>
        <v>150</v>
      </c>
      <c r="DD32" s="16">
        <f t="shared" si="49"/>
        <v>20</v>
      </c>
      <c r="DE32" s="166">
        <f t="shared" si="50"/>
        <v>100</v>
      </c>
      <c r="DF32" s="164">
        <f t="shared" ca="1" si="53"/>
        <v>280</v>
      </c>
      <c r="DG32" s="16">
        <f t="shared" si="54"/>
        <v>0</v>
      </c>
      <c r="DH32" s="16">
        <f t="shared" si="55"/>
        <v>32</v>
      </c>
      <c r="DI32" s="166"/>
    </row>
    <row r="33" spans="1:113" s="16" customFormat="1">
      <c r="A33" s="36">
        <f t="shared" si="41"/>
        <v>620</v>
      </c>
      <c r="B33" s="36">
        <f t="shared" si="51"/>
        <v>380</v>
      </c>
      <c r="C33" s="83">
        <f t="shared" si="42"/>
        <v>0</v>
      </c>
      <c r="D33" s="574"/>
      <c r="E33" s="16">
        <f t="shared" si="2"/>
        <v>1000</v>
      </c>
      <c r="F33" s="86">
        <f t="shared" si="5"/>
        <v>0</v>
      </c>
      <c r="G33" s="37">
        <f t="shared" si="6"/>
        <v>100</v>
      </c>
      <c r="H33" s="247">
        <f t="shared" si="7"/>
        <v>150</v>
      </c>
      <c r="I33" s="38">
        <f t="shared" si="8"/>
        <v>150</v>
      </c>
      <c r="J33" s="39">
        <f t="shared" si="9"/>
        <v>100</v>
      </c>
      <c r="K33" s="40">
        <f t="shared" si="10"/>
        <v>20</v>
      </c>
      <c r="L33" s="500">
        <f t="shared" si="11"/>
        <v>100</v>
      </c>
      <c r="M33" s="635">
        <f>Rezone!J33</f>
        <v>31</v>
      </c>
      <c r="N33" s="356"/>
      <c r="O33" s="363"/>
      <c r="P33" s="348"/>
      <c r="Q33" s="348"/>
      <c r="R33" s="345"/>
      <c r="S33" s="348"/>
      <c r="T33" s="348"/>
      <c r="U33" s="348"/>
      <c r="V33" s="348"/>
      <c r="W33" s="345"/>
      <c r="X33" s="345"/>
      <c r="Y33" s="348"/>
      <c r="Z33" s="345"/>
      <c r="AA33" s="348"/>
      <c r="AB33" s="348"/>
      <c r="AC33" s="345"/>
      <c r="AD33" s="348"/>
      <c r="AE33" s="348"/>
      <c r="AF33" s="336"/>
      <c r="AG33" s="532">
        <f t="shared" si="52"/>
        <v>43693.249999999927</v>
      </c>
      <c r="AH33" s="91">
        <f>MIN(25%,(BG33+CE33)/(E33-Explore!S33*20))</f>
        <v>0</v>
      </c>
      <c r="AI33" s="59">
        <f t="shared" si="13"/>
        <v>0</v>
      </c>
      <c r="AJ33" s="56">
        <f ca="1">Production!$H33</f>
        <v>3267041</v>
      </c>
      <c r="AK33" s="57">
        <f ca="1">Production!$J33</f>
        <v>288760</v>
      </c>
      <c r="AL33" s="152">
        <f ca="1">ROUND( (1 - MIN(facs_constr_factor*$AH33,facs_constr_max)) * (1+MIN(tech_construction*Techs!AC33,tech_conquerors_crafts*Techs!AS33)) * AU33*(1+race_construction_cost),0)</f>
        <v>1615</v>
      </c>
      <c r="AM33" s="166">
        <f t="shared" si="3"/>
        <v>263</v>
      </c>
      <c r="AN33" s="152">
        <f ca="1">ROUND( (1 - MIN(facs_constr_factor*$AI33,facs_constr_max)) * (1+MIN(tech_construction*Techs!AE33,tech_conquerors_crafts*Techs!AU33)) * AU33*(1+race_construction_cost),0)</f>
        <v>1615</v>
      </c>
      <c r="AO33" s="166">
        <f t="shared" si="14"/>
        <v>263</v>
      </c>
      <c r="AP33" s="16">
        <f t="shared" ca="1" si="56"/>
        <v>0</v>
      </c>
      <c r="AQ33" s="53">
        <f t="shared" si="57"/>
        <v>0</v>
      </c>
      <c r="AR33" s="16">
        <f>MIN(SUM(F32:L32)+SUM(Explore!T21:Z21)+SUM(BV33:CN33),SUM($N33:$AF33))</f>
        <v>0</v>
      </c>
      <c r="AS33" s="16">
        <f>IF(Explore!S33&lt;&gt;0,MAX(0, MIN(20, 20 + SUM(N33:AF33) - SUM(BV33:CN33) - SUM(F32:L32)-SUM(Explore!T21:Z21)-20*Explore!S33)),0)</f>
        <v>0</v>
      </c>
      <c r="AU33" s="152">
        <f t="shared" si="17"/>
        <v>1615</v>
      </c>
      <c r="AV33" s="166">
        <f t="shared" si="18"/>
        <v>262.5</v>
      </c>
      <c r="AW33" s="164"/>
      <c r="AX33" s="295">
        <f>AX32 + IF(Overview!$B$14="Gnome",N24,N21) -BV33</f>
        <v>0</v>
      </c>
      <c r="AY33" s="28">
        <f>AY32 + IF(Overview!$B$14="Gnome",O24,O21) -BW33</f>
        <v>0</v>
      </c>
      <c r="AZ33" s="28">
        <f>AZ32 + IF(Overview!$B$14="Gnome",P24,P21) -BX33</f>
        <v>80</v>
      </c>
      <c r="BA33" s="28">
        <f>BA32 + IF(Overview!$B$14="Gnome",Q24,Q21) -BY33</f>
        <v>200</v>
      </c>
      <c r="BB33" s="28">
        <f>BB32 + IF(Overview!$B$14="Gnome",R24,R21) -BZ33</f>
        <v>0</v>
      </c>
      <c r="BC33" s="29">
        <f>BC32 + IF(Overview!$B$14="Gnome",S24,S21) -CA33</f>
        <v>50</v>
      </c>
      <c r="BD33" s="29">
        <f>BD32 + IF(Overview!$B$14="Gnome",T24,T21) -CB33</f>
        <v>0</v>
      </c>
      <c r="BE33" s="30">
        <f>BE32 + IF(Overview!$B$14="Gnome",U24,U21) -CC33</f>
        <v>0</v>
      </c>
      <c r="BF33" s="30">
        <f>BF32 + IF(Overview!$B$14="Gnome",V24,V21) -CD33</f>
        <v>0</v>
      </c>
      <c r="BG33" s="31">
        <f>BG32 + IF(Overview!$B$14="Gnome",W24,W21) -CE33</f>
        <v>0</v>
      </c>
      <c r="BH33" s="31">
        <f>BH32 + IF(Overview!$B$14="Gnome",X24,X21) -CF33</f>
        <v>0</v>
      </c>
      <c r="BI33" s="31">
        <f>BI32 + IF(Overview!$B$14="Gnome",Y24,Y21) -CG33</f>
        <v>0</v>
      </c>
      <c r="BJ33" s="31">
        <f>BJ32 + IF(Overview!$B$14="Gnome",Z24,Z21) -CH33</f>
        <v>0</v>
      </c>
      <c r="BK33" s="32">
        <f>BK32 + IF(Overview!$B$14="Gnome",AA24,AA21) -CI33</f>
        <v>50</v>
      </c>
      <c r="BL33" s="32">
        <f>BL32 + IF(Overview!$B$14="Gnome",AB24,AB21) -CJ33</f>
        <v>0</v>
      </c>
      <c r="BM33" s="32">
        <f>BM32 + IF(Overview!$B$14="Gnome",AC24,AC21) -CK33</f>
        <v>0</v>
      </c>
      <c r="BN33" s="33">
        <f>BN32 + IF(Overview!$B$14="Gnome",AD24,AD21) -CL33</f>
        <v>0</v>
      </c>
      <c r="BO33" s="33">
        <f>BO32 + IF(Overview!$B$14="Gnome",AE24,AE21) -CM33</f>
        <v>0</v>
      </c>
      <c r="BP33" s="69">
        <f>BP32 + IF(Overview!$B$14="Gnome",AF24,AF21) -CN33</f>
        <v>0</v>
      </c>
      <c r="BR33" s="442"/>
      <c r="BS33" s="156">
        <f t="shared" si="4"/>
        <v>1000</v>
      </c>
      <c r="BT33" s="574">
        <f t="shared" si="43"/>
        <v>43693.249999999927</v>
      </c>
      <c r="BV33" s="356"/>
      <c r="BW33" s="348"/>
      <c r="BX33" s="348"/>
      <c r="BY33" s="348"/>
      <c r="BZ33" s="348"/>
      <c r="CA33" s="348"/>
      <c r="CB33" s="348"/>
      <c r="CC33" s="348"/>
      <c r="CD33" s="348"/>
      <c r="CE33" s="348"/>
      <c r="CF33" s="348"/>
      <c r="CG33" s="348"/>
      <c r="CH33" s="348"/>
      <c r="CI33" s="348"/>
      <c r="CJ33" s="348"/>
      <c r="CK33" s="348"/>
      <c r="CL33" s="348"/>
      <c r="CM33" s="360"/>
      <c r="CN33" s="357"/>
      <c r="CP33" s="86">
        <f>-SUM($O33:$R33)+SUM($BW33:BZ33)+Rezone!L33+IF(home_land=CP$2,CW33) + Explore!T21</f>
        <v>0</v>
      </c>
      <c r="CQ33" s="37">
        <f>-SUM($S33:$T33)+SUM($CA33:$CB33) +Rezone!M33 + IF(home_land=CQ$2,CW33) + Explore!U21</f>
        <v>0</v>
      </c>
      <c r="CR33" s="247">
        <f>-SUM($U33:$V33)+SUM($CC33:$CD33) +Rezone!N33 + IF(home_land=CR$2,CW33) + Explore!V21</f>
        <v>0</v>
      </c>
      <c r="CS33" s="38">
        <f>-SUM($W33:$Z33)+SUM($CE33:$CH33) +Rezone!O33 + IF(home_land=CS$2,CW33) + Explore!W21</f>
        <v>0</v>
      </c>
      <c r="CT33" s="39">
        <f>-SUM($AA33:$AC33)+SUM($CI33:$CK33) +Rezone!P33 + IF(home_land=CT$2,CW33) + Explore!X21</f>
        <v>0</v>
      </c>
      <c r="CU33" s="40">
        <f xml:space="preserve"> - SUM($AD33,$AE33)+SUM($CL33,$CM33) +Rezone!Q33 + IF(home_land=CU$2,CW33)+Explore!Y21</f>
        <v>0</v>
      </c>
      <c r="CV33" s="500">
        <f>-$AF33+$CN33 +Rezone!R33 + IF(home_land=CV$2,CW33) + Explore!Z21</f>
        <v>0</v>
      </c>
      <c r="CW33" s="159">
        <f>IF(Explore!S33=1,25) - N33 + BV33</f>
        <v>0</v>
      </c>
      <c r="CY33" s="152">
        <f t="shared" si="44"/>
        <v>280</v>
      </c>
      <c r="CZ33" s="164">
        <f t="shared" si="45"/>
        <v>150</v>
      </c>
      <c r="DA33" s="16">
        <f t="shared" si="46"/>
        <v>150</v>
      </c>
      <c r="DB33" s="164">
        <f t="shared" si="47"/>
        <v>150</v>
      </c>
      <c r="DC33" s="164">
        <f t="shared" si="48"/>
        <v>150</v>
      </c>
      <c r="DD33" s="16">
        <f t="shared" si="49"/>
        <v>20</v>
      </c>
      <c r="DE33" s="166">
        <f t="shared" si="50"/>
        <v>100</v>
      </c>
      <c r="DF33" s="164">
        <f t="shared" ca="1" si="53"/>
        <v>280</v>
      </c>
      <c r="DG33" s="16">
        <f t="shared" si="54"/>
        <v>0</v>
      </c>
      <c r="DH33" s="16">
        <f t="shared" si="55"/>
        <v>33</v>
      </c>
      <c r="DI33" s="166"/>
    </row>
    <row r="34" spans="1:113" s="16" customFormat="1">
      <c r="A34" s="36">
        <f t="shared" si="41"/>
        <v>620</v>
      </c>
      <c r="B34" s="36">
        <f t="shared" si="51"/>
        <v>380</v>
      </c>
      <c r="C34" s="83">
        <f t="shared" si="42"/>
        <v>0</v>
      </c>
      <c r="D34" s="574"/>
      <c r="E34" s="16">
        <f t="shared" si="2"/>
        <v>1000</v>
      </c>
      <c r="F34" s="86">
        <f t="shared" si="5"/>
        <v>0</v>
      </c>
      <c r="G34" s="37">
        <f t="shared" si="6"/>
        <v>100</v>
      </c>
      <c r="H34" s="247">
        <f t="shared" si="7"/>
        <v>150</v>
      </c>
      <c r="I34" s="38">
        <f t="shared" si="8"/>
        <v>150</v>
      </c>
      <c r="J34" s="39">
        <f t="shared" si="9"/>
        <v>100</v>
      </c>
      <c r="K34" s="40">
        <f t="shared" si="10"/>
        <v>20</v>
      </c>
      <c r="L34" s="500">
        <f t="shared" si="11"/>
        <v>100</v>
      </c>
      <c r="M34" s="635">
        <f>Rezone!J34</f>
        <v>32</v>
      </c>
      <c r="N34" s="356"/>
      <c r="O34" s="363"/>
      <c r="P34" s="348"/>
      <c r="Q34" s="348"/>
      <c r="R34" s="345"/>
      <c r="S34" s="348"/>
      <c r="T34" s="348"/>
      <c r="U34" s="348"/>
      <c r="V34" s="348"/>
      <c r="W34" s="363"/>
      <c r="X34" s="345"/>
      <c r="Y34" s="348"/>
      <c r="Z34" s="345"/>
      <c r="AA34" s="348"/>
      <c r="AB34" s="348"/>
      <c r="AC34" s="345"/>
      <c r="AD34" s="348"/>
      <c r="AE34" s="348"/>
      <c r="AF34" s="336"/>
      <c r="AG34" s="532">
        <f t="shared" si="52"/>
        <v>43693.291666666591</v>
      </c>
      <c r="AH34" s="91">
        <f>MIN(25%,(BG34+CE34)/(E34-Explore!S34*20))</f>
        <v>0</v>
      </c>
      <c r="AI34" s="59">
        <f t="shared" si="13"/>
        <v>0</v>
      </c>
      <c r="AJ34" s="56">
        <f ca="1">Production!$H34</f>
        <v>3277692</v>
      </c>
      <c r="AK34" s="57">
        <f ca="1">Production!$J34</f>
        <v>288372</v>
      </c>
      <c r="AL34" s="152">
        <f ca="1">ROUND( (1 - MIN(facs_constr_factor*$AH34,facs_constr_max)) * (1+MIN(tech_construction*Techs!AC34,tech_conquerors_crafts*Techs!AS34)) * AU34*(1+race_construction_cost),0)</f>
        <v>1615</v>
      </c>
      <c r="AM34" s="166">
        <f t="shared" si="3"/>
        <v>263</v>
      </c>
      <c r="AN34" s="152">
        <f ca="1">ROUND( (1 - MIN(facs_constr_factor*$AI34,facs_constr_max)) * (1+MIN(tech_construction*Techs!AE34,tech_conquerors_crafts*Techs!AU34)) * AU34*(1+race_construction_cost),0)</f>
        <v>1615</v>
      </c>
      <c r="AO34" s="166">
        <f t="shared" si="14"/>
        <v>263</v>
      </c>
      <c r="AP34" s="16">
        <f t="shared" ca="1" si="56"/>
        <v>0</v>
      </c>
      <c r="AQ34" s="53">
        <f t="shared" si="57"/>
        <v>0</v>
      </c>
      <c r="AR34" s="16">
        <f>MIN(SUM(F33:L33)+SUM(Explore!T22:Z22)+SUM(BV34:CN34),SUM($N34:$AF34))</f>
        <v>0</v>
      </c>
      <c r="AS34" s="16">
        <f>IF(Explore!S34&lt;&gt;0,MAX(0, MIN(20, 20 + SUM(N34:AF34) - SUM(BV34:CN34) - SUM(F33:L33)-SUM(Explore!T22:Z22)-20*Explore!S34)),0)</f>
        <v>0</v>
      </c>
      <c r="AU34" s="152">
        <f t="shared" si="17"/>
        <v>1615</v>
      </c>
      <c r="AV34" s="166">
        <f t="shared" si="18"/>
        <v>262.5</v>
      </c>
      <c r="AW34" s="164"/>
      <c r="AX34" s="295">
        <f>AX33 + IF(Overview!$B$14="Gnome",N25,N22) -BV34</f>
        <v>0</v>
      </c>
      <c r="AY34" s="28">
        <f>AY33 + IF(Overview!$B$14="Gnome",O25,O22) -BW34</f>
        <v>0</v>
      </c>
      <c r="AZ34" s="28">
        <f>AZ33 + IF(Overview!$B$14="Gnome",P25,P22) -BX34</f>
        <v>80</v>
      </c>
      <c r="BA34" s="28">
        <f>BA33 + IF(Overview!$B$14="Gnome",Q25,Q22) -BY34</f>
        <v>200</v>
      </c>
      <c r="BB34" s="28">
        <f>BB33 + IF(Overview!$B$14="Gnome",R25,R22) -BZ34</f>
        <v>0</v>
      </c>
      <c r="BC34" s="29">
        <f>BC33 + IF(Overview!$B$14="Gnome",S25,S22) -CA34</f>
        <v>50</v>
      </c>
      <c r="BD34" s="29">
        <f>BD33 + IF(Overview!$B$14="Gnome",T25,T22) -CB34</f>
        <v>0</v>
      </c>
      <c r="BE34" s="30">
        <f>BE33 + IF(Overview!$B$14="Gnome",U25,U22) -CC34</f>
        <v>0</v>
      </c>
      <c r="BF34" s="30">
        <f>BF33 + IF(Overview!$B$14="Gnome",V25,V22) -CD34</f>
        <v>0</v>
      </c>
      <c r="BG34" s="31">
        <f>BG33 + IF(Overview!$B$14="Gnome",W25,W22) -CE34</f>
        <v>0</v>
      </c>
      <c r="BH34" s="31">
        <f>BH33 + IF(Overview!$B$14="Gnome",X25,X22) -CF34</f>
        <v>0</v>
      </c>
      <c r="BI34" s="31">
        <f>BI33 + IF(Overview!$B$14="Gnome",Y25,Y22) -CG34</f>
        <v>0</v>
      </c>
      <c r="BJ34" s="31">
        <f>BJ33 + IF(Overview!$B$14="Gnome",Z25,Z22) -CH34</f>
        <v>0</v>
      </c>
      <c r="BK34" s="32">
        <f>BK33 + IF(Overview!$B$14="Gnome",AA25,AA22) -CI34</f>
        <v>50</v>
      </c>
      <c r="BL34" s="32">
        <f>BL33 + IF(Overview!$B$14="Gnome",AB25,AB22) -CJ34</f>
        <v>0</v>
      </c>
      <c r="BM34" s="32">
        <f>BM33 + IF(Overview!$B$14="Gnome",AC25,AC22) -CK34</f>
        <v>0</v>
      </c>
      <c r="BN34" s="33">
        <f>BN33 + IF(Overview!$B$14="Gnome",AD25,AD22) -CL34</f>
        <v>0</v>
      </c>
      <c r="BO34" s="33">
        <f>BO33 + IF(Overview!$B$14="Gnome",AE25,AE22) -CM34</f>
        <v>0</v>
      </c>
      <c r="BP34" s="69">
        <f>BP33 + IF(Overview!$B$14="Gnome",AF25,AF22) -CN34</f>
        <v>0</v>
      </c>
      <c r="BR34" s="442"/>
      <c r="BS34" s="156">
        <f t="shared" si="4"/>
        <v>1000</v>
      </c>
      <c r="BT34" s="574">
        <f t="shared" si="43"/>
        <v>43693.291666666591</v>
      </c>
      <c r="BV34" s="356"/>
      <c r="BW34" s="348"/>
      <c r="BX34" s="348"/>
      <c r="BY34" s="348"/>
      <c r="BZ34" s="348"/>
      <c r="CA34" s="348"/>
      <c r="CB34" s="348"/>
      <c r="CC34" s="348"/>
      <c r="CD34" s="348"/>
      <c r="CE34" s="348"/>
      <c r="CF34" s="348"/>
      <c r="CG34" s="348"/>
      <c r="CH34" s="348"/>
      <c r="CI34" s="348"/>
      <c r="CJ34" s="348"/>
      <c r="CK34" s="348"/>
      <c r="CL34" s="348"/>
      <c r="CM34" s="360"/>
      <c r="CN34" s="357"/>
      <c r="CP34" s="86">
        <f>-SUM($O34:$R34)+SUM($BW34:BZ34)+Rezone!L34+IF(home_land=CP$2,CW34) + Explore!T22</f>
        <v>0</v>
      </c>
      <c r="CQ34" s="37">
        <f>-SUM($S34:$T34)+SUM($CA34:$CB34) +Rezone!M34 + IF(home_land=CQ$2,CW34) + Explore!U22</f>
        <v>0</v>
      </c>
      <c r="CR34" s="247">
        <f>-SUM($U34:$V34)+SUM($CC34:$CD34) +Rezone!N34 + IF(home_land=CR$2,CW34) + Explore!V22</f>
        <v>0</v>
      </c>
      <c r="CS34" s="38">
        <f>-SUM($W34:$Z34)+SUM($CE34:$CH34) +Rezone!O34 + IF(home_land=CS$2,CW34) + Explore!W22</f>
        <v>0</v>
      </c>
      <c r="CT34" s="39">
        <f>-SUM($AA34:$AC34)+SUM($CI34:$CK34) +Rezone!P34 + IF(home_land=CT$2,CW34) + Explore!X22</f>
        <v>0</v>
      </c>
      <c r="CU34" s="40">
        <f xml:space="preserve"> - SUM($AD34,$AE34)+SUM($CL34,$CM34) +Rezone!Q34 + IF(home_land=CU$2,CW34)+Explore!Y22</f>
        <v>0</v>
      </c>
      <c r="CV34" s="500">
        <f>-$AF34+$CN34 +Rezone!R34 + IF(home_land=CV$2,CW34) + Explore!Z22</f>
        <v>0</v>
      </c>
      <c r="CW34" s="159">
        <f>IF(Explore!S34=1,25) - N34 + BV34</f>
        <v>0</v>
      </c>
      <c r="CY34" s="152">
        <f t="shared" si="44"/>
        <v>280</v>
      </c>
      <c r="CZ34" s="164">
        <f t="shared" si="45"/>
        <v>150</v>
      </c>
      <c r="DA34" s="16">
        <f t="shared" si="46"/>
        <v>150</v>
      </c>
      <c r="DB34" s="164">
        <f t="shared" si="47"/>
        <v>150</v>
      </c>
      <c r="DC34" s="164">
        <f t="shared" si="48"/>
        <v>150</v>
      </c>
      <c r="DD34" s="16">
        <f t="shared" si="49"/>
        <v>20</v>
      </c>
      <c r="DE34" s="166">
        <f t="shared" si="50"/>
        <v>100</v>
      </c>
      <c r="DF34" s="164">
        <f t="shared" ca="1" si="53"/>
        <v>280</v>
      </c>
      <c r="DG34" s="16">
        <f t="shared" si="54"/>
        <v>0</v>
      </c>
      <c r="DH34" s="16">
        <f t="shared" si="55"/>
        <v>34</v>
      </c>
      <c r="DI34" s="166"/>
    </row>
    <row r="35" spans="1:113" s="16" customFormat="1">
      <c r="A35" s="36">
        <f t="shared" ref="A35:A66" si="58">SUM(F35:L35)</f>
        <v>620</v>
      </c>
      <c r="B35" s="36">
        <f t="shared" si="51"/>
        <v>380</v>
      </c>
      <c r="C35" s="83">
        <f t="shared" si="42"/>
        <v>0</v>
      </c>
      <c r="D35" s="574"/>
      <c r="E35" s="16">
        <f t="shared" ref="E35:E66" si="59">A35+B35+C35</f>
        <v>1000</v>
      </c>
      <c r="F35" s="86">
        <f t="shared" si="5"/>
        <v>0</v>
      </c>
      <c r="G35" s="37">
        <f t="shared" si="6"/>
        <v>100</v>
      </c>
      <c r="H35" s="247">
        <f t="shared" si="7"/>
        <v>150</v>
      </c>
      <c r="I35" s="38">
        <f t="shared" si="8"/>
        <v>150</v>
      </c>
      <c r="J35" s="39">
        <f t="shared" si="9"/>
        <v>100</v>
      </c>
      <c r="K35" s="40">
        <f t="shared" si="10"/>
        <v>20</v>
      </c>
      <c r="L35" s="500">
        <f t="shared" si="11"/>
        <v>100</v>
      </c>
      <c r="M35" s="635">
        <f>Rezone!J35</f>
        <v>33</v>
      </c>
      <c r="N35" s="356"/>
      <c r="O35" s="363"/>
      <c r="P35" s="348"/>
      <c r="Q35" s="348"/>
      <c r="R35" s="345"/>
      <c r="S35" s="348"/>
      <c r="T35" s="348"/>
      <c r="U35" s="348"/>
      <c r="V35" s="348"/>
      <c r="W35" s="345"/>
      <c r="X35" s="345"/>
      <c r="Y35" s="348"/>
      <c r="Z35" s="345"/>
      <c r="AA35" s="348"/>
      <c r="AB35" s="348"/>
      <c r="AC35" s="345"/>
      <c r="AD35" s="348"/>
      <c r="AE35" s="348"/>
      <c r="AF35" s="336"/>
      <c r="AG35" s="532">
        <f t="shared" si="52"/>
        <v>43693.333333333256</v>
      </c>
      <c r="AH35" s="91">
        <f>MIN(25%,(BG35+CE35)/(E35-Explore!S35*20))</f>
        <v>0</v>
      </c>
      <c r="AI35" s="59">
        <f t="shared" si="13"/>
        <v>0</v>
      </c>
      <c r="AJ35" s="56">
        <f ca="1">Production!$H35</f>
        <v>3288343</v>
      </c>
      <c r="AK35" s="57">
        <f ca="1">Production!$J35</f>
        <v>287988</v>
      </c>
      <c r="AL35" s="152">
        <f ca="1">ROUND( (1 - MIN(facs_constr_factor*$AH35,facs_constr_max)) * (1+MIN(tech_construction*Techs!AC35,tech_conquerors_crafts*Techs!AS35)) * AU35*(1+race_construction_cost),0)</f>
        <v>1615</v>
      </c>
      <c r="AM35" s="166">
        <f t="shared" ref="AM35:AM66" si="60">ROUND( (1 - MIN(facs_constr_factor*$AH35,facs_constr_max)) * AV35,0)</f>
        <v>263</v>
      </c>
      <c r="AN35" s="152">
        <f ca="1">ROUND( (1 - MIN(facs_constr_factor*$AI35,facs_constr_max)) * (1+MIN(tech_construction*Techs!AE35,tech_conquerors_crafts*Techs!AU35)) * AU35*(1+race_construction_cost),0)</f>
        <v>1615</v>
      </c>
      <c r="AO35" s="166">
        <f t="shared" si="14"/>
        <v>263</v>
      </c>
      <c r="AP35" s="16">
        <f t="shared" ca="1" si="56"/>
        <v>0</v>
      </c>
      <c r="AQ35" s="53">
        <f t="shared" si="57"/>
        <v>0</v>
      </c>
      <c r="AR35" s="16">
        <f>MIN(SUM(F34:L34)+SUM(Explore!T23:Z23)+SUM(BV35:CN35),SUM($N35:$AF35))</f>
        <v>0</v>
      </c>
      <c r="AS35" s="16">
        <f>IF(Explore!S35&lt;&gt;0,MAX(0, MIN(20, 20 + SUM(N35:AF35) - SUM(BV35:CN35) - SUM(F34:L34)-SUM(Explore!T23:Z23)-20*Explore!S35)),0)</f>
        <v>0</v>
      </c>
      <c r="AU35" s="152">
        <f t="shared" si="17"/>
        <v>1615</v>
      </c>
      <c r="AV35" s="166">
        <f t="shared" si="18"/>
        <v>262.5</v>
      </c>
      <c r="AW35" s="164"/>
      <c r="AX35" s="295">
        <f>AX34 + IF(Overview!$B$14="Gnome",N26,N23) -BV35</f>
        <v>0</v>
      </c>
      <c r="AY35" s="28">
        <f>AY34 + IF(Overview!$B$14="Gnome",O26,O23) -BW35</f>
        <v>0</v>
      </c>
      <c r="AZ35" s="28">
        <f>AZ34 + IF(Overview!$B$14="Gnome",P26,P23) -BX35</f>
        <v>80</v>
      </c>
      <c r="BA35" s="28">
        <f>BA34 + IF(Overview!$B$14="Gnome",Q26,Q23) -BY35</f>
        <v>200</v>
      </c>
      <c r="BB35" s="28">
        <f>BB34 + IF(Overview!$B$14="Gnome",R26,R23) -BZ35</f>
        <v>0</v>
      </c>
      <c r="BC35" s="29">
        <f>BC34 + IF(Overview!$B$14="Gnome",S26,S23) -CA35</f>
        <v>50</v>
      </c>
      <c r="BD35" s="29">
        <f>BD34 + IF(Overview!$B$14="Gnome",T26,T23) -CB35</f>
        <v>0</v>
      </c>
      <c r="BE35" s="30">
        <f>BE34 + IF(Overview!$B$14="Gnome",U26,U23) -CC35</f>
        <v>0</v>
      </c>
      <c r="BF35" s="30">
        <f>BF34 + IF(Overview!$B$14="Gnome",V26,V23) -CD35</f>
        <v>0</v>
      </c>
      <c r="BG35" s="31">
        <f>BG34 + IF(Overview!$B$14="Gnome",W26,W23) -CE35</f>
        <v>0</v>
      </c>
      <c r="BH35" s="31">
        <f>BH34 + IF(Overview!$B$14="Gnome",X26,X23) -CF35</f>
        <v>0</v>
      </c>
      <c r="BI35" s="31">
        <f>BI34 + IF(Overview!$B$14="Gnome",Y26,Y23) -CG35</f>
        <v>0</v>
      </c>
      <c r="BJ35" s="31">
        <f>BJ34 + IF(Overview!$B$14="Gnome",Z26,Z23) -CH35</f>
        <v>0</v>
      </c>
      <c r="BK35" s="32">
        <f>BK34 + IF(Overview!$B$14="Gnome",AA26,AA23) -CI35</f>
        <v>50</v>
      </c>
      <c r="BL35" s="32">
        <f>BL34 + IF(Overview!$B$14="Gnome",AB26,AB23) -CJ35</f>
        <v>0</v>
      </c>
      <c r="BM35" s="32">
        <f>BM34 + IF(Overview!$B$14="Gnome",AC26,AC23) -CK35</f>
        <v>0</v>
      </c>
      <c r="BN35" s="33">
        <f>BN34 + IF(Overview!$B$14="Gnome",AD26,AD23) -CL35</f>
        <v>0</v>
      </c>
      <c r="BO35" s="33">
        <f>BO34 + IF(Overview!$B$14="Gnome",AE26,AE23) -CM35</f>
        <v>0</v>
      </c>
      <c r="BP35" s="69">
        <f>BP34 + IF(Overview!$B$14="Gnome",AF26,AF23) -CN35</f>
        <v>0</v>
      </c>
      <c r="BR35" s="442"/>
      <c r="BS35" s="156">
        <f t="shared" ref="BS35:BS66" si="61">E35</f>
        <v>1000</v>
      </c>
      <c r="BT35" s="574">
        <f t="shared" si="43"/>
        <v>43693.333333333256</v>
      </c>
      <c r="BV35" s="356"/>
      <c r="BW35" s="348"/>
      <c r="BX35" s="348"/>
      <c r="BY35" s="348"/>
      <c r="BZ35" s="348"/>
      <c r="CA35" s="348"/>
      <c r="CB35" s="348"/>
      <c r="CC35" s="348"/>
      <c r="CD35" s="348"/>
      <c r="CE35" s="348"/>
      <c r="CF35" s="348"/>
      <c r="CG35" s="348"/>
      <c r="CH35" s="348"/>
      <c r="CI35" s="348"/>
      <c r="CJ35" s="348"/>
      <c r="CK35" s="348"/>
      <c r="CL35" s="348"/>
      <c r="CM35" s="360"/>
      <c r="CN35" s="357"/>
      <c r="CP35" s="86">
        <f>-SUM($O35:$R35)+SUM($BW35:BZ35)+Rezone!L35+IF(home_land=CP$2,CW35) + Explore!T23</f>
        <v>0</v>
      </c>
      <c r="CQ35" s="37">
        <f>-SUM($S35:$T35)+SUM($CA35:$CB35) +Rezone!M35 + IF(home_land=CQ$2,CW35) + Explore!U23</f>
        <v>0</v>
      </c>
      <c r="CR35" s="247">
        <f>-SUM($U35:$V35)+SUM($CC35:$CD35) +Rezone!N35 + IF(home_land=CR$2,CW35) + Explore!V23</f>
        <v>0</v>
      </c>
      <c r="CS35" s="38">
        <f>-SUM($W35:$Z35)+SUM($CE35:$CH35) +Rezone!O35 + IF(home_land=CS$2,CW35) + Explore!W23</f>
        <v>0</v>
      </c>
      <c r="CT35" s="39">
        <f>-SUM($AA35:$AC35)+SUM($CI35:$CK35) +Rezone!P35 + IF(home_land=CT$2,CW35) + Explore!X23</f>
        <v>0</v>
      </c>
      <c r="CU35" s="40">
        <f xml:space="preserve"> - SUM($AD35,$AE35)+SUM($CL35,$CM35) +Rezone!Q35 + IF(home_land=CU$2,CW35)+Explore!Y23</f>
        <v>0</v>
      </c>
      <c r="CV35" s="500">
        <f>-$AF35+$CN35 +Rezone!R35 + IF(home_land=CV$2,CW35) + Explore!Z23</f>
        <v>0</v>
      </c>
      <c r="CW35" s="159">
        <f>IF(Explore!S35=1,25) - N35 + BV35</f>
        <v>0</v>
      </c>
      <c r="CY35" s="152">
        <f t="shared" si="44"/>
        <v>280</v>
      </c>
      <c r="CZ35" s="164">
        <f t="shared" si="45"/>
        <v>150</v>
      </c>
      <c r="DA35" s="16">
        <f t="shared" si="46"/>
        <v>150</v>
      </c>
      <c r="DB35" s="164">
        <f t="shared" si="47"/>
        <v>150</v>
      </c>
      <c r="DC35" s="164">
        <f t="shared" si="48"/>
        <v>150</v>
      </c>
      <c r="DD35" s="16">
        <f t="shared" si="49"/>
        <v>20</v>
      </c>
      <c r="DE35" s="166">
        <f t="shared" si="50"/>
        <v>100</v>
      </c>
      <c r="DF35" s="164">
        <f t="shared" ca="1" si="53"/>
        <v>280</v>
      </c>
      <c r="DG35" s="16">
        <f t="shared" si="54"/>
        <v>0</v>
      </c>
      <c r="DH35" s="16">
        <f t="shared" si="55"/>
        <v>35</v>
      </c>
      <c r="DI35" s="166"/>
    </row>
    <row r="36" spans="1:113" s="16" customFormat="1">
      <c r="A36" s="36">
        <f t="shared" si="58"/>
        <v>620</v>
      </c>
      <c r="B36" s="36">
        <f t="shared" si="51"/>
        <v>380</v>
      </c>
      <c r="C36" s="83">
        <f t="shared" si="42"/>
        <v>0</v>
      </c>
      <c r="D36" s="574"/>
      <c r="E36" s="16">
        <f t="shared" si="59"/>
        <v>1000</v>
      </c>
      <c r="F36" s="86">
        <f t="shared" ref="F36:F67" si="62">F35+CP36</f>
        <v>0</v>
      </c>
      <c r="G36" s="37">
        <f t="shared" ref="G36:G67" si="63">G35+CQ36</f>
        <v>100</v>
      </c>
      <c r="H36" s="247">
        <f t="shared" ref="H36:H67" si="64">H35+CR36</f>
        <v>150</v>
      </c>
      <c r="I36" s="38">
        <f t="shared" ref="I36:I67" si="65">I35+CS36</f>
        <v>150</v>
      </c>
      <c r="J36" s="39">
        <f t="shared" ref="J36:J67" si="66">J35+CT36</f>
        <v>100</v>
      </c>
      <c r="K36" s="40">
        <f t="shared" ref="K36:K67" si="67">K35+CU36</f>
        <v>20</v>
      </c>
      <c r="L36" s="500">
        <f t="shared" ref="L36:L67" si="68">L35+CV36</f>
        <v>100</v>
      </c>
      <c r="M36" s="635">
        <f>Rezone!J36</f>
        <v>34</v>
      </c>
      <c r="N36" s="356"/>
      <c r="O36" s="363"/>
      <c r="P36" s="348"/>
      <c r="Q36" s="348"/>
      <c r="R36" s="345"/>
      <c r="S36" s="348"/>
      <c r="T36" s="348"/>
      <c r="U36" s="348"/>
      <c r="V36" s="348"/>
      <c r="W36" s="345"/>
      <c r="X36" s="345"/>
      <c r="Y36" s="348"/>
      <c r="Z36" s="345"/>
      <c r="AA36" s="348"/>
      <c r="AB36" s="348"/>
      <c r="AC36" s="345"/>
      <c r="AD36" s="348"/>
      <c r="AE36" s="348"/>
      <c r="AF36" s="336"/>
      <c r="AG36" s="532">
        <f t="shared" si="52"/>
        <v>43693.37499999992</v>
      </c>
      <c r="AH36" s="91">
        <f>MIN(25%,(BG36+CE36)/(E36-Explore!S36*20))</f>
        <v>0</v>
      </c>
      <c r="AI36" s="59">
        <f t="shared" si="13"/>
        <v>0</v>
      </c>
      <c r="AJ36" s="56">
        <f ca="1">Production!$H36</f>
        <v>3298994</v>
      </c>
      <c r="AK36" s="57">
        <f ca="1">Production!$J36</f>
        <v>287608</v>
      </c>
      <c r="AL36" s="152">
        <f ca="1">ROUND( (1 - MIN(facs_constr_factor*$AH36,facs_constr_max)) * (1+MIN(tech_construction*Techs!AC36,tech_conquerors_crafts*Techs!AS36)) * AU36*(1+race_construction_cost),0)</f>
        <v>1615</v>
      </c>
      <c r="AM36" s="166">
        <f t="shared" si="60"/>
        <v>263</v>
      </c>
      <c r="AN36" s="152">
        <f ca="1">ROUND( (1 - MIN(facs_constr_factor*$AI36,facs_constr_max)) * (1+MIN(tech_construction*Techs!AE36,tech_conquerors_crafts*Techs!AU36)) * AU36*(1+race_construction_cost),0)</f>
        <v>1615</v>
      </c>
      <c r="AO36" s="166">
        <f t="shared" ref="AO36:AO67" si="69">ROUND( (1 - MIN(facs_constr_factor*$AH36,facs_constr_max)) * AV36,0)</f>
        <v>263</v>
      </c>
      <c r="AP36" s="16">
        <f t="shared" ca="1" si="56"/>
        <v>0</v>
      </c>
      <c r="AQ36" s="53">
        <f t="shared" si="57"/>
        <v>0</v>
      </c>
      <c r="AR36" s="16">
        <f>MIN(SUM(F35:L35)+SUM(Explore!T24:Z24)+SUM(BV36:CN36),SUM($N36:$AF36))</f>
        <v>0</v>
      </c>
      <c r="AS36" s="16">
        <f>IF(Explore!S36&lt;&gt;0,MAX(0, MIN(20, 20 + SUM(N36:AF36) - SUM(BV36:CN36) - SUM(F35:L35)-SUM(Explore!T24:Z24)-20*Explore!S36)),0)</f>
        <v>0</v>
      </c>
      <c r="AU36" s="152">
        <f t="shared" si="17"/>
        <v>1615</v>
      </c>
      <c r="AV36" s="166">
        <f t="shared" si="18"/>
        <v>262.5</v>
      </c>
      <c r="AW36" s="164"/>
      <c r="AX36" s="295">
        <f>AX35 + IF(Overview!$B$14="Gnome",N27,N24) -BV36</f>
        <v>0</v>
      </c>
      <c r="AY36" s="28">
        <f>AY35 + IF(Overview!$B$14="Gnome",O27,O24) -BW36</f>
        <v>0</v>
      </c>
      <c r="AZ36" s="28">
        <f>AZ35 + IF(Overview!$B$14="Gnome",P27,P24) -BX36</f>
        <v>80</v>
      </c>
      <c r="BA36" s="28">
        <f>BA35 + IF(Overview!$B$14="Gnome",Q27,Q24) -BY36</f>
        <v>200</v>
      </c>
      <c r="BB36" s="28">
        <f>BB35 + IF(Overview!$B$14="Gnome",R27,R24) -BZ36</f>
        <v>0</v>
      </c>
      <c r="BC36" s="29">
        <f>BC35 + IF(Overview!$B$14="Gnome",S27,S24) -CA36</f>
        <v>50</v>
      </c>
      <c r="BD36" s="29">
        <f>BD35 + IF(Overview!$B$14="Gnome",T27,T24) -CB36</f>
        <v>0</v>
      </c>
      <c r="BE36" s="30">
        <f>BE35 + IF(Overview!$B$14="Gnome",U27,U24) -CC36</f>
        <v>0</v>
      </c>
      <c r="BF36" s="30">
        <f>BF35 + IF(Overview!$B$14="Gnome",V27,V24) -CD36</f>
        <v>0</v>
      </c>
      <c r="BG36" s="31">
        <f>BG35 + IF(Overview!$B$14="Gnome",W27,W24) -CE36</f>
        <v>0</v>
      </c>
      <c r="BH36" s="31">
        <f>BH35 + IF(Overview!$B$14="Gnome",X27,X24) -CF36</f>
        <v>0</v>
      </c>
      <c r="BI36" s="31">
        <f>BI35 + IF(Overview!$B$14="Gnome",Y27,Y24) -CG36</f>
        <v>0</v>
      </c>
      <c r="BJ36" s="31">
        <f>BJ35 + IF(Overview!$B$14="Gnome",Z27,Z24) -CH36</f>
        <v>0</v>
      </c>
      <c r="BK36" s="32">
        <f>BK35 + IF(Overview!$B$14="Gnome",AA27,AA24) -CI36</f>
        <v>50</v>
      </c>
      <c r="BL36" s="32">
        <f>BL35 + IF(Overview!$B$14="Gnome",AB27,AB24) -CJ36</f>
        <v>0</v>
      </c>
      <c r="BM36" s="32">
        <f>BM35 + IF(Overview!$B$14="Gnome",AC27,AC24) -CK36</f>
        <v>0</v>
      </c>
      <c r="BN36" s="33">
        <f>BN35 + IF(Overview!$B$14="Gnome",AD27,AD24) -CL36</f>
        <v>0</v>
      </c>
      <c r="BO36" s="33">
        <f>BO35 + IF(Overview!$B$14="Gnome",AE27,AE24) -CM36</f>
        <v>0</v>
      </c>
      <c r="BP36" s="69">
        <f>BP35 + IF(Overview!$B$14="Gnome",AF27,AF24) -CN36</f>
        <v>0</v>
      </c>
      <c r="BR36" s="442"/>
      <c r="BS36" s="156">
        <f t="shared" si="61"/>
        <v>1000</v>
      </c>
      <c r="BT36" s="574">
        <f t="shared" si="43"/>
        <v>43693.37499999992</v>
      </c>
      <c r="BV36" s="356"/>
      <c r="BW36" s="348"/>
      <c r="BX36" s="348"/>
      <c r="BY36" s="348"/>
      <c r="BZ36" s="348"/>
      <c r="CA36" s="348"/>
      <c r="CB36" s="348"/>
      <c r="CC36" s="348"/>
      <c r="CD36" s="348"/>
      <c r="CE36" s="348"/>
      <c r="CF36" s="348"/>
      <c r="CG36" s="348"/>
      <c r="CH36" s="348"/>
      <c r="CI36" s="348"/>
      <c r="CJ36" s="348"/>
      <c r="CK36" s="348"/>
      <c r="CL36" s="348"/>
      <c r="CM36" s="360"/>
      <c r="CN36" s="357"/>
      <c r="CP36" s="86">
        <f>-SUM($O36:$R36)+SUM($BW36:BZ36)+Rezone!L36+IF(home_land=CP$2,CW36) + Explore!T24</f>
        <v>0</v>
      </c>
      <c r="CQ36" s="37">
        <f>-SUM($S36:$T36)+SUM($CA36:$CB36) +Rezone!M36 + IF(home_land=CQ$2,CW36) + Explore!U24</f>
        <v>0</v>
      </c>
      <c r="CR36" s="247">
        <f>-SUM($U36:$V36)+SUM($CC36:$CD36) +Rezone!N36 + IF(home_land=CR$2,CW36) + Explore!V24</f>
        <v>0</v>
      </c>
      <c r="CS36" s="38">
        <f>-SUM($W36:$Z36)+SUM($CE36:$CH36) +Rezone!O36 + IF(home_land=CS$2,CW36) + Explore!W24</f>
        <v>0</v>
      </c>
      <c r="CT36" s="39">
        <f>-SUM($AA36:$AC36)+SUM($CI36:$CK36) +Rezone!P36 + IF(home_land=CT$2,CW36) + Explore!X24</f>
        <v>0</v>
      </c>
      <c r="CU36" s="40">
        <f xml:space="preserve"> - SUM($AD36,$AE36)+SUM($CL36,$CM36) +Rezone!Q36 + IF(home_land=CU$2,CW36)+Explore!Y24</f>
        <v>0</v>
      </c>
      <c r="CV36" s="500">
        <f>-$AF36+$CN36 +Rezone!R36 + IF(home_land=CV$2,CW36) + Explore!Z24</f>
        <v>0</v>
      </c>
      <c r="CW36" s="159">
        <f>IF(Explore!S36=1,25) - N36 + BV36</f>
        <v>0</v>
      </c>
      <c r="CY36" s="152">
        <f t="shared" si="44"/>
        <v>280</v>
      </c>
      <c r="CZ36" s="164">
        <f t="shared" si="45"/>
        <v>150</v>
      </c>
      <c r="DA36" s="16">
        <f t="shared" si="46"/>
        <v>150</v>
      </c>
      <c r="DB36" s="164">
        <f t="shared" si="47"/>
        <v>150</v>
      </c>
      <c r="DC36" s="164">
        <f t="shared" si="48"/>
        <v>150</v>
      </c>
      <c r="DD36" s="16">
        <f t="shared" si="49"/>
        <v>20</v>
      </c>
      <c r="DE36" s="166">
        <f t="shared" si="50"/>
        <v>100</v>
      </c>
      <c r="DF36" s="164">
        <f t="shared" ca="1" si="53"/>
        <v>280</v>
      </c>
      <c r="DG36" s="16">
        <f t="shared" si="54"/>
        <v>0</v>
      </c>
      <c r="DH36" s="16">
        <f t="shared" si="55"/>
        <v>36</v>
      </c>
      <c r="DI36" s="166"/>
    </row>
    <row r="37" spans="1:113" s="16" customFormat="1">
      <c r="A37" s="36">
        <f t="shared" si="58"/>
        <v>620</v>
      </c>
      <c r="B37" s="36">
        <f t="shared" si="51"/>
        <v>380</v>
      </c>
      <c r="C37" s="83">
        <f t="shared" si="42"/>
        <v>0</v>
      </c>
      <c r="D37" s="574"/>
      <c r="E37" s="16">
        <f t="shared" si="59"/>
        <v>1000</v>
      </c>
      <c r="F37" s="86">
        <f t="shared" si="62"/>
        <v>0</v>
      </c>
      <c r="G37" s="37">
        <f t="shared" si="63"/>
        <v>100</v>
      </c>
      <c r="H37" s="247">
        <f t="shared" si="64"/>
        <v>150</v>
      </c>
      <c r="I37" s="38">
        <f t="shared" si="65"/>
        <v>150</v>
      </c>
      <c r="J37" s="39">
        <f t="shared" si="66"/>
        <v>100</v>
      </c>
      <c r="K37" s="40">
        <f t="shared" si="67"/>
        <v>20</v>
      </c>
      <c r="L37" s="500">
        <f t="shared" si="68"/>
        <v>100</v>
      </c>
      <c r="M37" s="635">
        <f>Rezone!J37</f>
        <v>35</v>
      </c>
      <c r="N37" s="356"/>
      <c r="O37" s="363"/>
      <c r="P37" s="348"/>
      <c r="Q37" s="348"/>
      <c r="R37" s="345"/>
      <c r="S37" s="348"/>
      <c r="T37" s="348"/>
      <c r="U37" s="348"/>
      <c r="V37" s="348"/>
      <c r="W37" s="345"/>
      <c r="X37" s="345"/>
      <c r="Y37" s="348"/>
      <c r="Z37" s="345"/>
      <c r="AA37" s="348"/>
      <c r="AB37" s="348"/>
      <c r="AC37" s="345"/>
      <c r="AD37" s="348"/>
      <c r="AE37" s="376"/>
      <c r="AF37" s="336"/>
      <c r="AG37" s="532">
        <f t="shared" si="52"/>
        <v>43693.416666666584</v>
      </c>
      <c r="AH37" s="91">
        <f>MIN(25%,(BG37+CE37)/(E37-Explore!S37*20))</f>
        <v>0</v>
      </c>
      <c r="AI37" s="59">
        <f t="shared" si="13"/>
        <v>0</v>
      </c>
      <c r="AJ37" s="56">
        <f ca="1">Production!$H37</f>
        <v>3309645</v>
      </c>
      <c r="AK37" s="57">
        <f ca="1">Production!$J37</f>
        <v>287232</v>
      </c>
      <c r="AL37" s="152">
        <f ca="1">ROUND( (1 - MIN(facs_constr_factor*$AH37,facs_constr_max)) * (1+MIN(tech_construction*Techs!AC37,tech_conquerors_crafts*Techs!AS37)) * AU37*(1+race_construction_cost),0)</f>
        <v>1615</v>
      </c>
      <c r="AM37" s="166">
        <f t="shared" si="60"/>
        <v>263</v>
      </c>
      <c r="AN37" s="152">
        <f ca="1">ROUND( (1 - MIN(facs_constr_factor*$AI37,facs_constr_max)) * (1+MIN(tech_construction*Techs!AE37,tech_conquerors_crafts*Techs!AU37)) * AU37*(1+race_construction_cost),0)</f>
        <v>1615</v>
      </c>
      <c r="AO37" s="166">
        <f t="shared" si="69"/>
        <v>263</v>
      </c>
      <c r="AP37" s="16">
        <f t="shared" ca="1" si="56"/>
        <v>0</v>
      </c>
      <c r="AQ37" s="53">
        <f t="shared" si="57"/>
        <v>0</v>
      </c>
      <c r="AR37" s="16">
        <f>MIN(SUM(F36:L36)+SUM(Explore!T25:Z25)+SUM(BV37:CN37),SUM($N37:$AF37))</f>
        <v>0</v>
      </c>
      <c r="AS37" s="16">
        <f>IF(Explore!S37&lt;&gt;0,MAX(0, MIN(20, 20 + SUM(N37:AF37) - SUM(BV37:CN37) - SUM(F36:L36)-SUM(Explore!T25:Z25)-20*Explore!S37)),0)</f>
        <v>0</v>
      </c>
      <c r="AU37" s="152">
        <f t="shared" si="17"/>
        <v>1615</v>
      </c>
      <c r="AV37" s="166">
        <f t="shared" si="18"/>
        <v>262.5</v>
      </c>
      <c r="AW37" s="164"/>
      <c r="AX37" s="295">
        <f>AX36 + IF(Overview!$B$14="Gnome",N28,N25) -BV37</f>
        <v>0</v>
      </c>
      <c r="AY37" s="28">
        <f>AY36 + IF(Overview!$B$14="Gnome",O28,O25) -BW37</f>
        <v>0</v>
      </c>
      <c r="AZ37" s="28">
        <f>AZ36 + IF(Overview!$B$14="Gnome",P28,P25) -BX37</f>
        <v>80</v>
      </c>
      <c r="BA37" s="28">
        <f>BA36 + IF(Overview!$B$14="Gnome",Q28,Q25) -BY37</f>
        <v>200</v>
      </c>
      <c r="BB37" s="28">
        <f>BB36 + IF(Overview!$B$14="Gnome",R28,R25) -BZ37</f>
        <v>0</v>
      </c>
      <c r="BC37" s="29">
        <f>BC36 + IF(Overview!$B$14="Gnome",S28,S25) -CA37</f>
        <v>50</v>
      </c>
      <c r="BD37" s="29">
        <f>BD36 + IF(Overview!$B$14="Gnome",T28,T25) -CB37</f>
        <v>0</v>
      </c>
      <c r="BE37" s="30">
        <f>BE36 + IF(Overview!$B$14="Gnome",U28,U25) -CC37</f>
        <v>0</v>
      </c>
      <c r="BF37" s="30">
        <f>BF36 + IF(Overview!$B$14="Gnome",V28,V25) -CD37</f>
        <v>0</v>
      </c>
      <c r="BG37" s="31">
        <f>BG36 + IF(Overview!$B$14="Gnome",W28,W25) -CE37</f>
        <v>0</v>
      </c>
      <c r="BH37" s="31">
        <f>BH36 + IF(Overview!$B$14="Gnome",X28,X25) -CF37</f>
        <v>0</v>
      </c>
      <c r="BI37" s="31">
        <f>BI36 + IF(Overview!$B$14="Gnome",Y28,Y25) -CG37</f>
        <v>0</v>
      </c>
      <c r="BJ37" s="31">
        <f>BJ36 + IF(Overview!$B$14="Gnome",Z28,Z25) -CH37</f>
        <v>0</v>
      </c>
      <c r="BK37" s="32">
        <f>BK36 + IF(Overview!$B$14="Gnome",AA28,AA25) -CI37</f>
        <v>50</v>
      </c>
      <c r="BL37" s="32">
        <f>BL36 + IF(Overview!$B$14="Gnome",AB28,AB25) -CJ37</f>
        <v>0</v>
      </c>
      <c r="BM37" s="32">
        <f>BM36 + IF(Overview!$B$14="Gnome",AC28,AC25) -CK37</f>
        <v>0</v>
      </c>
      <c r="BN37" s="33">
        <f>BN36 + IF(Overview!$B$14="Gnome",AD28,AD25) -CL37</f>
        <v>0</v>
      </c>
      <c r="BO37" s="33">
        <f>BO36 + IF(Overview!$B$14="Gnome",AE28,AE25) -CM37</f>
        <v>0</v>
      </c>
      <c r="BP37" s="69">
        <f>BP36 + IF(Overview!$B$14="Gnome",AF28,AF25) -CN37</f>
        <v>0</v>
      </c>
      <c r="BR37" s="442"/>
      <c r="BS37" s="156">
        <f t="shared" si="61"/>
        <v>1000</v>
      </c>
      <c r="BT37" s="574">
        <f t="shared" si="43"/>
        <v>43693.416666666584</v>
      </c>
      <c r="BV37" s="356"/>
      <c r="BW37" s="348"/>
      <c r="BX37" s="348"/>
      <c r="BY37" s="348"/>
      <c r="BZ37" s="348"/>
      <c r="CA37" s="348"/>
      <c r="CB37" s="348"/>
      <c r="CC37" s="348"/>
      <c r="CD37" s="348"/>
      <c r="CE37" s="348"/>
      <c r="CF37" s="348"/>
      <c r="CG37" s="348"/>
      <c r="CH37" s="348"/>
      <c r="CI37" s="348"/>
      <c r="CJ37" s="348"/>
      <c r="CK37" s="348"/>
      <c r="CL37" s="348"/>
      <c r="CM37" s="360"/>
      <c r="CN37" s="357"/>
      <c r="CP37" s="86">
        <f>-SUM($O37:$R37)+SUM($BW37:BZ37)+Rezone!L37+IF(home_land=CP$2,CW37) + Explore!T25</f>
        <v>0</v>
      </c>
      <c r="CQ37" s="37">
        <f>-SUM($S37:$T37)+SUM($CA37:$CB37) +Rezone!M37 + IF(home_land=CQ$2,CW37) + Explore!U25</f>
        <v>0</v>
      </c>
      <c r="CR37" s="247">
        <f>-SUM($U37:$V37)+SUM($CC37:$CD37) +Rezone!N37 + IF(home_land=CR$2,CW37) + Explore!V25</f>
        <v>0</v>
      </c>
      <c r="CS37" s="38">
        <f>-SUM($W37:$Z37)+SUM($CE37:$CH37) +Rezone!O37 + IF(home_land=CS$2,CW37) + Explore!W25</f>
        <v>0</v>
      </c>
      <c r="CT37" s="39">
        <f>-SUM($AA37:$AC37)+SUM($CI37:$CK37) +Rezone!P37 + IF(home_land=CT$2,CW37) + Explore!X25</f>
        <v>0</v>
      </c>
      <c r="CU37" s="40">
        <f xml:space="preserve"> - SUM($AD37,$AE37)+SUM($CL37,$CM37) +Rezone!Q37 + IF(home_land=CU$2,CW37)+Explore!Y25</f>
        <v>0</v>
      </c>
      <c r="CV37" s="500">
        <f>-$AF37+$CN37 +Rezone!R37 + IF(home_land=CV$2,CW37) + Explore!Z25</f>
        <v>0</v>
      </c>
      <c r="CW37" s="159">
        <f>IF(Explore!S37=1,25) - N37 + BV37</f>
        <v>0</v>
      </c>
      <c r="CY37" s="152">
        <f t="shared" si="44"/>
        <v>280</v>
      </c>
      <c r="CZ37" s="164">
        <f t="shared" si="45"/>
        <v>150</v>
      </c>
      <c r="DA37" s="16">
        <f t="shared" si="46"/>
        <v>150</v>
      </c>
      <c r="DB37" s="164">
        <f t="shared" si="47"/>
        <v>150</v>
      </c>
      <c r="DC37" s="164">
        <f t="shared" si="48"/>
        <v>150</v>
      </c>
      <c r="DD37" s="16">
        <f t="shared" si="49"/>
        <v>20</v>
      </c>
      <c r="DE37" s="166">
        <f t="shared" si="50"/>
        <v>100</v>
      </c>
      <c r="DF37" s="164">
        <f t="shared" ca="1" si="53"/>
        <v>280</v>
      </c>
      <c r="DG37" s="16">
        <f t="shared" si="54"/>
        <v>0</v>
      </c>
      <c r="DH37" s="16">
        <f t="shared" si="55"/>
        <v>37</v>
      </c>
      <c r="DI37" s="166"/>
    </row>
    <row r="38" spans="1:113" s="16" customFormat="1">
      <c r="A38" s="36">
        <f t="shared" si="58"/>
        <v>620</v>
      </c>
      <c r="B38" s="36">
        <f t="shared" si="51"/>
        <v>380</v>
      </c>
      <c r="C38" s="83">
        <f t="shared" si="42"/>
        <v>0</v>
      </c>
      <c r="D38" s="574"/>
      <c r="E38" s="16">
        <f t="shared" si="59"/>
        <v>1000</v>
      </c>
      <c r="F38" s="86">
        <f t="shared" si="62"/>
        <v>0</v>
      </c>
      <c r="G38" s="37">
        <f t="shared" si="63"/>
        <v>100</v>
      </c>
      <c r="H38" s="247">
        <f t="shared" si="64"/>
        <v>150</v>
      </c>
      <c r="I38" s="38">
        <f t="shared" si="65"/>
        <v>150</v>
      </c>
      <c r="J38" s="39">
        <f t="shared" si="66"/>
        <v>100</v>
      </c>
      <c r="K38" s="40">
        <f t="shared" si="67"/>
        <v>20</v>
      </c>
      <c r="L38" s="500">
        <f t="shared" si="68"/>
        <v>100</v>
      </c>
      <c r="M38" s="635">
        <f>Rezone!J38</f>
        <v>36</v>
      </c>
      <c r="N38" s="356"/>
      <c r="O38" s="363"/>
      <c r="P38" s="348"/>
      <c r="Q38" s="348"/>
      <c r="R38" s="345"/>
      <c r="S38" s="348"/>
      <c r="T38" s="348"/>
      <c r="U38" s="348"/>
      <c r="V38" s="348"/>
      <c r="W38" s="345"/>
      <c r="X38" s="345"/>
      <c r="Y38" s="348"/>
      <c r="Z38" s="345"/>
      <c r="AA38" s="348"/>
      <c r="AB38" s="348"/>
      <c r="AC38" s="345"/>
      <c r="AD38" s="348"/>
      <c r="AE38" s="348"/>
      <c r="AF38" s="336"/>
      <c r="AG38" s="532">
        <f t="shared" si="52"/>
        <v>43693.458333333248</v>
      </c>
      <c r="AH38" s="91">
        <f>MIN(25%,(BG38+CE38)/(E38-Explore!S38*20))</f>
        <v>0</v>
      </c>
      <c r="AI38" s="59">
        <f t="shared" si="13"/>
        <v>0</v>
      </c>
      <c r="AJ38" s="56">
        <f ca="1">Production!$H38</f>
        <v>3320296</v>
      </c>
      <c r="AK38" s="57">
        <f ca="1">Production!$J38</f>
        <v>286860</v>
      </c>
      <c r="AL38" s="152">
        <f ca="1">ROUND( (1 - MIN(facs_constr_factor*$AH38,facs_constr_max)) * (1+MIN(tech_construction*Techs!AC38,tech_conquerors_crafts*Techs!AS38)) * AU38*(1+race_construction_cost),0)</f>
        <v>1615</v>
      </c>
      <c r="AM38" s="166">
        <f t="shared" si="60"/>
        <v>263</v>
      </c>
      <c r="AN38" s="152">
        <f ca="1">ROUND( (1 - MIN(facs_constr_factor*$AI38,facs_constr_max)) * (1+MIN(tech_construction*Techs!AE38,tech_conquerors_crafts*Techs!AU38)) * AU38*(1+race_construction_cost),0)</f>
        <v>1615</v>
      </c>
      <c r="AO38" s="166">
        <f t="shared" si="69"/>
        <v>263</v>
      </c>
      <c r="AP38" s="16">
        <f t="shared" ca="1" si="56"/>
        <v>0</v>
      </c>
      <c r="AQ38" s="53">
        <f t="shared" si="57"/>
        <v>0</v>
      </c>
      <c r="AR38" s="16">
        <f>MIN(SUM(F37:L37)+SUM(Explore!T26:Z26)+SUM(BV38:CN38),SUM($N38:$AF38))</f>
        <v>0</v>
      </c>
      <c r="AS38" s="16">
        <f>IF(Explore!S38&lt;&gt;0,MAX(0, MIN(20, 20 + SUM(N38:AF38) - SUM(BV38:CN38) - SUM(F37:L37)-SUM(Explore!T26:Z26)-20*Explore!S38)),0)</f>
        <v>0</v>
      </c>
      <c r="AU38" s="152">
        <f t="shared" si="17"/>
        <v>1615</v>
      </c>
      <c r="AV38" s="166">
        <f t="shared" si="18"/>
        <v>262.5</v>
      </c>
      <c r="AW38" s="164"/>
      <c r="AX38" s="295">
        <f>AX37 + IF(Overview!$B$14="Gnome",N29,N26) -BV38</f>
        <v>0</v>
      </c>
      <c r="AY38" s="28">
        <f>AY37 + IF(Overview!$B$14="Gnome",O29,O26) -BW38</f>
        <v>0</v>
      </c>
      <c r="AZ38" s="28">
        <f>AZ37 + IF(Overview!$B$14="Gnome",P29,P26) -BX38</f>
        <v>80</v>
      </c>
      <c r="BA38" s="28">
        <f>BA37 + IF(Overview!$B$14="Gnome",Q29,Q26) -BY38</f>
        <v>200</v>
      </c>
      <c r="BB38" s="28">
        <f>BB37 + IF(Overview!$B$14="Gnome",R29,R26) -BZ38</f>
        <v>0</v>
      </c>
      <c r="BC38" s="29">
        <f>BC37 + IF(Overview!$B$14="Gnome",S29,S26) -CA38</f>
        <v>50</v>
      </c>
      <c r="BD38" s="29">
        <f>BD37 + IF(Overview!$B$14="Gnome",T29,T26) -CB38</f>
        <v>0</v>
      </c>
      <c r="BE38" s="30">
        <f>BE37 + IF(Overview!$B$14="Gnome",U29,U26) -CC38</f>
        <v>0</v>
      </c>
      <c r="BF38" s="30">
        <f>BF37 + IF(Overview!$B$14="Gnome",V29,V26) -CD38</f>
        <v>0</v>
      </c>
      <c r="BG38" s="31">
        <f>BG37 + IF(Overview!$B$14="Gnome",W29,W26) -CE38</f>
        <v>0</v>
      </c>
      <c r="BH38" s="31">
        <f>BH37 + IF(Overview!$B$14="Gnome",X29,X26) -CF38</f>
        <v>0</v>
      </c>
      <c r="BI38" s="31">
        <f>BI37 + IF(Overview!$B$14="Gnome",Y29,Y26) -CG38</f>
        <v>0</v>
      </c>
      <c r="BJ38" s="31">
        <f>BJ37 + IF(Overview!$B$14="Gnome",Z29,Z26) -CH38</f>
        <v>0</v>
      </c>
      <c r="BK38" s="32">
        <f>BK37 + IF(Overview!$B$14="Gnome",AA29,AA26) -CI38</f>
        <v>50</v>
      </c>
      <c r="BL38" s="32">
        <f>BL37 + IF(Overview!$B$14="Gnome",AB29,AB26) -CJ38</f>
        <v>0</v>
      </c>
      <c r="BM38" s="32">
        <f>BM37 + IF(Overview!$B$14="Gnome",AC29,AC26) -CK38</f>
        <v>0</v>
      </c>
      <c r="BN38" s="33">
        <f>BN37 + IF(Overview!$B$14="Gnome",AD29,AD26) -CL38</f>
        <v>0</v>
      </c>
      <c r="BO38" s="33">
        <f>BO37 + IF(Overview!$B$14="Gnome",AE29,AE26) -CM38</f>
        <v>0</v>
      </c>
      <c r="BP38" s="69">
        <f>BP37 + IF(Overview!$B$14="Gnome",AF29,AF26) -CN38</f>
        <v>0</v>
      </c>
      <c r="BR38" s="442"/>
      <c r="BS38" s="156">
        <f t="shared" si="61"/>
        <v>1000</v>
      </c>
      <c r="BT38" s="574">
        <f t="shared" si="43"/>
        <v>43693.458333333248</v>
      </c>
      <c r="BV38" s="356"/>
      <c r="BW38" s="348"/>
      <c r="BX38" s="348"/>
      <c r="BY38" s="348"/>
      <c r="BZ38" s="348"/>
      <c r="CA38" s="348"/>
      <c r="CB38" s="348"/>
      <c r="CC38" s="348"/>
      <c r="CD38" s="348"/>
      <c r="CE38" s="348"/>
      <c r="CF38" s="348"/>
      <c r="CG38" s="348"/>
      <c r="CH38" s="348"/>
      <c r="CI38" s="348"/>
      <c r="CJ38" s="348"/>
      <c r="CK38" s="348"/>
      <c r="CL38" s="348"/>
      <c r="CM38" s="360"/>
      <c r="CN38" s="357"/>
      <c r="CP38" s="86">
        <f>-SUM($O38:$R38)+SUM($BW38:BZ38)+Rezone!L38+IF(home_land=CP$2,CW38) + Explore!T26</f>
        <v>0</v>
      </c>
      <c r="CQ38" s="37">
        <f>-SUM($S38:$T38)+SUM($CA38:$CB38) +Rezone!M38 + IF(home_land=CQ$2,CW38) + Explore!U26</f>
        <v>0</v>
      </c>
      <c r="CR38" s="247">
        <f>-SUM($U38:$V38)+SUM($CC38:$CD38) +Rezone!N38 + IF(home_land=CR$2,CW38) + Explore!V26</f>
        <v>0</v>
      </c>
      <c r="CS38" s="38">
        <f>-SUM($W38:$Z38)+SUM($CE38:$CH38) +Rezone!O38 + IF(home_land=CS$2,CW38) + Explore!W26</f>
        <v>0</v>
      </c>
      <c r="CT38" s="39">
        <f>-SUM($AA38:$AC38)+SUM($CI38:$CK38) +Rezone!P38 + IF(home_land=CT$2,CW38) + Explore!X26</f>
        <v>0</v>
      </c>
      <c r="CU38" s="40">
        <f xml:space="preserve"> - SUM($AD38,$AE38)+SUM($CL38,$CM38) +Rezone!Q38 + IF(home_land=CU$2,CW38)+Explore!Y26</f>
        <v>0</v>
      </c>
      <c r="CV38" s="500">
        <f>-$AF38+$CN38 +Rezone!R38 + IF(home_land=CV$2,CW38) + Explore!Z26</f>
        <v>0</v>
      </c>
      <c r="CW38" s="159">
        <f>IF(Explore!S38=1,25) - N38 + BV38</f>
        <v>0</v>
      </c>
      <c r="CY38" s="152">
        <f t="shared" si="44"/>
        <v>280</v>
      </c>
      <c r="CZ38" s="164">
        <f t="shared" si="45"/>
        <v>150</v>
      </c>
      <c r="DA38" s="16">
        <f t="shared" si="46"/>
        <v>150</v>
      </c>
      <c r="DB38" s="164">
        <f t="shared" si="47"/>
        <v>150</v>
      </c>
      <c r="DC38" s="164">
        <f t="shared" si="48"/>
        <v>150</v>
      </c>
      <c r="DD38" s="16">
        <f t="shared" si="49"/>
        <v>20</v>
      </c>
      <c r="DE38" s="166">
        <f t="shared" si="50"/>
        <v>100</v>
      </c>
      <c r="DF38" s="164">
        <f t="shared" ca="1" si="53"/>
        <v>280</v>
      </c>
      <c r="DG38" s="16">
        <f t="shared" si="54"/>
        <v>0</v>
      </c>
      <c r="DH38" s="16">
        <f t="shared" si="55"/>
        <v>38</v>
      </c>
      <c r="DI38" s="166"/>
    </row>
    <row r="39" spans="1:113" s="12" customFormat="1">
      <c r="A39" s="783">
        <f t="shared" si="58"/>
        <v>620</v>
      </c>
      <c r="B39" s="783">
        <f t="shared" si="51"/>
        <v>380</v>
      </c>
      <c r="C39" s="784">
        <f t="shared" si="42"/>
        <v>0</v>
      </c>
      <c r="D39" s="679"/>
      <c r="E39" s="12">
        <f t="shared" si="59"/>
        <v>1000</v>
      </c>
      <c r="F39" s="785">
        <f t="shared" si="62"/>
        <v>0</v>
      </c>
      <c r="G39" s="786">
        <f t="shared" si="63"/>
        <v>100</v>
      </c>
      <c r="H39" s="272">
        <f t="shared" si="64"/>
        <v>150</v>
      </c>
      <c r="I39" s="787">
        <f t="shared" si="65"/>
        <v>150</v>
      </c>
      <c r="J39" s="788">
        <f t="shared" si="66"/>
        <v>100</v>
      </c>
      <c r="K39" s="789">
        <f t="shared" si="67"/>
        <v>20</v>
      </c>
      <c r="L39" s="790">
        <f t="shared" si="68"/>
        <v>100</v>
      </c>
      <c r="M39" s="755">
        <f>Rezone!J39</f>
        <v>37</v>
      </c>
      <c r="N39" s="373"/>
      <c r="O39" s="349"/>
      <c r="P39" s="349"/>
      <c r="Q39" s="346"/>
      <c r="R39" s="346"/>
      <c r="S39" s="349"/>
      <c r="T39" s="349"/>
      <c r="U39" s="349"/>
      <c r="V39" s="349"/>
      <c r="W39" s="346"/>
      <c r="X39" s="346"/>
      <c r="Y39" s="349"/>
      <c r="Z39" s="346"/>
      <c r="AA39" s="349"/>
      <c r="AB39" s="349"/>
      <c r="AC39" s="346"/>
      <c r="AD39" s="349"/>
      <c r="AE39" s="349"/>
      <c r="AF39" s="337"/>
      <c r="AG39" s="677">
        <f t="shared" si="52"/>
        <v>43693.499999999913</v>
      </c>
      <c r="AH39" s="306">
        <f>MIN(25%,(BG39+CE39)/(E39-Explore!S39*20))</f>
        <v>0</v>
      </c>
      <c r="AI39" s="58">
        <f t="shared" si="13"/>
        <v>0</v>
      </c>
      <c r="AJ39" s="54">
        <f ca="1">Production!$H39</f>
        <v>3330947</v>
      </c>
      <c r="AK39" s="55">
        <f ca="1">Production!$J39</f>
        <v>286491</v>
      </c>
      <c r="AL39" s="151">
        <f ca="1">ROUND( (1 - MIN(facs_constr_factor*$AH39,facs_constr_max)) * (1+MIN(tech_construction*Techs!AC39,tech_conquerors_crafts*Techs!AS39)) * AU39*(1+race_construction_cost),0)</f>
        <v>1615</v>
      </c>
      <c r="AM39" s="158">
        <f t="shared" si="60"/>
        <v>263</v>
      </c>
      <c r="AN39" s="151">
        <f ca="1">ROUND( (1 - MIN(facs_constr_factor*$AI39,facs_constr_max)) * (1+MIN(tech_construction*Techs!AE39,tech_conquerors_crafts*Techs!AU39)) * AU39*(1+race_construction_cost),0)</f>
        <v>1615</v>
      </c>
      <c r="AO39" s="158">
        <f t="shared" si="69"/>
        <v>263</v>
      </c>
      <c r="AP39" s="12">
        <f t="shared" ca="1" si="56"/>
        <v>0</v>
      </c>
      <c r="AQ39" s="51">
        <f t="shared" si="57"/>
        <v>0</v>
      </c>
      <c r="AR39" s="12">
        <f>MIN(SUM(F38:L38)+SUM(Explore!T27:Z27)+SUM(BV39:CN39),SUM($N39:$AF39))</f>
        <v>0</v>
      </c>
      <c r="AS39" s="12">
        <f>IF(Explore!S39&lt;&gt;0,MAX(0, MIN(20, 20 + SUM(N39:AF39) - SUM(BV39:CN39) - SUM(F38:L38)-SUM(Explore!T27:Z27)-20*Explore!S39)),0)</f>
        <v>0</v>
      </c>
      <c r="AU39" s="151">
        <f t="shared" si="17"/>
        <v>1615</v>
      </c>
      <c r="AV39" s="158">
        <f t="shared" si="18"/>
        <v>262.5</v>
      </c>
      <c r="AW39" s="153"/>
      <c r="AX39" s="791">
        <f>AX38 + IF(Overview!$B$14="Gnome",N30,N27) -BV39</f>
        <v>0</v>
      </c>
      <c r="AY39" s="289">
        <f>AY38 + IF(Overview!$B$14="Gnome",O30,O27) -BW39</f>
        <v>0</v>
      </c>
      <c r="AZ39" s="289">
        <f>AZ38 + IF(Overview!$B$14="Gnome",P30,P27) -BX39</f>
        <v>80</v>
      </c>
      <c r="BA39" s="289">
        <f>BA38 + IF(Overview!$B$14="Gnome",Q30,Q27) -BY39</f>
        <v>200</v>
      </c>
      <c r="BB39" s="289">
        <f>BB38 + IF(Overview!$B$14="Gnome",R30,R27) -BZ39</f>
        <v>0</v>
      </c>
      <c r="BC39" s="18">
        <f>BC38 + IF(Overview!$B$14="Gnome",S30,S27) -CA39</f>
        <v>50</v>
      </c>
      <c r="BD39" s="18">
        <f>BD38 + IF(Overview!$B$14="Gnome",T30,T27) -CB39</f>
        <v>0</v>
      </c>
      <c r="BE39" s="19">
        <f>BE38 + IF(Overview!$B$14="Gnome",U30,U27) -CC39</f>
        <v>0</v>
      </c>
      <c r="BF39" s="19">
        <f>BF38 + IF(Overview!$B$14="Gnome",V30,V27) -CD39</f>
        <v>0</v>
      </c>
      <c r="BG39" s="20">
        <f>BG38 + IF(Overview!$B$14="Gnome",W30,W27) -CE39</f>
        <v>0</v>
      </c>
      <c r="BH39" s="20">
        <f>BH38 + IF(Overview!$B$14="Gnome",X30,X27) -CF39</f>
        <v>0</v>
      </c>
      <c r="BI39" s="20">
        <f>BI38 + IF(Overview!$B$14="Gnome",Y30,Y27) -CG39</f>
        <v>0</v>
      </c>
      <c r="BJ39" s="20">
        <f>BJ38 + IF(Overview!$B$14="Gnome",Z30,Z27) -CH39</f>
        <v>0</v>
      </c>
      <c r="BK39" s="21">
        <f>BK38 + IF(Overview!$B$14="Gnome",AA30,AA27) -CI39</f>
        <v>50</v>
      </c>
      <c r="BL39" s="21">
        <f>BL38 + IF(Overview!$B$14="Gnome",AB30,AB27) -CJ39</f>
        <v>0</v>
      </c>
      <c r="BM39" s="21">
        <f>BM38 + IF(Overview!$B$14="Gnome",AC30,AC27) -CK39</f>
        <v>0</v>
      </c>
      <c r="BN39" s="22">
        <f>BN38 + IF(Overview!$B$14="Gnome",AD30,AD27) -CL39</f>
        <v>0</v>
      </c>
      <c r="BO39" s="22">
        <f>BO38 + IF(Overview!$B$14="Gnome",AE30,AE27) -CM39</f>
        <v>0</v>
      </c>
      <c r="BP39" s="67">
        <f>BP38 + IF(Overview!$B$14="Gnome",AF30,AF27) -CN39</f>
        <v>0</v>
      </c>
      <c r="BR39" s="732"/>
      <c r="BS39" s="184">
        <f t="shared" si="61"/>
        <v>1000</v>
      </c>
      <c r="BT39" s="679">
        <f t="shared" si="43"/>
        <v>43693.499999999913</v>
      </c>
      <c r="BV39" s="373"/>
      <c r="BW39" s="349"/>
      <c r="BX39" s="349"/>
      <c r="BY39" s="349"/>
      <c r="BZ39" s="349"/>
      <c r="CA39" s="349"/>
      <c r="CB39" s="349"/>
      <c r="CC39" s="349"/>
      <c r="CD39" s="349"/>
      <c r="CE39" s="349"/>
      <c r="CF39" s="349"/>
      <c r="CG39" s="349"/>
      <c r="CH39" s="349"/>
      <c r="CI39" s="349"/>
      <c r="CJ39" s="349"/>
      <c r="CK39" s="349"/>
      <c r="CL39" s="349"/>
      <c r="CM39" s="792"/>
      <c r="CN39" s="374"/>
      <c r="CP39" s="785">
        <f>-SUM($O39:$R39)+SUM($BW39:BZ39)+Rezone!L39+IF(home_land=CP$2,CW39) + Explore!T27</f>
        <v>0</v>
      </c>
      <c r="CQ39" s="786">
        <f>-SUM($S39:$T39)+SUM($CA39:$CB39) +Rezone!M39 + IF(home_land=CQ$2,CW39) + Explore!U27</f>
        <v>0</v>
      </c>
      <c r="CR39" s="272">
        <f>-SUM($U39:$V39)+SUM($CC39:$CD39) +Rezone!N39 + IF(home_land=CR$2,CW39) + Explore!V27</f>
        <v>0</v>
      </c>
      <c r="CS39" s="787">
        <f>-SUM($W39:$Z39)+SUM($CE39:$CH39) +Rezone!O39 + IF(home_land=CS$2,CW39) + Explore!W27</f>
        <v>0</v>
      </c>
      <c r="CT39" s="788">
        <f>-SUM($AA39:$AC39)+SUM($CI39:$CK39) +Rezone!P39 + IF(home_land=CT$2,CW39) + Explore!X27</f>
        <v>0</v>
      </c>
      <c r="CU39" s="789">
        <f xml:space="preserve"> - SUM($AD39,$AE39)+SUM($CL39,$CM39) +Rezone!Q39 + IF(home_land=CU$2,CW39)+Explore!Y27</f>
        <v>0</v>
      </c>
      <c r="CV39" s="790">
        <f>-$AF39+$CN39 +Rezone!R39 + IF(home_land=CV$2,CW39) + Explore!Z27</f>
        <v>0</v>
      </c>
      <c r="CW39" s="287">
        <f>IF(Explore!S39=1,25) - N39 + BV39</f>
        <v>0</v>
      </c>
      <c r="CY39" s="151">
        <f t="shared" si="44"/>
        <v>280</v>
      </c>
      <c r="CZ39" s="153">
        <f t="shared" si="45"/>
        <v>150</v>
      </c>
      <c r="DA39" s="12">
        <f t="shared" si="46"/>
        <v>150</v>
      </c>
      <c r="DB39" s="153">
        <f t="shared" si="47"/>
        <v>150</v>
      </c>
      <c r="DC39" s="153">
        <f t="shared" si="48"/>
        <v>150</v>
      </c>
      <c r="DD39" s="12">
        <f t="shared" si="49"/>
        <v>20</v>
      </c>
      <c r="DE39" s="158">
        <f t="shared" si="50"/>
        <v>100</v>
      </c>
      <c r="DF39" s="153">
        <f t="shared" ca="1" si="53"/>
        <v>280</v>
      </c>
      <c r="DG39" s="12">
        <f t="shared" si="54"/>
        <v>0</v>
      </c>
      <c r="DH39" s="12">
        <f t="shared" si="55"/>
        <v>39</v>
      </c>
      <c r="DI39" s="158"/>
    </row>
    <row r="40" spans="1:113" s="16" customFormat="1">
      <c r="A40" s="36">
        <f t="shared" si="58"/>
        <v>620</v>
      </c>
      <c r="B40" s="36">
        <f t="shared" si="51"/>
        <v>380</v>
      </c>
      <c r="C40" s="83">
        <f t="shared" si="42"/>
        <v>0</v>
      </c>
      <c r="D40" s="574"/>
      <c r="E40" s="16">
        <f t="shared" si="59"/>
        <v>1000</v>
      </c>
      <c r="F40" s="86">
        <f t="shared" si="62"/>
        <v>0</v>
      </c>
      <c r="G40" s="37">
        <f t="shared" si="63"/>
        <v>100</v>
      </c>
      <c r="H40" s="247">
        <f t="shared" si="64"/>
        <v>150</v>
      </c>
      <c r="I40" s="38">
        <f t="shared" si="65"/>
        <v>150</v>
      </c>
      <c r="J40" s="39">
        <f t="shared" si="66"/>
        <v>100</v>
      </c>
      <c r="K40" s="40">
        <f t="shared" si="67"/>
        <v>20</v>
      </c>
      <c r="L40" s="500">
        <f t="shared" si="68"/>
        <v>100</v>
      </c>
      <c r="M40" s="635">
        <f>Rezone!J40</f>
        <v>38</v>
      </c>
      <c r="N40" s="356"/>
      <c r="O40" s="348"/>
      <c r="P40" s="348"/>
      <c r="Q40" s="363"/>
      <c r="R40" s="345"/>
      <c r="S40" s="348"/>
      <c r="T40" s="348"/>
      <c r="U40" s="348"/>
      <c r="V40" s="348"/>
      <c r="W40" s="345"/>
      <c r="X40" s="345"/>
      <c r="Y40" s="348"/>
      <c r="Z40" s="345"/>
      <c r="AA40" s="348"/>
      <c r="AB40" s="348"/>
      <c r="AC40" s="345"/>
      <c r="AD40" s="348"/>
      <c r="AE40" s="348"/>
      <c r="AF40" s="336"/>
      <c r="AG40" s="532">
        <f t="shared" si="52"/>
        <v>43693.541666666577</v>
      </c>
      <c r="AH40" s="91">
        <f>MIN(25%,(BG40+CE40)/(E40-Explore!S40*20))</f>
        <v>0</v>
      </c>
      <c r="AI40" s="59">
        <f t="shared" si="13"/>
        <v>0</v>
      </c>
      <c r="AJ40" s="56">
        <f ca="1">Production!$H40</f>
        <v>3341598</v>
      </c>
      <c r="AK40" s="57">
        <f ca="1">Production!$J40</f>
        <v>286126</v>
      </c>
      <c r="AL40" s="152">
        <f ca="1">ROUND( (1 - MIN(facs_constr_factor*$AH40,facs_constr_max)) * (1+MIN(tech_construction*Techs!AC40,tech_conquerors_crafts*Techs!AS40)) * AU40*(1+race_construction_cost),0)</f>
        <v>1615</v>
      </c>
      <c r="AM40" s="166">
        <f t="shared" si="60"/>
        <v>263</v>
      </c>
      <c r="AN40" s="152">
        <f ca="1">ROUND( (1 - MIN(facs_constr_factor*$AI40,facs_constr_max)) * (1+MIN(tech_construction*Techs!AE40,tech_conquerors_crafts*Techs!AU40)) * AU40*(1+race_construction_cost),0)</f>
        <v>1615</v>
      </c>
      <c r="AO40" s="166">
        <f t="shared" si="69"/>
        <v>263</v>
      </c>
      <c r="AP40" s="16">
        <f t="shared" ca="1" si="56"/>
        <v>0</v>
      </c>
      <c r="AQ40" s="53">
        <f t="shared" si="57"/>
        <v>0</v>
      </c>
      <c r="AR40" s="16">
        <f>MIN(SUM(F39:L39)+SUM(Explore!T28:Z28)+SUM(BV40:CN40),SUM($N40:$AF40))</f>
        <v>0</v>
      </c>
      <c r="AS40" s="16">
        <f>IF(Explore!S40&lt;&gt;0,MAX(0, MIN(20, 20 + SUM(N40:AF40) - SUM(BV40:CN40) - SUM(F39:L39)-SUM(Explore!T28:Z28)-20*Explore!S40)),0)</f>
        <v>0</v>
      </c>
      <c r="AU40" s="152">
        <f t="shared" si="17"/>
        <v>1615</v>
      </c>
      <c r="AV40" s="166">
        <f t="shared" si="18"/>
        <v>262.5</v>
      </c>
      <c r="AW40" s="164"/>
      <c r="AX40" s="295">
        <f>AX39 + IF(Overview!$B$14="Gnome",N31,N28) -BV40</f>
        <v>0</v>
      </c>
      <c r="AY40" s="28">
        <f>AY39 + IF(Overview!$B$14="Gnome",O31,O28) -BW40</f>
        <v>0</v>
      </c>
      <c r="AZ40" s="28">
        <f>AZ39 + IF(Overview!$B$14="Gnome",P31,P28) -BX40</f>
        <v>80</v>
      </c>
      <c r="BA40" s="28">
        <f>BA39 + IF(Overview!$B$14="Gnome",Q31,Q28) -BY40</f>
        <v>200</v>
      </c>
      <c r="BB40" s="28">
        <f>BB39 + IF(Overview!$B$14="Gnome",R31,R28) -BZ40</f>
        <v>0</v>
      </c>
      <c r="BC40" s="29">
        <f>BC39 + IF(Overview!$B$14="Gnome",S31,S28) -CA40</f>
        <v>50</v>
      </c>
      <c r="BD40" s="29">
        <f>BD39 + IF(Overview!$B$14="Gnome",T31,T28) -CB40</f>
        <v>0</v>
      </c>
      <c r="BE40" s="30">
        <f>BE39 + IF(Overview!$B$14="Gnome",U31,U28) -CC40</f>
        <v>0</v>
      </c>
      <c r="BF40" s="30">
        <f>BF39 + IF(Overview!$B$14="Gnome",V31,V28) -CD40</f>
        <v>0</v>
      </c>
      <c r="BG40" s="31">
        <f>BG39 + IF(Overview!$B$14="Gnome",W31,W28) -CE40</f>
        <v>0</v>
      </c>
      <c r="BH40" s="31">
        <f>BH39 + IF(Overview!$B$14="Gnome",X31,X28) -CF40</f>
        <v>0</v>
      </c>
      <c r="BI40" s="31">
        <f>BI39 + IF(Overview!$B$14="Gnome",Y31,Y28) -CG40</f>
        <v>0</v>
      </c>
      <c r="BJ40" s="31">
        <f>BJ39 + IF(Overview!$B$14="Gnome",Z31,Z28) -CH40</f>
        <v>0</v>
      </c>
      <c r="BK40" s="32">
        <f>BK39 + IF(Overview!$B$14="Gnome",AA31,AA28) -CI40</f>
        <v>50</v>
      </c>
      <c r="BL40" s="32">
        <f>BL39 + IF(Overview!$B$14="Gnome",AB31,AB28) -CJ40</f>
        <v>0</v>
      </c>
      <c r="BM40" s="32">
        <f>BM39 + IF(Overview!$B$14="Gnome",AC31,AC28) -CK40</f>
        <v>0</v>
      </c>
      <c r="BN40" s="33">
        <f>BN39 + IF(Overview!$B$14="Gnome",AD31,AD28) -CL40</f>
        <v>0</v>
      </c>
      <c r="BO40" s="33">
        <f>BO39 + IF(Overview!$B$14="Gnome",AE31,AE28) -CM40</f>
        <v>0</v>
      </c>
      <c r="BP40" s="69">
        <f>BP39 + IF(Overview!$B$14="Gnome",AF31,AF28) -CN40</f>
        <v>0</v>
      </c>
      <c r="BR40" s="442"/>
      <c r="BS40" s="156">
        <f t="shared" si="61"/>
        <v>1000</v>
      </c>
      <c r="BT40" s="574">
        <f t="shared" si="43"/>
        <v>43693.541666666577</v>
      </c>
      <c r="BV40" s="356"/>
      <c r="BW40" s="348"/>
      <c r="BX40" s="348"/>
      <c r="BY40" s="348"/>
      <c r="BZ40" s="348"/>
      <c r="CA40" s="348"/>
      <c r="CB40" s="348"/>
      <c r="CC40" s="348"/>
      <c r="CD40" s="348"/>
      <c r="CE40" s="348"/>
      <c r="CF40" s="348"/>
      <c r="CG40" s="348"/>
      <c r="CH40" s="348"/>
      <c r="CI40" s="348"/>
      <c r="CJ40" s="348"/>
      <c r="CK40" s="348"/>
      <c r="CL40" s="348"/>
      <c r="CM40" s="360"/>
      <c r="CN40" s="357"/>
      <c r="CP40" s="86">
        <f>-SUM($O40:$R40)+SUM($BW40:BZ40)+Rezone!L40+IF(home_land=CP$2,CW40) + Explore!T28</f>
        <v>0</v>
      </c>
      <c r="CQ40" s="37">
        <f>-SUM($S40:$T40)+SUM($CA40:$CB40) +Rezone!M40 + IF(home_land=CQ$2,CW40) + Explore!U28</f>
        <v>0</v>
      </c>
      <c r="CR40" s="247">
        <f>-SUM($U40:$V40)+SUM($CC40:$CD40) +Rezone!N40 + IF(home_land=CR$2,CW40) + Explore!V28</f>
        <v>0</v>
      </c>
      <c r="CS40" s="38">
        <f>-SUM($W40:$Z40)+SUM($CE40:$CH40) +Rezone!O40 + IF(home_land=CS$2,CW40) + Explore!W28</f>
        <v>0</v>
      </c>
      <c r="CT40" s="39">
        <f>-SUM($AA40:$AC40)+SUM($CI40:$CK40) +Rezone!P40 + IF(home_land=CT$2,CW40) + Explore!X28</f>
        <v>0</v>
      </c>
      <c r="CU40" s="40">
        <f xml:space="preserve"> - SUM($AD40,$AE40)+SUM($CL40,$CM40) +Rezone!Q40 + IF(home_land=CU$2,CW40)+Explore!Y28</f>
        <v>0</v>
      </c>
      <c r="CV40" s="500">
        <f>-$AF40+$CN40 +Rezone!R40 + IF(home_land=CV$2,CW40) + Explore!Z28</f>
        <v>0</v>
      </c>
      <c r="CW40" s="159">
        <f>IF(Explore!S40=1,25) - N40 + BV40</f>
        <v>0</v>
      </c>
      <c r="CY40" s="152">
        <f t="shared" si="44"/>
        <v>280</v>
      </c>
      <c r="CZ40" s="164">
        <f t="shared" si="45"/>
        <v>150</v>
      </c>
      <c r="DA40" s="16">
        <f t="shared" si="46"/>
        <v>150</v>
      </c>
      <c r="DB40" s="164">
        <f t="shared" si="47"/>
        <v>150</v>
      </c>
      <c r="DC40" s="164">
        <f t="shared" si="48"/>
        <v>150</v>
      </c>
      <c r="DD40" s="16">
        <f t="shared" si="49"/>
        <v>20</v>
      </c>
      <c r="DE40" s="166">
        <f t="shared" si="50"/>
        <v>100</v>
      </c>
      <c r="DF40" s="164">
        <f t="shared" ca="1" si="53"/>
        <v>280</v>
      </c>
      <c r="DG40" s="16">
        <f t="shared" si="54"/>
        <v>0</v>
      </c>
      <c r="DH40" s="16">
        <f t="shared" si="55"/>
        <v>40</v>
      </c>
      <c r="DI40" s="166"/>
    </row>
    <row r="41" spans="1:113" s="16" customFormat="1">
      <c r="A41" s="36">
        <f t="shared" si="58"/>
        <v>620</v>
      </c>
      <c r="B41" s="36">
        <f t="shared" si="51"/>
        <v>380</v>
      </c>
      <c r="C41" s="83">
        <f t="shared" si="42"/>
        <v>0</v>
      </c>
      <c r="D41" s="574"/>
      <c r="E41" s="16">
        <f t="shared" si="59"/>
        <v>1000</v>
      </c>
      <c r="F41" s="86">
        <f t="shared" si="62"/>
        <v>0</v>
      </c>
      <c r="G41" s="37">
        <f t="shared" si="63"/>
        <v>100</v>
      </c>
      <c r="H41" s="247">
        <f t="shared" si="64"/>
        <v>150</v>
      </c>
      <c r="I41" s="38">
        <f t="shared" si="65"/>
        <v>150</v>
      </c>
      <c r="J41" s="39">
        <f t="shared" si="66"/>
        <v>100</v>
      </c>
      <c r="K41" s="40">
        <f t="shared" si="67"/>
        <v>20</v>
      </c>
      <c r="L41" s="500">
        <f t="shared" si="68"/>
        <v>100</v>
      </c>
      <c r="M41" s="635">
        <f>Rezone!J41</f>
        <v>39</v>
      </c>
      <c r="N41" s="356"/>
      <c r="O41" s="348"/>
      <c r="P41" s="348"/>
      <c r="Q41" s="363"/>
      <c r="R41" s="345"/>
      <c r="S41" s="348"/>
      <c r="T41" s="348"/>
      <c r="U41" s="348"/>
      <c r="V41" s="348"/>
      <c r="W41" s="345"/>
      <c r="X41" s="345"/>
      <c r="Y41" s="348"/>
      <c r="Z41" s="345"/>
      <c r="AA41" s="348"/>
      <c r="AB41" s="348"/>
      <c r="AC41" s="345"/>
      <c r="AD41" s="348"/>
      <c r="AE41" s="348"/>
      <c r="AF41" s="336"/>
      <c r="AG41" s="532">
        <f t="shared" si="52"/>
        <v>43693.583333333241</v>
      </c>
      <c r="AH41" s="91">
        <f>MIN(25%,(BG41+CE41)/(E41-Explore!S41*20))</f>
        <v>0</v>
      </c>
      <c r="AI41" s="59">
        <f t="shared" si="13"/>
        <v>0</v>
      </c>
      <c r="AJ41" s="56">
        <f ca="1">Production!$H41</f>
        <v>3352249</v>
      </c>
      <c r="AK41" s="57">
        <f ca="1">Production!$J41</f>
        <v>285765</v>
      </c>
      <c r="AL41" s="152">
        <f ca="1">ROUND( (1 - MIN(facs_constr_factor*$AH41,facs_constr_max)) * (1+MIN(tech_construction*Techs!AC41,tech_conquerors_crafts*Techs!AS41)) * AU41*(1+race_construction_cost),0)</f>
        <v>1615</v>
      </c>
      <c r="AM41" s="166">
        <f t="shared" si="60"/>
        <v>263</v>
      </c>
      <c r="AN41" s="152">
        <f ca="1">ROUND( (1 - MIN(facs_constr_factor*$AI41,facs_constr_max)) * (1+MIN(tech_construction*Techs!AE41,tech_conquerors_crafts*Techs!AU41)) * AU41*(1+race_construction_cost),0)</f>
        <v>1615</v>
      </c>
      <c r="AO41" s="166">
        <f t="shared" si="69"/>
        <v>263</v>
      </c>
      <c r="AP41" s="16">
        <f t="shared" ca="1" si="56"/>
        <v>0</v>
      </c>
      <c r="AQ41" s="53">
        <f t="shared" si="57"/>
        <v>0</v>
      </c>
      <c r="AR41" s="16">
        <f>MIN(SUM(F40:L40)+SUM(Explore!T29:Z29)+SUM(BV41:CN41),SUM($N41:$AF41))</f>
        <v>0</v>
      </c>
      <c r="AS41" s="16">
        <f>IF(Explore!S41&lt;&gt;0,MAX(0, MIN(20, 20 + SUM(N41:AF41) - SUM(BV41:CN41) - SUM(F40:L40)-SUM(Explore!T29:Z29)-20*Explore!S41)),0)</f>
        <v>0</v>
      </c>
      <c r="AU41" s="152">
        <f t="shared" si="17"/>
        <v>1615</v>
      </c>
      <c r="AV41" s="166">
        <f t="shared" si="18"/>
        <v>262.5</v>
      </c>
      <c r="AW41" s="164"/>
      <c r="AX41" s="295">
        <f>AX40 + IF(Overview!$B$14="Gnome",N32,N29) -BV41</f>
        <v>0</v>
      </c>
      <c r="AY41" s="28">
        <f>AY40 + IF(Overview!$B$14="Gnome",O32,O29) -BW41</f>
        <v>0</v>
      </c>
      <c r="AZ41" s="28">
        <f>AZ40 + IF(Overview!$B$14="Gnome",P32,P29) -BX41</f>
        <v>80</v>
      </c>
      <c r="BA41" s="28">
        <f>BA40 + IF(Overview!$B$14="Gnome",Q32,Q29) -BY41</f>
        <v>200</v>
      </c>
      <c r="BB41" s="28">
        <f>BB40 + IF(Overview!$B$14="Gnome",R32,R29) -BZ41</f>
        <v>0</v>
      </c>
      <c r="BC41" s="29">
        <f>BC40 + IF(Overview!$B$14="Gnome",S32,S29) -CA41</f>
        <v>50</v>
      </c>
      <c r="BD41" s="29">
        <f>BD40 + IF(Overview!$B$14="Gnome",T32,T29) -CB41</f>
        <v>0</v>
      </c>
      <c r="BE41" s="30">
        <f>BE40 + IF(Overview!$B$14="Gnome",U32,U29) -CC41</f>
        <v>0</v>
      </c>
      <c r="BF41" s="30">
        <f>BF40 + IF(Overview!$B$14="Gnome",V32,V29) -CD41</f>
        <v>0</v>
      </c>
      <c r="BG41" s="31">
        <f>BG40 + IF(Overview!$B$14="Gnome",W32,W29) -CE41</f>
        <v>0</v>
      </c>
      <c r="BH41" s="31">
        <f>BH40 + IF(Overview!$B$14="Gnome",X32,X29) -CF41</f>
        <v>0</v>
      </c>
      <c r="BI41" s="31">
        <f>BI40 + IF(Overview!$B$14="Gnome",Y32,Y29) -CG41</f>
        <v>0</v>
      </c>
      <c r="BJ41" s="31">
        <f>BJ40 + IF(Overview!$B$14="Gnome",Z32,Z29) -CH41</f>
        <v>0</v>
      </c>
      <c r="BK41" s="32">
        <f>BK40 + IF(Overview!$B$14="Gnome",AA32,AA29) -CI41</f>
        <v>50</v>
      </c>
      <c r="BL41" s="32">
        <f>BL40 + IF(Overview!$B$14="Gnome",AB32,AB29) -CJ41</f>
        <v>0</v>
      </c>
      <c r="BM41" s="32">
        <f>BM40 + IF(Overview!$B$14="Gnome",AC32,AC29) -CK41</f>
        <v>0</v>
      </c>
      <c r="BN41" s="33">
        <f>BN40 + IF(Overview!$B$14="Gnome",AD32,AD29) -CL41</f>
        <v>0</v>
      </c>
      <c r="BO41" s="33">
        <f>BO40 + IF(Overview!$B$14="Gnome",AE32,AE29) -CM41</f>
        <v>0</v>
      </c>
      <c r="BP41" s="69">
        <f>BP40 + IF(Overview!$B$14="Gnome",AF32,AF29) -CN41</f>
        <v>0</v>
      </c>
      <c r="BR41" s="442"/>
      <c r="BS41" s="156">
        <f t="shared" si="61"/>
        <v>1000</v>
      </c>
      <c r="BT41" s="574">
        <f t="shared" si="43"/>
        <v>43693.583333333241</v>
      </c>
      <c r="BV41" s="356"/>
      <c r="BW41" s="376"/>
      <c r="BX41" s="348"/>
      <c r="BY41" s="348"/>
      <c r="BZ41" s="348"/>
      <c r="CA41" s="348"/>
      <c r="CB41" s="348"/>
      <c r="CC41" s="348"/>
      <c r="CD41" s="348"/>
      <c r="CE41" s="348"/>
      <c r="CF41" s="348"/>
      <c r="CG41" s="348"/>
      <c r="CH41" s="348"/>
      <c r="CI41" s="348"/>
      <c r="CJ41" s="348"/>
      <c r="CK41" s="348"/>
      <c r="CL41" s="348"/>
      <c r="CM41" s="360"/>
      <c r="CN41" s="357"/>
      <c r="CP41" s="86">
        <f>-SUM($O41:$R41)+SUM($BW41:BZ41)+Rezone!L41+IF(home_land=CP$2,CW41) + Explore!T29</f>
        <v>0</v>
      </c>
      <c r="CQ41" s="37">
        <f>-SUM($S41:$T41)+SUM($CA41:$CB41) +Rezone!M41 + IF(home_land=CQ$2,CW41) + Explore!U29</f>
        <v>0</v>
      </c>
      <c r="CR41" s="247">
        <f>-SUM($U41:$V41)+SUM($CC41:$CD41) +Rezone!N41 + IF(home_land=CR$2,CW41) + Explore!V29</f>
        <v>0</v>
      </c>
      <c r="CS41" s="38">
        <f>-SUM($W41:$Z41)+SUM($CE41:$CH41) +Rezone!O41 + IF(home_land=CS$2,CW41) + Explore!W29</f>
        <v>0</v>
      </c>
      <c r="CT41" s="39">
        <f>-SUM($AA41:$AC41)+SUM($CI41:$CK41) +Rezone!P41 + IF(home_land=CT$2,CW41) + Explore!X29</f>
        <v>0</v>
      </c>
      <c r="CU41" s="40">
        <f xml:space="preserve"> - SUM($AD41,$AE41)+SUM($CL41,$CM41) +Rezone!Q41 + IF(home_land=CU$2,CW41)+Explore!Y29</f>
        <v>0</v>
      </c>
      <c r="CV41" s="500">
        <f>-$AF41+$CN41 +Rezone!R41 + IF(home_land=CV$2,CW41) + Explore!Z29</f>
        <v>0</v>
      </c>
      <c r="CW41" s="159">
        <f>IF(Explore!S41=1,25) - N41 + BV41</f>
        <v>0</v>
      </c>
      <c r="CY41" s="152">
        <f t="shared" si="44"/>
        <v>280</v>
      </c>
      <c r="CZ41" s="164">
        <f t="shared" si="45"/>
        <v>150</v>
      </c>
      <c r="DA41" s="16">
        <f t="shared" si="46"/>
        <v>150</v>
      </c>
      <c r="DB41" s="164">
        <f t="shared" si="47"/>
        <v>150</v>
      </c>
      <c r="DC41" s="164">
        <f t="shared" si="48"/>
        <v>150</v>
      </c>
      <c r="DD41" s="16">
        <f t="shared" si="49"/>
        <v>20</v>
      </c>
      <c r="DE41" s="166">
        <f t="shared" si="50"/>
        <v>100</v>
      </c>
      <c r="DF41" s="164">
        <f t="shared" ca="1" si="53"/>
        <v>280</v>
      </c>
      <c r="DG41" s="16">
        <f t="shared" si="54"/>
        <v>0</v>
      </c>
      <c r="DH41" s="16">
        <f t="shared" si="55"/>
        <v>41</v>
      </c>
      <c r="DI41" s="166"/>
    </row>
    <row r="42" spans="1:113" s="16" customFormat="1">
      <c r="A42" s="36">
        <f t="shared" si="58"/>
        <v>620</v>
      </c>
      <c r="B42" s="36">
        <f t="shared" si="51"/>
        <v>380</v>
      </c>
      <c r="C42" s="83">
        <f t="shared" si="42"/>
        <v>0</v>
      </c>
      <c r="D42" s="574"/>
      <c r="E42" s="16">
        <f t="shared" si="59"/>
        <v>1000</v>
      </c>
      <c r="F42" s="86">
        <f t="shared" si="62"/>
        <v>0</v>
      </c>
      <c r="G42" s="37">
        <f t="shared" si="63"/>
        <v>100</v>
      </c>
      <c r="H42" s="247">
        <f t="shared" si="64"/>
        <v>150</v>
      </c>
      <c r="I42" s="38">
        <f t="shared" si="65"/>
        <v>150</v>
      </c>
      <c r="J42" s="39">
        <f t="shared" si="66"/>
        <v>100</v>
      </c>
      <c r="K42" s="40">
        <f t="shared" si="67"/>
        <v>20</v>
      </c>
      <c r="L42" s="500">
        <f t="shared" si="68"/>
        <v>100</v>
      </c>
      <c r="M42" s="635">
        <f>Rezone!J42</f>
        <v>40</v>
      </c>
      <c r="N42" s="356"/>
      <c r="O42" s="348"/>
      <c r="P42" s="348"/>
      <c r="Q42" s="363"/>
      <c r="R42" s="345"/>
      <c r="S42" s="348"/>
      <c r="T42" s="348"/>
      <c r="U42" s="348"/>
      <c r="V42" s="348"/>
      <c r="W42" s="345"/>
      <c r="X42" s="345"/>
      <c r="Y42" s="348"/>
      <c r="Z42" s="345"/>
      <c r="AA42" s="348"/>
      <c r="AB42" s="348"/>
      <c r="AC42" s="345"/>
      <c r="AD42" s="348"/>
      <c r="AE42" s="348"/>
      <c r="AF42" s="336"/>
      <c r="AG42" s="532">
        <f t="shared" si="52"/>
        <v>43693.624999999905</v>
      </c>
      <c r="AH42" s="91">
        <f>MIN(25%,(BG42+CE42)/(E42-Explore!S42*20))</f>
        <v>0</v>
      </c>
      <c r="AI42" s="59">
        <f t="shared" si="13"/>
        <v>0</v>
      </c>
      <c r="AJ42" s="56">
        <f ca="1">Production!$H42</f>
        <v>3362900</v>
      </c>
      <c r="AK42" s="57">
        <f ca="1">Production!$J42</f>
        <v>285407</v>
      </c>
      <c r="AL42" s="152">
        <f ca="1">ROUND( (1 - MIN(facs_constr_factor*$AH42,facs_constr_max)) * (1+MIN(tech_construction*Techs!AC42,tech_conquerors_crafts*Techs!AS42)) * AU42*(1+race_construction_cost),0)</f>
        <v>1615</v>
      </c>
      <c r="AM42" s="166">
        <f t="shared" si="60"/>
        <v>263</v>
      </c>
      <c r="AN42" s="152">
        <f ca="1">ROUND( (1 - MIN(facs_constr_factor*$AI42,facs_constr_max)) * (1+MIN(tech_construction*Techs!AE42,tech_conquerors_crafts*Techs!AU42)) * AU42*(1+race_construction_cost),0)</f>
        <v>1615</v>
      </c>
      <c r="AO42" s="166">
        <f t="shared" si="69"/>
        <v>263</v>
      </c>
      <c r="AP42" s="16">
        <f t="shared" ca="1" si="56"/>
        <v>0</v>
      </c>
      <c r="AQ42" s="53">
        <f t="shared" si="57"/>
        <v>0</v>
      </c>
      <c r="AR42" s="16">
        <f>MIN(SUM(F41:L41)+SUM(Explore!T30:Z30)+SUM(BV42:CN42),SUM($N42:$AF42))</f>
        <v>0</v>
      </c>
      <c r="AS42" s="16">
        <f>IF(Explore!S42&lt;&gt;0,MAX(0, MIN(20, 20 + SUM(N42:AF42) - SUM(BV42:CN42) - SUM(F41:L41)-SUM(Explore!T30:Z30)-20*Explore!S42)),0)</f>
        <v>0</v>
      </c>
      <c r="AU42" s="152">
        <f t="shared" si="17"/>
        <v>1615</v>
      </c>
      <c r="AV42" s="166">
        <f t="shared" si="18"/>
        <v>262.5</v>
      </c>
      <c r="AW42" s="164"/>
      <c r="AX42" s="295">
        <f>AX41 + IF(Overview!$B$14="Gnome",N33,N30) -BV42</f>
        <v>0</v>
      </c>
      <c r="AY42" s="28">
        <f>AY41 + IF(Overview!$B$14="Gnome",O33,O30) -BW42</f>
        <v>0</v>
      </c>
      <c r="AZ42" s="28">
        <f>AZ41 + IF(Overview!$B$14="Gnome",P33,P30) -BX42</f>
        <v>80</v>
      </c>
      <c r="BA42" s="28">
        <f>BA41 + IF(Overview!$B$14="Gnome",Q33,Q30) -BY42</f>
        <v>200</v>
      </c>
      <c r="BB42" s="28">
        <f>BB41 + IF(Overview!$B$14="Gnome",R33,R30) -BZ42</f>
        <v>0</v>
      </c>
      <c r="BC42" s="29">
        <f>BC41 + IF(Overview!$B$14="Gnome",S33,S30) -CA42</f>
        <v>50</v>
      </c>
      <c r="BD42" s="29">
        <f>BD41 + IF(Overview!$B$14="Gnome",T33,T30) -CB42</f>
        <v>0</v>
      </c>
      <c r="BE42" s="30">
        <f>BE41 + IF(Overview!$B$14="Gnome",U33,U30) -CC42</f>
        <v>0</v>
      </c>
      <c r="BF42" s="30">
        <f>BF41 + IF(Overview!$B$14="Gnome",V33,V30) -CD42</f>
        <v>0</v>
      </c>
      <c r="BG42" s="31">
        <f>BG41 + IF(Overview!$B$14="Gnome",W33,W30) -CE42</f>
        <v>0</v>
      </c>
      <c r="BH42" s="31">
        <f>BH41 + IF(Overview!$B$14="Gnome",X33,X30) -CF42</f>
        <v>0</v>
      </c>
      <c r="BI42" s="31">
        <f>BI41 + IF(Overview!$B$14="Gnome",Y33,Y30) -CG42</f>
        <v>0</v>
      </c>
      <c r="BJ42" s="31">
        <f>BJ41 + IF(Overview!$B$14="Gnome",Z33,Z30) -CH42</f>
        <v>0</v>
      </c>
      <c r="BK42" s="32">
        <f>BK41 + IF(Overview!$B$14="Gnome",AA33,AA30) -CI42</f>
        <v>50</v>
      </c>
      <c r="BL42" s="32">
        <f>BL41 + IF(Overview!$B$14="Gnome",AB33,AB30) -CJ42</f>
        <v>0</v>
      </c>
      <c r="BM42" s="32">
        <f>BM41 + IF(Overview!$B$14="Gnome",AC33,AC30) -CK42</f>
        <v>0</v>
      </c>
      <c r="BN42" s="33">
        <f>BN41 + IF(Overview!$B$14="Gnome",AD33,AD30) -CL42</f>
        <v>0</v>
      </c>
      <c r="BO42" s="33">
        <f>BO41 + IF(Overview!$B$14="Gnome",AE33,AE30) -CM42</f>
        <v>0</v>
      </c>
      <c r="BP42" s="69">
        <f>BP41 + IF(Overview!$B$14="Gnome",AF33,AF30) -CN42</f>
        <v>0</v>
      </c>
      <c r="BR42" s="442"/>
      <c r="BS42" s="156">
        <f t="shared" si="61"/>
        <v>1000</v>
      </c>
      <c r="BT42" s="574">
        <f t="shared" si="43"/>
        <v>43693.624999999905</v>
      </c>
      <c r="BV42" s="356"/>
      <c r="BW42" s="348"/>
      <c r="BX42" s="348"/>
      <c r="BY42" s="348"/>
      <c r="BZ42" s="348"/>
      <c r="CA42" s="348"/>
      <c r="CB42" s="348"/>
      <c r="CC42" s="348"/>
      <c r="CD42" s="348"/>
      <c r="CE42" s="348"/>
      <c r="CF42" s="348"/>
      <c r="CG42" s="348"/>
      <c r="CH42" s="348"/>
      <c r="CI42" s="348"/>
      <c r="CJ42" s="348"/>
      <c r="CK42" s="348"/>
      <c r="CL42" s="348"/>
      <c r="CM42" s="360"/>
      <c r="CN42" s="357"/>
      <c r="CP42" s="86">
        <f>-SUM($O42:$R42)+SUM($BW42:BZ42)+Rezone!L42+IF(home_land=CP$2,CW42) + Explore!T30</f>
        <v>0</v>
      </c>
      <c r="CQ42" s="37">
        <f>-SUM($S42:$T42)+SUM($CA42:$CB42) +Rezone!M42 + IF(home_land=CQ$2,CW42) + Explore!U30</f>
        <v>0</v>
      </c>
      <c r="CR42" s="247">
        <f>-SUM($U42:$V42)+SUM($CC42:$CD42) +Rezone!N42 + IF(home_land=CR$2,CW42) + Explore!V30</f>
        <v>0</v>
      </c>
      <c r="CS42" s="38">
        <f>-SUM($W42:$Z42)+SUM($CE42:$CH42) +Rezone!O42 + IF(home_land=CS$2,CW42) + Explore!W30</f>
        <v>0</v>
      </c>
      <c r="CT42" s="39">
        <f>-SUM($AA42:$AC42)+SUM($CI42:$CK42) +Rezone!P42 + IF(home_land=CT$2,CW42) + Explore!X30</f>
        <v>0</v>
      </c>
      <c r="CU42" s="40">
        <f xml:space="preserve"> - SUM($AD42,$AE42)+SUM($CL42,$CM42) +Rezone!Q42 + IF(home_land=CU$2,CW42)+Explore!Y30</f>
        <v>0</v>
      </c>
      <c r="CV42" s="500">
        <f>-$AF42+$CN42 +Rezone!R42 + IF(home_land=CV$2,CW42) + Explore!Z30</f>
        <v>0</v>
      </c>
      <c r="CW42" s="159">
        <f>IF(Explore!S42=1,25) - N42 + BV42</f>
        <v>0</v>
      </c>
      <c r="CY42" s="152">
        <f t="shared" si="44"/>
        <v>280</v>
      </c>
      <c r="CZ42" s="164">
        <f t="shared" si="45"/>
        <v>150</v>
      </c>
      <c r="DA42" s="16">
        <f t="shared" si="46"/>
        <v>150</v>
      </c>
      <c r="DB42" s="164">
        <f t="shared" si="47"/>
        <v>150</v>
      </c>
      <c r="DC42" s="164">
        <f t="shared" si="48"/>
        <v>150</v>
      </c>
      <c r="DD42" s="16">
        <f t="shared" si="49"/>
        <v>20</v>
      </c>
      <c r="DE42" s="166">
        <f t="shared" si="50"/>
        <v>100</v>
      </c>
      <c r="DF42" s="164">
        <f t="shared" ca="1" si="53"/>
        <v>280</v>
      </c>
      <c r="DG42" s="16">
        <f t="shared" si="54"/>
        <v>0</v>
      </c>
      <c r="DH42" s="16">
        <f t="shared" si="55"/>
        <v>42</v>
      </c>
      <c r="DI42" s="166"/>
    </row>
    <row r="43" spans="1:113" s="16" customFormat="1">
      <c r="A43" s="36">
        <f t="shared" si="58"/>
        <v>620</v>
      </c>
      <c r="B43" s="36">
        <f t="shared" si="51"/>
        <v>380</v>
      </c>
      <c r="C43" s="83">
        <f t="shared" si="42"/>
        <v>0</v>
      </c>
      <c r="D43" s="574"/>
      <c r="E43" s="16">
        <f t="shared" si="59"/>
        <v>1000</v>
      </c>
      <c r="F43" s="86">
        <f t="shared" si="62"/>
        <v>0</v>
      </c>
      <c r="G43" s="37">
        <f t="shared" si="63"/>
        <v>100</v>
      </c>
      <c r="H43" s="247">
        <f t="shared" si="64"/>
        <v>150</v>
      </c>
      <c r="I43" s="38">
        <f t="shared" si="65"/>
        <v>150</v>
      </c>
      <c r="J43" s="39">
        <f t="shared" si="66"/>
        <v>100</v>
      </c>
      <c r="K43" s="40">
        <f t="shared" si="67"/>
        <v>20</v>
      </c>
      <c r="L43" s="500">
        <f t="shared" si="68"/>
        <v>100</v>
      </c>
      <c r="M43" s="635">
        <f>Rezone!J43</f>
        <v>41</v>
      </c>
      <c r="N43" s="356"/>
      <c r="O43" s="348"/>
      <c r="P43" s="348"/>
      <c r="Q43" s="363"/>
      <c r="R43" s="345"/>
      <c r="S43" s="348"/>
      <c r="T43" s="348"/>
      <c r="U43" s="348"/>
      <c r="V43" s="348"/>
      <c r="W43" s="345"/>
      <c r="X43" s="345"/>
      <c r="Y43" s="348"/>
      <c r="Z43" s="345"/>
      <c r="AA43" s="348"/>
      <c r="AB43" s="348"/>
      <c r="AC43" s="345"/>
      <c r="AD43" s="348"/>
      <c r="AE43" s="348"/>
      <c r="AF43" s="336"/>
      <c r="AG43" s="532">
        <f t="shared" si="52"/>
        <v>43693.66666666657</v>
      </c>
      <c r="AH43" s="91">
        <f>MIN(25%,(BG43+CE43)/(E43-Explore!S43*20))</f>
        <v>0</v>
      </c>
      <c r="AI43" s="59">
        <f t="shared" si="13"/>
        <v>0</v>
      </c>
      <c r="AJ43" s="56">
        <f ca="1">Production!$H43</f>
        <v>3373551</v>
      </c>
      <c r="AK43" s="57">
        <f ca="1">Production!$J43</f>
        <v>285053</v>
      </c>
      <c r="AL43" s="152">
        <f ca="1">ROUND( (1 - MIN(facs_constr_factor*$AH43,facs_constr_max)) * (1+MIN(tech_construction*Techs!AC43,tech_conquerors_crafts*Techs!AS43)) * AU43*(1+race_construction_cost),0)</f>
        <v>1615</v>
      </c>
      <c r="AM43" s="166">
        <f t="shared" si="60"/>
        <v>263</v>
      </c>
      <c r="AN43" s="152">
        <f ca="1">ROUND( (1 - MIN(facs_constr_factor*$AI43,facs_constr_max)) * (1+MIN(tech_construction*Techs!AE43,tech_conquerors_crafts*Techs!AU43)) * AU43*(1+race_construction_cost),0)</f>
        <v>1615</v>
      </c>
      <c r="AO43" s="166">
        <f t="shared" si="69"/>
        <v>263</v>
      </c>
      <c r="AP43" s="16">
        <f t="shared" ca="1" si="56"/>
        <v>0</v>
      </c>
      <c r="AQ43" s="53">
        <f t="shared" si="57"/>
        <v>0</v>
      </c>
      <c r="AR43" s="16">
        <f>MIN(SUM(F42:L42)+SUM(Explore!T31:Z31)+SUM(BV43:CN43),SUM($N43:$AF43))</f>
        <v>0</v>
      </c>
      <c r="AS43" s="16">
        <f>IF(Explore!S43&lt;&gt;0,MAX(0, MIN(20, 20 + SUM(N43:AF43) - SUM(BV43:CN43) - SUM(F42:L42)-SUM(Explore!T31:Z31)-20*Explore!S43)),0)</f>
        <v>0</v>
      </c>
      <c r="AU43" s="152">
        <f t="shared" si="17"/>
        <v>1615</v>
      </c>
      <c r="AV43" s="166">
        <f t="shared" si="18"/>
        <v>262.5</v>
      </c>
      <c r="AW43" s="164"/>
      <c r="AX43" s="295">
        <f>AX42 + IF(Overview!$B$14="Gnome",N34,N31) -BV43</f>
        <v>0</v>
      </c>
      <c r="AY43" s="28">
        <f>AY42 + IF(Overview!$B$14="Gnome",O34,O31) -BW43</f>
        <v>0</v>
      </c>
      <c r="AZ43" s="28">
        <f>AZ42 + IF(Overview!$B$14="Gnome",P34,P31) -BX43</f>
        <v>80</v>
      </c>
      <c r="BA43" s="28">
        <f>BA42 + IF(Overview!$B$14="Gnome",Q34,Q31) -BY43</f>
        <v>200</v>
      </c>
      <c r="BB43" s="28">
        <f>BB42 + IF(Overview!$B$14="Gnome",R34,R31) -BZ43</f>
        <v>0</v>
      </c>
      <c r="BC43" s="29">
        <f>BC42 + IF(Overview!$B$14="Gnome",S34,S31) -CA43</f>
        <v>50</v>
      </c>
      <c r="BD43" s="29">
        <f>BD42 + IF(Overview!$B$14="Gnome",T34,T31) -CB43</f>
        <v>0</v>
      </c>
      <c r="BE43" s="30">
        <f>BE42 + IF(Overview!$B$14="Gnome",U34,U31) -CC43</f>
        <v>0</v>
      </c>
      <c r="BF43" s="30">
        <f>BF42 + IF(Overview!$B$14="Gnome",V34,V31) -CD43</f>
        <v>0</v>
      </c>
      <c r="BG43" s="31">
        <f>BG42 + IF(Overview!$B$14="Gnome",W34,W31) -CE43</f>
        <v>0</v>
      </c>
      <c r="BH43" s="31">
        <f>BH42 + IF(Overview!$B$14="Gnome",X34,X31) -CF43</f>
        <v>0</v>
      </c>
      <c r="BI43" s="31">
        <f>BI42 + IF(Overview!$B$14="Gnome",Y34,Y31) -CG43</f>
        <v>0</v>
      </c>
      <c r="BJ43" s="31">
        <f>BJ42 + IF(Overview!$B$14="Gnome",Z34,Z31) -CH43</f>
        <v>0</v>
      </c>
      <c r="BK43" s="32">
        <f>BK42 + IF(Overview!$B$14="Gnome",AA34,AA31) -CI43</f>
        <v>50</v>
      </c>
      <c r="BL43" s="32">
        <f>BL42 + IF(Overview!$B$14="Gnome",AB34,AB31) -CJ43</f>
        <v>0</v>
      </c>
      <c r="BM43" s="32">
        <f>BM42 + IF(Overview!$B$14="Gnome",AC34,AC31) -CK43</f>
        <v>0</v>
      </c>
      <c r="BN43" s="33">
        <f>BN42 + IF(Overview!$B$14="Gnome",AD34,AD31) -CL43</f>
        <v>0</v>
      </c>
      <c r="BO43" s="33">
        <f>BO42 + IF(Overview!$B$14="Gnome",AE34,AE31) -CM43</f>
        <v>0</v>
      </c>
      <c r="BP43" s="69">
        <f>BP42 + IF(Overview!$B$14="Gnome",AF34,AF31) -CN43</f>
        <v>0</v>
      </c>
      <c r="BR43" s="442"/>
      <c r="BS43" s="156">
        <f t="shared" si="61"/>
        <v>1000</v>
      </c>
      <c r="BT43" s="574">
        <f t="shared" si="43"/>
        <v>43693.66666666657</v>
      </c>
      <c r="BV43" s="356"/>
      <c r="BW43" s="348"/>
      <c r="BX43" s="348"/>
      <c r="BY43" s="348"/>
      <c r="BZ43" s="348"/>
      <c r="CA43" s="348"/>
      <c r="CB43" s="348"/>
      <c r="CC43" s="348"/>
      <c r="CD43" s="348"/>
      <c r="CE43" s="348"/>
      <c r="CF43" s="348"/>
      <c r="CG43" s="348"/>
      <c r="CH43" s="348"/>
      <c r="CI43" s="348"/>
      <c r="CJ43" s="348"/>
      <c r="CK43" s="348"/>
      <c r="CL43" s="348"/>
      <c r="CM43" s="360"/>
      <c r="CN43" s="357"/>
      <c r="CP43" s="86">
        <f>-SUM($O43:$R43)+SUM($BW43:BZ43)+Rezone!L43+IF(home_land=CP$2,CW43) + Explore!T31</f>
        <v>0</v>
      </c>
      <c r="CQ43" s="37">
        <f>-SUM($S43:$T43)+SUM($CA43:$CB43) +Rezone!M43 + IF(home_land=CQ$2,CW43) + Explore!U31</f>
        <v>0</v>
      </c>
      <c r="CR43" s="247">
        <f>-SUM($U43:$V43)+SUM($CC43:$CD43) +Rezone!N43 + IF(home_land=CR$2,CW43) + Explore!V31</f>
        <v>0</v>
      </c>
      <c r="CS43" s="38">
        <f>-SUM($W43:$Z43)+SUM($CE43:$CH43) +Rezone!O43 + IF(home_land=CS$2,CW43) + Explore!W31</f>
        <v>0</v>
      </c>
      <c r="CT43" s="39">
        <f>-SUM($AA43:$AC43)+SUM($CI43:$CK43) +Rezone!P43 + IF(home_land=CT$2,CW43) + Explore!X31</f>
        <v>0</v>
      </c>
      <c r="CU43" s="40">
        <f xml:space="preserve"> - SUM($AD43,$AE43)+SUM($CL43,$CM43) +Rezone!Q43 + IF(home_land=CU$2,CW43)+Explore!Y31</f>
        <v>0</v>
      </c>
      <c r="CV43" s="500">
        <f>-$AF43+$CN43 +Rezone!R43 + IF(home_land=CV$2,CW43) + Explore!Z31</f>
        <v>0</v>
      </c>
      <c r="CW43" s="159">
        <f>IF(Explore!S43=1,25) - N43 + BV43</f>
        <v>0</v>
      </c>
      <c r="CY43" s="152">
        <f t="shared" si="44"/>
        <v>280</v>
      </c>
      <c r="CZ43" s="164">
        <f t="shared" si="45"/>
        <v>150</v>
      </c>
      <c r="DA43" s="16">
        <f t="shared" si="46"/>
        <v>150</v>
      </c>
      <c r="DB43" s="164">
        <f t="shared" si="47"/>
        <v>150</v>
      </c>
      <c r="DC43" s="164">
        <f t="shared" si="48"/>
        <v>150</v>
      </c>
      <c r="DD43" s="16">
        <f t="shared" si="49"/>
        <v>20</v>
      </c>
      <c r="DE43" s="166">
        <f t="shared" si="50"/>
        <v>100</v>
      </c>
      <c r="DF43" s="164">
        <f t="shared" ca="1" si="53"/>
        <v>280</v>
      </c>
      <c r="DG43" s="16">
        <f t="shared" si="54"/>
        <v>0</v>
      </c>
      <c r="DH43" s="16">
        <f t="shared" si="55"/>
        <v>43</v>
      </c>
      <c r="DI43" s="166"/>
    </row>
    <row r="44" spans="1:113" s="16" customFormat="1">
      <c r="A44" s="36">
        <f t="shared" si="58"/>
        <v>620</v>
      </c>
      <c r="B44" s="36">
        <f t="shared" si="51"/>
        <v>380</v>
      </c>
      <c r="C44" s="83">
        <f t="shared" si="42"/>
        <v>0</v>
      </c>
      <c r="D44" s="574"/>
      <c r="E44" s="16">
        <f t="shared" si="59"/>
        <v>1000</v>
      </c>
      <c r="F44" s="86">
        <f t="shared" si="62"/>
        <v>0</v>
      </c>
      <c r="G44" s="37">
        <f t="shared" si="63"/>
        <v>100</v>
      </c>
      <c r="H44" s="247">
        <f t="shared" si="64"/>
        <v>150</v>
      </c>
      <c r="I44" s="38">
        <f t="shared" si="65"/>
        <v>150</v>
      </c>
      <c r="J44" s="39">
        <f t="shared" si="66"/>
        <v>100</v>
      </c>
      <c r="K44" s="40">
        <f t="shared" si="67"/>
        <v>20</v>
      </c>
      <c r="L44" s="500">
        <f t="shared" si="68"/>
        <v>100</v>
      </c>
      <c r="M44" s="635">
        <f>Rezone!J44</f>
        <v>42</v>
      </c>
      <c r="N44" s="356"/>
      <c r="O44" s="348"/>
      <c r="P44" s="348"/>
      <c r="Q44" s="363"/>
      <c r="R44" s="345"/>
      <c r="S44" s="348"/>
      <c r="T44" s="348"/>
      <c r="U44" s="348"/>
      <c r="V44" s="348"/>
      <c r="W44" s="345"/>
      <c r="X44" s="345"/>
      <c r="Y44" s="348"/>
      <c r="Z44" s="345"/>
      <c r="AA44" s="348"/>
      <c r="AB44" s="348"/>
      <c r="AC44" s="345"/>
      <c r="AD44" s="348"/>
      <c r="AE44" s="348"/>
      <c r="AF44" s="336"/>
      <c r="AG44" s="532">
        <f t="shared" si="52"/>
        <v>43693.708333333234</v>
      </c>
      <c r="AH44" s="91">
        <f>MIN(25%,(BG44+CE44)/(E44-Explore!S44*20))</f>
        <v>0</v>
      </c>
      <c r="AI44" s="59">
        <f t="shared" si="13"/>
        <v>0</v>
      </c>
      <c r="AJ44" s="56">
        <f ca="1">Production!$H44</f>
        <v>3384202</v>
      </c>
      <c r="AK44" s="57">
        <f ca="1">Production!$J44</f>
        <v>284702</v>
      </c>
      <c r="AL44" s="152">
        <f ca="1">ROUND( (1 - MIN(facs_constr_factor*$AH44,facs_constr_max)) * (1+MIN(tech_construction*Techs!AC44,tech_conquerors_crafts*Techs!AS44)) * AU44*(1+race_construction_cost),0)</f>
        <v>1615</v>
      </c>
      <c r="AM44" s="166">
        <f t="shared" si="60"/>
        <v>263</v>
      </c>
      <c r="AN44" s="152">
        <f ca="1">ROUND( (1 - MIN(facs_constr_factor*$AI44,facs_constr_max)) * (1+MIN(tech_construction*Techs!AE44,tech_conquerors_crafts*Techs!AU44)) * AU44*(1+race_construction_cost),0)</f>
        <v>1615</v>
      </c>
      <c r="AO44" s="166">
        <f t="shared" si="69"/>
        <v>263</v>
      </c>
      <c r="AP44" s="16">
        <f t="shared" ca="1" si="56"/>
        <v>0</v>
      </c>
      <c r="AQ44" s="53">
        <f t="shared" si="57"/>
        <v>0</v>
      </c>
      <c r="AR44" s="16">
        <f>MIN(SUM(F43:L43)+SUM(Explore!T32:Z32)+SUM(BV44:CN44),SUM($N44:$AF44))</f>
        <v>0</v>
      </c>
      <c r="AS44" s="16">
        <f>IF(Explore!S44&lt;&gt;0,MAX(0, MIN(20, 20 + SUM(N44:AF44) - SUM(BV44:CN44) - SUM(F43:L43)-SUM(Explore!T32:Z32)-20*Explore!S44)),0)</f>
        <v>0</v>
      </c>
      <c r="AU44" s="152">
        <f t="shared" si="17"/>
        <v>1615</v>
      </c>
      <c r="AV44" s="166">
        <f t="shared" si="18"/>
        <v>262.5</v>
      </c>
      <c r="AW44" s="164"/>
      <c r="AX44" s="295">
        <f>AX43 + IF(Overview!$B$14="Gnome",N35,N32) -BV44</f>
        <v>0</v>
      </c>
      <c r="AY44" s="28">
        <f>AY43 + IF(Overview!$B$14="Gnome",O35,O32) -BW44</f>
        <v>0</v>
      </c>
      <c r="AZ44" s="28">
        <f>AZ43 + IF(Overview!$B$14="Gnome",P35,P32) -BX44</f>
        <v>80</v>
      </c>
      <c r="BA44" s="28">
        <f>BA43 + IF(Overview!$B$14="Gnome",Q35,Q32) -BY44</f>
        <v>200</v>
      </c>
      <c r="BB44" s="28">
        <f>BB43 + IF(Overview!$B$14="Gnome",R35,R32) -BZ44</f>
        <v>0</v>
      </c>
      <c r="BC44" s="29">
        <f>BC43 + IF(Overview!$B$14="Gnome",S35,S32) -CA44</f>
        <v>50</v>
      </c>
      <c r="BD44" s="29">
        <f>BD43 + IF(Overview!$B$14="Gnome",T35,T32) -CB44</f>
        <v>0</v>
      </c>
      <c r="BE44" s="30">
        <f>BE43 + IF(Overview!$B$14="Gnome",U35,U32) -CC44</f>
        <v>0</v>
      </c>
      <c r="BF44" s="30">
        <f>BF43 + IF(Overview!$B$14="Gnome",V35,V32) -CD44</f>
        <v>0</v>
      </c>
      <c r="BG44" s="31">
        <f>BG43 + IF(Overview!$B$14="Gnome",W35,W32) -CE44</f>
        <v>0</v>
      </c>
      <c r="BH44" s="31">
        <f>BH43 + IF(Overview!$B$14="Gnome",X35,X32) -CF44</f>
        <v>0</v>
      </c>
      <c r="BI44" s="31">
        <f>BI43 + IF(Overview!$B$14="Gnome",Y35,Y32) -CG44</f>
        <v>0</v>
      </c>
      <c r="BJ44" s="31">
        <f>BJ43 + IF(Overview!$B$14="Gnome",Z35,Z32) -CH44</f>
        <v>0</v>
      </c>
      <c r="BK44" s="32">
        <f>BK43 + IF(Overview!$B$14="Gnome",AA35,AA32) -CI44</f>
        <v>50</v>
      </c>
      <c r="BL44" s="32">
        <f>BL43 + IF(Overview!$B$14="Gnome",AB35,AB32) -CJ44</f>
        <v>0</v>
      </c>
      <c r="BM44" s="32">
        <f>BM43 + IF(Overview!$B$14="Gnome",AC35,AC32) -CK44</f>
        <v>0</v>
      </c>
      <c r="BN44" s="33">
        <f>BN43 + IF(Overview!$B$14="Gnome",AD35,AD32) -CL44</f>
        <v>0</v>
      </c>
      <c r="BO44" s="33">
        <f>BO43 + IF(Overview!$B$14="Gnome",AE35,AE32) -CM44</f>
        <v>0</v>
      </c>
      <c r="BP44" s="69">
        <f>BP43 + IF(Overview!$B$14="Gnome",AF35,AF32) -CN44</f>
        <v>0</v>
      </c>
      <c r="BR44" s="442"/>
      <c r="BS44" s="156">
        <f t="shared" si="61"/>
        <v>1000</v>
      </c>
      <c r="BT44" s="574">
        <f t="shared" si="43"/>
        <v>43693.708333333234</v>
      </c>
      <c r="BV44" s="356"/>
      <c r="BW44" s="348"/>
      <c r="BX44" s="348"/>
      <c r="BY44" s="348"/>
      <c r="BZ44" s="348"/>
      <c r="CA44" s="348"/>
      <c r="CB44" s="348"/>
      <c r="CC44" s="348"/>
      <c r="CD44" s="348"/>
      <c r="CE44" s="348"/>
      <c r="CF44" s="348"/>
      <c r="CG44" s="348"/>
      <c r="CH44" s="348"/>
      <c r="CI44" s="348"/>
      <c r="CJ44" s="348"/>
      <c r="CK44" s="348"/>
      <c r="CL44" s="348"/>
      <c r="CM44" s="360"/>
      <c r="CN44" s="357"/>
      <c r="CP44" s="86">
        <f>-SUM($O44:$R44)+SUM($BW44:BZ44)+Rezone!L44+IF(home_land=CP$2,CW44) + Explore!T32</f>
        <v>0</v>
      </c>
      <c r="CQ44" s="37">
        <f>-SUM($S44:$T44)+SUM($CA44:$CB44) +Rezone!M44 + IF(home_land=CQ$2,CW44) + Explore!U32</f>
        <v>0</v>
      </c>
      <c r="CR44" s="247">
        <f>-SUM($U44:$V44)+SUM($CC44:$CD44) +Rezone!N44 + IF(home_land=CR$2,CW44) + Explore!V32</f>
        <v>0</v>
      </c>
      <c r="CS44" s="38">
        <f>-SUM($W44:$Z44)+SUM($CE44:$CH44) +Rezone!O44 + IF(home_land=CS$2,CW44) + Explore!W32</f>
        <v>0</v>
      </c>
      <c r="CT44" s="39">
        <f>-SUM($AA44:$AC44)+SUM($CI44:$CK44) +Rezone!P44 + IF(home_land=CT$2,CW44) + Explore!X32</f>
        <v>0</v>
      </c>
      <c r="CU44" s="40">
        <f xml:space="preserve"> - SUM($AD44,$AE44)+SUM($CL44,$CM44) +Rezone!Q44 + IF(home_land=CU$2,CW44)+Explore!Y32</f>
        <v>0</v>
      </c>
      <c r="CV44" s="500">
        <f>-$AF44+$CN44 +Rezone!R44 + IF(home_land=CV$2,CW44) + Explore!Z32</f>
        <v>0</v>
      </c>
      <c r="CW44" s="159">
        <f>IF(Explore!S44=1,25) - N44 + BV44</f>
        <v>0</v>
      </c>
      <c r="CY44" s="152">
        <f t="shared" si="44"/>
        <v>280</v>
      </c>
      <c r="CZ44" s="164">
        <f t="shared" si="45"/>
        <v>150</v>
      </c>
      <c r="DA44" s="16">
        <f t="shared" si="46"/>
        <v>150</v>
      </c>
      <c r="DB44" s="164">
        <f t="shared" si="47"/>
        <v>150</v>
      </c>
      <c r="DC44" s="164">
        <f t="shared" si="48"/>
        <v>150</v>
      </c>
      <c r="DD44" s="16">
        <f t="shared" si="49"/>
        <v>20</v>
      </c>
      <c r="DE44" s="166">
        <f t="shared" si="50"/>
        <v>100</v>
      </c>
      <c r="DF44" s="164">
        <f t="shared" ca="1" si="53"/>
        <v>280</v>
      </c>
      <c r="DG44" s="16">
        <f t="shared" si="54"/>
        <v>0</v>
      </c>
      <c r="DH44" s="16">
        <f t="shared" si="55"/>
        <v>44</v>
      </c>
      <c r="DI44" s="166"/>
    </row>
    <row r="45" spans="1:113" s="16" customFormat="1">
      <c r="A45" s="36">
        <f t="shared" si="58"/>
        <v>620</v>
      </c>
      <c r="B45" s="36">
        <f t="shared" si="51"/>
        <v>380</v>
      </c>
      <c r="C45" s="83">
        <f t="shared" si="42"/>
        <v>0</v>
      </c>
      <c r="D45" s="574"/>
      <c r="E45" s="16">
        <f t="shared" si="59"/>
        <v>1000</v>
      </c>
      <c r="F45" s="86">
        <f t="shared" si="62"/>
        <v>0</v>
      </c>
      <c r="G45" s="37">
        <f t="shared" si="63"/>
        <v>100</v>
      </c>
      <c r="H45" s="247">
        <f t="shared" si="64"/>
        <v>150</v>
      </c>
      <c r="I45" s="38">
        <f t="shared" si="65"/>
        <v>150</v>
      </c>
      <c r="J45" s="39">
        <f t="shared" si="66"/>
        <v>100</v>
      </c>
      <c r="K45" s="40">
        <f t="shared" si="67"/>
        <v>20</v>
      </c>
      <c r="L45" s="500">
        <f t="shared" si="68"/>
        <v>100</v>
      </c>
      <c r="M45" s="635">
        <f>Rezone!J45</f>
        <v>43</v>
      </c>
      <c r="N45" s="356"/>
      <c r="O45" s="348"/>
      <c r="P45" s="348"/>
      <c r="Q45" s="363"/>
      <c r="R45" s="345"/>
      <c r="S45" s="348"/>
      <c r="T45" s="348"/>
      <c r="U45" s="348"/>
      <c r="V45" s="348"/>
      <c r="W45" s="345"/>
      <c r="X45" s="345"/>
      <c r="Y45" s="348"/>
      <c r="Z45" s="345"/>
      <c r="AA45" s="348"/>
      <c r="AB45" s="348"/>
      <c r="AC45" s="345"/>
      <c r="AD45" s="348"/>
      <c r="AE45" s="348"/>
      <c r="AF45" s="336"/>
      <c r="AG45" s="532">
        <f t="shared" si="52"/>
        <v>43693.749999999898</v>
      </c>
      <c r="AH45" s="91">
        <f>MIN(25%,(BG45+CE45)/(E45-Explore!S45*20))</f>
        <v>0</v>
      </c>
      <c r="AI45" s="59">
        <f t="shared" si="13"/>
        <v>0</v>
      </c>
      <c r="AJ45" s="56">
        <f ca="1">Production!$H45</f>
        <v>3394853</v>
      </c>
      <c r="AK45" s="57">
        <f ca="1">Production!$J45</f>
        <v>284355</v>
      </c>
      <c r="AL45" s="152">
        <f ca="1">ROUND( (1 - MIN(facs_constr_factor*$AH45,facs_constr_max)) * (1+MIN(tech_construction*Techs!AC45,tech_conquerors_crafts*Techs!AS45)) * AU45*(1+race_construction_cost),0)</f>
        <v>1615</v>
      </c>
      <c r="AM45" s="166">
        <f t="shared" si="60"/>
        <v>263</v>
      </c>
      <c r="AN45" s="152">
        <f ca="1">ROUND( (1 - MIN(facs_constr_factor*$AI45,facs_constr_max)) * (1+MIN(tech_construction*Techs!AE45,tech_conquerors_crafts*Techs!AU45)) * AU45*(1+race_construction_cost),0)</f>
        <v>1615</v>
      </c>
      <c r="AO45" s="166">
        <f t="shared" si="69"/>
        <v>263</v>
      </c>
      <c r="AP45" s="16">
        <f t="shared" ca="1" si="56"/>
        <v>0</v>
      </c>
      <c r="AQ45" s="53">
        <f t="shared" si="57"/>
        <v>0</v>
      </c>
      <c r="AR45" s="16">
        <f>MIN(SUM(F44:L44)+SUM(Explore!T33:Z33)+SUM(BV45:CN45),SUM($N45:$AF45))</f>
        <v>0</v>
      </c>
      <c r="AS45" s="16">
        <f>IF(Explore!S45&lt;&gt;0,MAX(0, MIN(20, 20 + SUM(N45:AF45) - SUM(BV45:CN45) - SUM(F44:L44)-SUM(Explore!T33:Z33)-20*Explore!S45)),0)</f>
        <v>0</v>
      </c>
      <c r="AU45" s="152">
        <f t="shared" si="17"/>
        <v>1615</v>
      </c>
      <c r="AV45" s="166">
        <f t="shared" si="18"/>
        <v>262.5</v>
      </c>
      <c r="AW45" s="164"/>
      <c r="AX45" s="295">
        <f>AX44 + IF(Overview!$B$14="Gnome",N36,N33) -BV45</f>
        <v>0</v>
      </c>
      <c r="AY45" s="28">
        <f>AY44 + IF(Overview!$B$14="Gnome",O36,O33) -BW45</f>
        <v>0</v>
      </c>
      <c r="AZ45" s="28">
        <f>AZ44 + IF(Overview!$B$14="Gnome",P36,P33) -BX45</f>
        <v>80</v>
      </c>
      <c r="BA45" s="28">
        <f>BA44 + IF(Overview!$B$14="Gnome",Q36,Q33) -BY45</f>
        <v>200</v>
      </c>
      <c r="BB45" s="28">
        <f>BB44 + IF(Overview!$B$14="Gnome",R36,R33) -BZ45</f>
        <v>0</v>
      </c>
      <c r="BC45" s="29">
        <f>BC44 + IF(Overview!$B$14="Gnome",S36,S33) -CA45</f>
        <v>50</v>
      </c>
      <c r="BD45" s="29">
        <f>BD44 + IF(Overview!$B$14="Gnome",T36,T33) -CB45</f>
        <v>0</v>
      </c>
      <c r="BE45" s="30">
        <f>BE44 + IF(Overview!$B$14="Gnome",U36,U33) -CC45</f>
        <v>0</v>
      </c>
      <c r="BF45" s="30">
        <f>BF44 + IF(Overview!$B$14="Gnome",V36,V33) -CD45</f>
        <v>0</v>
      </c>
      <c r="BG45" s="31">
        <f>BG44 + IF(Overview!$B$14="Gnome",W36,W33) -CE45</f>
        <v>0</v>
      </c>
      <c r="BH45" s="31">
        <f>BH44 + IF(Overview!$B$14="Gnome",X36,X33) -CF45</f>
        <v>0</v>
      </c>
      <c r="BI45" s="31">
        <f>BI44 + IF(Overview!$B$14="Gnome",Y36,Y33) -CG45</f>
        <v>0</v>
      </c>
      <c r="BJ45" s="31">
        <f>BJ44 + IF(Overview!$B$14="Gnome",Z36,Z33) -CH45</f>
        <v>0</v>
      </c>
      <c r="BK45" s="32">
        <f>BK44 + IF(Overview!$B$14="Gnome",AA36,AA33) -CI45</f>
        <v>50</v>
      </c>
      <c r="BL45" s="32">
        <f>BL44 + IF(Overview!$B$14="Gnome",AB36,AB33) -CJ45</f>
        <v>0</v>
      </c>
      <c r="BM45" s="32">
        <f>BM44 + IF(Overview!$B$14="Gnome",AC36,AC33) -CK45</f>
        <v>0</v>
      </c>
      <c r="BN45" s="33">
        <f>BN44 + IF(Overview!$B$14="Gnome",AD36,AD33) -CL45</f>
        <v>0</v>
      </c>
      <c r="BO45" s="33">
        <f>BO44 + IF(Overview!$B$14="Gnome",AE36,AE33) -CM45</f>
        <v>0</v>
      </c>
      <c r="BP45" s="69">
        <f>BP44 + IF(Overview!$B$14="Gnome",AF36,AF33) -CN45</f>
        <v>0</v>
      </c>
      <c r="BR45" s="442"/>
      <c r="BS45" s="156">
        <f t="shared" si="61"/>
        <v>1000</v>
      </c>
      <c r="BT45" s="574">
        <f t="shared" si="43"/>
        <v>43693.749999999898</v>
      </c>
      <c r="BV45" s="356"/>
      <c r="BW45" s="348"/>
      <c r="BX45" s="348"/>
      <c r="BY45" s="348"/>
      <c r="BZ45" s="348"/>
      <c r="CA45" s="348"/>
      <c r="CB45" s="348"/>
      <c r="CC45" s="348"/>
      <c r="CD45" s="348"/>
      <c r="CE45" s="348"/>
      <c r="CF45" s="348"/>
      <c r="CG45" s="348"/>
      <c r="CH45" s="348"/>
      <c r="CI45" s="348"/>
      <c r="CJ45" s="348"/>
      <c r="CK45" s="348"/>
      <c r="CL45" s="348"/>
      <c r="CM45" s="360"/>
      <c r="CN45" s="357"/>
      <c r="CP45" s="86">
        <f>-SUM($O45:$R45)+SUM($BW45:BZ45)+Rezone!L45+IF(home_land=CP$2,CW45) + Explore!T33</f>
        <v>0</v>
      </c>
      <c r="CQ45" s="37">
        <f>-SUM($S45:$T45)+SUM($CA45:$CB45) +Rezone!M45 + IF(home_land=CQ$2,CW45) + Explore!U33</f>
        <v>0</v>
      </c>
      <c r="CR45" s="247">
        <f>-SUM($U45:$V45)+SUM($CC45:$CD45) +Rezone!N45 + IF(home_land=CR$2,CW45) + Explore!V33</f>
        <v>0</v>
      </c>
      <c r="CS45" s="38">
        <f>-SUM($W45:$Z45)+SUM($CE45:$CH45) +Rezone!O45 + IF(home_land=CS$2,CW45) + Explore!W33</f>
        <v>0</v>
      </c>
      <c r="CT45" s="39">
        <f>-SUM($AA45:$AC45)+SUM($CI45:$CK45) +Rezone!P45 + IF(home_land=CT$2,CW45) + Explore!X33</f>
        <v>0</v>
      </c>
      <c r="CU45" s="40">
        <f xml:space="preserve"> - SUM($AD45,$AE45)+SUM($CL45,$CM45) +Rezone!Q45 + IF(home_land=CU$2,CW45)+Explore!Y33</f>
        <v>0</v>
      </c>
      <c r="CV45" s="500">
        <f>-$AF45+$CN45 +Rezone!R45 + IF(home_land=CV$2,CW45) + Explore!Z33</f>
        <v>0</v>
      </c>
      <c r="CW45" s="159">
        <f>IF(Explore!S45=1,25) - N45 + BV45</f>
        <v>0</v>
      </c>
      <c r="CY45" s="152">
        <f t="shared" si="44"/>
        <v>280</v>
      </c>
      <c r="CZ45" s="164">
        <f t="shared" si="45"/>
        <v>150</v>
      </c>
      <c r="DA45" s="16">
        <f t="shared" si="46"/>
        <v>150</v>
      </c>
      <c r="DB45" s="164">
        <f t="shared" si="47"/>
        <v>150</v>
      </c>
      <c r="DC45" s="164">
        <f t="shared" si="48"/>
        <v>150</v>
      </c>
      <c r="DD45" s="16">
        <f t="shared" si="49"/>
        <v>20</v>
      </c>
      <c r="DE45" s="166">
        <f t="shared" si="50"/>
        <v>100</v>
      </c>
      <c r="DF45" s="164">
        <f t="shared" ca="1" si="53"/>
        <v>280</v>
      </c>
      <c r="DG45" s="16">
        <f t="shared" si="54"/>
        <v>0</v>
      </c>
      <c r="DH45" s="16">
        <f t="shared" si="55"/>
        <v>45</v>
      </c>
      <c r="DI45" s="166"/>
    </row>
    <row r="46" spans="1:113" s="16" customFormat="1">
      <c r="A46" s="36">
        <f t="shared" si="58"/>
        <v>620</v>
      </c>
      <c r="B46" s="36">
        <f t="shared" si="51"/>
        <v>380</v>
      </c>
      <c r="C46" s="83">
        <f t="shared" ref="C46:C74" si="70">SUM(N35:AF46)</f>
        <v>0</v>
      </c>
      <c r="D46" s="574"/>
      <c r="E46" s="16">
        <f t="shared" si="59"/>
        <v>1000</v>
      </c>
      <c r="F46" s="86">
        <f t="shared" si="62"/>
        <v>0</v>
      </c>
      <c r="G46" s="37">
        <f t="shared" si="63"/>
        <v>100</v>
      </c>
      <c r="H46" s="247">
        <f t="shared" si="64"/>
        <v>150</v>
      </c>
      <c r="I46" s="38">
        <f t="shared" si="65"/>
        <v>150</v>
      </c>
      <c r="J46" s="39">
        <f t="shared" si="66"/>
        <v>100</v>
      </c>
      <c r="K46" s="40">
        <f t="shared" si="67"/>
        <v>20</v>
      </c>
      <c r="L46" s="500">
        <f t="shared" si="68"/>
        <v>100</v>
      </c>
      <c r="M46" s="635">
        <f>Rezone!J46</f>
        <v>44</v>
      </c>
      <c r="N46" s="356"/>
      <c r="O46" s="348"/>
      <c r="P46" s="348"/>
      <c r="Q46" s="363"/>
      <c r="R46" s="345"/>
      <c r="S46" s="360"/>
      <c r="T46" s="348"/>
      <c r="U46" s="348"/>
      <c r="V46" s="348"/>
      <c r="W46" s="345"/>
      <c r="X46" s="345"/>
      <c r="Y46" s="348"/>
      <c r="Z46" s="345"/>
      <c r="AA46" s="348"/>
      <c r="AB46" s="348"/>
      <c r="AC46" s="345"/>
      <c r="AD46" s="348"/>
      <c r="AE46" s="348"/>
      <c r="AF46" s="336"/>
      <c r="AG46" s="532">
        <f t="shared" si="52"/>
        <v>43693.791666666562</v>
      </c>
      <c r="AH46" s="91">
        <f>MIN(25%,(BG46+CE46)/(E46-Explore!S46*20))</f>
        <v>0</v>
      </c>
      <c r="AI46" s="59">
        <f t="shared" si="13"/>
        <v>0</v>
      </c>
      <c r="AJ46" s="56">
        <f ca="1">Production!$H46</f>
        <v>3405504</v>
      </c>
      <c r="AK46" s="57">
        <f ca="1">Production!$J46</f>
        <v>284011</v>
      </c>
      <c r="AL46" s="152">
        <f ca="1">ROUND( (1 - MIN(facs_constr_factor*$AH46,facs_constr_max)) * (1+MIN(tech_construction*Techs!AC46,tech_conquerors_crafts*Techs!AS46)) * AU46*(1+race_construction_cost),0)</f>
        <v>1615</v>
      </c>
      <c r="AM46" s="166">
        <f t="shared" si="60"/>
        <v>263</v>
      </c>
      <c r="AN46" s="152">
        <f ca="1">ROUND( (1 - MIN(facs_constr_factor*$AI46,facs_constr_max)) * (1+MIN(tech_construction*Techs!AE46,tech_conquerors_crafts*Techs!AU46)) * AU46*(1+race_construction_cost),0)</f>
        <v>1615</v>
      </c>
      <c r="AO46" s="166">
        <f t="shared" si="69"/>
        <v>263</v>
      </c>
      <c r="AP46" s="16">
        <f t="shared" ca="1" si="56"/>
        <v>0</v>
      </c>
      <c r="AQ46" s="53">
        <f t="shared" si="57"/>
        <v>0</v>
      </c>
      <c r="AR46" s="16">
        <f>MIN(SUM(F45:L45)+SUM(Explore!T34:Z34)+SUM(BV46:CN46),SUM($N46:$AF46))</f>
        <v>0</v>
      </c>
      <c r="AS46" s="16">
        <f>IF(Explore!S46&lt;&gt;0,MAX(0, MIN(20, 20 + SUM(N46:AF46) - SUM(BV46:CN46) - SUM(F45:L45)-SUM(Explore!T34:Z34)-20*Explore!S46)),0)</f>
        <v>0</v>
      </c>
      <c r="AU46" s="152">
        <f t="shared" si="17"/>
        <v>1615</v>
      </c>
      <c r="AV46" s="166">
        <f t="shared" si="18"/>
        <v>262.5</v>
      </c>
      <c r="AW46" s="164"/>
      <c r="AX46" s="295">
        <f>AX45 + IF(Overview!$B$14="Gnome",N37,N34) -BV46</f>
        <v>0</v>
      </c>
      <c r="AY46" s="28">
        <f>AY45 + IF(Overview!$B$14="Gnome",O37,O34) -BW46</f>
        <v>0</v>
      </c>
      <c r="AZ46" s="28">
        <f>AZ45 + IF(Overview!$B$14="Gnome",P37,P34) -BX46</f>
        <v>80</v>
      </c>
      <c r="BA46" s="28">
        <f>BA45 + IF(Overview!$B$14="Gnome",Q37,Q34) -BY46</f>
        <v>200</v>
      </c>
      <c r="BB46" s="28">
        <f>BB45 + IF(Overview!$B$14="Gnome",R37,R34) -BZ46</f>
        <v>0</v>
      </c>
      <c r="BC46" s="29">
        <f>BC45 + IF(Overview!$B$14="Gnome",S37,S34) -CA46</f>
        <v>50</v>
      </c>
      <c r="BD46" s="29">
        <f>BD45 + IF(Overview!$B$14="Gnome",T37,T34) -CB46</f>
        <v>0</v>
      </c>
      <c r="BE46" s="30">
        <f>BE45 + IF(Overview!$B$14="Gnome",U37,U34) -CC46</f>
        <v>0</v>
      </c>
      <c r="BF46" s="30">
        <f>BF45 + IF(Overview!$B$14="Gnome",V37,V34) -CD46</f>
        <v>0</v>
      </c>
      <c r="BG46" s="31">
        <f>BG45 + IF(Overview!$B$14="Gnome",W37,W34) -CE46</f>
        <v>0</v>
      </c>
      <c r="BH46" s="31">
        <f>BH45 + IF(Overview!$B$14="Gnome",X37,X34) -CF46</f>
        <v>0</v>
      </c>
      <c r="BI46" s="31">
        <f>BI45 + IF(Overview!$B$14="Gnome",Y37,Y34) -CG46</f>
        <v>0</v>
      </c>
      <c r="BJ46" s="31">
        <f>BJ45 + IF(Overview!$B$14="Gnome",Z37,Z34) -CH46</f>
        <v>0</v>
      </c>
      <c r="BK46" s="32">
        <f>BK45 + IF(Overview!$B$14="Gnome",AA37,AA34) -CI46</f>
        <v>50</v>
      </c>
      <c r="BL46" s="32">
        <f>BL45 + IF(Overview!$B$14="Gnome",AB37,AB34) -CJ46</f>
        <v>0</v>
      </c>
      <c r="BM46" s="32">
        <f>BM45 + IF(Overview!$B$14="Gnome",AC37,AC34) -CK46</f>
        <v>0</v>
      </c>
      <c r="BN46" s="33">
        <f>BN45 + IF(Overview!$B$14="Gnome",AD37,AD34) -CL46</f>
        <v>0</v>
      </c>
      <c r="BO46" s="33">
        <f>BO45 + IF(Overview!$B$14="Gnome",AE37,AE34) -CM46</f>
        <v>0</v>
      </c>
      <c r="BP46" s="69">
        <f>BP45 + IF(Overview!$B$14="Gnome",AF37,AF34) -CN46</f>
        <v>0</v>
      </c>
      <c r="BR46" s="442"/>
      <c r="BS46" s="156">
        <f t="shared" si="61"/>
        <v>1000</v>
      </c>
      <c r="BT46" s="574">
        <f t="shared" si="43"/>
        <v>43693.791666666562</v>
      </c>
      <c r="BV46" s="356"/>
      <c r="BW46" s="348"/>
      <c r="BX46" s="348"/>
      <c r="BY46" s="348"/>
      <c r="BZ46" s="348"/>
      <c r="CA46" s="348"/>
      <c r="CB46" s="348"/>
      <c r="CC46" s="348"/>
      <c r="CD46" s="348"/>
      <c r="CE46" s="348"/>
      <c r="CF46" s="348"/>
      <c r="CG46" s="348"/>
      <c r="CH46" s="348"/>
      <c r="CI46" s="348"/>
      <c r="CJ46" s="348"/>
      <c r="CK46" s="348"/>
      <c r="CL46" s="348"/>
      <c r="CM46" s="360"/>
      <c r="CN46" s="357"/>
      <c r="CP46" s="86">
        <f>-SUM($O46:$R46)+SUM($BW46:BZ46)+Rezone!L46+IF(home_land=CP$2,CW46) + Explore!T34</f>
        <v>0</v>
      </c>
      <c r="CQ46" s="37">
        <f>-SUM($S46:$T46)+SUM($CA46:$CB46) +Rezone!M46 + IF(home_land=CQ$2,CW46) + Explore!U34</f>
        <v>0</v>
      </c>
      <c r="CR46" s="247">
        <f>-SUM($U46:$V46)+SUM($CC46:$CD46) +Rezone!N46 + IF(home_land=CR$2,CW46) + Explore!V34</f>
        <v>0</v>
      </c>
      <c r="CS46" s="38">
        <f>-SUM($W46:$Z46)+SUM($CE46:$CH46) +Rezone!O46 + IF(home_land=CS$2,CW46) + Explore!W34</f>
        <v>0</v>
      </c>
      <c r="CT46" s="39">
        <f>-SUM($AA46:$AC46)+SUM($CI46:$CK46) +Rezone!P46 + IF(home_land=CT$2,CW46) + Explore!X34</f>
        <v>0</v>
      </c>
      <c r="CU46" s="40">
        <f xml:space="preserve"> - SUM($AD46,$AE46)+SUM($CL46,$CM46) +Rezone!Q46 + IF(home_land=CU$2,CW46)+Explore!Y34</f>
        <v>0</v>
      </c>
      <c r="CV46" s="500">
        <f>-$AF46+$CN46 +Rezone!R46 + IF(home_land=CV$2,CW46) + Explore!Z34</f>
        <v>0</v>
      </c>
      <c r="CW46" s="159">
        <f>IF(Explore!S46=1,25) - N46 + BV46</f>
        <v>0</v>
      </c>
      <c r="CY46" s="152">
        <f t="shared" si="44"/>
        <v>280</v>
      </c>
      <c r="CZ46" s="164">
        <f t="shared" si="45"/>
        <v>150</v>
      </c>
      <c r="DA46" s="16">
        <f t="shared" si="46"/>
        <v>150</v>
      </c>
      <c r="DB46" s="164">
        <f t="shared" si="47"/>
        <v>150</v>
      </c>
      <c r="DC46" s="164">
        <f t="shared" si="48"/>
        <v>150</v>
      </c>
      <c r="DD46" s="16">
        <f t="shared" si="49"/>
        <v>20</v>
      </c>
      <c r="DE46" s="166">
        <f t="shared" si="50"/>
        <v>100</v>
      </c>
      <c r="DF46" s="164">
        <f t="shared" ca="1" si="53"/>
        <v>280</v>
      </c>
      <c r="DG46" s="16">
        <f t="shared" si="54"/>
        <v>0</v>
      </c>
      <c r="DH46" s="16">
        <f t="shared" si="55"/>
        <v>46</v>
      </c>
      <c r="DI46" s="166"/>
    </row>
    <row r="47" spans="1:113" s="16" customFormat="1">
      <c r="A47" s="36">
        <f t="shared" si="58"/>
        <v>620</v>
      </c>
      <c r="B47" s="36">
        <f t="shared" si="51"/>
        <v>380</v>
      </c>
      <c r="C47" s="83">
        <f t="shared" si="70"/>
        <v>0</v>
      </c>
      <c r="D47" s="574"/>
      <c r="E47" s="16">
        <f t="shared" si="59"/>
        <v>1000</v>
      </c>
      <c r="F47" s="86">
        <f t="shared" si="62"/>
        <v>0</v>
      </c>
      <c r="G47" s="37">
        <f t="shared" si="63"/>
        <v>100</v>
      </c>
      <c r="H47" s="247">
        <f t="shared" si="64"/>
        <v>150</v>
      </c>
      <c r="I47" s="38">
        <f t="shared" si="65"/>
        <v>150</v>
      </c>
      <c r="J47" s="39">
        <f t="shared" si="66"/>
        <v>100</v>
      </c>
      <c r="K47" s="40">
        <f t="shared" si="67"/>
        <v>20</v>
      </c>
      <c r="L47" s="500">
        <f t="shared" si="68"/>
        <v>100</v>
      </c>
      <c r="M47" s="635">
        <f>Rezone!J47</f>
        <v>45</v>
      </c>
      <c r="N47" s="356"/>
      <c r="O47" s="348"/>
      <c r="P47" s="348"/>
      <c r="Q47" s="363"/>
      <c r="R47" s="345"/>
      <c r="S47" s="360"/>
      <c r="T47" s="348"/>
      <c r="U47" s="348"/>
      <c r="V47" s="348"/>
      <c r="W47" s="345"/>
      <c r="X47" s="345"/>
      <c r="Y47" s="348"/>
      <c r="Z47" s="345"/>
      <c r="AA47" s="348"/>
      <c r="AB47" s="348"/>
      <c r="AC47" s="345"/>
      <c r="AD47" s="348"/>
      <c r="AE47" s="348"/>
      <c r="AF47" s="336"/>
      <c r="AG47" s="532">
        <f t="shared" si="52"/>
        <v>43693.833333333227</v>
      </c>
      <c r="AH47" s="91">
        <f>MIN(25%,(BG47+CE47)/(E47-Explore!S47*20))</f>
        <v>0</v>
      </c>
      <c r="AI47" s="59">
        <f t="shared" si="13"/>
        <v>0</v>
      </c>
      <c r="AJ47" s="56">
        <f ca="1">Production!$H47</f>
        <v>3416155</v>
      </c>
      <c r="AK47" s="57">
        <f ca="1">Production!$J47</f>
        <v>283671</v>
      </c>
      <c r="AL47" s="152">
        <f ca="1">ROUND( (1 - MIN(facs_constr_factor*$AH47,facs_constr_max)) * (1+MIN(tech_construction*Techs!AC47,tech_conquerors_crafts*Techs!AS47)) * AU47*(1+race_construction_cost),0)</f>
        <v>1615</v>
      </c>
      <c r="AM47" s="166">
        <f t="shared" si="60"/>
        <v>263</v>
      </c>
      <c r="AN47" s="152">
        <f ca="1">ROUND( (1 - MIN(facs_constr_factor*$AI47,facs_constr_max)) * (1+MIN(tech_construction*Techs!AE47,tech_conquerors_crafts*Techs!AU47)) * AU47*(1+race_construction_cost),0)</f>
        <v>1615</v>
      </c>
      <c r="AO47" s="166">
        <f t="shared" si="69"/>
        <v>263</v>
      </c>
      <c r="AP47" s="16">
        <f t="shared" ca="1" si="56"/>
        <v>0</v>
      </c>
      <c r="AQ47" s="53">
        <f t="shared" si="57"/>
        <v>0</v>
      </c>
      <c r="AR47" s="16">
        <f>MIN(SUM(F46:L46)+SUM(Explore!T35:Z35)+SUM(BV47:CN47),SUM($N47:$AF47))</f>
        <v>0</v>
      </c>
      <c r="AS47" s="16">
        <f>IF(Explore!S47&lt;&gt;0,MAX(0, MIN(20, 20 + SUM(N47:AF47) - SUM(BV47:CN47) - SUM(F46:L46)-SUM(Explore!T35:Z35)-20*Explore!S47)),0)</f>
        <v>0</v>
      </c>
      <c r="AU47" s="152">
        <f t="shared" si="17"/>
        <v>1615</v>
      </c>
      <c r="AV47" s="166">
        <f t="shared" si="18"/>
        <v>262.5</v>
      </c>
      <c r="AW47" s="164"/>
      <c r="AX47" s="295">
        <f>AX46 + IF(Overview!$B$14="Gnome",N38,N35) -BV47</f>
        <v>0</v>
      </c>
      <c r="AY47" s="28">
        <f>AY46 + IF(Overview!$B$14="Gnome",O38,O35) -BW47</f>
        <v>0</v>
      </c>
      <c r="AZ47" s="28">
        <f>AZ46 + IF(Overview!$B$14="Gnome",P38,P35) -BX47</f>
        <v>80</v>
      </c>
      <c r="BA47" s="28">
        <f>BA46 + IF(Overview!$B$14="Gnome",Q38,Q35) -BY47</f>
        <v>200</v>
      </c>
      <c r="BB47" s="28">
        <f>BB46 + IF(Overview!$B$14="Gnome",R38,R35) -BZ47</f>
        <v>0</v>
      </c>
      <c r="BC47" s="29">
        <f>BC46 + IF(Overview!$B$14="Gnome",S38,S35) -CA47</f>
        <v>50</v>
      </c>
      <c r="BD47" s="29">
        <f>BD46 + IF(Overview!$B$14="Gnome",T38,T35) -CB47</f>
        <v>0</v>
      </c>
      <c r="BE47" s="30">
        <f>BE46 + IF(Overview!$B$14="Gnome",U38,U35) -CC47</f>
        <v>0</v>
      </c>
      <c r="BF47" s="30">
        <f>BF46 + IF(Overview!$B$14="Gnome",V38,V35) -CD47</f>
        <v>0</v>
      </c>
      <c r="BG47" s="31">
        <f>BG46 + IF(Overview!$B$14="Gnome",W38,W35) -CE47</f>
        <v>0</v>
      </c>
      <c r="BH47" s="31">
        <f>BH46 + IF(Overview!$B$14="Gnome",X38,X35) -CF47</f>
        <v>0</v>
      </c>
      <c r="BI47" s="31">
        <f>BI46 + IF(Overview!$B$14="Gnome",Y38,Y35) -CG47</f>
        <v>0</v>
      </c>
      <c r="BJ47" s="31">
        <f>BJ46 + IF(Overview!$B$14="Gnome",Z38,Z35) -CH47</f>
        <v>0</v>
      </c>
      <c r="BK47" s="32">
        <f>BK46 + IF(Overview!$B$14="Gnome",AA38,AA35) -CI47</f>
        <v>50</v>
      </c>
      <c r="BL47" s="32">
        <f>BL46 + IF(Overview!$B$14="Gnome",AB38,AB35) -CJ47</f>
        <v>0</v>
      </c>
      <c r="BM47" s="32">
        <f>BM46 + IF(Overview!$B$14="Gnome",AC38,AC35) -CK47</f>
        <v>0</v>
      </c>
      <c r="BN47" s="33">
        <f>BN46 + IF(Overview!$B$14="Gnome",AD38,AD35) -CL47</f>
        <v>0</v>
      </c>
      <c r="BO47" s="33">
        <f>BO46 + IF(Overview!$B$14="Gnome",AE38,AE35) -CM47</f>
        <v>0</v>
      </c>
      <c r="BP47" s="69">
        <f>BP46 + IF(Overview!$B$14="Gnome",AF38,AF35) -CN47</f>
        <v>0</v>
      </c>
      <c r="BR47" s="442"/>
      <c r="BS47" s="156">
        <f t="shared" si="61"/>
        <v>1000</v>
      </c>
      <c r="BT47" s="574">
        <f t="shared" si="43"/>
        <v>43693.833333333227</v>
      </c>
      <c r="BV47" s="356"/>
      <c r="BW47" s="348"/>
      <c r="BX47" s="348"/>
      <c r="BY47" s="348"/>
      <c r="BZ47" s="348"/>
      <c r="CA47" s="348"/>
      <c r="CB47" s="348"/>
      <c r="CC47" s="348"/>
      <c r="CD47" s="348"/>
      <c r="CE47" s="348"/>
      <c r="CF47" s="348"/>
      <c r="CG47" s="348"/>
      <c r="CH47" s="348"/>
      <c r="CI47" s="348"/>
      <c r="CJ47" s="348"/>
      <c r="CK47" s="348"/>
      <c r="CL47" s="348"/>
      <c r="CM47" s="360"/>
      <c r="CN47" s="357"/>
      <c r="CP47" s="86">
        <f>-SUM($O47:$R47)+SUM($BW47:BZ47)+Rezone!L47+IF(home_land=CP$2,CW47) + Explore!T35</f>
        <v>0</v>
      </c>
      <c r="CQ47" s="37">
        <f>-SUM($S47:$T47)+SUM($CA47:$CB47) +Rezone!M47 + IF(home_land=CQ$2,CW47) + Explore!U35</f>
        <v>0</v>
      </c>
      <c r="CR47" s="247">
        <f>-SUM($U47:$V47)+SUM($CC47:$CD47) +Rezone!N47 + IF(home_land=CR$2,CW47) + Explore!V35</f>
        <v>0</v>
      </c>
      <c r="CS47" s="38">
        <f>-SUM($W47:$Z47)+SUM($CE47:$CH47) +Rezone!O47 + IF(home_land=CS$2,CW47) + Explore!W35</f>
        <v>0</v>
      </c>
      <c r="CT47" s="39">
        <f>-SUM($AA47:$AC47)+SUM($CI47:$CK47) +Rezone!P47 + IF(home_land=CT$2,CW47) + Explore!X35</f>
        <v>0</v>
      </c>
      <c r="CU47" s="40">
        <f xml:space="preserve"> - SUM($AD47,$AE47)+SUM($CL47,$CM47) +Rezone!Q47 + IF(home_land=CU$2,CW47)+Explore!Y35</f>
        <v>0</v>
      </c>
      <c r="CV47" s="500">
        <f>-$AF47+$CN47 +Rezone!R47 + IF(home_land=CV$2,CW47) + Explore!Z35</f>
        <v>0</v>
      </c>
      <c r="CW47" s="159">
        <f>IF(Explore!S47=1,25) - N47 + BV47</f>
        <v>0</v>
      </c>
      <c r="CY47" s="152">
        <f t="shared" ref="CY47:CY74" si="71">F47+SUM(O36:R47)+SUM(AY47:BB47)</f>
        <v>280</v>
      </c>
      <c r="CZ47" s="164">
        <f t="shared" ref="CZ47:CZ74" si="72">G47+SUM(S36:T47)+SUM(BC47:BD47)</f>
        <v>150</v>
      </c>
      <c r="DA47" s="16">
        <f t="shared" ref="DA47:DA74" si="73">H47+SUM(U36:V47)+SUM(BE47:BF47)</f>
        <v>150</v>
      </c>
      <c r="DB47" s="164">
        <f t="shared" ref="DB47:DB74" si="74">I47+SUM(W36:X47)+SUM(BG47:BH47)</f>
        <v>150</v>
      </c>
      <c r="DC47" s="164">
        <f t="shared" ref="DC47:DC74" si="75">J47+SUM(AA36:AC47)+SUM(BK47:BM47)</f>
        <v>150</v>
      </c>
      <c r="DD47" s="16">
        <f t="shared" ref="DD47:DD74" si="76">K47+SUM(AD36:AD47)+BN47</f>
        <v>20</v>
      </c>
      <c r="DE47" s="166">
        <f t="shared" ref="DE47:DE74" si="77">L47+SUM(AF36:AF47)+BP47</f>
        <v>100</v>
      </c>
      <c r="DF47" s="164">
        <f t="shared" ca="1" si="53"/>
        <v>280</v>
      </c>
      <c r="DG47" s="16">
        <f t="shared" si="54"/>
        <v>0</v>
      </c>
      <c r="DH47" s="16">
        <f t="shared" si="55"/>
        <v>47</v>
      </c>
      <c r="DI47" s="166"/>
    </row>
    <row r="48" spans="1:113" s="16" customFormat="1">
      <c r="A48" s="36">
        <f t="shared" si="58"/>
        <v>620</v>
      </c>
      <c r="B48" s="36">
        <f t="shared" si="51"/>
        <v>380</v>
      </c>
      <c r="C48" s="83">
        <f t="shared" si="70"/>
        <v>0</v>
      </c>
      <c r="D48" s="574"/>
      <c r="E48" s="16">
        <f t="shared" si="59"/>
        <v>1000</v>
      </c>
      <c r="F48" s="86">
        <f t="shared" si="62"/>
        <v>0</v>
      </c>
      <c r="G48" s="37">
        <f t="shared" si="63"/>
        <v>100</v>
      </c>
      <c r="H48" s="247">
        <f t="shared" si="64"/>
        <v>150</v>
      </c>
      <c r="I48" s="38">
        <f t="shared" si="65"/>
        <v>150</v>
      </c>
      <c r="J48" s="39">
        <f t="shared" si="66"/>
        <v>100</v>
      </c>
      <c r="K48" s="40">
        <f t="shared" si="67"/>
        <v>20</v>
      </c>
      <c r="L48" s="500">
        <f t="shared" si="68"/>
        <v>100</v>
      </c>
      <c r="M48" s="635">
        <f>Rezone!J48</f>
        <v>46</v>
      </c>
      <c r="N48" s="356"/>
      <c r="O48" s="348"/>
      <c r="P48" s="348"/>
      <c r="Q48" s="363"/>
      <c r="R48" s="345"/>
      <c r="S48" s="360"/>
      <c r="T48" s="348"/>
      <c r="U48" s="348"/>
      <c r="V48" s="348"/>
      <c r="W48" s="345"/>
      <c r="X48" s="345"/>
      <c r="Y48" s="348"/>
      <c r="Z48" s="345"/>
      <c r="AA48" s="348"/>
      <c r="AB48" s="348"/>
      <c r="AC48" s="345"/>
      <c r="AD48" s="348"/>
      <c r="AE48" s="348"/>
      <c r="AF48" s="336"/>
      <c r="AG48" s="532">
        <f t="shared" si="52"/>
        <v>43693.874999999891</v>
      </c>
      <c r="AH48" s="91">
        <f>MIN(25%,(BG48+CE48)/(E48-Explore!S48*20))</f>
        <v>0</v>
      </c>
      <c r="AI48" s="59">
        <f t="shared" si="13"/>
        <v>0</v>
      </c>
      <c r="AJ48" s="56">
        <f ca="1">Production!$H48</f>
        <v>3426806</v>
      </c>
      <c r="AK48" s="57">
        <f ca="1">Production!$J48</f>
        <v>283334</v>
      </c>
      <c r="AL48" s="152">
        <f ca="1">ROUND( (1 - MIN(facs_constr_factor*$AH48,facs_constr_max)) * (1+MIN(tech_construction*Techs!AC48,tech_conquerors_crafts*Techs!AS48)) * AU48*(1+race_construction_cost),0)</f>
        <v>1615</v>
      </c>
      <c r="AM48" s="166">
        <f t="shared" si="60"/>
        <v>263</v>
      </c>
      <c r="AN48" s="152">
        <f ca="1">ROUND( (1 - MIN(facs_constr_factor*$AI48,facs_constr_max)) * (1+MIN(tech_construction*Techs!AE48,tech_conquerors_crafts*Techs!AU48)) * AU48*(1+race_construction_cost),0)</f>
        <v>1615</v>
      </c>
      <c r="AO48" s="166">
        <f t="shared" si="69"/>
        <v>263</v>
      </c>
      <c r="AP48" s="16">
        <f t="shared" ca="1" si="56"/>
        <v>0</v>
      </c>
      <c r="AQ48" s="53">
        <f t="shared" si="57"/>
        <v>0</v>
      </c>
      <c r="AR48" s="16">
        <f>MIN(SUM(F47:L47)+SUM(Explore!T36:Z36)+SUM(BV48:CN48),SUM($N48:$AF48))</f>
        <v>0</v>
      </c>
      <c r="AS48" s="16">
        <f>IF(Explore!S48&lt;&gt;0,MAX(0, MIN(20, 20 + SUM(N48:AF48) - SUM(BV48:CN48) - SUM(F47:L47)-SUM(Explore!T36:Z36)-20*Explore!S48)),0)</f>
        <v>0</v>
      </c>
      <c r="AU48" s="152">
        <f t="shared" si="17"/>
        <v>1615</v>
      </c>
      <c r="AV48" s="166">
        <f t="shared" si="18"/>
        <v>262.5</v>
      </c>
      <c r="AW48" s="164"/>
      <c r="AX48" s="295">
        <f>AX47 + IF(Overview!$B$14="Gnome",N39,N36) -BV48</f>
        <v>0</v>
      </c>
      <c r="AY48" s="28">
        <f>AY47 + IF(Overview!$B$14="Gnome",O39,O36) -BW48</f>
        <v>0</v>
      </c>
      <c r="AZ48" s="28">
        <f>AZ47 + IF(Overview!$B$14="Gnome",P39,P36) -BX48</f>
        <v>80</v>
      </c>
      <c r="BA48" s="28">
        <f>BA47 + IF(Overview!$B$14="Gnome",Q39,Q36) -BY48</f>
        <v>200</v>
      </c>
      <c r="BB48" s="28">
        <f>BB47 + IF(Overview!$B$14="Gnome",R39,R36) -BZ48</f>
        <v>0</v>
      </c>
      <c r="BC48" s="29">
        <f>BC47 + IF(Overview!$B$14="Gnome",S39,S36) -CA48</f>
        <v>50</v>
      </c>
      <c r="BD48" s="29">
        <f>BD47 + IF(Overview!$B$14="Gnome",T39,T36) -CB48</f>
        <v>0</v>
      </c>
      <c r="BE48" s="30">
        <f>BE47 + IF(Overview!$B$14="Gnome",U39,U36) -CC48</f>
        <v>0</v>
      </c>
      <c r="BF48" s="30">
        <f>BF47 + IF(Overview!$B$14="Gnome",V39,V36) -CD48</f>
        <v>0</v>
      </c>
      <c r="BG48" s="31">
        <f>BG47 + IF(Overview!$B$14="Gnome",W39,W36) -CE48</f>
        <v>0</v>
      </c>
      <c r="BH48" s="31">
        <f>BH47 + IF(Overview!$B$14="Gnome",X39,X36) -CF48</f>
        <v>0</v>
      </c>
      <c r="BI48" s="31">
        <f>BI47 + IF(Overview!$B$14="Gnome",Y39,Y36) -CG48</f>
        <v>0</v>
      </c>
      <c r="BJ48" s="31">
        <f>BJ47 + IF(Overview!$B$14="Gnome",Z39,Z36) -CH48</f>
        <v>0</v>
      </c>
      <c r="BK48" s="32">
        <f>BK47 + IF(Overview!$B$14="Gnome",AA39,AA36) -CI48</f>
        <v>50</v>
      </c>
      <c r="BL48" s="32">
        <f>BL47 + IF(Overview!$B$14="Gnome",AB39,AB36) -CJ48</f>
        <v>0</v>
      </c>
      <c r="BM48" s="32">
        <f>BM47 + IF(Overview!$B$14="Gnome",AC39,AC36) -CK48</f>
        <v>0</v>
      </c>
      <c r="BN48" s="33">
        <f>BN47 + IF(Overview!$B$14="Gnome",AD39,AD36) -CL48</f>
        <v>0</v>
      </c>
      <c r="BO48" s="33">
        <f>BO47 + IF(Overview!$B$14="Gnome",AE39,AE36) -CM48</f>
        <v>0</v>
      </c>
      <c r="BP48" s="69">
        <f>BP47 + IF(Overview!$B$14="Gnome",AF39,AF36) -CN48</f>
        <v>0</v>
      </c>
      <c r="BR48" s="442"/>
      <c r="BS48" s="156">
        <f t="shared" si="61"/>
        <v>1000</v>
      </c>
      <c r="BT48" s="574">
        <f t="shared" si="43"/>
        <v>43693.874999999891</v>
      </c>
      <c r="BV48" s="356"/>
      <c r="BW48" s="348"/>
      <c r="BX48" s="348"/>
      <c r="BY48" s="348"/>
      <c r="BZ48" s="348"/>
      <c r="CA48" s="348"/>
      <c r="CB48" s="348"/>
      <c r="CC48" s="348"/>
      <c r="CD48" s="348"/>
      <c r="CE48" s="348"/>
      <c r="CF48" s="348"/>
      <c r="CG48" s="348"/>
      <c r="CH48" s="348"/>
      <c r="CI48" s="348"/>
      <c r="CJ48" s="348"/>
      <c r="CK48" s="348"/>
      <c r="CL48" s="348"/>
      <c r="CM48" s="360"/>
      <c r="CN48" s="357"/>
      <c r="CP48" s="86">
        <f>-SUM($O48:$R48)+SUM($BW48:BZ48)+Rezone!L48+IF(home_land=CP$2,CW48) + Explore!T36</f>
        <v>0</v>
      </c>
      <c r="CQ48" s="37">
        <f>-SUM($S48:$T48)+SUM($CA48:$CB48) +Rezone!M48 + IF(home_land=CQ$2,CW48) + Explore!U36</f>
        <v>0</v>
      </c>
      <c r="CR48" s="247">
        <f>-SUM($U48:$V48)+SUM($CC48:$CD48) +Rezone!N48 + IF(home_land=CR$2,CW48) + Explore!V36</f>
        <v>0</v>
      </c>
      <c r="CS48" s="38">
        <f>-SUM($W48:$Z48)+SUM($CE48:$CH48) +Rezone!O48 + IF(home_land=CS$2,CW48) + Explore!W36</f>
        <v>0</v>
      </c>
      <c r="CT48" s="39">
        <f>-SUM($AA48:$AC48)+SUM($CI48:$CK48) +Rezone!P48 + IF(home_land=CT$2,CW48) + Explore!X36</f>
        <v>0</v>
      </c>
      <c r="CU48" s="40">
        <f xml:space="preserve"> - SUM($AD48,$AE48)+SUM($CL48,$CM48) +Rezone!Q48 + IF(home_land=CU$2,CW48)+Explore!Y36</f>
        <v>0</v>
      </c>
      <c r="CV48" s="500">
        <f>-$AF48+$CN48 +Rezone!R48 + IF(home_land=CV$2,CW48) + Explore!Z36</f>
        <v>0</v>
      </c>
      <c r="CW48" s="159">
        <f>IF(Explore!S48=1,25) - N48 + BV48</f>
        <v>0</v>
      </c>
      <c r="CY48" s="152">
        <f t="shared" si="71"/>
        <v>280</v>
      </c>
      <c r="CZ48" s="164">
        <f t="shared" si="72"/>
        <v>150</v>
      </c>
      <c r="DA48" s="16">
        <f t="shared" si="73"/>
        <v>150</v>
      </c>
      <c r="DB48" s="164">
        <f t="shared" si="74"/>
        <v>150</v>
      </c>
      <c r="DC48" s="164">
        <f t="shared" si="75"/>
        <v>150</v>
      </c>
      <c r="DD48" s="16">
        <f t="shared" si="76"/>
        <v>20</v>
      </c>
      <c r="DE48" s="166">
        <f t="shared" si="77"/>
        <v>100</v>
      </c>
      <c r="DF48" s="164">
        <f t="shared" ca="1" si="53"/>
        <v>280</v>
      </c>
      <c r="DG48" s="16">
        <f t="shared" si="54"/>
        <v>0</v>
      </c>
      <c r="DH48" s="16">
        <f t="shared" si="55"/>
        <v>48</v>
      </c>
      <c r="DI48" s="166"/>
    </row>
    <row r="49" spans="1:113" s="16" customFormat="1">
      <c r="A49" s="36">
        <f t="shared" si="58"/>
        <v>620</v>
      </c>
      <c r="B49" s="36">
        <f t="shared" si="51"/>
        <v>380</v>
      </c>
      <c r="C49" s="83">
        <f t="shared" si="70"/>
        <v>0</v>
      </c>
      <c r="D49" s="574"/>
      <c r="E49" s="16">
        <f t="shared" si="59"/>
        <v>1000</v>
      </c>
      <c r="F49" s="86">
        <f t="shared" si="62"/>
        <v>0</v>
      </c>
      <c r="G49" s="37">
        <f t="shared" si="63"/>
        <v>100</v>
      </c>
      <c r="H49" s="247">
        <f t="shared" si="64"/>
        <v>150</v>
      </c>
      <c r="I49" s="38">
        <f t="shared" si="65"/>
        <v>150</v>
      </c>
      <c r="J49" s="39">
        <f t="shared" si="66"/>
        <v>100</v>
      </c>
      <c r="K49" s="40">
        <f t="shared" si="67"/>
        <v>20</v>
      </c>
      <c r="L49" s="500">
        <f t="shared" si="68"/>
        <v>100</v>
      </c>
      <c r="M49" s="635">
        <f>Rezone!J49</f>
        <v>47</v>
      </c>
      <c r="N49" s="356"/>
      <c r="O49" s="348"/>
      <c r="P49" s="348"/>
      <c r="Q49" s="363"/>
      <c r="R49" s="345"/>
      <c r="S49" s="360"/>
      <c r="T49" s="348"/>
      <c r="U49" s="348"/>
      <c r="V49" s="348"/>
      <c r="W49" s="345"/>
      <c r="X49" s="345"/>
      <c r="Y49" s="348"/>
      <c r="Z49" s="345"/>
      <c r="AA49" s="348"/>
      <c r="AB49" s="348"/>
      <c r="AC49" s="345"/>
      <c r="AD49" s="348"/>
      <c r="AE49" s="348"/>
      <c r="AF49" s="336"/>
      <c r="AG49" s="532">
        <f t="shared" si="52"/>
        <v>43693.916666666555</v>
      </c>
      <c r="AH49" s="91">
        <f>MIN(25%,(BG49+CE49)/(E49-Explore!S49*20))</f>
        <v>0</v>
      </c>
      <c r="AI49" s="59">
        <f t="shared" si="13"/>
        <v>0</v>
      </c>
      <c r="AJ49" s="56">
        <f ca="1">Production!$H49</f>
        <v>3437457</v>
      </c>
      <c r="AK49" s="57">
        <f ca="1">Production!$J49</f>
        <v>283001</v>
      </c>
      <c r="AL49" s="152">
        <f ca="1">ROUND( (1 - MIN(facs_constr_factor*$AH49,facs_constr_max)) * (1+MIN(tech_construction*Techs!AC49,tech_conquerors_crafts*Techs!AS49)) * AU49*(1+race_construction_cost),0)</f>
        <v>1615</v>
      </c>
      <c r="AM49" s="166">
        <f t="shared" si="60"/>
        <v>263</v>
      </c>
      <c r="AN49" s="152">
        <f ca="1">ROUND( (1 - MIN(facs_constr_factor*$AI49,facs_constr_max)) * (1+MIN(tech_construction*Techs!AE49,tech_conquerors_crafts*Techs!AU49)) * AU49*(1+race_construction_cost),0)</f>
        <v>1615</v>
      </c>
      <c r="AO49" s="166">
        <f t="shared" si="69"/>
        <v>263</v>
      </c>
      <c r="AP49" s="16">
        <f t="shared" ca="1" si="56"/>
        <v>0</v>
      </c>
      <c r="AQ49" s="53">
        <f t="shared" si="57"/>
        <v>0</v>
      </c>
      <c r="AR49" s="16">
        <f>MIN(SUM(F48:L48)+SUM(Explore!T37:Z37)+SUM(BV49:CN49),SUM($N49:$AF49))</f>
        <v>0</v>
      </c>
      <c r="AS49" s="16">
        <f>IF(Explore!S49&lt;&gt;0,MAX(0, MIN(20, 20 + SUM(N49:AF49) - SUM(BV49:CN49) - SUM(F48:L48)-SUM(Explore!T37:Z37)-20*Explore!S49)),0)</f>
        <v>0</v>
      </c>
      <c r="AU49" s="152">
        <f t="shared" si="17"/>
        <v>1615</v>
      </c>
      <c r="AV49" s="166">
        <f t="shared" si="18"/>
        <v>262.5</v>
      </c>
      <c r="AW49" s="164"/>
      <c r="AX49" s="295">
        <f>AX48 + IF(Overview!$B$14="Gnome",N40,N37) -BV49</f>
        <v>0</v>
      </c>
      <c r="AY49" s="28">
        <f>AY48 + IF(Overview!$B$14="Gnome",O40,O37) -BW49</f>
        <v>0</v>
      </c>
      <c r="AZ49" s="28">
        <f>AZ48 + IF(Overview!$B$14="Gnome",P40,P37) -BX49</f>
        <v>80</v>
      </c>
      <c r="BA49" s="28">
        <f>BA48 + IF(Overview!$B$14="Gnome",Q40,Q37) -BY49</f>
        <v>200</v>
      </c>
      <c r="BB49" s="28">
        <f>BB48 + IF(Overview!$B$14="Gnome",R40,R37) -BZ49</f>
        <v>0</v>
      </c>
      <c r="BC49" s="29">
        <f>BC48 + IF(Overview!$B$14="Gnome",S40,S37) -CA49</f>
        <v>50</v>
      </c>
      <c r="BD49" s="29">
        <f>BD48 + IF(Overview!$B$14="Gnome",T40,T37) -CB49</f>
        <v>0</v>
      </c>
      <c r="BE49" s="30">
        <f>BE48 + IF(Overview!$B$14="Gnome",U40,U37) -CC49</f>
        <v>0</v>
      </c>
      <c r="BF49" s="30">
        <f>BF48 + IF(Overview!$B$14="Gnome",V40,V37) -CD49</f>
        <v>0</v>
      </c>
      <c r="BG49" s="31">
        <f>BG48 + IF(Overview!$B$14="Gnome",W40,W37) -CE49</f>
        <v>0</v>
      </c>
      <c r="BH49" s="31">
        <f>BH48 + IF(Overview!$B$14="Gnome",X40,X37) -CF49</f>
        <v>0</v>
      </c>
      <c r="BI49" s="31">
        <f>BI48 + IF(Overview!$B$14="Gnome",Y40,Y37) -CG49</f>
        <v>0</v>
      </c>
      <c r="BJ49" s="31">
        <f>BJ48 + IF(Overview!$B$14="Gnome",Z40,Z37) -CH49</f>
        <v>0</v>
      </c>
      <c r="BK49" s="32">
        <f>BK48 + IF(Overview!$B$14="Gnome",AA40,AA37) -CI49</f>
        <v>50</v>
      </c>
      <c r="BL49" s="32">
        <f>BL48 + IF(Overview!$B$14="Gnome",AB40,AB37) -CJ49</f>
        <v>0</v>
      </c>
      <c r="BM49" s="32">
        <f>BM48 + IF(Overview!$B$14="Gnome",AC40,AC37) -CK49</f>
        <v>0</v>
      </c>
      <c r="BN49" s="33">
        <f>BN48 + IF(Overview!$B$14="Gnome",AD40,AD37) -CL49</f>
        <v>0</v>
      </c>
      <c r="BO49" s="33">
        <f>BO48 + IF(Overview!$B$14="Gnome",AE40,AE37) -CM49</f>
        <v>0</v>
      </c>
      <c r="BP49" s="69">
        <f>BP48 + IF(Overview!$B$14="Gnome",AF40,AF37) -CN49</f>
        <v>0</v>
      </c>
      <c r="BR49" s="442"/>
      <c r="BS49" s="156">
        <f t="shared" si="61"/>
        <v>1000</v>
      </c>
      <c r="BT49" s="574">
        <f t="shared" si="43"/>
        <v>43693.916666666555</v>
      </c>
      <c r="BV49" s="356"/>
      <c r="BW49" s="348"/>
      <c r="BX49" s="348"/>
      <c r="BY49" s="348"/>
      <c r="BZ49" s="348"/>
      <c r="CA49" s="348"/>
      <c r="CB49" s="348"/>
      <c r="CC49" s="348"/>
      <c r="CD49" s="348"/>
      <c r="CE49" s="348"/>
      <c r="CF49" s="348"/>
      <c r="CG49" s="348"/>
      <c r="CH49" s="348"/>
      <c r="CI49" s="348"/>
      <c r="CJ49" s="348"/>
      <c r="CK49" s="348"/>
      <c r="CL49" s="348"/>
      <c r="CM49" s="360"/>
      <c r="CN49" s="357"/>
      <c r="CP49" s="86">
        <f>-SUM($O49:$R49)+SUM($BW49:BZ49)+Rezone!L49+IF(home_land=CP$2,CW49) + Explore!T37</f>
        <v>0</v>
      </c>
      <c r="CQ49" s="37">
        <f>-SUM($S49:$T49)+SUM($CA49:$CB49) +Rezone!M49 + IF(home_land=CQ$2,CW49) + Explore!U37</f>
        <v>0</v>
      </c>
      <c r="CR49" s="247">
        <f>-SUM($U49:$V49)+SUM($CC49:$CD49) +Rezone!N49 + IF(home_land=CR$2,CW49) + Explore!V37</f>
        <v>0</v>
      </c>
      <c r="CS49" s="38">
        <f>-SUM($W49:$Z49)+SUM($CE49:$CH49) +Rezone!O49 + IF(home_land=CS$2,CW49) + Explore!W37</f>
        <v>0</v>
      </c>
      <c r="CT49" s="39">
        <f>-SUM($AA49:$AC49)+SUM($CI49:$CK49) +Rezone!P49 + IF(home_land=CT$2,CW49) + Explore!X37</f>
        <v>0</v>
      </c>
      <c r="CU49" s="40">
        <f xml:space="preserve"> - SUM($AD49,$AE49)+SUM($CL49,$CM49) +Rezone!Q49 + IF(home_land=CU$2,CW49)+Explore!Y37</f>
        <v>0</v>
      </c>
      <c r="CV49" s="500">
        <f>-$AF49+$CN49 +Rezone!R49 + IF(home_land=CV$2,CW49) + Explore!Z37</f>
        <v>0</v>
      </c>
      <c r="CW49" s="159">
        <f>IF(Explore!S49=1,25) - N49 + BV49</f>
        <v>0</v>
      </c>
      <c r="CY49" s="152">
        <f t="shared" si="71"/>
        <v>280</v>
      </c>
      <c r="CZ49" s="164">
        <f t="shared" si="72"/>
        <v>150</v>
      </c>
      <c r="DA49" s="16">
        <f t="shared" si="73"/>
        <v>150</v>
      </c>
      <c r="DB49" s="164">
        <f t="shared" si="74"/>
        <v>150</v>
      </c>
      <c r="DC49" s="164">
        <f t="shared" si="75"/>
        <v>150</v>
      </c>
      <c r="DD49" s="16">
        <f t="shared" si="76"/>
        <v>20</v>
      </c>
      <c r="DE49" s="166">
        <f t="shared" si="77"/>
        <v>100</v>
      </c>
      <c r="DF49" s="164">
        <f t="shared" ca="1" si="53"/>
        <v>280</v>
      </c>
      <c r="DG49" s="16">
        <f t="shared" si="54"/>
        <v>0</v>
      </c>
      <c r="DH49" s="16">
        <f t="shared" si="55"/>
        <v>49</v>
      </c>
      <c r="DI49" s="166"/>
    </row>
    <row r="50" spans="1:113" s="16" customFormat="1" ht="13.5" thickBot="1">
      <c r="A50" s="36">
        <f t="shared" si="58"/>
        <v>620</v>
      </c>
      <c r="B50" s="36">
        <f t="shared" si="51"/>
        <v>380</v>
      </c>
      <c r="C50" s="83">
        <f t="shared" si="70"/>
        <v>0</v>
      </c>
      <c r="D50" s="574"/>
      <c r="E50" s="16">
        <f t="shared" si="59"/>
        <v>1000</v>
      </c>
      <c r="F50" s="86">
        <f t="shared" si="62"/>
        <v>0</v>
      </c>
      <c r="G50" s="37">
        <f t="shared" si="63"/>
        <v>100</v>
      </c>
      <c r="H50" s="247">
        <f t="shared" si="64"/>
        <v>150</v>
      </c>
      <c r="I50" s="38">
        <f t="shared" si="65"/>
        <v>150</v>
      </c>
      <c r="J50" s="39">
        <f t="shared" si="66"/>
        <v>100</v>
      </c>
      <c r="K50" s="40">
        <f t="shared" si="67"/>
        <v>20</v>
      </c>
      <c r="L50" s="500">
        <f t="shared" si="68"/>
        <v>100</v>
      </c>
      <c r="M50" s="635">
        <f>Rezone!J50</f>
        <v>48</v>
      </c>
      <c r="N50" s="356"/>
      <c r="O50" s="348"/>
      <c r="P50" s="348"/>
      <c r="Q50" s="363"/>
      <c r="R50" s="345"/>
      <c r="S50" s="360"/>
      <c r="T50" s="348"/>
      <c r="U50" s="348"/>
      <c r="V50" s="348"/>
      <c r="W50" s="345"/>
      <c r="X50" s="345"/>
      <c r="Y50" s="348"/>
      <c r="Z50" s="345"/>
      <c r="AA50" s="348"/>
      <c r="AB50" s="348"/>
      <c r="AC50" s="345"/>
      <c r="AD50" s="348"/>
      <c r="AE50" s="348"/>
      <c r="AF50" s="336"/>
      <c r="AG50" s="532">
        <f t="shared" si="52"/>
        <v>43693.958333333219</v>
      </c>
      <c r="AH50" s="91">
        <f>MIN(25%,(BG50+CE50)/(E50-Explore!S50*20))</f>
        <v>0</v>
      </c>
      <c r="AI50" s="59">
        <f t="shared" si="13"/>
        <v>0</v>
      </c>
      <c r="AJ50" s="56">
        <f ca="1">Production!$H50</f>
        <v>3448108</v>
      </c>
      <c r="AK50" s="57">
        <f ca="1">Production!$J50</f>
        <v>282671</v>
      </c>
      <c r="AL50" s="152">
        <f ca="1">ROUND( (1 - MIN(facs_constr_factor*$AH50,facs_constr_max)) * (1+MIN(tech_construction*Techs!AC50,tech_conquerors_crafts*Techs!AS50)) * AU50*(1+race_construction_cost),0)</f>
        <v>1615</v>
      </c>
      <c r="AM50" s="166">
        <f t="shared" si="60"/>
        <v>263</v>
      </c>
      <c r="AN50" s="152">
        <f ca="1">ROUND( (1 - MIN(facs_constr_factor*$AI50,facs_constr_max)) * (1+MIN(tech_construction*Techs!AE50,tech_conquerors_crafts*Techs!AU50)) * AU50*(1+race_construction_cost),0)</f>
        <v>1615</v>
      </c>
      <c r="AO50" s="166">
        <f t="shared" si="69"/>
        <v>263</v>
      </c>
      <c r="AP50" s="16">
        <f t="shared" ca="1" si="56"/>
        <v>0</v>
      </c>
      <c r="AQ50" s="53">
        <f t="shared" si="57"/>
        <v>0</v>
      </c>
      <c r="AR50" s="16">
        <f>MIN(SUM(F49:L49)+SUM(Explore!T38:Z38)+SUM(BV50:CN50),SUM($N50:$AF50))</f>
        <v>0</v>
      </c>
      <c r="AS50" s="16">
        <f>IF(Explore!S50&lt;&gt;0,MAX(0, MIN(20, 20 + SUM(N50:AF50) - SUM(BV50:CN50) - SUM(F49:L49)-SUM(Explore!T38:Z38)-20*Explore!S50)),0)</f>
        <v>0</v>
      </c>
      <c r="AU50" s="152">
        <f t="shared" si="17"/>
        <v>1615</v>
      </c>
      <c r="AV50" s="166">
        <f t="shared" si="18"/>
        <v>262.5</v>
      </c>
      <c r="AW50" s="164"/>
      <c r="AX50" s="295">
        <f>AX49 + IF(Overview!$B$14="Gnome",N41,N38) -BV50</f>
        <v>0</v>
      </c>
      <c r="AY50" s="28">
        <f>AY49 + IF(Overview!$B$14="Gnome",O41,O38) -BW50</f>
        <v>0</v>
      </c>
      <c r="AZ50" s="28">
        <f>AZ49 + IF(Overview!$B$14="Gnome",P41,P38) -BX50</f>
        <v>80</v>
      </c>
      <c r="BA50" s="28">
        <f>BA49 + IF(Overview!$B$14="Gnome",Q41,Q38) -BY50</f>
        <v>200</v>
      </c>
      <c r="BB50" s="28">
        <f>BB49 + IF(Overview!$B$14="Gnome",R41,R38) -BZ50</f>
        <v>0</v>
      </c>
      <c r="BC50" s="29">
        <f>BC49 + IF(Overview!$B$14="Gnome",S41,S38) -CA50</f>
        <v>50</v>
      </c>
      <c r="BD50" s="29">
        <f>BD49 + IF(Overview!$B$14="Gnome",T41,T38) -CB50</f>
        <v>0</v>
      </c>
      <c r="BE50" s="30">
        <f>BE49 + IF(Overview!$B$14="Gnome",U41,U38) -CC50</f>
        <v>0</v>
      </c>
      <c r="BF50" s="30">
        <f>BF49 + IF(Overview!$B$14="Gnome",V41,V38) -CD50</f>
        <v>0</v>
      </c>
      <c r="BG50" s="31">
        <f>BG49 + IF(Overview!$B$14="Gnome",W41,W38) -CE50</f>
        <v>0</v>
      </c>
      <c r="BH50" s="31">
        <f>BH49 + IF(Overview!$B$14="Gnome",X41,X38) -CF50</f>
        <v>0</v>
      </c>
      <c r="BI50" s="31">
        <f>BI49 + IF(Overview!$B$14="Gnome",Y41,Y38) -CG50</f>
        <v>0</v>
      </c>
      <c r="BJ50" s="31">
        <f>BJ49 + IF(Overview!$B$14="Gnome",Z41,Z38) -CH50</f>
        <v>0</v>
      </c>
      <c r="BK50" s="32">
        <f>BK49 + IF(Overview!$B$14="Gnome",AA41,AA38) -CI50</f>
        <v>50</v>
      </c>
      <c r="BL50" s="32">
        <f>BL49 + IF(Overview!$B$14="Gnome",AB41,AB38) -CJ50</f>
        <v>0</v>
      </c>
      <c r="BM50" s="32">
        <f>BM49 + IF(Overview!$B$14="Gnome",AC41,AC38) -CK50</f>
        <v>0</v>
      </c>
      <c r="BN50" s="33">
        <f>BN49 + IF(Overview!$B$14="Gnome",AD41,AD38) -CL50</f>
        <v>0</v>
      </c>
      <c r="BO50" s="33">
        <f>BO49 + IF(Overview!$B$14="Gnome",AE41,AE38) -CM50</f>
        <v>0</v>
      </c>
      <c r="BP50" s="69">
        <f>BP49 + IF(Overview!$B$14="Gnome",AF41,AF38) -CN50</f>
        <v>0</v>
      </c>
      <c r="BR50" s="442"/>
      <c r="BS50" s="156">
        <f t="shared" si="61"/>
        <v>1000</v>
      </c>
      <c r="BT50" s="574">
        <f t="shared" si="43"/>
        <v>43693.958333333219</v>
      </c>
      <c r="BV50" s="356"/>
      <c r="BW50" s="348"/>
      <c r="BX50" s="348"/>
      <c r="BY50" s="348"/>
      <c r="BZ50" s="348"/>
      <c r="CA50" s="348"/>
      <c r="CB50" s="348"/>
      <c r="CC50" s="348"/>
      <c r="CD50" s="348"/>
      <c r="CE50" s="348"/>
      <c r="CF50" s="348"/>
      <c r="CG50" s="348"/>
      <c r="CH50" s="348"/>
      <c r="CI50" s="348"/>
      <c r="CJ50" s="348"/>
      <c r="CK50" s="348"/>
      <c r="CL50" s="348"/>
      <c r="CM50" s="360"/>
      <c r="CN50" s="357"/>
      <c r="CP50" s="86">
        <f>-SUM($O50:$R50)+SUM($BW50:BZ50)+Rezone!L50+IF(home_land=CP$2,CW50) + Explore!T38</f>
        <v>0</v>
      </c>
      <c r="CQ50" s="37">
        <f>-SUM($S50:$T50)+SUM($CA50:$CB50) +Rezone!M50 + IF(home_land=CQ$2,CW50) + Explore!U38</f>
        <v>0</v>
      </c>
      <c r="CR50" s="247">
        <f>-SUM($U50:$V50)+SUM($CC50:$CD50) +Rezone!N50 + IF(home_land=CR$2,CW50) + Explore!V38</f>
        <v>0</v>
      </c>
      <c r="CS50" s="38">
        <f>-SUM($W50:$Z50)+SUM($CE50:$CH50) +Rezone!O50 + IF(home_land=CS$2,CW50) + Explore!W38</f>
        <v>0</v>
      </c>
      <c r="CT50" s="39">
        <f>-SUM($AA50:$AC50)+SUM($CI50:$CK50) +Rezone!P50 + IF(home_land=CT$2,CW50) + Explore!X38</f>
        <v>0</v>
      </c>
      <c r="CU50" s="40">
        <f xml:space="preserve"> - SUM($AD50,$AE50)+SUM($CL50,$CM50) +Rezone!Q50 + IF(home_land=CU$2,CW50)+Explore!Y38</f>
        <v>0</v>
      </c>
      <c r="CV50" s="500">
        <f>-$AF50+$CN50 +Rezone!R50 + IF(home_land=CV$2,CW50) + Explore!Z38</f>
        <v>0</v>
      </c>
      <c r="CW50" s="159">
        <f>IF(Explore!S50=1,25) - N50 + BV50</f>
        <v>0</v>
      </c>
      <c r="CY50" s="152">
        <f t="shared" si="71"/>
        <v>280</v>
      </c>
      <c r="CZ50" s="164">
        <f t="shared" si="72"/>
        <v>150</v>
      </c>
      <c r="DA50" s="16">
        <f t="shared" si="73"/>
        <v>150</v>
      </c>
      <c r="DB50" s="164">
        <f t="shared" si="74"/>
        <v>150</v>
      </c>
      <c r="DC50" s="164">
        <f t="shared" si="75"/>
        <v>150</v>
      </c>
      <c r="DD50" s="16">
        <f t="shared" si="76"/>
        <v>20</v>
      </c>
      <c r="DE50" s="166">
        <f t="shared" si="77"/>
        <v>100</v>
      </c>
      <c r="DF50" s="164">
        <f t="shared" ca="1" si="53"/>
        <v>280</v>
      </c>
      <c r="DG50" s="16">
        <f t="shared" si="54"/>
        <v>0</v>
      </c>
      <c r="DH50" s="16">
        <f t="shared" si="55"/>
        <v>50</v>
      </c>
      <c r="DI50" s="166"/>
    </row>
    <row r="51" spans="1:113" s="111" customFormat="1" ht="14.25" thickTop="1" thickBot="1">
      <c r="A51" s="125">
        <f t="shared" si="58"/>
        <v>620</v>
      </c>
      <c r="B51" s="125">
        <f t="shared" si="51"/>
        <v>380</v>
      </c>
      <c r="C51" s="126">
        <f t="shared" si="70"/>
        <v>0</v>
      </c>
      <c r="D51" s="575"/>
      <c r="E51" s="111">
        <f t="shared" si="59"/>
        <v>1000</v>
      </c>
      <c r="F51" s="127">
        <f t="shared" si="62"/>
        <v>0</v>
      </c>
      <c r="G51" s="128">
        <f t="shared" si="63"/>
        <v>100</v>
      </c>
      <c r="H51" s="276">
        <f t="shared" si="64"/>
        <v>150</v>
      </c>
      <c r="I51" s="129">
        <f t="shared" si="65"/>
        <v>150</v>
      </c>
      <c r="J51" s="130">
        <f t="shared" si="66"/>
        <v>100</v>
      </c>
      <c r="K51" s="131">
        <f t="shared" si="67"/>
        <v>20</v>
      </c>
      <c r="L51" s="501">
        <f t="shared" si="68"/>
        <v>100</v>
      </c>
      <c r="M51" s="637">
        <f>Rezone!J51</f>
        <v>49</v>
      </c>
      <c r="N51" s="358"/>
      <c r="O51" s="350"/>
      <c r="P51" s="350"/>
      <c r="Q51" s="351"/>
      <c r="R51" s="351"/>
      <c r="S51" s="362"/>
      <c r="T51" s="350"/>
      <c r="U51" s="350"/>
      <c r="V51" s="350"/>
      <c r="W51" s="351"/>
      <c r="X51" s="351"/>
      <c r="Y51" s="350"/>
      <c r="Z51" s="351"/>
      <c r="AA51" s="350"/>
      <c r="AB51" s="350"/>
      <c r="AC51" s="351"/>
      <c r="AD51" s="350"/>
      <c r="AE51" s="350"/>
      <c r="AF51" s="342"/>
      <c r="AG51" s="782">
        <f t="shared" si="52"/>
        <v>43693.999999999884</v>
      </c>
      <c r="AH51" s="133">
        <f>MIN(25%,(BG51+CE51)/(E51-Explore!S51*20))</f>
        <v>0</v>
      </c>
      <c r="AI51" s="136">
        <f t="shared" si="13"/>
        <v>0</v>
      </c>
      <c r="AJ51" s="110">
        <f ca="1">Production!$H51</f>
        <v>3458759</v>
      </c>
      <c r="AK51" s="109">
        <f ca="1">Production!$J51</f>
        <v>282344</v>
      </c>
      <c r="AL51" s="273">
        <f ca="1">ROUND( (1 - MIN(facs_constr_factor*$AH51,facs_constr_max)) * (1+MIN(tech_construction*Techs!AC51,tech_conquerors_crafts*Techs!AS51)) * AU51*(1+race_construction_cost),0)</f>
        <v>1615</v>
      </c>
      <c r="AM51" s="274">
        <f t="shared" si="60"/>
        <v>263</v>
      </c>
      <c r="AN51" s="273">
        <f ca="1">ROUND( (1 - MIN(facs_constr_factor*$AI51,facs_constr_max)) * (1+MIN(tech_construction*Techs!AE51,tech_conquerors_crafts*Techs!AU51)) * AU51*(1+race_construction_cost),0)</f>
        <v>1615</v>
      </c>
      <c r="AO51" s="274">
        <f t="shared" si="69"/>
        <v>263</v>
      </c>
      <c r="AP51" s="111">
        <f t="shared" ca="1" si="56"/>
        <v>0</v>
      </c>
      <c r="AQ51" s="115">
        <f t="shared" si="57"/>
        <v>0</v>
      </c>
      <c r="AR51" s="111">
        <f>MIN(SUM(F50:L50)+SUM(Explore!T39:Z39)+SUM(BV51:CN51),SUM($N51:$AF51))</f>
        <v>0</v>
      </c>
      <c r="AS51" s="111">
        <f>IF(Explore!S51&lt;&gt;0,MAX(0, MIN(20, 20 + SUM(N51:AF51) - SUM(BV51:CN51) - SUM(F50:L50)-SUM(Explore!T39:Z39)-20*Explore!S51)),0)</f>
        <v>0</v>
      </c>
      <c r="AU51" s="273">
        <f t="shared" si="17"/>
        <v>1615</v>
      </c>
      <c r="AV51" s="274">
        <f t="shared" si="18"/>
        <v>262.5</v>
      </c>
      <c r="AW51" s="277"/>
      <c r="AX51" s="296">
        <f>AX50 + IF(Overview!$B$14="Gnome",N42,N39) -BV51</f>
        <v>0</v>
      </c>
      <c r="AY51" s="132">
        <f>AY50 + IF(Overview!$B$14="Gnome",O42,O39) -BW51</f>
        <v>0</v>
      </c>
      <c r="AZ51" s="132">
        <f>AZ50 + IF(Overview!$B$14="Gnome",P42,P39) -BX51</f>
        <v>80</v>
      </c>
      <c r="BA51" s="132">
        <f>BA50 + IF(Overview!$B$14="Gnome",Q42,Q39) -BY51</f>
        <v>200</v>
      </c>
      <c r="BB51" s="132">
        <f>BB50 + IF(Overview!$B$14="Gnome",R42,R39) -BZ51</f>
        <v>0</v>
      </c>
      <c r="BC51" s="119">
        <f>BC50 + IF(Overview!$B$14="Gnome",S42,S39) -CA51</f>
        <v>50</v>
      </c>
      <c r="BD51" s="119">
        <f>BD50 + IF(Overview!$B$14="Gnome",T42,T39) -CB51</f>
        <v>0</v>
      </c>
      <c r="BE51" s="120">
        <f>BE50 + IF(Overview!$B$14="Gnome",U42,U39) -CC51</f>
        <v>0</v>
      </c>
      <c r="BF51" s="120">
        <f>BF50 + IF(Overview!$B$14="Gnome",V42,V39) -CD51</f>
        <v>0</v>
      </c>
      <c r="BG51" s="121">
        <f>BG50 + IF(Overview!$B$14="Gnome",W42,W39) -CE51</f>
        <v>0</v>
      </c>
      <c r="BH51" s="121">
        <f>BH50 + IF(Overview!$B$14="Gnome",X42,X39) -CF51</f>
        <v>0</v>
      </c>
      <c r="BI51" s="121">
        <f>BI50 + IF(Overview!$B$14="Gnome",Y42,Y39) -CG51</f>
        <v>0</v>
      </c>
      <c r="BJ51" s="121">
        <f>BJ50 + IF(Overview!$B$14="Gnome",Z42,Z39) -CH51</f>
        <v>0</v>
      </c>
      <c r="BK51" s="122">
        <f>BK50 + IF(Overview!$B$14="Gnome",AA42,AA39) -CI51</f>
        <v>50</v>
      </c>
      <c r="BL51" s="122">
        <f>BL50 + IF(Overview!$B$14="Gnome",AB42,AB39) -CJ51</f>
        <v>0</v>
      </c>
      <c r="BM51" s="122">
        <f>BM50 + IF(Overview!$B$14="Gnome",AC42,AC39) -CK51</f>
        <v>0</v>
      </c>
      <c r="BN51" s="123">
        <f>BN50 + IF(Overview!$B$14="Gnome",AD42,AD39) -CL51</f>
        <v>0</v>
      </c>
      <c r="BO51" s="123">
        <f>BO50 + IF(Overview!$B$14="Gnome",AE42,AE39) -CM51</f>
        <v>0</v>
      </c>
      <c r="BP51" s="124">
        <f>BP50 + IF(Overview!$B$14="Gnome",AF42,AF39) -CN51</f>
        <v>0</v>
      </c>
      <c r="BR51" s="443"/>
      <c r="BS51" s="275">
        <f t="shared" si="61"/>
        <v>1000</v>
      </c>
      <c r="BT51" s="575">
        <f t="shared" si="43"/>
        <v>43693.999999999884</v>
      </c>
      <c r="BV51" s="358"/>
      <c r="BW51" s="350"/>
      <c r="BX51" s="350"/>
      <c r="BY51" s="350"/>
      <c r="BZ51" s="350"/>
      <c r="CA51" s="350"/>
      <c r="CB51" s="350"/>
      <c r="CC51" s="350"/>
      <c r="CD51" s="350"/>
      <c r="CE51" s="350"/>
      <c r="CF51" s="350"/>
      <c r="CG51" s="350"/>
      <c r="CH51" s="350"/>
      <c r="CI51" s="350"/>
      <c r="CJ51" s="350"/>
      <c r="CK51" s="350"/>
      <c r="CL51" s="350"/>
      <c r="CM51" s="362"/>
      <c r="CN51" s="359"/>
      <c r="CP51" s="127">
        <f>-SUM($O51:$R51)+SUM($BW51:BZ51)+Rezone!L51+IF(home_land=CP$2,CW51) + Explore!T39</f>
        <v>0</v>
      </c>
      <c r="CQ51" s="128">
        <f>-SUM($S51:$T51)+SUM($CA51:$CB51) +Rezone!M51 + IF(home_land=CQ$2,CW51) + Explore!U39</f>
        <v>0</v>
      </c>
      <c r="CR51" s="276">
        <f>-SUM($U51:$V51)+SUM($CC51:$CD51) +Rezone!N51 + IF(home_land=CR$2,CW51) + Explore!V39</f>
        <v>0</v>
      </c>
      <c r="CS51" s="129">
        <f>-SUM($W51:$Z51)+SUM($CE51:$CH51) +Rezone!O51 + IF(home_land=CS$2,CW51) + Explore!W39</f>
        <v>0</v>
      </c>
      <c r="CT51" s="130">
        <f>-SUM($AA51:$AC51)+SUM($CI51:$CK51) +Rezone!P51 + IF(home_land=CT$2,CW51) + Explore!X39</f>
        <v>0</v>
      </c>
      <c r="CU51" s="131">
        <f xml:space="preserve"> - SUM($AD51,$AE51)+SUM($CL51,$CM51) +Rezone!Q51 + IF(home_land=CU$2,CW51)+Explore!Y39</f>
        <v>0</v>
      </c>
      <c r="CV51" s="501">
        <f>-$AF51+$CN51 +Rezone!R51 + IF(home_land=CV$2,CW51) + Explore!Z39</f>
        <v>0</v>
      </c>
      <c r="CW51" s="290">
        <f>IF(Explore!S51=1,25) - N51 + BV51</f>
        <v>0</v>
      </c>
      <c r="CY51" s="273">
        <f t="shared" si="71"/>
        <v>280</v>
      </c>
      <c r="CZ51" s="277">
        <f t="shared" si="72"/>
        <v>150</v>
      </c>
      <c r="DA51" s="111">
        <f t="shared" si="73"/>
        <v>150</v>
      </c>
      <c r="DB51" s="277">
        <f t="shared" si="74"/>
        <v>150</v>
      </c>
      <c r="DC51" s="277">
        <f t="shared" si="75"/>
        <v>150</v>
      </c>
      <c r="DD51" s="111">
        <f t="shared" si="76"/>
        <v>20</v>
      </c>
      <c r="DE51" s="274">
        <f t="shared" si="77"/>
        <v>100</v>
      </c>
      <c r="DF51" s="277">
        <f t="shared" ca="1" si="53"/>
        <v>280</v>
      </c>
      <c r="DG51" s="111">
        <f t="shared" si="54"/>
        <v>0</v>
      </c>
      <c r="DH51" s="111">
        <f t="shared" si="55"/>
        <v>51</v>
      </c>
      <c r="DI51" s="274"/>
    </row>
    <row r="52" spans="1:113" s="16" customFormat="1" ht="13.5" thickTop="1">
      <c r="A52" s="36">
        <f t="shared" si="58"/>
        <v>620</v>
      </c>
      <c r="B52" s="36">
        <f t="shared" si="51"/>
        <v>380</v>
      </c>
      <c r="C52" s="83">
        <f t="shared" si="70"/>
        <v>0</v>
      </c>
      <c r="D52" s="574"/>
      <c r="E52" s="16">
        <f t="shared" si="59"/>
        <v>1000</v>
      </c>
      <c r="F52" s="86">
        <f t="shared" si="62"/>
        <v>0</v>
      </c>
      <c r="G52" s="37">
        <f t="shared" si="63"/>
        <v>100</v>
      </c>
      <c r="H52" s="247">
        <f t="shared" si="64"/>
        <v>150</v>
      </c>
      <c r="I52" s="38">
        <f t="shared" si="65"/>
        <v>150</v>
      </c>
      <c r="J52" s="39">
        <f t="shared" si="66"/>
        <v>100</v>
      </c>
      <c r="K52" s="40">
        <f t="shared" si="67"/>
        <v>20</v>
      </c>
      <c r="L52" s="500">
        <f t="shared" si="68"/>
        <v>100</v>
      </c>
      <c r="M52" s="635">
        <f>Rezone!J52</f>
        <v>50</v>
      </c>
      <c r="N52" s="356"/>
      <c r="O52" s="348"/>
      <c r="P52" s="348"/>
      <c r="Q52" s="348"/>
      <c r="R52" s="345"/>
      <c r="S52" s="348"/>
      <c r="T52" s="345"/>
      <c r="U52" s="348"/>
      <c r="V52" s="348"/>
      <c r="W52" s="345"/>
      <c r="X52" s="345"/>
      <c r="Y52" s="348"/>
      <c r="Z52" s="345"/>
      <c r="AA52" s="348"/>
      <c r="AB52" s="348"/>
      <c r="AC52" s="345"/>
      <c r="AD52" s="348"/>
      <c r="AE52" s="348"/>
      <c r="AF52" s="336"/>
      <c r="AG52" s="532">
        <f t="shared" si="52"/>
        <v>43694.041666666548</v>
      </c>
      <c r="AH52" s="91">
        <f>MIN(25%,(BG52+CE52)/(E52-Explore!S52*20))</f>
        <v>0</v>
      </c>
      <c r="AI52" s="59">
        <f t="shared" si="13"/>
        <v>0</v>
      </c>
      <c r="AJ52" s="56">
        <f ca="1">Production!$H52</f>
        <v>3469410</v>
      </c>
      <c r="AK52" s="57">
        <f ca="1">Production!$J52</f>
        <v>282021</v>
      </c>
      <c r="AL52" s="152">
        <f ca="1">ROUND( (1 - MIN(facs_constr_factor*$AH52,facs_constr_max)) * (1+MIN(tech_construction*Techs!AC52,tech_conquerors_crafts*Techs!AS52)) * AU52*(1+race_construction_cost),0)</f>
        <v>1615</v>
      </c>
      <c r="AM52" s="166">
        <f t="shared" si="60"/>
        <v>263</v>
      </c>
      <c r="AN52" s="152">
        <f ca="1">ROUND( (1 - MIN(facs_constr_factor*$AI52,facs_constr_max)) * (1+MIN(tech_construction*Techs!AE52,tech_conquerors_crafts*Techs!AU52)) * AU52*(1+race_construction_cost),0)</f>
        <v>1615</v>
      </c>
      <c r="AO52" s="166">
        <f t="shared" si="69"/>
        <v>263</v>
      </c>
      <c r="AP52" s="16">
        <f t="shared" ca="1" si="56"/>
        <v>0</v>
      </c>
      <c r="AQ52" s="53">
        <f t="shared" si="57"/>
        <v>0</v>
      </c>
      <c r="AR52" s="16">
        <f>MIN(SUM(F51:L51)+SUM(Explore!T40:Z40)+SUM(BV52:CN52),SUM($N52:$AF52))</f>
        <v>0</v>
      </c>
      <c r="AS52" s="16">
        <f>IF(Explore!S52&lt;&gt;0,MAX(0, MIN(20, 20 + SUM(N52:AF52) - SUM(BV52:CN52) - SUM(F51:L51)-SUM(Explore!T40:Z40)-20*Explore!S52)),0)</f>
        <v>0</v>
      </c>
      <c r="AU52" s="152">
        <f t="shared" si="17"/>
        <v>1615</v>
      </c>
      <c r="AV52" s="166">
        <f t="shared" si="18"/>
        <v>262.5</v>
      </c>
      <c r="AW52" s="164"/>
      <c r="AX52" s="295">
        <f>AX51 + IF(Overview!$B$14="Gnome",N43,N40) -BV52</f>
        <v>0</v>
      </c>
      <c r="AY52" s="28">
        <f>AY51 + IF(Overview!$B$14="Gnome",O43,O40) -BW52</f>
        <v>0</v>
      </c>
      <c r="AZ52" s="28">
        <f>AZ51 + IF(Overview!$B$14="Gnome",P43,P40) -BX52</f>
        <v>80</v>
      </c>
      <c r="BA52" s="28">
        <f>BA51 + IF(Overview!$B$14="Gnome",Q43,Q40) -BY52</f>
        <v>200</v>
      </c>
      <c r="BB52" s="28">
        <f>BB51 + IF(Overview!$B$14="Gnome",R43,R40) -BZ52</f>
        <v>0</v>
      </c>
      <c r="BC52" s="29">
        <f>BC51 + IF(Overview!$B$14="Gnome",S43,S40) -CA52</f>
        <v>50</v>
      </c>
      <c r="BD52" s="29">
        <f>BD51 + IF(Overview!$B$14="Gnome",T43,T40) -CB52</f>
        <v>0</v>
      </c>
      <c r="BE52" s="30">
        <f>BE51 + IF(Overview!$B$14="Gnome",U43,U40) -CC52</f>
        <v>0</v>
      </c>
      <c r="BF52" s="30">
        <f>BF51 + IF(Overview!$B$14="Gnome",V43,V40) -CD52</f>
        <v>0</v>
      </c>
      <c r="BG52" s="31">
        <f>BG51 + IF(Overview!$B$14="Gnome",W43,W40) -CE52</f>
        <v>0</v>
      </c>
      <c r="BH52" s="31">
        <f>BH51 + IF(Overview!$B$14="Gnome",X43,X40) -CF52</f>
        <v>0</v>
      </c>
      <c r="BI52" s="31">
        <f>BI51 + IF(Overview!$B$14="Gnome",Y43,Y40) -CG52</f>
        <v>0</v>
      </c>
      <c r="BJ52" s="31">
        <f>BJ51 + IF(Overview!$B$14="Gnome",Z43,Z40) -CH52</f>
        <v>0</v>
      </c>
      <c r="BK52" s="32">
        <f>BK51 + IF(Overview!$B$14="Gnome",AA43,AA40) -CI52</f>
        <v>50</v>
      </c>
      <c r="BL52" s="32">
        <f>BL51 + IF(Overview!$B$14="Gnome",AB43,AB40) -CJ52</f>
        <v>0</v>
      </c>
      <c r="BM52" s="32">
        <f>BM51 + IF(Overview!$B$14="Gnome",AC43,AC40) -CK52</f>
        <v>0</v>
      </c>
      <c r="BN52" s="33">
        <f>BN51 + IF(Overview!$B$14="Gnome",AD43,AD40) -CL52</f>
        <v>0</v>
      </c>
      <c r="BO52" s="33">
        <f>BO51 + IF(Overview!$B$14="Gnome",AE43,AE40) -CM52</f>
        <v>0</v>
      </c>
      <c r="BP52" s="69">
        <f>BP51 + IF(Overview!$B$14="Gnome",AF43,AF40) -CN52</f>
        <v>0</v>
      </c>
      <c r="BR52" s="442"/>
      <c r="BS52" s="156">
        <f t="shared" si="61"/>
        <v>1000</v>
      </c>
      <c r="BT52" s="574">
        <f t="shared" si="43"/>
        <v>43694.041666666548</v>
      </c>
      <c r="BV52" s="356"/>
      <c r="BW52" s="348"/>
      <c r="BX52" s="348"/>
      <c r="BY52" s="348"/>
      <c r="BZ52" s="348"/>
      <c r="CA52" s="348"/>
      <c r="CB52" s="348"/>
      <c r="CC52" s="348"/>
      <c r="CD52" s="348"/>
      <c r="CE52" s="348"/>
      <c r="CF52" s="348"/>
      <c r="CG52" s="348"/>
      <c r="CH52" s="348"/>
      <c r="CI52" s="348"/>
      <c r="CJ52" s="348"/>
      <c r="CK52" s="348"/>
      <c r="CL52" s="348"/>
      <c r="CM52" s="360"/>
      <c r="CN52" s="357"/>
      <c r="CP52" s="86">
        <f>-SUM($O52:$R52)+SUM($BW52:BZ52)+Rezone!L52+IF(home_land=CP$2,CW52) + Explore!T40</f>
        <v>0</v>
      </c>
      <c r="CQ52" s="37">
        <f>-SUM($S52:$T52)+SUM($CA52:$CB52) +Rezone!M52 + IF(home_land=CQ$2,CW52) + Explore!U40</f>
        <v>0</v>
      </c>
      <c r="CR52" s="247">
        <f>-SUM($U52:$V52)+SUM($CC52:$CD52) +Rezone!N52 + IF(home_land=CR$2,CW52) + Explore!V40</f>
        <v>0</v>
      </c>
      <c r="CS52" s="38">
        <f>-SUM($W52:$Z52)+SUM($CE52:$CH52) +Rezone!O52 + IF(home_land=CS$2,CW52) + Explore!W40</f>
        <v>0</v>
      </c>
      <c r="CT52" s="39">
        <f>-SUM($AA52:$AC52)+SUM($CI52:$CK52) +Rezone!P52 + IF(home_land=CT$2,CW52) + Explore!X40</f>
        <v>0</v>
      </c>
      <c r="CU52" s="40">
        <f xml:space="preserve"> - SUM($AD52,$AE52)+SUM($CL52,$CM52) +Rezone!Q52 + IF(home_land=CU$2,CW52)+Explore!Y40</f>
        <v>0</v>
      </c>
      <c r="CV52" s="500">
        <f>-$AF52+$CN52 +Rezone!R52 + IF(home_land=CV$2,CW52) + Explore!Z40</f>
        <v>0</v>
      </c>
      <c r="CW52" s="159">
        <f>IF(Explore!S52=1,25) - N52 + BV52</f>
        <v>0</v>
      </c>
      <c r="CY52" s="152">
        <f t="shared" si="71"/>
        <v>280</v>
      </c>
      <c r="CZ52" s="164">
        <f t="shared" si="72"/>
        <v>150</v>
      </c>
      <c r="DA52" s="16">
        <f t="shared" si="73"/>
        <v>150</v>
      </c>
      <c r="DB52" s="164">
        <f t="shared" si="74"/>
        <v>150</v>
      </c>
      <c r="DC52" s="164">
        <f t="shared" si="75"/>
        <v>150</v>
      </c>
      <c r="DD52" s="16">
        <f t="shared" si="76"/>
        <v>20</v>
      </c>
      <c r="DE52" s="166">
        <f t="shared" si="77"/>
        <v>100</v>
      </c>
      <c r="DF52" s="164">
        <f t="shared" ca="1" si="53"/>
        <v>280</v>
      </c>
      <c r="DG52" s="16">
        <f t="shared" si="54"/>
        <v>0</v>
      </c>
      <c r="DH52" s="16">
        <f t="shared" si="55"/>
        <v>52</v>
      </c>
      <c r="DI52" s="166"/>
    </row>
    <row r="53" spans="1:113" s="16" customFormat="1">
      <c r="A53" s="36">
        <f t="shared" si="58"/>
        <v>620</v>
      </c>
      <c r="B53" s="36">
        <f t="shared" si="51"/>
        <v>380</v>
      </c>
      <c r="C53" s="83">
        <f t="shared" si="70"/>
        <v>0</v>
      </c>
      <c r="D53" s="574"/>
      <c r="E53" s="16">
        <f t="shared" si="59"/>
        <v>1000</v>
      </c>
      <c r="F53" s="86">
        <f t="shared" si="62"/>
        <v>0</v>
      </c>
      <c r="G53" s="37">
        <f t="shared" si="63"/>
        <v>100</v>
      </c>
      <c r="H53" s="247">
        <f t="shared" si="64"/>
        <v>150</v>
      </c>
      <c r="I53" s="38">
        <f t="shared" si="65"/>
        <v>150</v>
      </c>
      <c r="J53" s="39">
        <f t="shared" si="66"/>
        <v>100</v>
      </c>
      <c r="K53" s="40">
        <f t="shared" si="67"/>
        <v>20</v>
      </c>
      <c r="L53" s="500">
        <f t="shared" si="68"/>
        <v>100</v>
      </c>
      <c r="M53" s="635">
        <f>Rezone!J53</f>
        <v>51</v>
      </c>
      <c r="N53" s="356"/>
      <c r="O53" s="348"/>
      <c r="P53" s="348"/>
      <c r="Q53" s="348"/>
      <c r="R53" s="345"/>
      <c r="S53" s="348"/>
      <c r="T53" s="345"/>
      <c r="U53" s="348"/>
      <c r="V53" s="348"/>
      <c r="W53" s="345"/>
      <c r="X53" s="345"/>
      <c r="Y53" s="348"/>
      <c r="Z53" s="345"/>
      <c r="AA53" s="348"/>
      <c r="AB53" s="348"/>
      <c r="AC53" s="345"/>
      <c r="AD53" s="348"/>
      <c r="AE53" s="348"/>
      <c r="AF53" s="336"/>
      <c r="AG53" s="532">
        <f t="shared" si="52"/>
        <v>43694.083333333212</v>
      </c>
      <c r="AH53" s="91">
        <f>MIN(25%,(BG53+CE53)/(E53-Explore!S53*20))</f>
        <v>0</v>
      </c>
      <c r="AI53" s="59">
        <f t="shared" si="13"/>
        <v>0</v>
      </c>
      <c r="AJ53" s="56">
        <f ca="1">Production!$H53</f>
        <v>3480061</v>
      </c>
      <c r="AK53" s="57">
        <f ca="1">Production!$J53</f>
        <v>281701</v>
      </c>
      <c r="AL53" s="152">
        <f ca="1">ROUND( (1 - MIN(facs_constr_factor*$AH53,facs_constr_max)) * (1+MIN(tech_construction*Techs!AC53,tech_conquerors_crafts*Techs!AS53)) * AU53*(1+race_construction_cost),0)</f>
        <v>1615</v>
      </c>
      <c r="AM53" s="166">
        <f t="shared" si="60"/>
        <v>263</v>
      </c>
      <c r="AN53" s="152">
        <f ca="1">ROUND( (1 - MIN(facs_constr_factor*$AI53,facs_constr_max)) * (1+MIN(tech_construction*Techs!AE53,tech_conquerors_crafts*Techs!AU53)) * AU53*(1+race_construction_cost),0)</f>
        <v>1615</v>
      </c>
      <c r="AO53" s="166">
        <f t="shared" si="69"/>
        <v>263</v>
      </c>
      <c r="AP53" s="16">
        <f t="shared" ca="1" si="56"/>
        <v>0</v>
      </c>
      <c r="AQ53" s="53">
        <f t="shared" si="57"/>
        <v>0</v>
      </c>
      <c r="AR53" s="16">
        <f>MIN(SUM(F52:L52)+SUM(Explore!T41:Z41)+SUM(BV53:CN53),SUM($N53:$AF53))</f>
        <v>0</v>
      </c>
      <c r="AS53" s="16">
        <f>IF(Explore!S53&lt;&gt;0,MAX(0, MIN(20, 20 + SUM(N53:AF53) - SUM(BV53:CN53) - SUM(F52:L52)-SUM(Explore!T41:Z41)-20*Explore!S53)),0)</f>
        <v>0</v>
      </c>
      <c r="AU53" s="152">
        <f t="shared" si="17"/>
        <v>1615</v>
      </c>
      <c r="AV53" s="166">
        <f t="shared" si="18"/>
        <v>262.5</v>
      </c>
      <c r="AW53" s="164"/>
      <c r="AX53" s="295">
        <f>AX52 + IF(Overview!$B$14="Gnome",N44,N41) -BV53</f>
        <v>0</v>
      </c>
      <c r="AY53" s="28">
        <f>AY52 + IF(Overview!$B$14="Gnome",O44,O41) -BW53</f>
        <v>0</v>
      </c>
      <c r="AZ53" s="28">
        <f>AZ52 + IF(Overview!$B$14="Gnome",P44,P41) -BX53</f>
        <v>80</v>
      </c>
      <c r="BA53" s="28">
        <f>BA52 + IF(Overview!$B$14="Gnome",Q44,Q41) -BY53</f>
        <v>200</v>
      </c>
      <c r="BB53" s="28">
        <f>BB52 + IF(Overview!$B$14="Gnome",R44,R41) -BZ53</f>
        <v>0</v>
      </c>
      <c r="BC53" s="29">
        <f>BC52 + IF(Overview!$B$14="Gnome",S44,S41) -CA53</f>
        <v>50</v>
      </c>
      <c r="BD53" s="29">
        <f>BD52 + IF(Overview!$B$14="Gnome",T44,T41) -CB53</f>
        <v>0</v>
      </c>
      <c r="BE53" s="30">
        <f>BE52 + IF(Overview!$B$14="Gnome",U44,U41) -CC53</f>
        <v>0</v>
      </c>
      <c r="BF53" s="30">
        <f>BF52 + IF(Overview!$B$14="Gnome",V44,V41) -CD53</f>
        <v>0</v>
      </c>
      <c r="BG53" s="31">
        <f>BG52 + IF(Overview!$B$14="Gnome",W44,W41) -CE53</f>
        <v>0</v>
      </c>
      <c r="BH53" s="31">
        <f>BH52 + IF(Overview!$B$14="Gnome",X44,X41) -CF53</f>
        <v>0</v>
      </c>
      <c r="BI53" s="31">
        <f>BI52 + IF(Overview!$B$14="Gnome",Y44,Y41) -CG53</f>
        <v>0</v>
      </c>
      <c r="BJ53" s="31">
        <f>BJ52 + IF(Overview!$B$14="Gnome",Z44,Z41) -CH53</f>
        <v>0</v>
      </c>
      <c r="BK53" s="32">
        <f>BK52 + IF(Overview!$B$14="Gnome",AA44,AA41) -CI53</f>
        <v>50</v>
      </c>
      <c r="BL53" s="32">
        <f>BL52 + IF(Overview!$B$14="Gnome",AB44,AB41) -CJ53</f>
        <v>0</v>
      </c>
      <c r="BM53" s="32">
        <f>BM52 + IF(Overview!$B$14="Gnome",AC44,AC41) -CK53</f>
        <v>0</v>
      </c>
      <c r="BN53" s="33">
        <f>BN52 + IF(Overview!$B$14="Gnome",AD44,AD41) -CL53</f>
        <v>0</v>
      </c>
      <c r="BO53" s="33">
        <f>BO52 + IF(Overview!$B$14="Gnome",AE44,AE41) -CM53</f>
        <v>0</v>
      </c>
      <c r="BP53" s="69">
        <f>BP52 + IF(Overview!$B$14="Gnome",AF44,AF41) -CN53</f>
        <v>0</v>
      </c>
      <c r="BR53" s="442"/>
      <c r="BS53" s="156">
        <f t="shared" si="61"/>
        <v>1000</v>
      </c>
      <c r="BT53" s="574">
        <f t="shared" si="43"/>
        <v>43694.083333333212</v>
      </c>
      <c r="BV53" s="356"/>
      <c r="BW53" s="348"/>
      <c r="BX53" s="348"/>
      <c r="BY53" s="348"/>
      <c r="BZ53" s="348"/>
      <c r="CA53" s="348"/>
      <c r="CB53" s="348"/>
      <c r="CC53" s="348"/>
      <c r="CD53" s="348"/>
      <c r="CE53" s="348"/>
      <c r="CF53" s="348"/>
      <c r="CG53" s="348"/>
      <c r="CH53" s="348"/>
      <c r="CI53" s="348"/>
      <c r="CJ53" s="348"/>
      <c r="CK53" s="348"/>
      <c r="CL53" s="348"/>
      <c r="CM53" s="360"/>
      <c r="CN53" s="357"/>
      <c r="CP53" s="86">
        <f>-SUM($O53:$R53)+SUM($BW53:BZ53)+Rezone!L53+IF(home_land=CP$2,CW53) + Explore!T41</f>
        <v>0</v>
      </c>
      <c r="CQ53" s="37">
        <f>-SUM($S53:$T53)+SUM($CA53:$CB53) +Rezone!M53 + IF(home_land=CQ$2,CW53) + Explore!U41</f>
        <v>0</v>
      </c>
      <c r="CR53" s="247">
        <f>-SUM($U53:$V53)+SUM($CC53:$CD53) +Rezone!N53 + IF(home_land=CR$2,CW53) + Explore!V41</f>
        <v>0</v>
      </c>
      <c r="CS53" s="38">
        <f>-SUM($W53:$Z53)+SUM($CE53:$CH53) +Rezone!O53 + IF(home_land=CS$2,CW53) + Explore!W41</f>
        <v>0</v>
      </c>
      <c r="CT53" s="39">
        <f>-SUM($AA53:$AC53)+SUM($CI53:$CK53) +Rezone!P53 + IF(home_land=CT$2,CW53) + Explore!X41</f>
        <v>0</v>
      </c>
      <c r="CU53" s="40">
        <f xml:space="preserve"> - SUM($AD53,$AE53)+SUM($CL53,$CM53) +Rezone!Q53 + IF(home_land=CU$2,CW53)+Explore!Y41</f>
        <v>0</v>
      </c>
      <c r="CV53" s="500">
        <f>-$AF53+$CN53 +Rezone!R53 + IF(home_land=CV$2,CW53) + Explore!Z41</f>
        <v>0</v>
      </c>
      <c r="CW53" s="159">
        <f>IF(Explore!S53=1,25) - N53 + BV53</f>
        <v>0</v>
      </c>
      <c r="CY53" s="152">
        <f t="shared" si="71"/>
        <v>280</v>
      </c>
      <c r="CZ53" s="164">
        <f t="shared" si="72"/>
        <v>150</v>
      </c>
      <c r="DA53" s="16">
        <f t="shared" si="73"/>
        <v>150</v>
      </c>
      <c r="DB53" s="164">
        <f t="shared" si="74"/>
        <v>150</v>
      </c>
      <c r="DC53" s="164">
        <f t="shared" si="75"/>
        <v>150</v>
      </c>
      <c r="DD53" s="16">
        <f t="shared" si="76"/>
        <v>20</v>
      </c>
      <c r="DE53" s="166">
        <f t="shared" si="77"/>
        <v>100</v>
      </c>
      <c r="DF53" s="164">
        <f t="shared" ca="1" si="53"/>
        <v>280</v>
      </c>
      <c r="DG53" s="16">
        <f t="shared" si="54"/>
        <v>0</v>
      </c>
      <c r="DH53" s="16">
        <f t="shared" si="55"/>
        <v>53</v>
      </c>
      <c r="DI53" s="166"/>
    </row>
    <row r="54" spans="1:113" s="16" customFormat="1">
      <c r="A54" s="36">
        <f t="shared" si="58"/>
        <v>620</v>
      </c>
      <c r="B54" s="36">
        <f t="shared" si="51"/>
        <v>380</v>
      </c>
      <c r="C54" s="83">
        <f t="shared" si="70"/>
        <v>0</v>
      </c>
      <c r="D54" s="574"/>
      <c r="E54" s="16">
        <f t="shared" si="59"/>
        <v>1000</v>
      </c>
      <c r="F54" s="86">
        <f t="shared" si="62"/>
        <v>0</v>
      </c>
      <c r="G54" s="37">
        <f t="shared" si="63"/>
        <v>100</v>
      </c>
      <c r="H54" s="247">
        <f t="shared" si="64"/>
        <v>150</v>
      </c>
      <c r="I54" s="38">
        <f t="shared" si="65"/>
        <v>150</v>
      </c>
      <c r="J54" s="39">
        <f t="shared" si="66"/>
        <v>100</v>
      </c>
      <c r="K54" s="40">
        <f t="shared" si="67"/>
        <v>20</v>
      </c>
      <c r="L54" s="500">
        <f t="shared" si="68"/>
        <v>100</v>
      </c>
      <c r="M54" s="635">
        <f>Rezone!J54</f>
        <v>52</v>
      </c>
      <c r="N54" s="356"/>
      <c r="O54" s="348"/>
      <c r="P54" s="348"/>
      <c r="Q54" s="348"/>
      <c r="R54" s="345"/>
      <c r="S54" s="348"/>
      <c r="T54" s="345"/>
      <c r="U54" s="348"/>
      <c r="V54" s="348"/>
      <c r="W54" s="345"/>
      <c r="X54" s="345"/>
      <c r="Y54" s="348"/>
      <c r="Z54" s="345"/>
      <c r="AA54" s="348"/>
      <c r="AB54" s="348"/>
      <c r="AC54" s="345"/>
      <c r="AD54" s="348"/>
      <c r="AE54" s="348"/>
      <c r="AF54" s="336"/>
      <c r="AG54" s="532">
        <f t="shared" si="52"/>
        <v>43694.124999999876</v>
      </c>
      <c r="AH54" s="91">
        <f>MIN(25%,(BG54+CE54)/(E54-Explore!S54*20))</f>
        <v>0</v>
      </c>
      <c r="AI54" s="59">
        <f t="shared" si="13"/>
        <v>0</v>
      </c>
      <c r="AJ54" s="56">
        <f ca="1">Production!$H54</f>
        <v>3490712</v>
      </c>
      <c r="AK54" s="57">
        <f ca="1">Production!$J54</f>
        <v>281384</v>
      </c>
      <c r="AL54" s="152">
        <f ca="1">ROUND( (1 - MIN(facs_constr_factor*$AH54,facs_constr_max)) * (1+MIN(tech_construction*Techs!AC54,tech_conquerors_crafts*Techs!AS54)) * AU54*(1+race_construction_cost),0)</f>
        <v>1615</v>
      </c>
      <c r="AM54" s="166">
        <f t="shared" si="60"/>
        <v>263</v>
      </c>
      <c r="AN54" s="152">
        <f ca="1">ROUND( (1 - MIN(facs_constr_factor*$AI54,facs_constr_max)) * (1+MIN(tech_construction*Techs!AE54,tech_conquerors_crafts*Techs!AU54)) * AU54*(1+race_construction_cost),0)</f>
        <v>1615</v>
      </c>
      <c r="AO54" s="166">
        <f t="shared" si="69"/>
        <v>263</v>
      </c>
      <c r="AP54" s="16">
        <f t="shared" ca="1" si="56"/>
        <v>0</v>
      </c>
      <c r="AQ54" s="53">
        <f t="shared" si="57"/>
        <v>0</v>
      </c>
      <c r="AR54" s="16">
        <f>MIN(SUM(F53:L53)+SUM(Explore!T42:Z42)+SUM(BV54:CN54),SUM($N54:$AF54))</f>
        <v>0</v>
      </c>
      <c r="AS54" s="16">
        <f>IF(Explore!S54&lt;&gt;0,MAX(0, MIN(20, 20 + SUM(N54:AF54) - SUM(BV54:CN54) - SUM(F53:L53)-SUM(Explore!T42:Z42)-20*Explore!S54)),0)</f>
        <v>0</v>
      </c>
      <c r="AU54" s="152">
        <f t="shared" si="17"/>
        <v>1615</v>
      </c>
      <c r="AV54" s="166">
        <f t="shared" si="18"/>
        <v>262.5</v>
      </c>
      <c r="AW54" s="164"/>
      <c r="AX54" s="295">
        <f>AX53 + IF(Overview!$B$14="Gnome",N45,N42) -BV54</f>
        <v>0</v>
      </c>
      <c r="AY54" s="28">
        <f>AY53 + IF(Overview!$B$14="Gnome",O45,O42) -BW54</f>
        <v>0</v>
      </c>
      <c r="AZ54" s="28">
        <f>AZ53 + IF(Overview!$B$14="Gnome",P45,P42) -BX54</f>
        <v>80</v>
      </c>
      <c r="BA54" s="28">
        <f>BA53 + IF(Overview!$B$14="Gnome",Q45,Q42) -BY54</f>
        <v>200</v>
      </c>
      <c r="BB54" s="28">
        <f>BB53 + IF(Overview!$B$14="Gnome",R45,R42) -BZ54</f>
        <v>0</v>
      </c>
      <c r="BC54" s="29">
        <f>BC53 + IF(Overview!$B$14="Gnome",S45,S42) -CA54</f>
        <v>50</v>
      </c>
      <c r="BD54" s="29">
        <f>BD53 + IF(Overview!$B$14="Gnome",T45,T42) -CB54</f>
        <v>0</v>
      </c>
      <c r="BE54" s="30">
        <f>BE53 + IF(Overview!$B$14="Gnome",U45,U42) -CC54</f>
        <v>0</v>
      </c>
      <c r="BF54" s="30">
        <f>BF53 + IF(Overview!$B$14="Gnome",V45,V42) -CD54</f>
        <v>0</v>
      </c>
      <c r="BG54" s="31">
        <f>BG53 + IF(Overview!$B$14="Gnome",W45,W42) -CE54</f>
        <v>0</v>
      </c>
      <c r="BH54" s="31">
        <f>BH53 + IF(Overview!$B$14="Gnome",X45,X42) -CF54</f>
        <v>0</v>
      </c>
      <c r="BI54" s="31">
        <f>BI53 + IF(Overview!$B$14="Gnome",Y45,Y42) -CG54</f>
        <v>0</v>
      </c>
      <c r="BJ54" s="31">
        <f>BJ53 + IF(Overview!$B$14="Gnome",Z45,Z42) -CH54</f>
        <v>0</v>
      </c>
      <c r="BK54" s="32">
        <f>BK53 + IF(Overview!$B$14="Gnome",AA45,AA42) -CI54</f>
        <v>50</v>
      </c>
      <c r="BL54" s="32">
        <f>BL53 + IF(Overview!$B$14="Gnome",AB45,AB42) -CJ54</f>
        <v>0</v>
      </c>
      <c r="BM54" s="32">
        <f>BM53 + IF(Overview!$B$14="Gnome",AC45,AC42) -CK54</f>
        <v>0</v>
      </c>
      <c r="BN54" s="33">
        <f>BN53 + IF(Overview!$B$14="Gnome",AD45,AD42) -CL54</f>
        <v>0</v>
      </c>
      <c r="BO54" s="33">
        <f>BO53 + IF(Overview!$B$14="Gnome",AE45,AE42) -CM54</f>
        <v>0</v>
      </c>
      <c r="BP54" s="69">
        <f>BP53 + IF(Overview!$B$14="Gnome",AF45,AF42) -CN54</f>
        <v>0</v>
      </c>
      <c r="BR54" s="442"/>
      <c r="BS54" s="156">
        <f t="shared" si="61"/>
        <v>1000</v>
      </c>
      <c r="BT54" s="574">
        <f t="shared" si="43"/>
        <v>43694.124999999876</v>
      </c>
      <c r="BV54" s="356"/>
      <c r="BW54" s="348"/>
      <c r="BX54" s="348"/>
      <c r="BY54" s="348"/>
      <c r="BZ54" s="348"/>
      <c r="CA54" s="348"/>
      <c r="CB54" s="348"/>
      <c r="CC54" s="348"/>
      <c r="CD54" s="348"/>
      <c r="CE54" s="348"/>
      <c r="CF54" s="348"/>
      <c r="CG54" s="348"/>
      <c r="CH54" s="348"/>
      <c r="CI54" s="348"/>
      <c r="CJ54" s="348"/>
      <c r="CK54" s="348"/>
      <c r="CL54" s="348"/>
      <c r="CM54" s="360"/>
      <c r="CN54" s="357"/>
      <c r="CP54" s="86">
        <f>-SUM($O54:$R54)+SUM($BW54:BZ54)+Rezone!L54+IF(home_land=CP$2,CW54) + Explore!T42</f>
        <v>0</v>
      </c>
      <c r="CQ54" s="37">
        <f>-SUM($S54:$T54)+SUM($CA54:$CB54) +Rezone!M54 + IF(home_land=CQ$2,CW54) + Explore!U42</f>
        <v>0</v>
      </c>
      <c r="CR54" s="247">
        <f>-SUM($U54:$V54)+SUM($CC54:$CD54) +Rezone!N54 + IF(home_land=CR$2,CW54) + Explore!V42</f>
        <v>0</v>
      </c>
      <c r="CS54" s="38">
        <f>-SUM($W54:$Z54)+SUM($CE54:$CH54) +Rezone!O54 + IF(home_land=CS$2,CW54) + Explore!W42</f>
        <v>0</v>
      </c>
      <c r="CT54" s="39">
        <f>-SUM($AA54:$AC54)+SUM($CI54:$CK54) +Rezone!P54 + IF(home_land=CT$2,CW54) + Explore!X42</f>
        <v>0</v>
      </c>
      <c r="CU54" s="40">
        <f xml:space="preserve"> - SUM($AD54,$AE54)+SUM($CL54,$CM54) +Rezone!Q54 + IF(home_land=CU$2,CW54)+Explore!Y42</f>
        <v>0</v>
      </c>
      <c r="CV54" s="500">
        <f>-$AF54+$CN54 +Rezone!R54 + IF(home_land=CV$2,CW54) + Explore!Z42</f>
        <v>0</v>
      </c>
      <c r="CW54" s="159">
        <f>IF(Explore!S54=1,25) - N54 + BV54</f>
        <v>0</v>
      </c>
      <c r="CY54" s="152">
        <f t="shared" si="71"/>
        <v>280</v>
      </c>
      <c r="CZ54" s="164">
        <f t="shared" si="72"/>
        <v>150</v>
      </c>
      <c r="DA54" s="16">
        <f t="shared" si="73"/>
        <v>150</v>
      </c>
      <c r="DB54" s="164">
        <f t="shared" si="74"/>
        <v>150</v>
      </c>
      <c r="DC54" s="164">
        <f t="shared" si="75"/>
        <v>150</v>
      </c>
      <c r="DD54" s="16">
        <f t="shared" si="76"/>
        <v>20</v>
      </c>
      <c r="DE54" s="166">
        <f t="shared" si="77"/>
        <v>100</v>
      </c>
      <c r="DF54" s="164">
        <f t="shared" ca="1" si="53"/>
        <v>280</v>
      </c>
      <c r="DG54" s="16">
        <f t="shared" si="54"/>
        <v>0</v>
      </c>
      <c r="DH54" s="16">
        <f t="shared" si="55"/>
        <v>54</v>
      </c>
      <c r="DI54" s="166"/>
    </row>
    <row r="55" spans="1:113" s="16" customFormat="1">
      <c r="A55" s="36">
        <f t="shared" si="58"/>
        <v>620</v>
      </c>
      <c r="B55" s="36">
        <f t="shared" si="51"/>
        <v>380</v>
      </c>
      <c r="C55" s="83">
        <f t="shared" si="70"/>
        <v>0</v>
      </c>
      <c r="D55" s="574"/>
      <c r="E55" s="16">
        <f t="shared" si="59"/>
        <v>1000</v>
      </c>
      <c r="F55" s="86">
        <f t="shared" si="62"/>
        <v>0</v>
      </c>
      <c r="G55" s="37">
        <f t="shared" si="63"/>
        <v>100</v>
      </c>
      <c r="H55" s="247">
        <f t="shared" si="64"/>
        <v>150</v>
      </c>
      <c r="I55" s="38">
        <f t="shared" si="65"/>
        <v>150</v>
      </c>
      <c r="J55" s="39">
        <f t="shared" si="66"/>
        <v>100</v>
      </c>
      <c r="K55" s="40">
        <f t="shared" si="67"/>
        <v>20</v>
      </c>
      <c r="L55" s="500">
        <f t="shared" si="68"/>
        <v>100</v>
      </c>
      <c r="M55" s="635">
        <f>Rezone!J55</f>
        <v>53</v>
      </c>
      <c r="N55" s="356"/>
      <c r="O55" s="348"/>
      <c r="P55" s="348"/>
      <c r="Q55" s="348"/>
      <c r="R55" s="345"/>
      <c r="S55" s="348"/>
      <c r="T55" s="345"/>
      <c r="U55" s="348"/>
      <c r="V55" s="348"/>
      <c r="W55" s="345"/>
      <c r="X55" s="345"/>
      <c r="Y55" s="348"/>
      <c r="Z55" s="345"/>
      <c r="AA55" s="348"/>
      <c r="AB55" s="348"/>
      <c r="AC55" s="345"/>
      <c r="AD55" s="348"/>
      <c r="AE55" s="348"/>
      <c r="AF55" s="336"/>
      <c r="AG55" s="532">
        <f t="shared" si="52"/>
        <v>43694.166666666541</v>
      </c>
      <c r="AH55" s="91">
        <f>MIN(25%,(BG55+CE55)/(E55-Explore!S55*20))</f>
        <v>0</v>
      </c>
      <c r="AI55" s="59">
        <f t="shared" si="13"/>
        <v>0</v>
      </c>
      <c r="AJ55" s="56">
        <f ca="1">Production!$H55</f>
        <v>3501363</v>
      </c>
      <c r="AK55" s="57">
        <f ca="1">Production!$J55</f>
        <v>281070</v>
      </c>
      <c r="AL55" s="152">
        <f ca="1">ROUND( (1 - MIN(facs_constr_factor*$AH55,facs_constr_max)) * (1+MIN(tech_construction*Techs!AC55,tech_conquerors_crafts*Techs!AS55)) * AU55*(1+race_construction_cost),0)</f>
        <v>1615</v>
      </c>
      <c r="AM55" s="166">
        <f t="shared" si="60"/>
        <v>263</v>
      </c>
      <c r="AN55" s="152">
        <f ca="1">ROUND( (1 - MIN(facs_constr_factor*$AI55,facs_constr_max)) * (1+MIN(tech_construction*Techs!AE55,tech_conquerors_crafts*Techs!AU55)) * AU55*(1+race_construction_cost),0)</f>
        <v>1615</v>
      </c>
      <c r="AO55" s="166">
        <f t="shared" si="69"/>
        <v>263</v>
      </c>
      <c r="AP55" s="16">
        <f t="shared" ca="1" si="56"/>
        <v>0</v>
      </c>
      <c r="AQ55" s="53">
        <f t="shared" si="57"/>
        <v>0</v>
      </c>
      <c r="AR55" s="16">
        <f>MIN(SUM(F54:L54)+SUM(Explore!T43:Z43)+SUM(BV55:CN55),SUM($N55:$AF55))</f>
        <v>0</v>
      </c>
      <c r="AS55" s="16">
        <f>IF(Explore!S55&lt;&gt;0,MAX(0, MIN(20, 20 + SUM(N55:AF55) - SUM(BV55:CN55) - SUM(F54:L54)-SUM(Explore!T43:Z43)-20*Explore!S55)),0)</f>
        <v>0</v>
      </c>
      <c r="AU55" s="152">
        <f t="shared" si="17"/>
        <v>1615</v>
      </c>
      <c r="AV55" s="166">
        <f t="shared" si="18"/>
        <v>262.5</v>
      </c>
      <c r="AW55" s="164"/>
      <c r="AX55" s="295">
        <f>AX54 + IF(Overview!$B$14="Gnome",N46,N43) -BV55</f>
        <v>0</v>
      </c>
      <c r="AY55" s="28">
        <f>AY54 + IF(Overview!$B$14="Gnome",O46,O43) -BW55</f>
        <v>0</v>
      </c>
      <c r="AZ55" s="28">
        <f>AZ54 + IF(Overview!$B$14="Gnome",P46,P43) -BX55</f>
        <v>80</v>
      </c>
      <c r="BA55" s="28">
        <f>BA54 + IF(Overview!$B$14="Gnome",Q46,Q43) -BY55</f>
        <v>200</v>
      </c>
      <c r="BB55" s="28">
        <f>BB54 + IF(Overview!$B$14="Gnome",R46,R43) -BZ55</f>
        <v>0</v>
      </c>
      <c r="BC55" s="29">
        <f>BC54 + IF(Overview!$B$14="Gnome",S46,S43) -CA55</f>
        <v>50</v>
      </c>
      <c r="BD55" s="29">
        <f>BD54 + IF(Overview!$B$14="Gnome",T46,T43) -CB55</f>
        <v>0</v>
      </c>
      <c r="BE55" s="30">
        <f>BE54 + IF(Overview!$B$14="Gnome",U46,U43) -CC55</f>
        <v>0</v>
      </c>
      <c r="BF55" s="30">
        <f>BF54 + IF(Overview!$B$14="Gnome",V46,V43) -CD55</f>
        <v>0</v>
      </c>
      <c r="BG55" s="31">
        <f>BG54 + IF(Overview!$B$14="Gnome",W46,W43) -CE55</f>
        <v>0</v>
      </c>
      <c r="BH55" s="31">
        <f>BH54 + IF(Overview!$B$14="Gnome",X46,X43) -CF55</f>
        <v>0</v>
      </c>
      <c r="BI55" s="31">
        <f>BI54 + IF(Overview!$B$14="Gnome",Y46,Y43) -CG55</f>
        <v>0</v>
      </c>
      <c r="BJ55" s="31">
        <f>BJ54 + IF(Overview!$B$14="Gnome",Z46,Z43) -CH55</f>
        <v>0</v>
      </c>
      <c r="BK55" s="32">
        <f>BK54 + IF(Overview!$B$14="Gnome",AA46,AA43) -CI55</f>
        <v>50</v>
      </c>
      <c r="BL55" s="32">
        <f>BL54 + IF(Overview!$B$14="Gnome",AB46,AB43) -CJ55</f>
        <v>0</v>
      </c>
      <c r="BM55" s="32">
        <f>BM54 + IF(Overview!$B$14="Gnome",AC46,AC43) -CK55</f>
        <v>0</v>
      </c>
      <c r="BN55" s="33">
        <f>BN54 + IF(Overview!$B$14="Gnome",AD46,AD43) -CL55</f>
        <v>0</v>
      </c>
      <c r="BO55" s="33">
        <f>BO54 + IF(Overview!$B$14="Gnome",AE46,AE43) -CM55</f>
        <v>0</v>
      </c>
      <c r="BP55" s="69">
        <f>BP54 + IF(Overview!$B$14="Gnome",AF46,AF43) -CN55</f>
        <v>0</v>
      </c>
      <c r="BR55" s="442"/>
      <c r="BS55" s="156">
        <f t="shared" si="61"/>
        <v>1000</v>
      </c>
      <c r="BT55" s="574">
        <f t="shared" si="43"/>
        <v>43694.166666666541</v>
      </c>
      <c r="BV55" s="356"/>
      <c r="BW55" s="348"/>
      <c r="BX55" s="348"/>
      <c r="BY55" s="348"/>
      <c r="BZ55" s="348"/>
      <c r="CA55" s="348"/>
      <c r="CB55" s="348"/>
      <c r="CC55" s="348"/>
      <c r="CD55" s="348"/>
      <c r="CE55" s="348"/>
      <c r="CF55" s="348"/>
      <c r="CG55" s="348"/>
      <c r="CH55" s="348"/>
      <c r="CI55" s="348"/>
      <c r="CJ55" s="348"/>
      <c r="CK55" s="348"/>
      <c r="CL55" s="348"/>
      <c r="CM55" s="360"/>
      <c r="CN55" s="357"/>
      <c r="CP55" s="86">
        <f>-SUM($O55:$R55)+SUM($BW55:BZ55)+Rezone!L55+IF(home_land=CP$2,CW55) + Explore!T43</f>
        <v>0</v>
      </c>
      <c r="CQ55" s="37">
        <f>-SUM($S55:$T55)+SUM($CA55:$CB55) +Rezone!M55 + IF(home_land=CQ$2,CW55) + Explore!U43</f>
        <v>0</v>
      </c>
      <c r="CR55" s="247">
        <f>-SUM($U55:$V55)+SUM($CC55:$CD55) +Rezone!N55 + IF(home_land=CR$2,CW55) + Explore!V43</f>
        <v>0</v>
      </c>
      <c r="CS55" s="38">
        <f>-SUM($W55:$Z55)+SUM($CE55:$CH55) +Rezone!O55 + IF(home_land=CS$2,CW55) + Explore!W43</f>
        <v>0</v>
      </c>
      <c r="CT55" s="39">
        <f>-SUM($AA55:$AC55)+SUM($CI55:$CK55) +Rezone!P55 + IF(home_land=CT$2,CW55) + Explore!X43</f>
        <v>0</v>
      </c>
      <c r="CU55" s="40">
        <f xml:space="preserve"> - SUM($AD55,$AE55)+SUM($CL55,$CM55) +Rezone!Q55 + IF(home_land=CU$2,CW55)+Explore!Y43</f>
        <v>0</v>
      </c>
      <c r="CV55" s="500">
        <f>-$AF55+$CN55 +Rezone!R55 + IF(home_land=CV$2,CW55) + Explore!Z43</f>
        <v>0</v>
      </c>
      <c r="CW55" s="159">
        <f>IF(Explore!S55=1,25) - N55 + BV55</f>
        <v>0</v>
      </c>
      <c r="CY55" s="152">
        <f t="shared" si="71"/>
        <v>280</v>
      </c>
      <c r="CZ55" s="164">
        <f t="shared" si="72"/>
        <v>150</v>
      </c>
      <c r="DA55" s="16">
        <f t="shared" si="73"/>
        <v>150</v>
      </c>
      <c r="DB55" s="164">
        <f t="shared" si="74"/>
        <v>150</v>
      </c>
      <c r="DC55" s="164">
        <f t="shared" si="75"/>
        <v>150</v>
      </c>
      <c r="DD55" s="16">
        <f t="shared" si="76"/>
        <v>20</v>
      </c>
      <c r="DE55" s="166">
        <f t="shared" si="77"/>
        <v>100</v>
      </c>
      <c r="DF55" s="164">
        <f t="shared" ca="1" si="53"/>
        <v>280</v>
      </c>
      <c r="DG55" s="16">
        <f t="shared" si="54"/>
        <v>0</v>
      </c>
      <c r="DH55" s="16">
        <f t="shared" si="55"/>
        <v>55</v>
      </c>
      <c r="DI55" s="166"/>
    </row>
    <row r="56" spans="1:113" s="16" customFormat="1">
      <c r="A56" s="36">
        <f t="shared" si="58"/>
        <v>620</v>
      </c>
      <c r="B56" s="36">
        <f t="shared" si="51"/>
        <v>380</v>
      </c>
      <c r="C56" s="83">
        <f t="shared" si="70"/>
        <v>0</v>
      </c>
      <c r="D56" s="574"/>
      <c r="E56" s="16">
        <f t="shared" si="59"/>
        <v>1000</v>
      </c>
      <c r="F56" s="86">
        <f t="shared" si="62"/>
        <v>0</v>
      </c>
      <c r="G56" s="37">
        <f t="shared" si="63"/>
        <v>100</v>
      </c>
      <c r="H56" s="247">
        <f t="shared" si="64"/>
        <v>150</v>
      </c>
      <c r="I56" s="38">
        <f t="shared" si="65"/>
        <v>150</v>
      </c>
      <c r="J56" s="39">
        <f t="shared" si="66"/>
        <v>100</v>
      </c>
      <c r="K56" s="40">
        <f t="shared" si="67"/>
        <v>20</v>
      </c>
      <c r="L56" s="500">
        <f t="shared" si="68"/>
        <v>100</v>
      </c>
      <c r="M56" s="635">
        <f>Rezone!J56</f>
        <v>54</v>
      </c>
      <c r="N56" s="356"/>
      <c r="O56" s="348"/>
      <c r="P56" s="348"/>
      <c r="Q56" s="348"/>
      <c r="R56" s="345"/>
      <c r="S56" s="348"/>
      <c r="T56" s="345"/>
      <c r="U56" s="348"/>
      <c r="V56" s="348"/>
      <c r="W56" s="345"/>
      <c r="X56" s="345"/>
      <c r="Y56" s="348"/>
      <c r="Z56" s="345"/>
      <c r="AA56" s="348"/>
      <c r="AB56" s="348"/>
      <c r="AC56" s="345"/>
      <c r="AD56" s="348"/>
      <c r="AE56" s="348"/>
      <c r="AF56" s="336"/>
      <c r="AG56" s="532">
        <f t="shared" si="52"/>
        <v>43694.208333333205</v>
      </c>
      <c r="AH56" s="91">
        <f>MIN(25%,(BG56+CE56)/(E56-Explore!S56*20))</f>
        <v>0</v>
      </c>
      <c r="AI56" s="59">
        <f t="shared" si="13"/>
        <v>0</v>
      </c>
      <c r="AJ56" s="56">
        <f ca="1">Production!$H56</f>
        <v>3512014</v>
      </c>
      <c r="AK56" s="57">
        <f ca="1">Production!$J56</f>
        <v>280759</v>
      </c>
      <c r="AL56" s="152">
        <f ca="1">ROUND( (1 - MIN(facs_constr_factor*$AH56,facs_constr_max)) * (1+MIN(tech_construction*Techs!AC56,tech_conquerors_crafts*Techs!AS56)) * AU56*(1+race_construction_cost),0)</f>
        <v>1615</v>
      </c>
      <c r="AM56" s="166">
        <f t="shared" si="60"/>
        <v>263</v>
      </c>
      <c r="AN56" s="152">
        <f ca="1">ROUND( (1 - MIN(facs_constr_factor*$AI56,facs_constr_max)) * (1+MIN(tech_construction*Techs!AE56,tech_conquerors_crafts*Techs!AU56)) * AU56*(1+race_construction_cost),0)</f>
        <v>1615</v>
      </c>
      <c r="AO56" s="166">
        <f t="shared" si="69"/>
        <v>263</v>
      </c>
      <c r="AP56" s="16">
        <f t="shared" ca="1" si="56"/>
        <v>0</v>
      </c>
      <c r="AQ56" s="53">
        <f t="shared" si="57"/>
        <v>0</v>
      </c>
      <c r="AR56" s="16">
        <f>MIN(SUM(F55:L55)+SUM(Explore!T44:Z44)+SUM(BV56:CN56),SUM($N56:$AF56))</f>
        <v>0</v>
      </c>
      <c r="AS56" s="16">
        <f>IF(Explore!S56&lt;&gt;0,MAX(0, MIN(20, 20 + SUM(N56:AF56) - SUM(BV56:CN56) - SUM(F55:L55)-SUM(Explore!T44:Z44)-20*Explore!S56)),0)</f>
        <v>0</v>
      </c>
      <c r="AU56" s="152">
        <f t="shared" si="17"/>
        <v>1615</v>
      </c>
      <c r="AV56" s="166">
        <f t="shared" si="18"/>
        <v>262.5</v>
      </c>
      <c r="AW56" s="164"/>
      <c r="AX56" s="295">
        <f>AX55 + IF(Overview!$B$14="Gnome",N47,N44) -BV56</f>
        <v>0</v>
      </c>
      <c r="AY56" s="28">
        <f>AY55 + IF(Overview!$B$14="Gnome",O47,O44) -BW56</f>
        <v>0</v>
      </c>
      <c r="AZ56" s="28">
        <f>AZ55 + IF(Overview!$B$14="Gnome",P47,P44) -BX56</f>
        <v>80</v>
      </c>
      <c r="BA56" s="28">
        <f>BA55 + IF(Overview!$B$14="Gnome",Q47,Q44) -BY56</f>
        <v>200</v>
      </c>
      <c r="BB56" s="28">
        <f>BB55 + IF(Overview!$B$14="Gnome",R47,R44) -BZ56</f>
        <v>0</v>
      </c>
      <c r="BC56" s="29">
        <f>BC55 + IF(Overview!$B$14="Gnome",S47,S44) -CA56</f>
        <v>50</v>
      </c>
      <c r="BD56" s="29">
        <f>BD55 + IF(Overview!$B$14="Gnome",T47,T44) -CB56</f>
        <v>0</v>
      </c>
      <c r="BE56" s="30">
        <f>BE55 + IF(Overview!$B$14="Gnome",U47,U44) -CC56</f>
        <v>0</v>
      </c>
      <c r="BF56" s="30">
        <f>BF55 + IF(Overview!$B$14="Gnome",V47,V44) -CD56</f>
        <v>0</v>
      </c>
      <c r="BG56" s="31">
        <f>BG55 + IF(Overview!$B$14="Gnome",W47,W44) -CE56</f>
        <v>0</v>
      </c>
      <c r="BH56" s="31">
        <f>BH55 + IF(Overview!$B$14="Gnome",X47,X44) -CF56</f>
        <v>0</v>
      </c>
      <c r="BI56" s="31">
        <f>BI55 + IF(Overview!$B$14="Gnome",Y47,Y44) -CG56</f>
        <v>0</v>
      </c>
      <c r="BJ56" s="31">
        <f>BJ55 + IF(Overview!$B$14="Gnome",Z47,Z44) -CH56</f>
        <v>0</v>
      </c>
      <c r="BK56" s="32">
        <f>BK55 + IF(Overview!$B$14="Gnome",AA47,AA44) -CI56</f>
        <v>50</v>
      </c>
      <c r="BL56" s="32">
        <f>BL55 + IF(Overview!$B$14="Gnome",AB47,AB44) -CJ56</f>
        <v>0</v>
      </c>
      <c r="BM56" s="32">
        <f>BM55 + IF(Overview!$B$14="Gnome",AC47,AC44) -CK56</f>
        <v>0</v>
      </c>
      <c r="BN56" s="33">
        <f>BN55 + IF(Overview!$B$14="Gnome",AD47,AD44) -CL56</f>
        <v>0</v>
      </c>
      <c r="BO56" s="33">
        <f>BO55 + IF(Overview!$B$14="Gnome",AE47,AE44) -CM56</f>
        <v>0</v>
      </c>
      <c r="BP56" s="69">
        <f>BP55 + IF(Overview!$B$14="Gnome",AF47,AF44) -CN56</f>
        <v>0</v>
      </c>
      <c r="BR56" s="442"/>
      <c r="BS56" s="156">
        <f t="shared" si="61"/>
        <v>1000</v>
      </c>
      <c r="BT56" s="574">
        <f t="shared" si="43"/>
        <v>43694.208333333205</v>
      </c>
      <c r="BV56" s="356"/>
      <c r="BW56" s="348"/>
      <c r="BX56" s="348"/>
      <c r="BY56" s="348"/>
      <c r="BZ56" s="348"/>
      <c r="CA56" s="348"/>
      <c r="CB56" s="348"/>
      <c r="CC56" s="348"/>
      <c r="CD56" s="348"/>
      <c r="CE56" s="348"/>
      <c r="CF56" s="348"/>
      <c r="CG56" s="348"/>
      <c r="CH56" s="348"/>
      <c r="CI56" s="348"/>
      <c r="CJ56" s="348"/>
      <c r="CK56" s="348"/>
      <c r="CL56" s="348"/>
      <c r="CM56" s="360"/>
      <c r="CN56" s="357"/>
      <c r="CP56" s="86">
        <f>-SUM($O56:$R56)+SUM($BW56:BZ56)+Rezone!L56+IF(home_land=CP$2,CW56) + Explore!T44</f>
        <v>0</v>
      </c>
      <c r="CQ56" s="37">
        <f>-SUM($S56:$T56)+SUM($CA56:$CB56) +Rezone!M56 + IF(home_land=CQ$2,CW56) + Explore!U44</f>
        <v>0</v>
      </c>
      <c r="CR56" s="247">
        <f>-SUM($U56:$V56)+SUM($CC56:$CD56) +Rezone!N56 + IF(home_land=CR$2,CW56) + Explore!V44</f>
        <v>0</v>
      </c>
      <c r="CS56" s="38">
        <f>-SUM($W56:$Z56)+SUM($CE56:$CH56) +Rezone!O56 + IF(home_land=CS$2,CW56) + Explore!W44</f>
        <v>0</v>
      </c>
      <c r="CT56" s="39">
        <f>-SUM($AA56:$AC56)+SUM($CI56:$CK56) +Rezone!P56 + IF(home_land=CT$2,CW56) + Explore!X44</f>
        <v>0</v>
      </c>
      <c r="CU56" s="40">
        <f xml:space="preserve"> - SUM($AD56,$AE56)+SUM($CL56,$CM56) +Rezone!Q56 + IF(home_land=CU$2,CW56)+Explore!Y44</f>
        <v>0</v>
      </c>
      <c r="CV56" s="500">
        <f>-$AF56+$CN56 +Rezone!R56 + IF(home_land=CV$2,CW56) + Explore!Z44</f>
        <v>0</v>
      </c>
      <c r="CW56" s="159">
        <f>IF(Explore!S56=1,25) - N56 + BV56</f>
        <v>0</v>
      </c>
      <c r="CY56" s="152">
        <f t="shared" si="71"/>
        <v>280</v>
      </c>
      <c r="CZ56" s="164">
        <f t="shared" si="72"/>
        <v>150</v>
      </c>
      <c r="DA56" s="16">
        <f t="shared" si="73"/>
        <v>150</v>
      </c>
      <c r="DB56" s="164">
        <f t="shared" si="74"/>
        <v>150</v>
      </c>
      <c r="DC56" s="164">
        <f t="shared" si="75"/>
        <v>150</v>
      </c>
      <c r="DD56" s="16">
        <f t="shared" si="76"/>
        <v>20</v>
      </c>
      <c r="DE56" s="166">
        <f t="shared" si="77"/>
        <v>100</v>
      </c>
      <c r="DF56" s="164">
        <f t="shared" ca="1" si="53"/>
        <v>280</v>
      </c>
      <c r="DG56" s="16">
        <f t="shared" si="54"/>
        <v>0</v>
      </c>
      <c r="DH56" s="16">
        <f t="shared" si="55"/>
        <v>56</v>
      </c>
      <c r="DI56" s="166"/>
    </row>
    <row r="57" spans="1:113" s="16" customFormat="1">
      <c r="A57" s="36">
        <f t="shared" si="58"/>
        <v>620</v>
      </c>
      <c r="B57" s="36">
        <f t="shared" si="51"/>
        <v>380</v>
      </c>
      <c r="C57" s="83">
        <f t="shared" si="70"/>
        <v>0</v>
      </c>
      <c r="D57" s="574"/>
      <c r="E57" s="16">
        <f t="shared" si="59"/>
        <v>1000</v>
      </c>
      <c r="F57" s="86">
        <f t="shared" si="62"/>
        <v>0</v>
      </c>
      <c r="G57" s="37">
        <f t="shared" si="63"/>
        <v>100</v>
      </c>
      <c r="H57" s="247">
        <f t="shared" si="64"/>
        <v>150</v>
      </c>
      <c r="I57" s="38">
        <f t="shared" si="65"/>
        <v>150</v>
      </c>
      <c r="J57" s="39">
        <f t="shared" si="66"/>
        <v>100</v>
      </c>
      <c r="K57" s="40">
        <f t="shared" si="67"/>
        <v>20</v>
      </c>
      <c r="L57" s="500">
        <f t="shared" si="68"/>
        <v>100</v>
      </c>
      <c r="M57" s="635">
        <f>Rezone!J57</f>
        <v>55</v>
      </c>
      <c r="N57" s="356"/>
      <c r="O57" s="348"/>
      <c r="P57" s="348"/>
      <c r="Q57" s="348"/>
      <c r="R57" s="345"/>
      <c r="S57" s="348"/>
      <c r="T57" s="345"/>
      <c r="U57" s="348"/>
      <c r="V57" s="348"/>
      <c r="W57" s="345"/>
      <c r="X57" s="345"/>
      <c r="Y57" s="348"/>
      <c r="Z57" s="345"/>
      <c r="AA57" s="348"/>
      <c r="AB57" s="348"/>
      <c r="AC57" s="345"/>
      <c r="AD57" s="348"/>
      <c r="AE57" s="348"/>
      <c r="AF57" s="336"/>
      <c r="AG57" s="532">
        <f t="shared" si="52"/>
        <v>43694.249999999869</v>
      </c>
      <c r="AH57" s="91">
        <f>MIN(25%,(BG57+CE57)/(E57-Explore!S57*20))</f>
        <v>0</v>
      </c>
      <c r="AI57" s="59">
        <f t="shared" si="13"/>
        <v>0</v>
      </c>
      <c r="AJ57" s="56">
        <f ca="1">Production!$H57</f>
        <v>3522665</v>
      </c>
      <c r="AK57" s="57">
        <f ca="1">Production!$J57</f>
        <v>280451</v>
      </c>
      <c r="AL57" s="152">
        <f ca="1">ROUND( (1 - MIN(facs_constr_factor*$AH57,facs_constr_max)) * (1+MIN(tech_construction*Techs!AC57,tech_conquerors_crafts*Techs!AS57)) * AU57*(1+race_construction_cost),0)</f>
        <v>1615</v>
      </c>
      <c r="AM57" s="166">
        <f t="shared" si="60"/>
        <v>263</v>
      </c>
      <c r="AN57" s="152">
        <f ca="1">ROUND( (1 - MIN(facs_constr_factor*$AI57,facs_constr_max)) * (1+MIN(tech_construction*Techs!AE57,tech_conquerors_crafts*Techs!AU57)) * AU57*(1+race_construction_cost),0)</f>
        <v>1615</v>
      </c>
      <c r="AO57" s="166">
        <f t="shared" si="69"/>
        <v>263</v>
      </c>
      <c r="AP57" s="16">
        <f t="shared" ca="1" si="56"/>
        <v>0</v>
      </c>
      <c r="AQ57" s="53">
        <f t="shared" si="57"/>
        <v>0</v>
      </c>
      <c r="AR57" s="16">
        <f>MIN(SUM(F56:L56)+SUM(Explore!T45:Z45)+SUM(BV57:CN57),SUM($N57:$AF57))</f>
        <v>0</v>
      </c>
      <c r="AS57" s="16">
        <f>IF(Explore!S57&lt;&gt;0,MAX(0, MIN(20, 20 + SUM(N57:AF57) - SUM(BV57:CN57) - SUM(F56:L56)-SUM(Explore!T45:Z45)-20*Explore!S57)),0)</f>
        <v>0</v>
      </c>
      <c r="AU57" s="152">
        <f t="shared" si="17"/>
        <v>1615</v>
      </c>
      <c r="AV57" s="166">
        <f t="shared" si="18"/>
        <v>262.5</v>
      </c>
      <c r="AW57" s="164"/>
      <c r="AX57" s="295">
        <f>AX56 + IF(Overview!$B$14="Gnome",N48,N45) -BV57</f>
        <v>0</v>
      </c>
      <c r="AY57" s="28">
        <f>AY56 + IF(Overview!$B$14="Gnome",O48,O45) -BW57</f>
        <v>0</v>
      </c>
      <c r="AZ57" s="28">
        <f>AZ56 + IF(Overview!$B$14="Gnome",P48,P45) -BX57</f>
        <v>80</v>
      </c>
      <c r="BA57" s="28">
        <f>BA56 + IF(Overview!$B$14="Gnome",Q48,Q45) -BY57</f>
        <v>200</v>
      </c>
      <c r="BB57" s="28">
        <f>BB56 + IF(Overview!$B$14="Gnome",R48,R45) -BZ57</f>
        <v>0</v>
      </c>
      <c r="BC57" s="29">
        <f>BC56 + IF(Overview!$B$14="Gnome",S48,S45) -CA57</f>
        <v>50</v>
      </c>
      <c r="BD57" s="29">
        <f>BD56 + IF(Overview!$B$14="Gnome",T48,T45) -CB57</f>
        <v>0</v>
      </c>
      <c r="BE57" s="30">
        <f>BE56 + IF(Overview!$B$14="Gnome",U48,U45) -CC57</f>
        <v>0</v>
      </c>
      <c r="BF57" s="30">
        <f>BF56 + IF(Overview!$B$14="Gnome",V48,V45) -CD57</f>
        <v>0</v>
      </c>
      <c r="BG57" s="31">
        <f>BG56 + IF(Overview!$B$14="Gnome",W48,W45) -CE57</f>
        <v>0</v>
      </c>
      <c r="BH57" s="31">
        <f>BH56 + IF(Overview!$B$14="Gnome",X48,X45) -CF57</f>
        <v>0</v>
      </c>
      <c r="BI57" s="31">
        <f>BI56 + IF(Overview!$B$14="Gnome",Y48,Y45) -CG57</f>
        <v>0</v>
      </c>
      <c r="BJ57" s="31">
        <f>BJ56 + IF(Overview!$B$14="Gnome",Z48,Z45) -CH57</f>
        <v>0</v>
      </c>
      <c r="BK57" s="32">
        <f>BK56 + IF(Overview!$B$14="Gnome",AA48,AA45) -CI57</f>
        <v>50</v>
      </c>
      <c r="BL57" s="32">
        <f>BL56 + IF(Overview!$B$14="Gnome",AB48,AB45) -CJ57</f>
        <v>0</v>
      </c>
      <c r="BM57" s="32">
        <f>BM56 + IF(Overview!$B$14="Gnome",AC48,AC45) -CK57</f>
        <v>0</v>
      </c>
      <c r="BN57" s="33">
        <f>BN56 + IF(Overview!$B$14="Gnome",AD48,AD45) -CL57</f>
        <v>0</v>
      </c>
      <c r="BO57" s="33">
        <f>BO56 + IF(Overview!$B$14="Gnome",AE48,AE45) -CM57</f>
        <v>0</v>
      </c>
      <c r="BP57" s="69">
        <f>BP56 + IF(Overview!$B$14="Gnome",AF48,AF45) -CN57</f>
        <v>0</v>
      </c>
      <c r="BR57" s="442"/>
      <c r="BS57" s="156">
        <f t="shared" si="61"/>
        <v>1000</v>
      </c>
      <c r="BT57" s="574">
        <f t="shared" si="43"/>
        <v>43694.249999999869</v>
      </c>
      <c r="BV57" s="356"/>
      <c r="BW57" s="348"/>
      <c r="BX57" s="348"/>
      <c r="BY57" s="348"/>
      <c r="BZ57" s="348"/>
      <c r="CA57" s="348"/>
      <c r="CB57" s="348"/>
      <c r="CC57" s="348"/>
      <c r="CD57" s="348"/>
      <c r="CE57" s="348"/>
      <c r="CF57" s="348"/>
      <c r="CG57" s="348"/>
      <c r="CH57" s="348"/>
      <c r="CI57" s="348"/>
      <c r="CJ57" s="348"/>
      <c r="CK57" s="348"/>
      <c r="CL57" s="348"/>
      <c r="CM57" s="360"/>
      <c r="CN57" s="357"/>
      <c r="CP57" s="86">
        <f>-SUM($O57:$R57)+SUM($BW57:BZ57)+Rezone!L57+IF(home_land=CP$2,CW57) + Explore!T45</f>
        <v>0</v>
      </c>
      <c r="CQ57" s="37">
        <f>-SUM($S57:$T57)+SUM($CA57:$CB57) +Rezone!M57 + IF(home_land=CQ$2,CW57) + Explore!U45</f>
        <v>0</v>
      </c>
      <c r="CR57" s="247">
        <f>-SUM($U57:$V57)+SUM($CC57:$CD57) +Rezone!N57 + IF(home_land=CR$2,CW57) + Explore!V45</f>
        <v>0</v>
      </c>
      <c r="CS57" s="38">
        <f>-SUM($W57:$Z57)+SUM($CE57:$CH57) +Rezone!O57 + IF(home_land=CS$2,CW57) + Explore!W45</f>
        <v>0</v>
      </c>
      <c r="CT57" s="39">
        <f>-SUM($AA57:$AC57)+SUM($CI57:$CK57) +Rezone!P57 + IF(home_land=CT$2,CW57) + Explore!X45</f>
        <v>0</v>
      </c>
      <c r="CU57" s="40">
        <f xml:space="preserve"> - SUM($AD57,$AE57)+SUM($CL57,$CM57) +Rezone!Q57 + IF(home_land=CU$2,CW57)+Explore!Y45</f>
        <v>0</v>
      </c>
      <c r="CV57" s="500">
        <f>-$AF57+$CN57 +Rezone!R57 + IF(home_land=CV$2,CW57) + Explore!Z45</f>
        <v>0</v>
      </c>
      <c r="CW57" s="159">
        <f>IF(Explore!S57=1,25) - N57 + BV57</f>
        <v>0</v>
      </c>
      <c r="CY57" s="152">
        <f t="shared" si="71"/>
        <v>280</v>
      </c>
      <c r="CZ57" s="164">
        <f t="shared" si="72"/>
        <v>150</v>
      </c>
      <c r="DA57" s="16">
        <f t="shared" si="73"/>
        <v>150</v>
      </c>
      <c r="DB57" s="164">
        <f t="shared" si="74"/>
        <v>150</v>
      </c>
      <c r="DC57" s="164">
        <f t="shared" si="75"/>
        <v>150</v>
      </c>
      <c r="DD57" s="16">
        <f t="shared" si="76"/>
        <v>20</v>
      </c>
      <c r="DE57" s="166">
        <f t="shared" si="77"/>
        <v>100</v>
      </c>
      <c r="DF57" s="164">
        <f t="shared" ca="1" si="53"/>
        <v>280</v>
      </c>
      <c r="DG57" s="16">
        <f t="shared" si="54"/>
        <v>0</v>
      </c>
      <c r="DH57" s="16">
        <f t="shared" si="55"/>
        <v>57</v>
      </c>
      <c r="DI57" s="166"/>
    </row>
    <row r="58" spans="1:113" s="16" customFormat="1">
      <c r="A58" s="36">
        <f t="shared" si="58"/>
        <v>620</v>
      </c>
      <c r="B58" s="36">
        <f t="shared" si="51"/>
        <v>380</v>
      </c>
      <c r="C58" s="83">
        <f t="shared" si="70"/>
        <v>0</v>
      </c>
      <c r="D58" s="574"/>
      <c r="E58" s="16">
        <f t="shared" si="59"/>
        <v>1000</v>
      </c>
      <c r="F58" s="86">
        <f t="shared" si="62"/>
        <v>0</v>
      </c>
      <c r="G58" s="37">
        <f t="shared" si="63"/>
        <v>100</v>
      </c>
      <c r="H58" s="247">
        <f t="shared" si="64"/>
        <v>150</v>
      </c>
      <c r="I58" s="38">
        <f t="shared" si="65"/>
        <v>150</v>
      </c>
      <c r="J58" s="39">
        <f t="shared" si="66"/>
        <v>100</v>
      </c>
      <c r="K58" s="40">
        <f t="shared" si="67"/>
        <v>20</v>
      </c>
      <c r="L58" s="500">
        <f t="shared" si="68"/>
        <v>100</v>
      </c>
      <c r="M58" s="635">
        <f>Rezone!J58</f>
        <v>56</v>
      </c>
      <c r="N58" s="356"/>
      <c r="O58" s="348"/>
      <c r="P58" s="348"/>
      <c r="Q58" s="348"/>
      <c r="R58" s="345"/>
      <c r="S58" s="348"/>
      <c r="T58" s="345"/>
      <c r="U58" s="348"/>
      <c r="V58" s="348"/>
      <c r="W58" s="345"/>
      <c r="X58" s="345"/>
      <c r="Y58" s="348"/>
      <c r="Z58" s="345"/>
      <c r="AA58" s="348"/>
      <c r="AB58" s="348"/>
      <c r="AC58" s="345"/>
      <c r="AD58" s="348"/>
      <c r="AE58" s="348"/>
      <c r="AF58" s="336"/>
      <c r="AG58" s="532">
        <f t="shared" si="52"/>
        <v>43694.291666666533</v>
      </c>
      <c r="AH58" s="91">
        <f>MIN(25%,(BG58+CE58)/(E58-Explore!S58*20))</f>
        <v>0</v>
      </c>
      <c r="AI58" s="59">
        <f t="shared" si="13"/>
        <v>0</v>
      </c>
      <c r="AJ58" s="56">
        <f ca="1">Production!$H58</f>
        <v>3533316</v>
      </c>
      <c r="AK58" s="57">
        <f ca="1">Production!$J58</f>
        <v>280146</v>
      </c>
      <c r="AL58" s="152">
        <f ca="1">ROUND( (1 - MIN(facs_constr_factor*$AH58,facs_constr_max)) * (1+MIN(tech_construction*Techs!AC58,tech_conquerors_crafts*Techs!AS58)) * AU58*(1+race_construction_cost),0)</f>
        <v>1615</v>
      </c>
      <c r="AM58" s="166">
        <f t="shared" si="60"/>
        <v>263</v>
      </c>
      <c r="AN58" s="152">
        <f ca="1">ROUND( (1 - MIN(facs_constr_factor*$AI58,facs_constr_max)) * (1+MIN(tech_construction*Techs!AE58,tech_conquerors_crafts*Techs!AU58)) * AU58*(1+race_construction_cost),0)</f>
        <v>1615</v>
      </c>
      <c r="AO58" s="166">
        <f t="shared" si="69"/>
        <v>263</v>
      </c>
      <c r="AP58" s="16">
        <f t="shared" ca="1" si="56"/>
        <v>0</v>
      </c>
      <c r="AQ58" s="53">
        <f t="shared" si="57"/>
        <v>0</v>
      </c>
      <c r="AR58" s="16">
        <f>MIN(SUM(F57:L57)+SUM(Explore!T46:Z46)+SUM(BV58:CN58),SUM($N58:$AF58))</f>
        <v>0</v>
      </c>
      <c r="AS58" s="16">
        <f>IF(Explore!S58&lt;&gt;0,MAX(0, MIN(20, 20 + SUM(N58:AF58) - SUM(BV58:CN58) - SUM(F57:L57)-SUM(Explore!T46:Z46)-20*Explore!S58)),0)</f>
        <v>0</v>
      </c>
      <c r="AU58" s="152">
        <f t="shared" si="17"/>
        <v>1615</v>
      </c>
      <c r="AV58" s="166">
        <f t="shared" si="18"/>
        <v>262.5</v>
      </c>
      <c r="AW58" s="164"/>
      <c r="AX58" s="295">
        <f>AX57 + IF(Overview!$B$14="Gnome",N49,N46) -BV58</f>
        <v>0</v>
      </c>
      <c r="AY58" s="28">
        <f>AY57 + IF(Overview!$B$14="Gnome",O49,O46) -BW58</f>
        <v>0</v>
      </c>
      <c r="AZ58" s="28">
        <f>AZ57 + IF(Overview!$B$14="Gnome",P49,P46) -BX58</f>
        <v>80</v>
      </c>
      <c r="BA58" s="28">
        <f>BA57 + IF(Overview!$B$14="Gnome",Q49,Q46) -BY58</f>
        <v>200</v>
      </c>
      <c r="BB58" s="28">
        <f>BB57 + IF(Overview!$B$14="Gnome",R49,R46) -BZ58</f>
        <v>0</v>
      </c>
      <c r="BC58" s="29">
        <f>BC57 + IF(Overview!$B$14="Gnome",S49,S46) -CA58</f>
        <v>50</v>
      </c>
      <c r="BD58" s="29">
        <f>BD57 + IF(Overview!$B$14="Gnome",T49,T46) -CB58</f>
        <v>0</v>
      </c>
      <c r="BE58" s="30">
        <f>BE57 + IF(Overview!$B$14="Gnome",U49,U46) -CC58</f>
        <v>0</v>
      </c>
      <c r="BF58" s="30">
        <f>BF57 + IF(Overview!$B$14="Gnome",V49,V46) -CD58</f>
        <v>0</v>
      </c>
      <c r="BG58" s="31">
        <f>BG57 + IF(Overview!$B$14="Gnome",W49,W46) -CE58</f>
        <v>0</v>
      </c>
      <c r="BH58" s="31">
        <f>BH57 + IF(Overview!$B$14="Gnome",X49,X46) -CF58</f>
        <v>0</v>
      </c>
      <c r="BI58" s="31">
        <f>BI57 + IF(Overview!$B$14="Gnome",Y49,Y46) -CG58</f>
        <v>0</v>
      </c>
      <c r="BJ58" s="31">
        <f>BJ57 + IF(Overview!$B$14="Gnome",Z49,Z46) -CH58</f>
        <v>0</v>
      </c>
      <c r="BK58" s="32">
        <f>BK57 + IF(Overview!$B$14="Gnome",AA49,AA46) -CI58</f>
        <v>50</v>
      </c>
      <c r="BL58" s="32">
        <f>BL57 + IF(Overview!$B$14="Gnome",AB49,AB46) -CJ58</f>
        <v>0</v>
      </c>
      <c r="BM58" s="32">
        <f>BM57 + IF(Overview!$B$14="Gnome",AC49,AC46) -CK58</f>
        <v>0</v>
      </c>
      <c r="BN58" s="33">
        <f>BN57 + IF(Overview!$B$14="Gnome",AD49,AD46) -CL58</f>
        <v>0</v>
      </c>
      <c r="BO58" s="33">
        <f>BO57 + IF(Overview!$B$14="Gnome",AE49,AE46) -CM58</f>
        <v>0</v>
      </c>
      <c r="BP58" s="69">
        <f>BP57 + IF(Overview!$B$14="Gnome",AF49,AF46) -CN58</f>
        <v>0</v>
      </c>
      <c r="BR58" s="442"/>
      <c r="BS58" s="156">
        <f t="shared" si="61"/>
        <v>1000</v>
      </c>
      <c r="BT58" s="574">
        <f t="shared" si="43"/>
        <v>43694.291666666533</v>
      </c>
      <c r="BV58" s="356"/>
      <c r="BW58" s="348"/>
      <c r="BX58" s="348"/>
      <c r="BY58" s="348"/>
      <c r="BZ58" s="348"/>
      <c r="CA58" s="348"/>
      <c r="CB58" s="348"/>
      <c r="CC58" s="348"/>
      <c r="CD58" s="348"/>
      <c r="CE58" s="348"/>
      <c r="CF58" s="348"/>
      <c r="CG58" s="348"/>
      <c r="CH58" s="348"/>
      <c r="CI58" s="348"/>
      <c r="CJ58" s="348"/>
      <c r="CK58" s="348"/>
      <c r="CL58" s="348"/>
      <c r="CM58" s="360"/>
      <c r="CN58" s="357"/>
      <c r="CP58" s="86">
        <f>-SUM($O58:$R58)+SUM($BW58:BZ58)+Rezone!L58+IF(home_land=CP$2,CW58) + Explore!T46</f>
        <v>0</v>
      </c>
      <c r="CQ58" s="37">
        <f>-SUM($S58:$T58)+SUM($CA58:$CB58) +Rezone!M58 + IF(home_land=CQ$2,CW58) + Explore!U46</f>
        <v>0</v>
      </c>
      <c r="CR58" s="247">
        <f>-SUM($U58:$V58)+SUM($CC58:$CD58) +Rezone!N58 + IF(home_land=CR$2,CW58) + Explore!V46</f>
        <v>0</v>
      </c>
      <c r="CS58" s="38">
        <f>-SUM($W58:$Z58)+SUM($CE58:$CH58) +Rezone!O58 + IF(home_land=CS$2,CW58) + Explore!W46</f>
        <v>0</v>
      </c>
      <c r="CT58" s="39">
        <f>-SUM($AA58:$AC58)+SUM($CI58:$CK58) +Rezone!P58 + IF(home_land=CT$2,CW58) + Explore!X46</f>
        <v>0</v>
      </c>
      <c r="CU58" s="40">
        <f xml:space="preserve"> - SUM($AD58,$AE58)+SUM($CL58,$CM58) +Rezone!Q58 + IF(home_land=CU$2,CW58)+Explore!Y46</f>
        <v>0</v>
      </c>
      <c r="CV58" s="500">
        <f>-$AF58+$CN58 +Rezone!R58 + IF(home_land=CV$2,CW58) + Explore!Z46</f>
        <v>0</v>
      </c>
      <c r="CW58" s="159">
        <f>IF(Explore!S58=1,25) - N58 + BV58</f>
        <v>0</v>
      </c>
      <c r="CY58" s="152">
        <f t="shared" si="71"/>
        <v>280</v>
      </c>
      <c r="CZ58" s="164">
        <f t="shared" si="72"/>
        <v>150</v>
      </c>
      <c r="DA58" s="16">
        <f t="shared" si="73"/>
        <v>150</v>
      </c>
      <c r="DB58" s="164">
        <f t="shared" si="74"/>
        <v>150</v>
      </c>
      <c r="DC58" s="164">
        <f t="shared" si="75"/>
        <v>150</v>
      </c>
      <c r="DD58" s="16">
        <f t="shared" si="76"/>
        <v>20</v>
      </c>
      <c r="DE58" s="166">
        <f t="shared" si="77"/>
        <v>100</v>
      </c>
      <c r="DF58" s="164">
        <f t="shared" ca="1" si="53"/>
        <v>280</v>
      </c>
      <c r="DG58" s="16">
        <f t="shared" si="54"/>
        <v>0</v>
      </c>
      <c r="DH58" s="16">
        <f t="shared" si="55"/>
        <v>58</v>
      </c>
      <c r="DI58" s="166"/>
    </row>
    <row r="59" spans="1:113" s="16" customFormat="1">
      <c r="A59" s="36">
        <f t="shared" si="58"/>
        <v>620</v>
      </c>
      <c r="B59" s="36">
        <f t="shared" si="51"/>
        <v>380</v>
      </c>
      <c r="C59" s="83">
        <f t="shared" si="70"/>
        <v>0</v>
      </c>
      <c r="D59" s="574"/>
      <c r="E59" s="16">
        <f t="shared" si="59"/>
        <v>1000</v>
      </c>
      <c r="F59" s="86">
        <f t="shared" si="62"/>
        <v>0</v>
      </c>
      <c r="G59" s="37">
        <f t="shared" si="63"/>
        <v>100</v>
      </c>
      <c r="H59" s="247">
        <f t="shared" si="64"/>
        <v>150</v>
      </c>
      <c r="I59" s="38">
        <f t="shared" si="65"/>
        <v>150</v>
      </c>
      <c r="J59" s="39">
        <f t="shared" si="66"/>
        <v>100</v>
      </c>
      <c r="K59" s="40">
        <f t="shared" si="67"/>
        <v>20</v>
      </c>
      <c r="L59" s="500">
        <f t="shared" si="68"/>
        <v>100</v>
      </c>
      <c r="M59" s="635">
        <f>Rezone!J59</f>
        <v>57</v>
      </c>
      <c r="N59" s="356"/>
      <c r="O59" s="348"/>
      <c r="P59" s="348"/>
      <c r="Q59" s="348"/>
      <c r="R59" s="345"/>
      <c r="S59" s="348"/>
      <c r="T59" s="345"/>
      <c r="U59" s="348"/>
      <c r="V59" s="348"/>
      <c r="W59" s="345"/>
      <c r="X59" s="345"/>
      <c r="Y59" s="348"/>
      <c r="Z59" s="345"/>
      <c r="AA59" s="348"/>
      <c r="AB59" s="348"/>
      <c r="AC59" s="345"/>
      <c r="AD59" s="348"/>
      <c r="AE59" s="348"/>
      <c r="AF59" s="336"/>
      <c r="AG59" s="532">
        <f t="shared" si="52"/>
        <v>43694.333333333198</v>
      </c>
      <c r="AH59" s="91">
        <f>MIN(25%,(BG59+CE59)/(E59-Explore!S59*20))</f>
        <v>0</v>
      </c>
      <c r="AI59" s="59">
        <f t="shared" si="13"/>
        <v>0</v>
      </c>
      <c r="AJ59" s="56">
        <f ca="1">Production!$H59</f>
        <v>3543967</v>
      </c>
      <c r="AK59" s="57">
        <f ca="1">Production!$J59</f>
        <v>279845</v>
      </c>
      <c r="AL59" s="152">
        <f ca="1">ROUND( (1 - MIN(facs_constr_factor*$AH59,facs_constr_max)) * (1+MIN(tech_construction*Techs!AC59,tech_conquerors_crafts*Techs!AS59)) * AU59*(1+race_construction_cost),0)</f>
        <v>1615</v>
      </c>
      <c r="AM59" s="166">
        <f t="shared" si="60"/>
        <v>263</v>
      </c>
      <c r="AN59" s="152">
        <f ca="1">ROUND( (1 - MIN(facs_constr_factor*$AI59,facs_constr_max)) * (1+MIN(tech_construction*Techs!AE59,tech_conquerors_crafts*Techs!AU59)) * AU59*(1+race_construction_cost),0)</f>
        <v>1615</v>
      </c>
      <c r="AO59" s="166">
        <f t="shared" si="69"/>
        <v>263</v>
      </c>
      <c r="AP59" s="16">
        <f t="shared" ca="1" si="56"/>
        <v>0</v>
      </c>
      <c r="AQ59" s="53">
        <f t="shared" si="57"/>
        <v>0</v>
      </c>
      <c r="AR59" s="16">
        <f>MIN(SUM(F58:L58)+SUM(Explore!T47:Z47)+SUM(BV59:CN59),SUM($N59:$AF59))</f>
        <v>0</v>
      </c>
      <c r="AS59" s="16">
        <f>IF(Explore!S59&lt;&gt;0,MAX(0, MIN(20, 20 + SUM(N59:AF59) - SUM(BV59:CN59) - SUM(F58:L58)-SUM(Explore!T47:Z47)-20*Explore!S59)),0)</f>
        <v>0</v>
      </c>
      <c r="AU59" s="152">
        <f t="shared" si="17"/>
        <v>1615</v>
      </c>
      <c r="AV59" s="166">
        <f t="shared" si="18"/>
        <v>262.5</v>
      </c>
      <c r="AW59" s="164"/>
      <c r="AX59" s="295">
        <f>AX58 + IF(Overview!$B$14="Gnome",N50,N47) -BV59</f>
        <v>0</v>
      </c>
      <c r="AY59" s="28">
        <f>AY58 + IF(Overview!$B$14="Gnome",O50,O47) -BW59</f>
        <v>0</v>
      </c>
      <c r="AZ59" s="28">
        <f>AZ58 + IF(Overview!$B$14="Gnome",P50,P47) -BX59</f>
        <v>80</v>
      </c>
      <c r="BA59" s="28">
        <f>BA58 + IF(Overview!$B$14="Gnome",Q50,Q47) -BY59</f>
        <v>200</v>
      </c>
      <c r="BB59" s="28">
        <f>BB58 + IF(Overview!$B$14="Gnome",R50,R47) -BZ59</f>
        <v>0</v>
      </c>
      <c r="BC59" s="29">
        <f>BC58 + IF(Overview!$B$14="Gnome",S50,S47) -CA59</f>
        <v>50</v>
      </c>
      <c r="BD59" s="29">
        <f>BD58 + IF(Overview!$B$14="Gnome",T50,T47) -CB59</f>
        <v>0</v>
      </c>
      <c r="BE59" s="30">
        <f>BE58 + IF(Overview!$B$14="Gnome",U50,U47) -CC59</f>
        <v>0</v>
      </c>
      <c r="BF59" s="30">
        <f>BF58 + IF(Overview!$B$14="Gnome",V50,V47) -CD59</f>
        <v>0</v>
      </c>
      <c r="BG59" s="31">
        <f>BG58 + IF(Overview!$B$14="Gnome",W50,W47) -CE59</f>
        <v>0</v>
      </c>
      <c r="BH59" s="31">
        <f>BH58 + IF(Overview!$B$14="Gnome",X50,X47) -CF59</f>
        <v>0</v>
      </c>
      <c r="BI59" s="31">
        <f>BI58 + IF(Overview!$B$14="Gnome",Y50,Y47) -CG59</f>
        <v>0</v>
      </c>
      <c r="BJ59" s="31">
        <f>BJ58 + IF(Overview!$B$14="Gnome",Z50,Z47) -CH59</f>
        <v>0</v>
      </c>
      <c r="BK59" s="32">
        <f>BK58 + IF(Overview!$B$14="Gnome",AA50,AA47) -CI59</f>
        <v>50</v>
      </c>
      <c r="BL59" s="32">
        <f>BL58 + IF(Overview!$B$14="Gnome",AB50,AB47) -CJ59</f>
        <v>0</v>
      </c>
      <c r="BM59" s="32">
        <f>BM58 + IF(Overview!$B$14="Gnome",AC50,AC47) -CK59</f>
        <v>0</v>
      </c>
      <c r="BN59" s="33">
        <f>BN58 + IF(Overview!$B$14="Gnome",AD50,AD47) -CL59</f>
        <v>0</v>
      </c>
      <c r="BO59" s="33">
        <f>BO58 + IF(Overview!$B$14="Gnome",AE50,AE47) -CM59</f>
        <v>0</v>
      </c>
      <c r="BP59" s="69">
        <f>BP58 + IF(Overview!$B$14="Gnome",AF50,AF47) -CN59</f>
        <v>0</v>
      </c>
      <c r="BR59" s="442"/>
      <c r="BS59" s="156">
        <f t="shared" si="61"/>
        <v>1000</v>
      </c>
      <c r="BT59" s="574">
        <f t="shared" si="43"/>
        <v>43694.333333333198</v>
      </c>
      <c r="BV59" s="356"/>
      <c r="BW59" s="348"/>
      <c r="BX59" s="348"/>
      <c r="BY59" s="348"/>
      <c r="BZ59" s="348"/>
      <c r="CA59" s="348"/>
      <c r="CB59" s="348"/>
      <c r="CC59" s="348"/>
      <c r="CD59" s="348"/>
      <c r="CE59" s="348"/>
      <c r="CF59" s="348"/>
      <c r="CG59" s="348"/>
      <c r="CH59" s="348"/>
      <c r="CI59" s="348"/>
      <c r="CJ59" s="348"/>
      <c r="CK59" s="348"/>
      <c r="CL59" s="348"/>
      <c r="CM59" s="360"/>
      <c r="CN59" s="357"/>
      <c r="CP59" s="86">
        <f>-SUM($O59:$R59)+SUM($BW59:BZ59)+Rezone!L59+IF(home_land=CP$2,CW59) + Explore!T47</f>
        <v>0</v>
      </c>
      <c r="CQ59" s="37">
        <f>-SUM($S59:$T59)+SUM($CA59:$CB59) +Rezone!M59 + IF(home_land=CQ$2,CW59) + Explore!U47</f>
        <v>0</v>
      </c>
      <c r="CR59" s="247">
        <f>-SUM($U59:$V59)+SUM($CC59:$CD59) +Rezone!N59 + IF(home_land=CR$2,CW59) + Explore!V47</f>
        <v>0</v>
      </c>
      <c r="CS59" s="38">
        <f>-SUM($W59:$Z59)+SUM($CE59:$CH59) +Rezone!O59 + IF(home_land=CS$2,CW59) + Explore!W47</f>
        <v>0</v>
      </c>
      <c r="CT59" s="39">
        <f>-SUM($AA59:$AC59)+SUM($CI59:$CK59) +Rezone!P59 + IF(home_land=CT$2,CW59) + Explore!X47</f>
        <v>0</v>
      </c>
      <c r="CU59" s="40">
        <f xml:space="preserve"> - SUM($AD59,$AE59)+SUM($CL59,$CM59) +Rezone!Q59 + IF(home_land=CU$2,CW59)+Explore!Y47</f>
        <v>0</v>
      </c>
      <c r="CV59" s="500">
        <f>-$AF59+$CN59 +Rezone!R59 + IF(home_land=CV$2,CW59) + Explore!Z47</f>
        <v>0</v>
      </c>
      <c r="CW59" s="159">
        <f>IF(Explore!S59=1,25) - N59 + BV59</f>
        <v>0</v>
      </c>
      <c r="CY59" s="152">
        <f t="shared" si="71"/>
        <v>280</v>
      </c>
      <c r="CZ59" s="164">
        <f t="shared" si="72"/>
        <v>150</v>
      </c>
      <c r="DA59" s="16">
        <f t="shared" si="73"/>
        <v>150</v>
      </c>
      <c r="DB59" s="164">
        <f t="shared" si="74"/>
        <v>150</v>
      </c>
      <c r="DC59" s="164">
        <f t="shared" si="75"/>
        <v>150</v>
      </c>
      <c r="DD59" s="16">
        <f t="shared" si="76"/>
        <v>20</v>
      </c>
      <c r="DE59" s="166">
        <f t="shared" si="77"/>
        <v>100</v>
      </c>
      <c r="DF59" s="164">
        <f t="shared" ca="1" si="53"/>
        <v>280</v>
      </c>
      <c r="DG59" s="16">
        <f t="shared" si="54"/>
        <v>0</v>
      </c>
      <c r="DH59" s="16">
        <f t="shared" si="55"/>
        <v>59</v>
      </c>
      <c r="DI59" s="166"/>
    </row>
    <row r="60" spans="1:113" s="16" customFormat="1">
      <c r="A60" s="36">
        <f t="shared" si="58"/>
        <v>620</v>
      </c>
      <c r="B60" s="36">
        <f t="shared" si="51"/>
        <v>380</v>
      </c>
      <c r="C60" s="83">
        <f t="shared" si="70"/>
        <v>0</v>
      </c>
      <c r="D60" s="574"/>
      <c r="E60" s="16">
        <f t="shared" si="59"/>
        <v>1000</v>
      </c>
      <c r="F60" s="86">
        <f t="shared" si="62"/>
        <v>0</v>
      </c>
      <c r="G60" s="37">
        <f t="shared" si="63"/>
        <v>100</v>
      </c>
      <c r="H60" s="247">
        <f t="shared" si="64"/>
        <v>150</v>
      </c>
      <c r="I60" s="38">
        <f t="shared" si="65"/>
        <v>150</v>
      </c>
      <c r="J60" s="39">
        <f t="shared" si="66"/>
        <v>100</v>
      </c>
      <c r="K60" s="40">
        <f t="shared" si="67"/>
        <v>20</v>
      </c>
      <c r="L60" s="500">
        <f t="shared" si="68"/>
        <v>100</v>
      </c>
      <c r="M60" s="635">
        <f>Rezone!J60</f>
        <v>58</v>
      </c>
      <c r="N60" s="356"/>
      <c r="O60" s="348"/>
      <c r="P60" s="348"/>
      <c r="Q60" s="348"/>
      <c r="R60" s="345"/>
      <c r="S60" s="348"/>
      <c r="T60" s="345"/>
      <c r="U60" s="348"/>
      <c r="V60" s="348"/>
      <c r="W60" s="345"/>
      <c r="X60" s="345"/>
      <c r="Y60" s="348"/>
      <c r="Z60" s="345"/>
      <c r="AA60" s="348"/>
      <c r="AB60" s="348"/>
      <c r="AC60" s="345"/>
      <c r="AD60" s="348"/>
      <c r="AE60" s="348"/>
      <c r="AF60" s="336"/>
      <c r="AG60" s="532">
        <f t="shared" si="52"/>
        <v>43694.374999999862</v>
      </c>
      <c r="AH60" s="91">
        <f>MIN(25%,(BG60+CE60)/(E60-Explore!S60*20))</f>
        <v>0</v>
      </c>
      <c r="AI60" s="59">
        <f t="shared" si="13"/>
        <v>0</v>
      </c>
      <c r="AJ60" s="56">
        <f ca="1">Production!$H60</f>
        <v>3554618</v>
      </c>
      <c r="AK60" s="57">
        <f ca="1">Production!$J60</f>
        <v>279547</v>
      </c>
      <c r="AL60" s="152">
        <f ca="1">ROUND( (1 - MIN(facs_constr_factor*$AH60,facs_constr_max)) * (1+MIN(tech_construction*Techs!AC60,tech_conquerors_crafts*Techs!AS60)) * AU60*(1+race_construction_cost),0)</f>
        <v>1615</v>
      </c>
      <c r="AM60" s="166">
        <f t="shared" si="60"/>
        <v>263</v>
      </c>
      <c r="AN60" s="152">
        <f ca="1">ROUND( (1 - MIN(facs_constr_factor*$AI60,facs_constr_max)) * (1+MIN(tech_construction*Techs!AE60,tech_conquerors_crafts*Techs!AU60)) * AU60*(1+race_construction_cost),0)</f>
        <v>1615</v>
      </c>
      <c r="AO60" s="166">
        <f t="shared" si="69"/>
        <v>263</v>
      </c>
      <c r="AP60" s="16">
        <f t="shared" ca="1" si="56"/>
        <v>0</v>
      </c>
      <c r="AQ60" s="53">
        <f t="shared" si="57"/>
        <v>0</v>
      </c>
      <c r="AR60" s="16">
        <f>MIN(SUM(F59:L59)+SUM(Explore!T48:Z48)+SUM(BV60:CN60),SUM($N60:$AF60))</f>
        <v>0</v>
      </c>
      <c r="AS60" s="16">
        <f>IF(Explore!S60&lt;&gt;0,MAX(0, MIN(20, 20 + SUM(N60:AF60) - SUM(BV60:CN60) - SUM(F59:L59)-SUM(Explore!T48:Z48)-20*Explore!S60)),0)</f>
        <v>0</v>
      </c>
      <c r="AU60" s="152">
        <f t="shared" si="17"/>
        <v>1615</v>
      </c>
      <c r="AV60" s="166">
        <f t="shared" si="18"/>
        <v>262.5</v>
      </c>
      <c r="AW60" s="164"/>
      <c r="AX60" s="295">
        <f>AX59 + IF(Overview!$B$14="Gnome",N51,N48) -BV60</f>
        <v>0</v>
      </c>
      <c r="AY60" s="28">
        <f>AY59 + IF(Overview!$B$14="Gnome",O51,O48) -BW60</f>
        <v>0</v>
      </c>
      <c r="AZ60" s="28">
        <f>AZ59 + IF(Overview!$B$14="Gnome",P51,P48) -BX60</f>
        <v>80</v>
      </c>
      <c r="BA60" s="28">
        <f>BA59 + IF(Overview!$B$14="Gnome",Q51,Q48) -BY60</f>
        <v>200</v>
      </c>
      <c r="BB60" s="28">
        <f>BB59 + IF(Overview!$B$14="Gnome",R51,R48) -BZ60</f>
        <v>0</v>
      </c>
      <c r="BC60" s="29">
        <f>BC59 + IF(Overview!$B$14="Gnome",S51,S48) -CA60</f>
        <v>50</v>
      </c>
      <c r="BD60" s="29">
        <f>BD59 + IF(Overview!$B$14="Gnome",T51,T48) -CB60</f>
        <v>0</v>
      </c>
      <c r="BE60" s="30">
        <f>BE59 + IF(Overview!$B$14="Gnome",U51,U48) -CC60</f>
        <v>0</v>
      </c>
      <c r="BF60" s="30">
        <f>BF59 + IF(Overview!$B$14="Gnome",V51,V48) -CD60</f>
        <v>0</v>
      </c>
      <c r="BG60" s="31">
        <f>BG59 + IF(Overview!$B$14="Gnome",W51,W48) -CE60</f>
        <v>0</v>
      </c>
      <c r="BH60" s="31">
        <f>BH59 + IF(Overview!$B$14="Gnome",X51,X48) -CF60</f>
        <v>0</v>
      </c>
      <c r="BI60" s="31">
        <f>BI59 + IF(Overview!$B$14="Gnome",Y51,Y48) -CG60</f>
        <v>0</v>
      </c>
      <c r="BJ60" s="31">
        <f>BJ59 + IF(Overview!$B$14="Gnome",Z51,Z48) -CH60</f>
        <v>0</v>
      </c>
      <c r="BK60" s="32">
        <f>BK59 + IF(Overview!$B$14="Gnome",AA51,AA48) -CI60</f>
        <v>50</v>
      </c>
      <c r="BL60" s="32">
        <f>BL59 + IF(Overview!$B$14="Gnome",AB51,AB48) -CJ60</f>
        <v>0</v>
      </c>
      <c r="BM60" s="32">
        <f>BM59 + IF(Overview!$B$14="Gnome",AC51,AC48) -CK60</f>
        <v>0</v>
      </c>
      <c r="BN60" s="33">
        <f>BN59 + IF(Overview!$B$14="Gnome",AD51,AD48) -CL60</f>
        <v>0</v>
      </c>
      <c r="BO60" s="33">
        <f>BO59 + IF(Overview!$B$14="Gnome",AE51,AE48) -CM60</f>
        <v>0</v>
      </c>
      <c r="BP60" s="69">
        <f>BP59 + IF(Overview!$B$14="Gnome",AF51,AF48) -CN60</f>
        <v>0</v>
      </c>
      <c r="BR60" s="442"/>
      <c r="BS60" s="156">
        <f t="shared" si="61"/>
        <v>1000</v>
      </c>
      <c r="BT60" s="574">
        <f t="shared" si="43"/>
        <v>43694.374999999862</v>
      </c>
      <c r="BV60" s="356"/>
      <c r="BW60" s="348"/>
      <c r="BX60" s="348"/>
      <c r="BY60" s="348"/>
      <c r="BZ60" s="348"/>
      <c r="CA60" s="348"/>
      <c r="CB60" s="348"/>
      <c r="CC60" s="348"/>
      <c r="CD60" s="348"/>
      <c r="CE60" s="348"/>
      <c r="CF60" s="348"/>
      <c r="CG60" s="348"/>
      <c r="CH60" s="348"/>
      <c r="CI60" s="348"/>
      <c r="CJ60" s="348"/>
      <c r="CK60" s="348"/>
      <c r="CL60" s="348"/>
      <c r="CM60" s="360"/>
      <c r="CN60" s="357"/>
      <c r="CP60" s="86">
        <f>-SUM($O60:$R60)+SUM($BW60:BZ60)+Rezone!L60+IF(home_land=CP$2,CW60) + Explore!T48</f>
        <v>0</v>
      </c>
      <c r="CQ60" s="37">
        <f>-SUM($S60:$T60)+SUM($CA60:$CB60) +Rezone!M60 + IF(home_land=CQ$2,CW60) + Explore!U48</f>
        <v>0</v>
      </c>
      <c r="CR60" s="247">
        <f>-SUM($U60:$V60)+SUM($CC60:$CD60) +Rezone!N60 + IF(home_land=CR$2,CW60) + Explore!V48</f>
        <v>0</v>
      </c>
      <c r="CS60" s="38">
        <f>-SUM($W60:$Z60)+SUM($CE60:$CH60) +Rezone!O60 + IF(home_land=CS$2,CW60) + Explore!W48</f>
        <v>0</v>
      </c>
      <c r="CT60" s="39">
        <f>-SUM($AA60:$AC60)+SUM($CI60:$CK60) +Rezone!P60 + IF(home_land=CT$2,CW60) + Explore!X48</f>
        <v>0</v>
      </c>
      <c r="CU60" s="40">
        <f xml:space="preserve"> - SUM($AD60,$AE60)+SUM($CL60,$CM60) +Rezone!Q60 + IF(home_land=CU$2,CW60)+Explore!Y48</f>
        <v>0</v>
      </c>
      <c r="CV60" s="500">
        <f>-$AF60+$CN60 +Rezone!R60 + IF(home_land=CV$2,CW60) + Explore!Z48</f>
        <v>0</v>
      </c>
      <c r="CW60" s="159">
        <f>IF(Explore!S60=1,25) - N60 + BV60</f>
        <v>0</v>
      </c>
      <c r="CY60" s="152">
        <f t="shared" si="71"/>
        <v>280</v>
      </c>
      <c r="CZ60" s="164">
        <f t="shared" si="72"/>
        <v>150</v>
      </c>
      <c r="DA60" s="16">
        <f t="shared" si="73"/>
        <v>150</v>
      </c>
      <c r="DB60" s="164">
        <f t="shared" si="74"/>
        <v>150</v>
      </c>
      <c r="DC60" s="164">
        <f t="shared" si="75"/>
        <v>150</v>
      </c>
      <c r="DD60" s="16">
        <f t="shared" si="76"/>
        <v>20</v>
      </c>
      <c r="DE60" s="166">
        <f t="shared" si="77"/>
        <v>100</v>
      </c>
      <c r="DF60" s="164">
        <f t="shared" ca="1" si="53"/>
        <v>280</v>
      </c>
      <c r="DG60" s="16">
        <f t="shared" si="54"/>
        <v>0</v>
      </c>
      <c r="DH60" s="16">
        <f t="shared" si="55"/>
        <v>60</v>
      </c>
      <c r="DI60" s="166"/>
    </row>
    <row r="61" spans="1:113" s="16" customFormat="1">
      <c r="A61" s="36">
        <f t="shared" si="58"/>
        <v>620</v>
      </c>
      <c r="B61" s="36">
        <f t="shared" si="51"/>
        <v>380</v>
      </c>
      <c r="C61" s="83">
        <f t="shared" si="70"/>
        <v>0</v>
      </c>
      <c r="D61" s="574"/>
      <c r="E61" s="16">
        <f t="shared" si="59"/>
        <v>1000</v>
      </c>
      <c r="F61" s="86">
        <f t="shared" si="62"/>
        <v>0</v>
      </c>
      <c r="G61" s="37">
        <f t="shared" si="63"/>
        <v>100</v>
      </c>
      <c r="H61" s="247">
        <f t="shared" si="64"/>
        <v>150</v>
      </c>
      <c r="I61" s="38">
        <f t="shared" si="65"/>
        <v>150</v>
      </c>
      <c r="J61" s="39">
        <f t="shared" si="66"/>
        <v>100</v>
      </c>
      <c r="K61" s="40">
        <f t="shared" si="67"/>
        <v>20</v>
      </c>
      <c r="L61" s="500">
        <f t="shared" si="68"/>
        <v>100</v>
      </c>
      <c r="M61" s="635">
        <f>Rezone!J61</f>
        <v>59</v>
      </c>
      <c r="N61" s="356"/>
      <c r="O61" s="348"/>
      <c r="P61" s="348"/>
      <c r="Q61" s="348"/>
      <c r="R61" s="345"/>
      <c r="S61" s="348"/>
      <c r="T61" s="345"/>
      <c r="U61" s="348"/>
      <c r="V61" s="348"/>
      <c r="W61" s="345"/>
      <c r="X61" s="345"/>
      <c r="Y61" s="348"/>
      <c r="Z61" s="345"/>
      <c r="AA61" s="348"/>
      <c r="AB61" s="348"/>
      <c r="AC61" s="345"/>
      <c r="AD61" s="348"/>
      <c r="AE61" s="348"/>
      <c r="AF61" s="336"/>
      <c r="AG61" s="532">
        <f t="shared" si="52"/>
        <v>43694.416666666526</v>
      </c>
      <c r="AH61" s="91">
        <f>MIN(25%,(BG61+CE61)/(E61-Explore!S61*20))</f>
        <v>0</v>
      </c>
      <c r="AI61" s="59">
        <f t="shared" si="13"/>
        <v>0</v>
      </c>
      <c r="AJ61" s="56">
        <f ca="1">Production!$H61</f>
        <v>3565269</v>
      </c>
      <c r="AK61" s="57">
        <f ca="1">Production!$J61</f>
        <v>279252</v>
      </c>
      <c r="AL61" s="152">
        <f ca="1">ROUND( (1 - MIN(facs_constr_factor*$AH61,facs_constr_max)) * (1+MIN(tech_construction*Techs!AC61,tech_conquerors_crafts*Techs!AS61)) * AU61*(1+race_construction_cost),0)</f>
        <v>1615</v>
      </c>
      <c r="AM61" s="166">
        <f t="shared" si="60"/>
        <v>263</v>
      </c>
      <c r="AN61" s="152">
        <f ca="1">ROUND( (1 - MIN(facs_constr_factor*$AI61,facs_constr_max)) * (1+MIN(tech_construction*Techs!AE61,tech_conquerors_crafts*Techs!AU61)) * AU61*(1+race_construction_cost),0)</f>
        <v>1615</v>
      </c>
      <c r="AO61" s="166">
        <f t="shared" si="69"/>
        <v>263</v>
      </c>
      <c r="AP61" s="16">
        <f t="shared" ca="1" si="56"/>
        <v>0</v>
      </c>
      <c r="AQ61" s="53">
        <f t="shared" si="57"/>
        <v>0</v>
      </c>
      <c r="AR61" s="16">
        <f>MIN(SUM(F60:L60)+SUM(Explore!T49:Z49)+SUM(BV61:CN61),SUM($N61:$AF61))</f>
        <v>0</v>
      </c>
      <c r="AS61" s="16">
        <f>IF(Explore!S61&lt;&gt;0,MAX(0, MIN(20, 20 + SUM(N61:AF61) - SUM(BV61:CN61) - SUM(F60:L60)-SUM(Explore!T49:Z49)-20*Explore!S61)),0)</f>
        <v>0</v>
      </c>
      <c r="AU61" s="152">
        <f t="shared" si="17"/>
        <v>1615</v>
      </c>
      <c r="AV61" s="166">
        <f t="shared" si="18"/>
        <v>262.5</v>
      </c>
      <c r="AW61" s="164"/>
      <c r="AX61" s="295">
        <f>AX60 + IF(Overview!$B$14="Gnome",N52,N49) -BV61</f>
        <v>0</v>
      </c>
      <c r="AY61" s="28">
        <f>AY60 + IF(Overview!$B$14="Gnome",O52,O49) -BW61</f>
        <v>0</v>
      </c>
      <c r="AZ61" s="28">
        <f>AZ60 + IF(Overview!$B$14="Gnome",P52,P49) -BX61</f>
        <v>80</v>
      </c>
      <c r="BA61" s="28">
        <f>BA60 + IF(Overview!$B$14="Gnome",Q52,Q49) -BY61</f>
        <v>200</v>
      </c>
      <c r="BB61" s="28">
        <f>BB60 + IF(Overview!$B$14="Gnome",R52,R49) -BZ61</f>
        <v>0</v>
      </c>
      <c r="BC61" s="29">
        <f>BC60 + IF(Overview!$B$14="Gnome",S52,S49) -CA61</f>
        <v>50</v>
      </c>
      <c r="BD61" s="29">
        <f>BD60 + IF(Overview!$B$14="Gnome",T52,T49) -CB61</f>
        <v>0</v>
      </c>
      <c r="BE61" s="30">
        <f>BE60 + IF(Overview!$B$14="Gnome",U52,U49) -CC61</f>
        <v>0</v>
      </c>
      <c r="BF61" s="30">
        <f>BF60 + IF(Overview!$B$14="Gnome",V52,V49) -CD61</f>
        <v>0</v>
      </c>
      <c r="BG61" s="31">
        <f>BG60 + IF(Overview!$B$14="Gnome",W52,W49) -CE61</f>
        <v>0</v>
      </c>
      <c r="BH61" s="31">
        <f>BH60 + IF(Overview!$B$14="Gnome",X52,X49) -CF61</f>
        <v>0</v>
      </c>
      <c r="BI61" s="31">
        <f>BI60 + IF(Overview!$B$14="Gnome",Y52,Y49) -CG61</f>
        <v>0</v>
      </c>
      <c r="BJ61" s="31">
        <f>BJ60 + IF(Overview!$B$14="Gnome",Z52,Z49) -CH61</f>
        <v>0</v>
      </c>
      <c r="BK61" s="32">
        <f>BK60 + IF(Overview!$B$14="Gnome",AA52,AA49) -CI61</f>
        <v>50</v>
      </c>
      <c r="BL61" s="32">
        <f>BL60 + IF(Overview!$B$14="Gnome",AB52,AB49) -CJ61</f>
        <v>0</v>
      </c>
      <c r="BM61" s="32">
        <f>BM60 + IF(Overview!$B$14="Gnome",AC52,AC49) -CK61</f>
        <v>0</v>
      </c>
      <c r="BN61" s="33">
        <f>BN60 + IF(Overview!$B$14="Gnome",AD52,AD49) -CL61</f>
        <v>0</v>
      </c>
      <c r="BO61" s="33">
        <f>BO60 + IF(Overview!$B$14="Gnome",AE52,AE49) -CM61</f>
        <v>0</v>
      </c>
      <c r="BP61" s="69">
        <f>BP60 + IF(Overview!$B$14="Gnome",AF52,AF49) -CN61</f>
        <v>0</v>
      </c>
      <c r="BR61" s="442"/>
      <c r="BS61" s="156">
        <f t="shared" si="61"/>
        <v>1000</v>
      </c>
      <c r="BT61" s="574">
        <f t="shared" si="43"/>
        <v>43694.416666666526</v>
      </c>
      <c r="BV61" s="356"/>
      <c r="BW61" s="348"/>
      <c r="BX61" s="348"/>
      <c r="BY61" s="348"/>
      <c r="BZ61" s="348"/>
      <c r="CA61" s="348"/>
      <c r="CB61" s="348"/>
      <c r="CC61" s="348"/>
      <c r="CD61" s="348"/>
      <c r="CE61" s="348"/>
      <c r="CF61" s="348"/>
      <c r="CG61" s="348"/>
      <c r="CH61" s="348"/>
      <c r="CI61" s="348"/>
      <c r="CJ61" s="348"/>
      <c r="CK61" s="348"/>
      <c r="CL61" s="348"/>
      <c r="CM61" s="360"/>
      <c r="CN61" s="357"/>
      <c r="CP61" s="86">
        <f>-SUM($O61:$R61)+SUM($BW61:BZ61)+Rezone!L61+IF(home_land=CP$2,CW61) + Explore!T49</f>
        <v>0</v>
      </c>
      <c r="CQ61" s="37">
        <f>-SUM($S61:$T61)+SUM($CA61:$CB61) +Rezone!M61 + IF(home_land=CQ$2,CW61) + Explore!U49</f>
        <v>0</v>
      </c>
      <c r="CR61" s="247">
        <f>-SUM($U61:$V61)+SUM($CC61:$CD61) +Rezone!N61 + IF(home_land=CR$2,CW61) + Explore!V49</f>
        <v>0</v>
      </c>
      <c r="CS61" s="38">
        <f>-SUM($W61:$Z61)+SUM($CE61:$CH61) +Rezone!O61 + IF(home_land=CS$2,CW61) + Explore!W49</f>
        <v>0</v>
      </c>
      <c r="CT61" s="39">
        <f>-SUM($AA61:$AC61)+SUM($CI61:$CK61) +Rezone!P61 + IF(home_land=CT$2,CW61) + Explore!X49</f>
        <v>0</v>
      </c>
      <c r="CU61" s="40">
        <f xml:space="preserve"> - SUM($AD61,$AE61)+SUM($CL61,$CM61) +Rezone!Q61 + IF(home_land=CU$2,CW61)+Explore!Y49</f>
        <v>0</v>
      </c>
      <c r="CV61" s="500">
        <f>-$AF61+$CN61 +Rezone!R61 + IF(home_land=CV$2,CW61) + Explore!Z49</f>
        <v>0</v>
      </c>
      <c r="CW61" s="159">
        <f>IF(Explore!S61=1,25) - N61 + BV61</f>
        <v>0</v>
      </c>
      <c r="CY61" s="152">
        <f t="shared" si="71"/>
        <v>280</v>
      </c>
      <c r="CZ61" s="164">
        <f t="shared" si="72"/>
        <v>150</v>
      </c>
      <c r="DA61" s="16">
        <f t="shared" si="73"/>
        <v>150</v>
      </c>
      <c r="DB61" s="164">
        <f t="shared" si="74"/>
        <v>150</v>
      </c>
      <c r="DC61" s="164">
        <f t="shared" si="75"/>
        <v>150</v>
      </c>
      <c r="DD61" s="16">
        <f t="shared" si="76"/>
        <v>20</v>
      </c>
      <c r="DE61" s="166">
        <f t="shared" si="77"/>
        <v>100</v>
      </c>
      <c r="DF61" s="164">
        <f t="shared" ca="1" si="53"/>
        <v>280</v>
      </c>
      <c r="DG61" s="16">
        <f t="shared" si="54"/>
        <v>0</v>
      </c>
      <c r="DH61" s="16">
        <f t="shared" si="55"/>
        <v>61</v>
      </c>
      <c r="DI61" s="166"/>
    </row>
    <row r="62" spans="1:113" s="16" customFormat="1">
      <c r="A62" s="36">
        <f t="shared" si="58"/>
        <v>620</v>
      </c>
      <c r="B62" s="36">
        <f t="shared" si="51"/>
        <v>380</v>
      </c>
      <c r="C62" s="83">
        <f t="shared" si="70"/>
        <v>0</v>
      </c>
      <c r="D62" s="574"/>
      <c r="E62" s="16">
        <f t="shared" si="59"/>
        <v>1000</v>
      </c>
      <c r="F62" s="86">
        <f t="shared" si="62"/>
        <v>0</v>
      </c>
      <c r="G62" s="37">
        <f t="shared" si="63"/>
        <v>100</v>
      </c>
      <c r="H62" s="247">
        <f t="shared" si="64"/>
        <v>150</v>
      </c>
      <c r="I62" s="38">
        <f t="shared" si="65"/>
        <v>150</v>
      </c>
      <c r="J62" s="39">
        <f t="shared" si="66"/>
        <v>100</v>
      </c>
      <c r="K62" s="40">
        <f t="shared" si="67"/>
        <v>20</v>
      </c>
      <c r="L62" s="500">
        <f t="shared" si="68"/>
        <v>100</v>
      </c>
      <c r="M62" s="635">
        <f>Rezone!J62</f>
        <v>60</v>
      </c>
      <c r="N62" s="356"/>
      <c r="O62" s="348"/>
      <c r="P62" s="348"/>
      <c r="Q62" s="348"/>
      <c r="R62" s="345"/>
      <c r="S62" s="348"/>
      <c r="T62" s="348"/>
      <c r="U62" s="348"/>
      <c r="V62" s="348"/>
      <c r="W62" s="345"/>
      <c r="X62" s="345"/>
      <c r="Y62" s="348"/>
      <c r="Z62" s="345"/>
      <c r="AA62" s="348"/>
      <c r="AB62" s="348"/>
      <c r="AC62" s="345"/>
      <c r="AD62" s="348"/>
      <c r="AE62" s="348"/>
      <c r="AF62" s="336"/>
      <c r="AG62" s="532">
        <f t="shared" si="52"/>
        <v>43694.45833333319</v>
      </c>
      <c r="AH62" s="91">
        <f>MIN(25%,(BG62+CE62)/(E62-Explore!S62*20))</f>
        <v>0</v>
      </c>
      <c r="AI62" s="59">
        <f t="shared" si="13"/>
        <v>0</v>
      </c>
      <c r="AJ62" s="56">
        <f ca="1">Production!$H62</f>
        <v>3575920</v>
      </c>
      <c r="AK62" s="57">
        <f ca="1">Production!$J62</f>
        <v>278959</v>
      </c>
      <c r="AL62" s="152">
        <f ca="1">ROUND( (1 - MIN(facs_constr_factor*$AH62,facs_constr_max)) * (1+MIN(tech_construction*Techs!AC62,tech_conquerors_crafts*Techs!AS62)) * AU62*(1+race_construction_cost),0)</f>
        <v>1615</v>
      </c>
      <c r="AM62" s="166">
        <f t="shared" si="60"/>
        <v>263</v>
      </c>
      <c r="AN62" s="152">
        <f ca="1">ROUND( (1 - MIN(facs_constr_factor*$AI62,facs_constr_max)) * (1+MIN(tech_construction*Techs!AE62,tech_conquerors_crafts*Techs!AU62)) * AU62*(1+race_construction_cost),0)</f>
        <v>1615</v>
      </c>
      <c r="AO62" s="166">
        <f t="shared" si="69"/>
        <v>263</v>
      </c>
      <c r="AP62" s="16">
        <f t="shared" ca="1" si="56"/>
        <v>0</v>
      </c>
      <c r="AQ62" s="53">
        <f t="shared" si="57"/>
        <v>0</v>
      </c>
      <c r="AR62" s="16">
        <f>MIN(SUM(F61:L61)+SUM(Explore!T50:Z50)+SUM(BV62:CN62),SUM($N62:$AF62))</f>
        <v>0</v>
      </c>
      <c r="AS62" s="16">
        <f>IF(Explore!S62&lt;&gt;0,MAX(0, MIN(20, 20 + SUM(N62:AF62) - SUM(BV62:CN62) - SUM(F61:L61)-SUM(Explore!T50:Z50)-20*Explore!S62)),0)</f>
        <v>0</v>
      </c>
      <c r="AU62" s="152">
        <f t="shared" si="17"/>
        <v>1615</v>
      </c>
      <c r="AV62" s="166">
        <f t="shared" si="18"/>
        <v>262.5</v>
      </c>
      <c r="AW62" s="164"/>
      <c r="AX62" s="295">
        <f>AX61 + IF(Overview!$B$14="Gnome",N53,N50) -BV62</f>
        <v>0</v>
      </c>
      <c r="AY62" s="28">
        <f>AY61 + IF(Overview!$B$14="Gnome",O53,O50) -BW62</f>
        <v>0</v>
      </c>
      <c r="AZ62" s="28">
        <f>AZ61 + IF(Overview!$B$14="Gnome",P53,P50) -BX62</f>
        <v>80</v>
      </c>
      <c r="BA62" s="28">
        <f>BA61 + IF(Overview!$B$14="Gnome",Q53,Q50) -BY62</f>
        <v>200</v>
      </c>
      <c r="BB62" s="28">
        <f>BB61 + IF(Overview!$B$14="Gnome",R53,R50) -BZ62</f>
        <v>0</v>
      </c>
      <c r="BC62" s="29">
        <f>BC61 + IF(Overview!$B$14="Gnome",S53,S50) -CA62</f>
        <v>50</v>
      </c>
      <c r="BD62" s="29">
        <f>BD61 + IF(Overview!$B$14="Gnome",T53,T50) -CB62</f>
        <v>0</v>
      </c>
      <c r="BE62" s="30">
        <f>BE61 + IF(Overview!$B$14="Gnome",U53,U50) -CC62</f>
        <v>0</v>
      </c>
      <c r="BF62" s="30">
        <f>BF61 + IF(Overview!$B$14="Gnome",V53,V50) -CD62</f>
        <v>0</v>
      </c>
      <c r="BG62" s="31">
        <f>BG61 + IF(Overview!$B$14="Gnome",W53,W50) -CE62</f>
        <v>0</v>
      </c>
      <c r="BH62" s="31">
        <f>BH61 + IF(Overview!$B$14="Gnome",X53,X50) -CF62</f>
        <v>0</v>
      </c>
      <c r="BI62" s="31">
        <f>BI61 + IF(Overview!$B$14="Gnome",Y53,Y50) -CG62</f>
        <v>0</v>
      </c>
      <c r="BJ62" s="31">
        <f>BJ61 + IF(Overview!$B$14="Gnome",Z53,Z50) -CH62</f>
        <v>0</v>
      </c>
      <c r="BK62" s="32">
        <f>BK61 + IF(Overview!$B$14="Gnome",AA53,AA50) -CI62</f>
        <v>50</v>
      </c>
      <c r="BL62" s="32">
        <f>BL61 + IF(Overview!$B$14="Gnome",AB53,AB50) -CJ62</f>
        <v>0</v>
      </c>
      <c r="BM62" s="32">
        <f>BM61 + IF(Overview!$B$14="Gnome",AC53,AC50) -CK62</f>
        <v>0</v>
      </c>
      <c r="BN62" s="33">
        <f>BN61 + IF(Overview!$B$14="Gnome",AD53,AD50) -CL62</f>
        <v>0</v>
      </c>
      <c r="BO62" s="33">
        <f>BO61 + IF(Overview!$B$14="Gnome",AE53,AE50) -CM62</f>
        <v>0</v>
      </c>
      <c r="BP62" s="69">
        <f>BP61 + IF(Overview!$B$14="Gnome",AF53,AF50) -CN62</f>
        <v>0</v>
      </c>
      <c r="BR62" s="442"/>
      <c r="BS62" s="156">
        <f t="shared" si="61"/>
        <v>1000</v>
      </c>
      <c r="BT62" s="574">
        <f t="shared" si="43"/>
        <v>43694.45833333319</v>
      </c>
      <c r="BV62" s="356"/>
      <c r="BW62" s="348"/>
      <c r="BX62" s="348"/>
      <c r="BY62" s="348"/>
      <c r="BZ62" s="348"/>
      <c r="CA62" s="348"/>
      <c r="CB62" s="348"/>
      <c r="CC62" s="348"/>
      <c r="CD62" s="348"/>
      <c r="CE62" s="348"/>
      <c r="CF62" s="348"/>
      <c r="CG62" s="348"/>
      <c r="CH62" s="348"/>
      <c r="CI62" s="348"/>
      <c r="CJ62" s="348"/>
      <c r="CK62" s="348"/>
      <c r="CL62" s="348"/>
      <c r="CM62" s="360"/>
      <c r="CN62" s="357"/>
      <c r="CP62" s="86">
        <f>-SUM($O62:$R62)+SUM($BW62:BZ62)+Rezone!L62+IF(home_land=CP$2,CW62) + Explore!T50</f>
        <v>0</v>
      </c>
      <c r="CQ62" s="37">
        <f>-SUM($S62:$T62)+SUM($CA62:$CB62) +Rezone!M62 + IF(home_land=CQ$2,CW62) + Explore!U50</f>
        <v>0</v>
      </c>
      <c r="CR62" s="247">
        <f>-SUM($U62:$V62)+SUM($CC62:$CD62) +Rezone!N62 + IF(home_land=CR$2,CW62) + Explore!V50</f>
        <v>0</v>
      </c>
      <c r="CS62" s="38">
        <f>-SUM($W62:$Z62)+SUM($CE62:$CH62) +Rezone!O62 + IF(home_land=CS$2,CW62) + Explore!W50</f>
        <v>0</v>
      </c>
      <c r="CT62" s="39">
        <f>-SUM($AA62:$AC62)+SUM($CI62:$CK62) +Rezone!P62 + IF(home_land=CT$2,CW62) + Explore!X50</f>
        <v>0</v>
      </c>
      <c r="CU62" s="40">
        <f xml:space="preserve"> - SUM($AD62,$AE62)+SUM($CL62,$CM62) +Rezone!Q62 + IF(home_land=CU$2,CW62)+Explore!Y50</f>
        <v>0</v>
      </c>
      <c r="CV62" s="500">
        <f>-$AF62+$CN62 +Rezone!R62 + IF(home_land=CV$2,CW62) + Explore!Z50</f>
        <v>0</v>
      </c>
      <c r="CW62" s="159">
        <f>IF(Explore!S62=1,25) - N62 + BV62</f>
        <v>0</v>
      </c>
      <c r="CY62" s="152">
        <f t="shared" si="71"/>
        <v>280</v>
      </c>
      <c r="CZ62" s="164">
        <f t="shared" si="72"/>
        <v>150</v>
      </c>
      <c r="DA62" s="16">
        <f t="shared" si="73"/>
        <v>150</v>
      </c>
      <c r="DB62" s="164">
        <f t="shared" si="74"/>
        <v>150</v>
      </c>
      <c r="DC62" s="164">
        <f t="shared" si="75"/>
        <v>150</v>
      </c>
      <c r="DD62" s="16">
        <f t="shared" si="76"/>
        <v>20</v>
      </c>
      <c r="DE62" s="166">
        <f t="shared" si="77"/>
        <v>100</v>
      </c>
      <c r="DF62" s="164">
        <f t="shared" ca="1" si="53"/>
        <v>280</v>
      </c>
      <c r="DG62" s="16">
        <f t="shared" si="54"/>
        <v>0</v>
      </c>
      <c r="DH62" s="16">
        <f t="shared" si="55"/>
        <v>62</v>
      </c>
      <c r="DI62" s="166"/>
    </row>
    <row r="63" spans="1:113" s="12" customFormat="1">
      <c r="A63" s="783">
        <f t="shared" si="58"/>
        <v>620</v>
      </c>
      <c r="B63" s="783">
        <f t="shared" si="51"/>
        <v>380</v>
      </c>
      <c r="C63" s="784">
        <f t="shared" si="70"/>
        <v>0</v>
      </c>
      <c r="D63" s="679"/>
      <c r="E63" s="12">
        <f t="shared" si="59"/>
        <v>1000</v>
      </c>
      <c r="F63" s="785">
        <f t="shared" si="62"/>
        <v>0</v>
      </c>
      <c r="G63" s="786">
        <f t="shared" si="63"/>
        <v>100</v>
      </c>
      <c r="H63" s="272">
        <f t="shared" si="64"/>
        <v>150</v>
      </c>
      <c r="I63" s="787">
        <f t="shared" si="65"/>
        <v>150</v>
      </c>
      <c r="J63" s="788">
        <f t="shared" si="66"/>
        <v>100</v>
      </c>
      <c r="K63" s="789">
        <f t="shared" si="67"/>
        <v>20</v>
      </c>
      <c r="L63" s="790">
        <f t="shared" si="68"/>
        <v>100</v>
      </c>
      <c r="M63" s="755">
        <f>Rezone!J63</f>
        <v>61</v>
      </c>
      <c r="N63" s="371"/>
      <c r="O63" s="349"/>
      <c r="P63" s="349"/>
      <c r="Q63" s="349"/>
      <c r="R63" s="346"/>
      <c r="S63" s="349"/>
      <c r="T63" s="349"/>
      <c r="U63" s="349"/>
      <c r="V63" s="349"/>
      <c r="W63" s="346"/>
      <c r="X63" s="346"/>
      <c r="Y63" s="349"/>
      <c r="Z63" s="346"/>
      <c r="AA63" s="346"/>
      <c r="AB63" s="346"/>
      <c r="AC63" s="346"/>
      <c r="AD63" s="346"/>
      <c r="AE63" s="346"/>
      <c r="AF63" s="337"/>
      <c r="AG63" s="677">
        <f t="shared" si="52"/>
        <v>43694.499999999854</v>
      </c>
      <c r="AH63" s="306">
        <f>MIN(25%,(BG63+CE63)/(E63-Explore!S63*20))</f>
        <v>0</v>
      </c>
      <c r="AI63" s="58">
        <f t="shared" si="13"/>
        <v>0</v>
      </c>
      <c r="AJ63" s="54">
        <f ca="1">Production!$H63</f>
        <v>3586571</v>
      </c>
      <c r="AK63" s="55">
        <f ca="1">Production!$J63</f>
        <v>278669</v>
      </c>
      <c r="AL63" s="151">
        <f ca="1">ROUND( (1 - MIN(facs_constr_factor*$AH63,facs_constr_max)) * (1+MIN(tech_construction*Techs!AC63,tech_conquerors_crafts*Techs!AS63)) * AU63*(1+race_construction_cost),0)</f>
        <v>1615</v>
      </c>
      <c r="AM63" s="158">
        <f t="shared" si="60"/>
        <v>263</v>
      </c>
      <c r="AN63" s="151">
        <f ca="1">ROUND( (1 - MIN(facs_constr_factor*$AI63,facs_constr_max)) * (1+MIN(tech_construction*Techs!AE63,tech_conquerors_crafts*Techs!AU63)) * AU63*(1+race_construction_cost),0)</f>
        <v>1615</v>
      </c>
      <c r="AO63" s="158">
        <f t="shared" si="69"/>
        <v>263</v>
      </c>
      <c r="AP63" s="12">
        <f t="shared" ca="1" si="56"/>
        <v>0</v>
      </c>
      <c r="AQ63" s="51">
        <f t="shared" si="57"/>
        <v>0</v>
      </c>
      <c r="AR63" s="12">
        <f>MIN(SUM(F62:L62)+SUM(Explore!T51:Z51)+SUM(BV63:CN63),SUM($N63:$AF63))</f>
        <v>0</v>
      </c>
      <c r="AS63" s="12">
        <f>IF(Explore!S63&lt;&gt;0,MAX(0, MIN(20, 20 + SUM(N63:AF63) - SUM(BV63:CN63) - SUM(F62:L62)-SUM(Explore!T51:Z51)-20*Explore!S63)),0)</f>
        <v>0</v>
      </c>
      <c r="AU63" s="151">
        <f t="shared" si="17"/>
        <v>1615</v>
      </c>
      <c r="AV63" s="158">
        <f t="shared" si="18"/>
        <v>262.5</v>
      </c>
      <c r="AW63" s="153"/>
      <c r="AX63" s="791">
        <f>AX62 + IF(Overview!$B$14="Gnome",N54,N51) -BV63</f>
        <v>0</v>
      </c>
      <c r="AY63" s="289">
        <f>AY62 + IF(Overview!$B$14="Gnome",O54,O51) -BW63</f>
        <v>0</v>
      </c>
      <c r="AZ63" s="289">
        <f>AZ62 + IF(Overview!$B$14="Gnome",P54,P51) -BX63</f>
        <v>80</v>
      </c>
      <c r="BA63" s="289">
        <f>BA62 + IF(Overview!$B$14="Gnome",Q54,Q51) -BY63</f>
        <v>200</v>
      </c>
      <c r="BB63" s="289">
        <f>BB62 + IF(Overview!$B$14="Gnome",R54,R51) -BZ63</f>
        <v>0</v>
      </c>
      <c r="BC63" s="18">
        <f>BC62 + IF(Overview!$B$14="Gnome",S54,S51) -CA63</f>
        <v>50</v>
      </c>
      <c r="BD63" s="18">
        <f>BD62 + IF(Overview!$B$14="Gnome",T54,T51) -CB63</f>
        <v>0</v>
      </c>
      <c r="BE63" s="19">
        <f>BE62 + IF(Overview!$B$14="Gnome",U54,U51) -CC63</f>
        <v>0</v>
      </c>
      <c r="BF63" s="19">
        <f>BF62 + IF(Overview!$B$14="Gnome",V54,V51) -CD63</f>
        <v>0</v>
      </c>
      <c r="BG63" s="20">
        <f>BG62 + IF(Overview!$B$14="Gnome",W54,W51) -CE63</f>
        <v>0</v>
      </c>
      <c r="BH63" s="20">
        <f>BH62 + IF(Overview!$B$14="Gnome",X54,X51) -CF63</f>
        <v>0</v>
      </c>
      <c r="BI63" s="20">
        <f>BI62 + IF(Overview!$B$14="Gnome",Y54,Y51) -CG63</f>
        <v>0</v>
      </c>
      <c r="BJ63" s="20">
        <f>BJ62 + IF(Overview!$B$14="Gnome",Z54,Z51) -CH63</f>
        <v>0</v>
      </c>
      <c r="BK63" s="21">
        <f>BK62 + IF(Overview!$B$14="Gnome",AA54,AA51) -CI63</f>
        <v>50</v>
      </c>
      <c r="BL63" s="21">
        <f>BL62 + IF(Overview!$B$14="Gnome",AB54,AB51) -CJ63</f>
        <v>0</v>
      </c>
      <c r="BM63" s="21">
        <f>BM62 + IF(Overview!$B$14="Gnome",AC54,AC51) -CK63</f>
        <v>0</v>
      </c>
      <c r="BN63" s="22">
        <f>BN62 + IF(Overview!$B$14="Gnome",AD54,AD51) -CL63</f>
        <v>0</v>
      </c>
      <c r="BO63" s="22">
        <f>BO62 + IF(Overview!$B$14="Gnome",AE54,AE51) -CM63</f>
        <v>0</v>
      </c>
      <c r="BP63" s="67">
        <f>BP62 + IF(Overview!$B$14="Gnome",AF54,AF51) -CN63</f>
        <v>0</v>
      </c>
      <c r="BR63" s="732"/>
      <c r="BS63" s="184">
        <f t="shared" si="61"/>
        <v>1000</v>
      </c>
      <c r="BT63" s="679">
        <f t="shared" si="43"/>
        <v>43694.499999999854</v>
      </c>
      <c r="BV63" s="373"/>
      <c r="BW63" s="349"/>
      <c r="BX63" s="349"/>
      <c r="BY63" s="349"/>
      <c r="BZ63" s="349"/>
      <c r="CA63" s="349"/>
      <c r="CB63" s="349"/>
      <c r="CC63" s="349"/>
      <c r="CD63" s="349"/>
      <c r="CE63" s="349"/>
      <c r="CF63" s="349"/>
      <c r="CG63" s="349"/>
      <c r="CH63" s="349"/>
      <c r="CI63" s="349"/>
      <c r="CJ63" s="349"/>
      <c r="CK63" s="349"/>
      <c r="CL63" s="349"/>
      <c r="CM63" s="792"/>
      <c r="CN63" s="374"/>
      <c r="CP63" s="785">
        <f>-SUM($O63:$R63)+SUM($BW63:BZ63)+Rezone!L63+IF(home_land=CP$2,CW63) + Explore!T51</f>
        <v>0</v>
      </c>
      <c r="CQ63" s="786">
        <f>-SUM($S63:$T63)+SUM($CA63:$CB63) +Rezone!M63 + IF(home_land=CQ$2,CW63) + Explore!U51</f>
        <v>0</v>
      </c>
      <c r="CR63" s="272">
        <f>-SUM($U63:$V63)+SUM($CC63:$CD63) +Rezone!N63 + IF(home_land=CR$2,CW63) + Explore!V51</f>
        <v>0</v>
      </c>
      <c r="CS63" s="787">
        <f>-SUM($W63:$Z63)+SUM($CE63:$CH63) +Rezone!O63 + IF(home_land=CS$2,CW63) + Explore!W51</f>
        <v>0</v>
      </c>
      <c r="CT63" s="788">
        <f>-SUM($AA63:$AC63)+SUM($CI63:$CK63) +Rezone!P63 + IF(home_land=CT$2,CW63) + Explore!X51</f>
        <v>0</v>
      </c>
      <c r="CU63" s="789">
        <f xml:space="preserve"> - SUM($AD63,$AE63)+SUM($CL63,$CM63) +Rezone!Q63 + IF(home_land=CU$2,CW63)+Explore!Y51</f>
        <v>0</v>
      </c>
      <c r="CV63" s="790">
        <f>-$AF63+$CN63 +Rezone!R63 + IF(home_land=CV$2,CW63) + Explore!Z51</f>
        <v>0</v>
      </c>
      <c r="CW63" s="287">
        <f>IF(Explore!S63=1,25) - N63 + BV63</f>
        <v>0</v>
      </c>
      <c r="CY63" s="151">
        <f t="shared" si="71"/>
        <v>280</v>
      </c>
      <c r="CZ63" s="153">
        <f t="shared" si="72"/>
        <v>150</v>
      </c>
      <c r="DA63" s="12">
        <f t="shared" si="73"/>
        <v>150</v>
      </c>
      <c r="DB63" s="153">
        <f t="shared" si="74"/>
        <v>150</v>
      </c>
      <c r="DC63" s="153">
        <f t="shared" si="75"/>
        <v>150</v>
      </c>
      <c r="DD63" s="12">
        <f t="shared" si="76"/>
        <v>20</v>
      </c>
      <c r="DE63" s="158">
        <f t="shared" si="77"/>
        <v>100</v>
      </c>
      <c r="DF63" s="153">
        <f t="shared" ca="1" si="53"/>
        <v>280</v>
      </c>
      <c r="DG63" s="12">
        <f t="shared" si="54"/>
        <v>0</v>
      </c>
      <c r="DH63" s="12">
        <f t="shared" si="55"/>
        <v>63</v>
      </c>
      <c r="DI63" s="158"/>
    </row>
    <row r="64" spans="1:113" s="16" customFormat="1">
      <c r="A64" s="36">
        <f t="shared" si="58"/>
        <v>620</v>
      </c>
      <c r="B64" s="36">
        <f t="shared" si="51"/>
        <v>380</v>
      </c>
      <c r="C64" s="83">
        <f t="shared" si="70"/>
        <v>0</v>
      </c>
      <c r="D64" s="574"/>
      <c r="E64" s="16">
        <f t="shared" si="59"/>
        <v>1000</v>
      </c>
      <c r="F64" s="86">
        <f t="shared" si="62"/>
        <v>0</v>
      </c>
      <c r="G64" s="37">
        <f t="shared" si="63"/>
        <v>100</v>
      </c>
      <c r="H64" s="247">
        <f t="shared" si="64"/>
        <v>150</v>
      </c>
      <c r="I64" s="38">
        <f t="shared" si="65"/>
        <v>150</v>
      </c>
      <c r="J64" s="39">
        <f t="shared" si="66"/>
        <v>100</v>
      </c>
      <c r="K64" s="40">
        <f t="shared" si="67"/>
        <v>20</v>
      </c>
      <c r="L64" s="500">
        <f t="shared" si="68"/>
        <v>100</v>
      </c>
      <c r="M64" s="635">
        <f>Rezone!J64</f>
        <v>62</v>
      </c>
      <c r="N64" s="352"/>
      <c r="O64" s="348"/>
      <c r="P64" s="348"/>
      <c r="Q64" s="348"/>
      <c r="R64" s="345"/>
      <c r="S64" s="348"/>
      <c r="T64" s="348"/>
      <c r="U64" s="348"/>
      <c r="V64" s="345"/>
      <c r="W64" s="345"/>
      <c r="X64" s="345"/>
      <c r="Y64" s="345"/>
      <c r="Z64" s="345"/>
      <c r="AA64" s="345"/>
      <c r="AB64" s="345"/>
      <c r="AC64" s="345"/>
      <c r="AD64" s="345"/>
      <c r="AE64" s="345"/>
      <c r="AF64" s="336"/>
      <c r="AG64" s="532">
        <f t="shared" si="52"/>
        <v>43694.541666666519</v>
      </c>
      <c r="AH64" s="91">
        <f>MIN(25%,(BG64+CE64)/(E64-Explore!S64*20))</f>
        <v>0</v>
      </c>
      <c r="AI64" s="59">
        <f t="shared" si="13"/>
        <v>0</v>
      </c>
      <c r="AJ64" s="56">
        <f ca="1">Production!$H64</f>
        <v>3597222</v>
      </c>
      <c r="AK64" s="57">
        <f ca="1">Production!$J64</f>
        <v>278382</v>
      </c>
      <c r="AL64" s="152">
        <f ca="1">ROUND( (1 - MIN(facs_constr_factor*$AH64,facs_constr_max)) * (1+MIN(tech_construction*Techs!AC64,tech_conquerors_crafts*Techs!AS64)) * AU64*(1+race_construction_cost),0)</f>
        <v>1615</v>
      </c>
      <c r="AM64" s="166">
        <f t="shared" si="60"/>
        <v>263</v>
      </c>
      <c r="AN64" s="152">
        <f ca="1">ROUND( (1 - MIN(facs_constr_factor*$AI64,facs_constr_max)) * (1+MIN(tech_construction*Techs!AE64,tech_conquerors_crafts*Techs!AU64)) * AU64*(1+race_construction_cost),0)</f>
        <v>1615</v>
      </c>
      <c r="AO64" s="166">
        <f t="shared" si="69"/>
        <v>263</v>
      </c>
      <c r="AP64" s="16">
        <f t="shared" ca="1" si="56"/>
        <v>0</v>
      </c>
      <c r="AQ64" s="53">
        <f t="shared" si="57"/>
        <v>0</v>
      </c>
      <c r="AR64" s="16">
        <f>MIN(SUM(F63:L63)+SUM(Explore!T52:Z52)+SUM(BV64:CN64),SUM($N64:$AF64))</f>
        <v>0</v>
      </c>
      <c r="AS64" s="16">
        <f>IF(Explore!S64&lt;&gt;0,MAX(0, MIN(20, 20 + SUM(N64:AF64) - SUM(BV64:CN64) - SUM(F63:L63)-SUM(Explore!T52:Z52)-20*Explore!S64)),0)</f>
        <v>0</v>
      </c>
      <c r="AU64" s="152">
        <f t="shared" si="17"/>
        <v>1615</v>
      </c>
      <c r="AV64" s="166">
        <f t="shared" si="18"/>
        <v>262.5</v>
      </c>
      <c r="AW64" s="164"/>
      <c r="AX64" s="295">
        <f>AX63 + IF(Overview!$B$14="Gnome",N55,N52) -BV64</f>
        <v>0</v>
      </c>
      <c r="AY64" s="28">
        <f>AY63 + IF(Overview!$B$14="Gnome",O55,O52) -BW64</f>
        <v>0</v>
      </c>
      <c r="AZ64" s="28">
        <f>AZ63 + IF(Overview!$B$14="Gnome",P55,P52) -BX64</f>
        <v>80</v>
      </c>
      <c r="BA64" s="28">
        <f>BA63 + IF(Overview!$B$14="Gnome",Q55,Q52) -BY64</f>
        <v>200</v>
      </c>
      <c r="BB64" s="28">
        <f>BB63 + IF(Overview!$B$14="Gnome",R55,R52) -BZ64</f>
        <v>0</v>
      </c>
      <c r="BC64" s="29">
        <f>BC63 + IF(Overview!$B$14="Gnome",S55,S52) -CA64</f>
        <v>50</v>
      </c>
      <c r="BD64" s="29">
        <f>BD63 + IF(Overview!$B$14="Gnome",T55,T52) -CB64</f>
        <v>0</v>
      </c>
      <c r="BE64" s="30">
        <f>BE63 + IF(Overview!$B$14="Gnome",U55,U52) -CC64</f>
        <v>0</v>
      </c>
      <c r="BF64" s="30">
        <f>BF63 + IF(Overview!$B$14="Gnome",V55,V52) -CD64</f>
        <v>0</v>
      </c>
      <c r="BG64" s="31">
        <f>BG63 + IF(Overview!$B$14="Gnome",W55,W52) -CE64</f>
        <v>0</v>
      </c>
      <c r="BH64" s="31">
        <f>BH63 + IF(Overview!$B$14="Gnome",X55,X52) -CF64</f>
        <v>0</v>
      </c>
      <c r="BI64" s="31">
        <f>BI63 + IF(Overview!$B$14="Gnome",Y55,Y52) -CG64</f>
        <v>0</v>
      </c>
      <c r="BJ64" s="31">
        <f>BJ63 + IF(Overview!$B$14="Gnome",Z55,Z52) -CH64</f>
        <v>0</v>
      </c>
      <c r="BK64" s="32">
        <f>BK63 + IF(Overview!$B$14="Gnome",AA55,AA52) -CI64</f>
        <v>50</v>
      </c>
      <c r="BL64" s="32">
        <f>BL63 + IF(Overview!$B$14="Gnome",AB55,AB52) -CJ64</f>
        <v>0</v>
      </c>
      <c r="BM64" s="32">
        <f>BM63 + IF(Overview!$B$14="Gnome",AC55,AC52) -CK64</f>
        <v>0</v>
      </c>
      <c r="BN64" s="33">
        <f>BN63 + IF(Overview!$B$14="Gnome",AD55,AD52) -CL64</f>
        <v>0</v>
      </c>
      <c r="BO64" s="33">
        <f>BO63 + IF(Overview!$B$14="Gnome",AE55,AE52) -CM64</f>
        <v>0</v>
      </c>
      <c r="BP64" s="69">
        <f>BP63 + IF(Overview!$B$14="Gnome",AF55,AF52) -CN64</f>
        <v>0</v>
      </c>
      <c r="BR64" s="442"/>
      <c r="BS64" s="156">
        <f t="shared" si="61"/>
        <v>1000</v>
      </c>
      <c r="BT64" s="574">
        <f t="shared" si="43"/>
        <v>43694.541666666519</v>
      </c>
      <c r="BV64" s="356"/>
      <c r="BW64" s="348"/>
      <c r="BX64" s="348"/>
      <c r="BY64" s="348"/>
      <c r="BZ64" s="348"/>
      <c r="CA64" s="348"/>
      <c r="CB64" s="348"/>
      <c r="CC64" s="348"/>
      <c r="CD64" s="348"/>
      <c r="CE64" s="348"/>
      <c r="CF64" s="348"/>
      <c r="CG64" s="348"/>
      <c r="CH64" s="348"/>
      <c r="CI64" s="348"/>
      <c r="CJ64" s="348"/>
      <c r="CK64" s="348"/>
      <c r="CL64" s="348"/>
      <c r="CM64" s="360"/>
      <c r="CN64" s="357"/>
      <c r="CP64" s="86">
        <f>-SUM($O64:$R64)+SUM($BW64:BZ64)+Rezone!L64+IF(home_land=CP$2,CW64) + Explore!T52</f>
        <v>0</v>
      </c>
      <c r="CQ64" s="37">
        <f>-SUM($S64:$T64)+SUM($CA64:$CB64) +Rezone!M64 + IF(home_land=CQ$2,CW64) + Explore!U52</f>
        <v>0</v>
      </c>
      <c r="CR64" s="247">
        <f>-SUM($U64:$V64)+SUM($CC64:$CD64) +Rezone!N64 + IF(home_land=CR$2,CW64) + Explore!V52</f>
        <v>0</v>
      </c>
      <c r="CS64" s="38">
        <f>-SUM($W64:$Z64)+SUM($CE64:$CH64) +Rezone!O64 + IF(home_land=CS$2,CW64) + Explore!W52</f>
        <v>0</v>
      </c>
      <c r="CT64" s="39">
        <f>-SUM($AA64:$AC64)+SUM($CI64:$CK64) +Rezone!P64 + IF(home_land=CT$2,CW64) + Explore!X52</f>
        <v>0</v>
      </c>
      <c r="CU64" s="40">
        <f xml:space="preserve"> - SUM($AD64,$AE64)+SUM($CL64,$CM64) +Rezone!Q64 + IF(home_land=CU$2,CW64)+Explore!Y52</f>
        <v>0</v>
      </c>
      <c r="CV64" s="500">
        <f>-$AF64+$CN64 +Rezone!R64 + IF(home_land=CV$2,CW64) + Explore!Z52</f>
        <v>0</v>
      </c>
      <c r="CW64" s="159">
        <f>IF(Explore!S64=1,25) - N64 + BV64</f>
        <v>0</v>
      </c>
      <c r="CY64" s="152">
        <f t="shared" si="71"/>
        <v>280</v>
      </c>
      <c r="CZ64" s="164">
        <f t="shared" si="72"/>
        <v>150</v>
      </c>
      <c r="DA64" s="16">
        <f t="shared" si="73"/>
        <v>150</v>
      </c>
      <c r="DB64" s="164">
        <f t="shared" si="74"/>
        <v>150</v>
      </c>
      <c r="DC64" s="164">
        <f t="shared" si="75"/>
        <v>150</v>
      </c>
      <c r="DD64" s="16">
        <f t="shared" si="76"/>
        <v>20</v>
      </c>
      <c r="DE64" s="166">
        <f t="shared" si="77"/>
        <v>100</v>
      </c>
      <c r="DF64" s="164">
        <f t="shared" ca="1" si="53"/>
        <v>280</v>
      </c>
      <c r="DG64" s="16">
        <f t="shared" si="54"/>
        <v>0</v>
      </c>
      <c r="DH64" s="16">
        <f t="shared" si="55"/>
        <v>64</v>
      </c>
      <c r="DI64" s="166"/>
    </row>
    <row r="65" spans="1:114" s="16" customFormat="1">
      <c r="A65" s="36">
        <f t="shared" si="58"/>
        <v>620</v>
      </c>
      <c r="B65" s="36">
        <f t="shared" si="51"/>
        <v>380</v>
      </c>
      <c r="C65" s="83">
        <f t="shared" si="70"/>
        <v>0</v>
      </c>
      <c r="D65" s="574"/>
      <c r="E65" s="16">
        <f t="shared" si="59"/>
        <v>1000</v>
      </c>
      <c r="F65" s="86">
        <f t="shared" si="62"/>
        <v>0</v>
      </c>
      <c r="G65" s="37">
        <f t="shared" si="63"/>
        <v>100</v>
      </c>
      <c r="H65" s="247">
        <f t="shared" si="64"/>
        <v>150</v>
      </c>
      <c r="I65" s="38">
        <f t="shared" si="65"/>
        <v>150</v>
      </c>
      <c r="J65" s="39">
        <f t="shared" si="66"/>
        <v>100</v>
      </c>
      <c r="K65" s="40">
        <f t="shared" si="67"/>
        <v>20</v>
      </c>
      <c r="L65" s="500">
        <f t="shared" si="68"/>
        <v>100</v>
      </c>
      <c r="M65" s="635">
        <f>Rezone!J65</f>
        <v>63</v>
      </c>
      <c r="N65" s="352"/>
      <c r="O65" s="348"/>
      <c r="P65" s="348"/>
      <c r="Q65" s="348"/>
      <c r="R65" s="345"/>
      <c r="S65" s="348"/>
      <c r="T65" s="348"/>
      <c r="U65" s="348"/>
      <c r="V65" s="345"/>
      <c r="W65" s="345"/>
      <c r="X65" s="345"/>
      <c r="Y65" s="345"/>
      <c r="Z65" s="345"/>
      <c r="AA65" s="345"/>
      <c r="AB65" s="345"/>
      <c r="AC65" s="345"/>
      <c r="AD65" s="345"/>
      <c r="AE65" s="345"/>
      <c r="AF65" s="336"/>
      <c r="AG65" s="532">
        <f t="shared" si="52"/>
        <v>43694.583333333183</v>
      </c>
      <c r="AH65" s="91">
        <f>MIN(25%,(BG65+CE65)/(E65-Explore!S65*20))</f>
        <v>0</v>
      </c>
      <c r="AI65" s="59">
        <f t="shared" si="13"/>
        <v>0</v>
      </c>
      <c r="AJ65" s="56">
        <f ca="1">Production!$H65</f>
        <v>3607873</v>
      </c>
      <c r="AK65" s="57">
        <f ca="1">Production!$J65</f>
        <v>278098</v>
      </c>
      <c r="AL65" s="152">
        <f ca="1">ROUND( (1 - MIN(facs_constr_factor*$AH65,facs_constr_max)) * (1+MIN(tech_construction*Techs!AC65,tech_conquerors_crafts*Techs!AS65)) * AU65*(1+race_construction_cost),0)</f>
        <v>1615</v>
      </c>
      <c r="AM65" s="166">
        <f t="shared" si="60"/>
        <v>263</v>
      </c>
      <c r="AN65" s="152">
        <f ca="1">ROUND( (1 - MIN(facs_constr_factor*$AI65,facs_constr_max)) * (1+MIN(tech_construction*Techs!AE65,tech_conquerors_crafts*Techs!AU65)) * AU65*(1+race_construction_cost),0)</f>
        <v>1615</v>
      </c>
      <c r="AO65" s="166">
        <f t="shared" si="69"/>
        <v>263</v>
      </c>
      <c r="AP65" s="16">
        <f t="shared" ca="1" si="56"/>
        <v>0</v>
      </c>
      <c r="AQ65" s="53">
        <f t="shared" si="57"/>
        <v>0</v>
      </c>
      <c r="AR65" s="16">
        <f>MIN(SUM(F64:L64)+SUM(Explore!T53:Z53)+SUM(BV65:CN65),SUM($N65:$AF65))</f>
        <v>0</v>
      </c>
      <c r="AS65" s="16">
        <f>IF(Explore!S65&lt;&gt;0,MAX(0, MIN(20, 20 + SUM(N65:AF65) - SUM(BV65:CN65) - SUM(F64:L64)-SUM(Explore!T53:Z53)-20*Explore!S65)),0)</f>
        <v>0</v>
      </c>
      <c r="AU65" s="152">
        <f t="shared" si="17"/>
        <v>1615</v>
      </c>
      <c r="AV65" s="166">
        <f t="shared" si="18"/>
        <v>262.5</v>
      </c>
      <c r="AW65" s="164"/>
      <c r="AX65" s="295">
        <f>AX64 + IF(Overview!$B$14="Gnome",N56,N53) -BV65</f>
        <v>0</v>
      </c>
      <c r="AY65" s="28">
        <f>AY64 + IF(Overview!$B$14="Gnome",O56,O53) -BW65</f>
        <v>0</v>
      </c>
      <c r="AZ65" s="28">
        <f>AZ64 + IF(Overview!$B$14="Gnome",P56,P53) -BX65</f>
        <v>80</v>
      </c>
      <c r="BA65" s="28">
        <f>BA64 + IF(Overview!$B$14="Gnome",Q56,Q53) -BY65</f>
        <v>200</v>
      </c>
      <c r="BB65" s="28">
        <f>BB64 + IF(Overview!$B$14="Gnome",R56,R53) -BZ65</f>
        <v>0</v>
      </c>
      <c r="BC65" s="29">
        <f>BC64 + IF(Overview!$B$14="Gnome",S56,S53) -CA65</f>
        <v>50</v>
      </c>
      <c r="BD65" s="29">
        <f>BD64 + IF(Overview!$B$14="Gnome",T56,T53) -CB65</f>
        <v>0</v>
      </c>
      <c r="BE65" s="30">
        <f>BE64 + IF(Overview!$B$14="Gnome",U56,U53) -CC65</f>
        <v>0</v>
      </c>
      <c r="BF65" s="30">
        <f>BF64 + IF(Overview!$B$14="Gnome",V56,V53) -CD65</f>
        <v>0</v>
      </c>
      <c r="BG65" s="31">
        <f>BG64 + IF(Overview!$B$14="Gnome",W56,W53) -CE65</f>
        <v>0</v>
      </c>
      <c r="BH65" s="31">
        <f>BH64 + IF(Overview!$B$14="Gnome",X56,X53) -CF65</f>
        <v>0</v>
      </c>
      <c r="BI65" s="31">
        <f>BI64 + IF(Overview!$B$14="Gnome",Y56,Y53) -CG65</f>
        <v>0</v>
      </c>
      <c r="BJ65" s="31">
        <f>BJ64 + IF(Overview!$B$14="Gnome",Z56,Z53) -CH65</f>
        <v>0</v>
      </c>
      <c r="BK65" s="32">
        <f>BK64 + IF(Overview!$B$14="Gnome",AA56,AA53) -CI65</f>
        <v>50</v>
      </c>
      <c r="BL65" s="32">
        <f>BL64 + IF(Overview!$B$14="Gnome",AB56,AB53) -CJ65</f>
        <v>0</v>
      </c>
      <c r="BM65" s="32">
        <f>BM64 + IF(Overview!$B$14="Gnome",AC56,AC53) -CK65</f>
        <v>0</v>
      </c>
      <c r="BN65" s="33">
        <f>BN64 + IF(Overview!$B$14="Gnome",AD56,AD53) -CL65</f>
        <v>0</v>
      </c>
      <c r="BO65" s="33">
        <f>BO64 + IF(Overview!$B$14="Gnome",AE56,AE53) -CM65</f>
        <v>0</v>
      </c>
      <c r="BP65" s="69">
        <f>BP64 + IF(Overview!$B$14="Gnome",AF56,AF53) -CN65</f>
        <v>0</v>
      </c>
      <c r="BR65" s="442"/>
      <c r="BS65" s="156">
        <f t="shared" si="61"/>
        <v>1000</v>
      </c>
      <c r="BT65" s="574">
        <f t="shared" si="43"/>
        <v>43694.583333333183</v>
      </c>
      <c r="BV65" s="356"/>
      <c r="BW65" s="348"/>
      <c r="BX65" s="348"/>
      <c r="BY65" s="348"/>
      <c r="BZ65" s="348"/>
      <c r="CA65" s="348"/>
      <c r="CB65" s="348"/>
      <c r="CC65" s="348"/>
      <c r="CD65" s="348"/>
      <c r="CE65" s="348"/>
      <c r="CF65" s="348"/>
      <c r="CG65" s="348"/>
      <c r="CH65" s="348"/>
      <c r="CI65" s="348"/>
      <c r="CJ65" s="348"/>
      <c r="CK65" s="348"/>
      <c r="CL65" s="348"/>
      <c r="CM65" s="360"/>
      <c r="CN65" s="357"/>
      <c r="CP65" s="86">
        <f>-SUM($O65:$R65)+SUM($BW65:BZ65)+Rezone!L65+IF(home_land=CP$2,CW65) + Explore!T53</f>
        <v>0</v>
      </c>
      <c r="CQ65" s="37">
        <f>-SUM($S65:$T65)+SUM($CA65:$CB65) +Rezone!M65 + IF(home_land=CQ$2,CW65) + Explore!U53</f>
        <v>0</v>
      </c>
      <c r="CR65" s="247">
        <f>-SUM($U65:$V65)+SUM($CC65:$CD65) +Rezone!N65 + IF(home_land=CR$2,CW65) + Explore!V53</f>
        <v>0</v>
      </c>
      <c r="CS65" s="38">
        <f>-SUM($W65:$Z65)+SUM($CE65:$CH65) +Rezone!O65 + IF(home_land=CS$2,CW65) + Explore!W53</f>
        <v>0</v>
      </c>
      <c r="CT65" s="39">
        <f>-SUM($AA65:$AC65)+SUM($CI65:$CK65) +Rezone!P65 + IF(home_land=CT$2,CW65) + Explore!X53</f>
        <v>0</v>
      </c>
      <c r="CU65" s="40">
        <f xml:space="preserve"> - SUM($AD65,$AE65)+SUM($CL65,$CM65) +Rezone!Q65 + IF(home_land=CU$2,CW65)+Explore!Y53</f>
        <v>0</v>
      </c>
      <c r="CV65" s="500">
        <f>-$AF65+$CN65 +Rezone!R65 + IF(home_land=CV$2,CW65) + Explore!Z53</f>
        <v>0</v>
      </c>
      <c r="CW65" s="159">
        <f>IF(Explore!S65=1,25) - N65 + BV65</f>
        <v>0</v>
      </c>
      <c r="CY65" s="152">
        <f t="shared" si="71"/>
        <v>280</v>
      </c>
      <c r="CZ65" s="164">
        <f t="shared" si="72"/>
        <v>150</v>
      </c>
      <c r="DA65" s="16">
        <f t="shared" si="73"/>
        <v>150</v>
      </c>
      <c r="DB65" s="164">
        <f t="shared" si="74"/>
        <v>150</v>
      </c>
      <c r="DC65" s="164">
        <f t="shared" si="75"/>
        <v>150</v>
      </c>
      <c r="DD65" s="16">
        <f t="shared" si="76"/>
        <v>20</v>
      </c>
      <c r="DE65" s="166">
        <f t="shared" si="77"/>
        <v>100</v>
      </c>
      <c r="DF65" s="164">
        <f t="shared" ca="1" si="53"/>
        <v>280</v>
      </c>
      <c r="DG65" s="16">
        <f t="shared" si="54"/>
        <v>0</v>
      </c>
      <c r="DH65" s="16">
        <f t="shared" si="55"/>
        <v>65</v>
      </c>
      <c r="DI65" s="166"/>
    </row>
    <row r="66" spans="1:114" s="16" customFormat="1">
      <c r="A66" s="36">
        <f t="shared" si="58"/>
        <v>620</v>
      </c>
      <c r="B66" s="36">
        <f t="shared" si="51"/>
        <v>380</v>
      </c>
      <c r="C66" s="83">
        <f t="shared" si="70"/>
        <v>0</v>
      </c>
      <c r="D66" s="574"/>
      <c r="E66" s="16">
        <f t="shared" si="59"/>
        <v>1000</v>
      </c>
      <c r="F66" s="86">
        <f t="shared" si="62"/>
        <v>0</v>
      </c>
      <c r="G66" s="37">
        <f t="shared" si="63"/>
        <v>100</v>
      </c>
      <c r="H66" s="247">
        <f t="shared" si="64"/>
        <v>150</v>
      </c>
      <c r="I66" s="38">
        <f t="shared" si="65"/>
        <v>150</v>
      </c>
      <c r="J66" s="39">
        <f t="shared" si="66"/>
        <v>100</v>
      </c>
      <c r="K66" s="40">
        <f t="shared" si="67"/>
        <v>20</v>
      </c>
      <c r="L66" s="500">
        <f t="shared" si="68"/>
        <v>100</v>
      </c>
      <c r="M66" s="635">
        <f>Rezone!J66</f>
        <v>64</v>
      </c>
      <c r="N66" s="352"/>
      <c r="O66" s="348"/>
      <c r="P66" s="348"/>
      <c r="Q66" s="348"/>
      <c r="R66" s="345"/>
      <c r="S66" s="348"/>
      <c r="T66" s="348"/>
      <c r="U66" s="348"/>
      <c r="V66" s="345"/>
      <c r="W66" s="345"/>
      <c r="X66" s="345"/>
      <c r="Y66" s="345"/>
      <c r="Z66" s="345"/>
      <c r="AA66" s="345"/>
      <c r="AB66" s="345"/>
      <c r="AC66" s="345"/>
      <c r="AD66" s="345"/>
      <c r="AE66" s="345"/>
      <c r="AF66" s="336"/>
      <c r="AG66" s="532">
        <f t="shared" si="52"/>
        <v>43694.624999999847</v>
      </c>
      <c r="AH66" s="91">
        <f>MIN(25%,(BG66+CE66)/(E66-Explore!S66*20))</f>
        <v>0</v>
      </c>
      <c r="AI66" s="59">
        <f t="shared" si="13"/>
        <v>0</v>
      </c>
      <c r="AJ66" s="56">
        <f ca="1">Production!$H66</f>
        <v>3618524</v>
      </c>
      <c r="AK66" s="57">
        <f ca="1">Production!$J66</f>
        <v>277817</v>
      </c>
      <c r="AL66" s="152">
        <f ca="1">ROUND( (1 - MIN(facs_constr_factor*$AH66,facs_constr_max)) * (1+MIN(tech_construction*Techs!AC66,tech_conquerors_crafts*Techs!AS66)) * AU66*(1+race_construction_cost),0)</f>
        <v>1615</v>
      </c>
      <c r="AM66" s="166">
        <f t="shared" si="60"/>
        <v>263</v>
      </c>
      <c r="AN66" s="152">
        <f ca="1">ROUND( (1 - MIN(facs_constr_factor*$AI66,facs_constr_max)) * (1+MIN(tech_construction*Techs!AE66,tech_conquerors_crafts*Techs!AU66)) * AU66*(1+race_construction_cost),0)</f>
        <v>1615</v>
      </c>
      <c r="AO66" s="166">
        <f t="shared" si="69"/>
        <v>263</v>
      </c>
      <c r="AP66" s="16">
        <f t="shared" ca="1" si="56"/>
        <v>0</v>
      </c>
      <c r="AQ66" s="53">
        <f t="shared" si="57"/>
        <v>0</v>
      </c>
      <c r="AR66" s="16">
        <f>MIN(SUM(F65:L65)+SUM(Explore!T54:Z54)+SUM(BV66:CN66),SUM($N66:$AF66))</f>
        <v>0</v>
      </c>
      <c r="AS66" s="16">
        <f>IF(Explore!S66&lt;&gt;0,MAX(0, MIN(20, 20 + SUM(N66:AF66) - SUM(BV66:CN66) - SUM(F65:L65)-SUM(Explore!T54:Z54)-20*Explore!S66)),0)</f>
        <v>0</v>
      </c>
      <c r="AU66" s="152">
        <f t="shared" si="17"/>
        <v>1615</v>
      </c>
      <c r="AV66" s="166">
        <f t="shared" si="18"/>
        <v>262.5</v>
      </c>
      <c r="AW66" s="164"/>
      <c r="AX66" s="295">
        <f>AX65 + IF(Overview!$B$14="Gnome",N57,N54) -BV66</f>
        <v>0</v>
      </c>
      <c r="AY66" s="28">
        <f>AY65 + IF(Overview!$B$14="Gnome",O57,O54) -BW66</f>
        <v>0</v>
      </c>
      <c r="AZ66" s="28">
        <f>AZ65 + IF(Overview!$B$14="Gnome",P57,P54) -BX66</f>
        <v>80</v>
      </c>
      <c r="BA66" s="28">
        <f>BA65 + IF(Overview!$B$14="Gnome",Q57,Q54) -BY66</f>
        <v>200</v>
      </c>
      <c r="BB66" s="28">
        <f>BB65 + IF(Overview!$B$14="Gnome",R57,R54) -BZ66</f>
        <v>0</v>
      </c>
      <c r="BC66" s="29">
        <f>BC65 + IF(Overview!$B$14="Gnome",S57,S54) -CA66</f>
        <v>50</v>
      </c>
      <c r="BD66" s="29">
        <f>BD65 + IF(Overview!$B$14="Gnome",T57,T54) -CB66</f>
        <v>0</v>
      </c>
      <c r="BE66" s="30">
        <f>BE65 + IF(Overview!$B$14="Gnome",U57,U54) -CC66</f>
        <v>0</v>
      </c>
      <c r="BF66" s="30">
        <f>BF65 + IF(Overview!$B$14="Gnome",V57,V54) -CD66</f>
        <v>0</v>
      </c>
      <c r="BG66" s="31">
        <f>BG65 + IF(Overview!$B$14="Gnome",W57,W54) -CE66</f>
        <v>0</v>
      </c>
      <c r="BH66" s="31">
        <f>BH65 + IF(Overview!$B$14="Gnome",X57,X54) -CF66</f>
        <v>0</v>
      </c>
      <c r="BI66" s="31">
        <f>BI65 + IF(Overview!$B$14="Gnome",Y57,Y54) -CG66</f>
        <v>0</v>
      </c>
      <c r="BJ66" s="31">
        <f>BJ65 + IF(Overview!$B$14="Gnome",Z57,Z54) -CH66</f>
        <v>0</v>
      </c>
      <c r="BK66" s="32">
        <f>BK65 + IF(Overview!$B$14="Gnome",AA57,AA54) -CI66</f>
        <v>50</v>
      </c>
      <c r="BL66" s="32">
        <f>BL65 + IF(Overview!$B$14="Gnome",AB57,AB54) -CJ66</f>
        <v>0</v>
      </c>
      <c r="BM66" s="32">
        <f>BM65 + IF(Overview!$B$14="Gnome",AC57,AC54) -CK66</f>
        <v>0</v>
      </c>
      <c r="BN66" s="33">
        <f>BN65 + IF(Overview!$B$14="Gnome",AD57,AD54) -CL66</f>
        <v>0</v>
      </c>
      <c r="BO66" s="33">
        <f>BO65 + IF(Overview!$B$14="Gnome",AE57,AE54) -CM66</f>
        <v>0</v>
      </c>
      <c r="BP66" s="69">
        <f>BP65 + IF(Overview!$B$14="Gnome",AF57,AF54) -CN66</f>
        <v>0</v>
      </c>
      <c r="BR66" s="442"/>
      <c r="BS66" s="156">
        <f t="shared" si="61"/>
        <v>1000</v>
      </c>
      <c r="BT66" s="574">
        <f t="shared" si="43"/>
        <v>43694.624999999847</v>
      </c>
      <c r="BV66" s="356"/>
      <c r="BW66" s="348"/>
      <c r="BX66" s="348"/>
      <c r="BY66" s="348"/>
      <c r="BZ66" s="348"/>
      <c r="CA66" s="348"/>
      <c r="CB66" s="348"/>
      <c r="CC66" s="348"/>
      <c r="CD66" s="348"/>
      <c r="CE66" s="348"/>
      <c r="CF66" s="348"/>
      <c r="CG66" s="348"/>
      <c r="CH66" s="348"/>
      <c r="CI66" s="348"/>
      <c r="CJ66" s="348"/>
      <c r="CK66" s="348"/>
      <c r="CL66" s="348"/>
      <c r="CM66" s="360"/>
      <c r="CN66" s="357"/>
      <c r="CP66" s="86">
        <f>-SUM($O66:$R66)+SUM($BW66:BZ66)+Rezone!L66+IF(home_land=CP$2,CW66) + Explore!T54</f>
        <v>0</v>
      </c>
      <c r="CQ66" s="37">
        <f>-SUM($S66:$T66)+SUM($CA66:$CB66) +Rezone!M66 + IF(home_land=CQ$2,CW66) + Explore!U54</f>
        <v>0</v>
      </c>
      <c r="CR66" s="247">
        <f>-SUM($U66:$V66)+SUM($CC66:$CD66) +Rezone!N66 + IF(home_land=CR$2,CW66) + Explore!V54</f>
        <v>0</v>
      </c>
      <c r="CS66" s="38">
        <f>-SUM($W66:$Z66)+SUM($CE66:$CH66) +Rezone!O66 + IF(home_land=CS$2,CW66) + Explore!W54</f>
        <v>0</v>
      </c>
      <c r="CT66" s="39">
        <f>-SUM($AA66:$AC66)+SUM($CI66:$CK66) +Rezone!P66 + IF(home_land=CT$2,CW66) + Explore!X54</f>
        <v>0</v>
      </c>
      <c r="CU66" s="40">
        <f xml:space="preserve"> - SUM($AD66,$AE66)+SUM($CL66,$CM66) +Rezone!Q66 + IF(home_land=CU$2,CW66)+Explore!Y54</f>
        <v>0</v>
      </c>
      <c r="CV66" s="500">
        <f>-$AF66+$CN66 +Rezone!R66 + IF(home_land=CV$2,CW66) + Explore!Z54</f>
        <v>0</v>
      </c>
      <c r="CW66" s="159">
        <f>IF(Explore!S66=1,25) - N66 + BV66</f>
        <v>0</v>
      </c>
      <c r="CY66" s="152">
        <f t="shared" si="71"/>
        <v>280</v>
      </c>
      <c r="CZ66" s="164">
        <f t="shared" si="72"/>
        <v>150</v>
      </c>
      <c r="DA66" s="16">
        <f t="shared" si="73"/>
        <v>150</v>
      </c>
      <c r="DB66" s="164">
        <f t="shared" si="74"/>
        <v>150</v>
      </c>
      <c r="DC66" s="164">
        <f t="shared" si="75"/>
        <v>150</v>
      </c>
      <c r="DD66" s="16">
        <f t="shared" si="76"/>
        <v>20</v>
      </c>
      <c r="DE66" s="166">
        <f t="shared" si="77"/>
        <v>100</v>
      </c>
      <c r="DF66" s="164">
        <f t="shared" ca="1" si="53"/>
        <v>280</v>
      </c>
      <c r="DG66" s="16">
        <f t="shared" si="54"/>
        <v>0</v>
      </c>
      <c r="DH66" s="16">
        <f t="shared" si="55"/>
        <v>66</v>
      </c>
      <c r="DI66" s="166"/>
    </row>
    <row r="67" spans="1:114" s="16" customFormat="1">
      <c r="A67" s="36">
        <f t="shared" ref="A67:A74" si="78">SUM(F67:L67)</f>
        <v>620</v>
      </c>
      <c r="B67" s="36">
        <f t="shared" si="51"/>
        <v>380</v>
      </c>
      <c r="C67" s="83">
        <f t="shared" si="70"/>
        <v>0</v>
      </c>
      <c r="D67" s="574"/>
      <c r="E67" s="16">
        <f t="shared" ref="E67:E74" si="79">A67+B67+C67</f>
        <v>1000</v>
      </c>
      <c r="F67" s="86">
        <f t="shared" si="62"/>
        <v>0</v>
      </c>
      <c r="G67" s="37">
        <f t="shared" si="63"/>
        <v>100</v>
      </c>
      <c r="H67" s="247">
        <f t="shared" si="64"/>
        <v>150</v>
      </c>
      <c r="I67" s="38">
        <f t="shared" si="65"/>
        <v>150</v>
      </c>
      <c r="J67" s="39">
        <f t="shared" si="66"/>
        <v>100</v>
      </c>
      <c r="K67" s="40">
        <f t="shared" si="67"/>
        <v>20</v>
      </c>
      <c r="L67" s="500">
        <f t="shared" si="68"/>
        <v>100</v>
      </c>
      <c r="M67" s="635">
        <f>Rezone!J67</f>
        <v>65</v>
      </c>
      <c r="N67" s="356"/>
      <c r="O67" s="348"/>
      <c r="P67" s="348"/>
      <c r="Q67" s="348"/>
      <c r="R67" s="348"/>
      <c r="S67" s="348"/>
      <c r="T67" s="348"/>
      <c r="U67" s="348"/>
      <c r="V67" s="348"/>
      <c r="W67" s="348"/>
      <c r="X67" s="348"/>
      <c r="Y67" s="348"/>
      <c r="Z67" s="348"/>
      <c r="AA67" s="348"/>
      <c r="AB67" s="348"/>
      <c r="AC67" s="348"/>
      <c r="AD67" s="348"/>
      <c r="AE67" s="348"/>
      <c r="AF67" s="343"/>
      <c r="AG67" s="532">
        <f t="shared" si="52"/>
        <v>43694.666666666511</v>
      </c>
      <c r="AH67" s="91">
        <f>MIN(25%,(BG67+CE67)/(E67-Explore!S67*20))</f>
        <v>0</v>
      </c>
      <c r="AI67" s="59">
        <f t="shared" si="13"/>
        <v>0</v>
      </c>
      <c r="AJ67" s="56">
        <f ca="1">Production!$H67</f>
        <v>3629175</v>
      </c>
      <c r="AK67" s="57">
        <f ca="1">Production!$J67</f>
        <v>277539</v>
      </c>
      <c r="AL67" s="152">
        <f ca="1">ROUND( (1 - MIN(facs_constr_factor*$AH67,facs_constr_max)) * (1+MIN(tech_construction*Techs!AC67,tech_conquerors_crafts*Techs!AS67)) * AU67*(1+race_construction_cost),0)</f>
        <v>1615</v>
      </c>
      <c r="AM67" s="166">
        <f t="shared" ref="AM67:AM98" si="80">ROUND( (1 - MIN(facs_constr_factor*$AH67,facs_constr_max)) * AV67,0)</f>
        <v>263</v>
      </c>
      <c r="AN67" s="152">
        <f ca="1">ROUND( (1 - MIN(facs_constr_factor*$AI67,facs_constr_max)) * (1+MIN(tech_construction*Techs!AE67,tech_conquerors_crafts*Techs!AU67)) * AU67*(1+race_construction_cost),0)</f>
        <v>1615</v>
      </c>
      <c r="AO67" s="166">
        <f t="shared" si="69"/>
        <v>263</v>
      </c>
      <c r="AP67" s="16">
        <f t="shared" ca="1" si="56"/>
        <v>0</v>
      </c>
      <c r="AQ67" s="53">
        <f t="shared" si="57"/>
        <v>0</v>
      </c>
      <c r="AR67" s="16">
        <f>MIN(SUM(F66:L66)+SUM(Explore!T55:Z55)+SUM(BV67:CN67),SUM($N67:$AF67))</f>
        <v>0</v>
      </c>
      <c r="AS67" s="16">
        <f>IF(Explore!S67&lt;&gt;0,MAX(0, MIN(20, 20 + SUM(N67:AF67) - SUM(BV67:CN67) - SUM(F66:L66)-SUM(Explore!T55:Z55)-20*Explore!S67)),0)</f>
        <v>0</v>
      </c>
      <c r="AU67" s="152">
        <f t="shared" si="17"/>
        <v>1615</v>
      </c>
      <c r="AV67" s="166">
        <f t="shared" si="18"/>
        <v>262.5</v>
      </c>
      <c r="AW67" s="164"/>
      <c r="AX67" s="295">
        <f>AX66 + IF(Overview!$B$14="Gnome",N58,N55) -BV67</f>
        <v>0</v>
      </c>
      <c r="AY67" s="28">
        <f>AY66 + IF(Overview!$B$14="Gnome",O58,O55) -BW67</f>
        <v>0</v>
      </c>
      <c r="AZ67" s="28">
        <f>AZ66 + IF(Overview!$B$14="Gnome",P58,P55) -BX67</f>
        <v>80</v>
      </c>
      <c r="BA67" s="28">
        <f>BA66 + IF(Overview!$B$14="Gnome",Q58,Q55) -BY67</f>
        <v>200</v>
      </c>
      <c r="BB67" s="28">
        <f>BB66 + IF(Overview!$B$14="Gnome",R58,R55) -BZ67</f>
        <v>0</v>
      </c>
      <c r="BC67" s="29">
        <f>BC66 + IF(Overview!$B$14="Gnome",S58,S55) -CA67</f>
        <v>50</v>
      </c>
      <c r="BD67" s="29">
        <f>BD66 + IF(Overview!$B$14="Gnome",T58,T55) -CB67</f>
        <v>0</v>
      </c>
      <c r="BE67" s="30">
        <f>BE66 + IF(Overview!$B$14="Gnome",U58,U55) -CC67</f>
        <v>0</v>
      </c>
      <c r="BF67" s="30">
        <f>BF66 + IF(Overview!$B$14="Gnome",V58,V55) -CD67</f>
        <v>0</v>
      </c>
      <c r="BG67" s="31">
        <f>BG66 + IF(Overview!$B$14="Gnome",W58,W55) -CE67</f>
        <v>0</v>
      </c>
      <c r="BH67" s="31">
        <f>BH66 + IF(Overview!$B$14="Gnome",X58,X55) -CF67</f>
        <v>0</v>
      </c>
      <c r="BI67" s="31">
        <f>BI66 + IF(Overview!$B$14="Gnome",Y58,Y55) -CG67</f>
        <v>0</v>
      </c>
      <c r="BJ67" s="31">
        <f>BJ66 + IF(Overview!$B$14="Gnome",Z58,Z55) -CH67</f>
        <v>0</v>
      </c>
      <c r="BK67" s="32">
        <f>BK66 + IF(Overview!$B$14="Gnome",AA58,AA55) -CI67</f>
        <v>50</v>
      </c>
      <c r="BL67" s="32">
        <f>BL66 + IF(Overview!$B$14="Gnome",AB58,AB55) -CJ67</f>
        <v>0</v>
      </c>
      <c r="BM67" s="32">
        <f>BM66 + IF(Overview!$B$14="Gnome",AC58,AC55) -CK67</f>
        <v>0</v>
      </c>
      <c r="BN67" s="33">
        <f>BN66 + IF(Overview!$B$14="Gnome",AD58,AD55) -CL67</f>
        <v>0</v>
      </c>
      <c r="BO67" s="33">
        <f>BO66 + IF(Overview!$B$14="Gnome",AE58,AE55) -CM67</f>
        <v>0</v>
      </c>
      <c r="BP67" s="69">
        <f>BP66 + IF(Overview!$B$14="Gnome",AF58,AF55) -CN67</f>
        <v>0</v>
      </c>
      <c r="BR67" s="442"/>
      <c r="BS67" s="156">
        <f t="shared" ref="BS67:BS74" si="81">E67</f>
        <v>1000</v>
      </c>
      <c r="BT67" s="574">
        <f t="shared" si="43"/>
        <v>43694.666666666511</v>
      </c>
      <c r="BV67" s="356"/>
      <c r="BW67" s="348"/>
      <c r="BX67" s="348"/>
      <c r="BY67" s="348"/>
      <c r="BZ67" s="348"/>
      <c r="CA67" s="348"/>
      <c r="CB67" s="348"/>
      <c r="CC67" s="348"/>
      <c r="CD67" s="348"/>
      <c r="CE67" s="348"/>
      <c r="CF67" s="348"/>
      <c r="CG67" s="348"/>
      <c r="CH67" s="348"/>
      <c r="CI67" s="348"/>
      <c r="CJ67" s="348"/>
      <c r="CK67" s="348"/>
      <c r="CL67" s="348"/>
      <c r="CM67" s="360"/>
      <c r="CN67" s="357"/>
      <c r="CP67" s="86">
        <f>-SUM($O67:$R67)+SUM($BW67:BZ67)+Rezone!L67+IF(home_land=CP$2,CW67) + Explore!T55</f>
        <v>0</v>
      </c>
      <c r="CQ67" s="37">
        <f>-SUM($S67:$T67)+SUM($CA67:$CB67) +Rezone!M67 + IF(home_land=CQ$2,CW67) + Explore!U55</f>
        <v>0</v>
      </c>
      <c r="CR67" s="247">
        <f>-SUM($U67:$V67)+SUM($CC67:$CD67) +Rezone!N67 + IF(home_land=CR$2,CW67) + Explore!V55</f>
        <v>0</v>
      </c>
      <c r="CS67" s="38">
        <f>-SUM($W67:$Z67)+SUM($CE67:$CH67) +Rezone!O67 + IF(home_land=CS$2,CW67) + Explore!W55</f>
        <v>0</v>
      </c>
      <c r="CT67" s="39">
        <f>-SUM($AA67:$AC67)+SUM($CI67:$CK67) +Rezone!P67 + IF(home_land=CT$2,CW67) + Explore!X55</f>
        <v>0</v>
      </c>
      <c r="CU67" s="40">
        <f xml:space="preserve"> - SUM($AD67,$AE67)+SUM($CL67,$CM67) +Rezone!Q67 + IF(home_land=CU$2,CW67)+Explore!Y55</f>
        <v>0</v>
      </c>
      <c r="CV67" s="500">
        <f>-$AF67+$CN67 +Rezone!R67 + IF(home_land=CV$2,CW67) + Explore!Z55</f>
        <v>0</v>
      </c>
      <c r="CW67" s="159">
        <f>IF(Explore!S67=1,25) - N67 + BV67</f>
        <v>0</v>
      </c>
      <c r="CY67" s="152">
        <f t="shared" si="71"/>
        <v>280</v>
      </c>
      <c r="CZ67" s="164">
        <f t="shared" si="72"/>
        <v>150</v>
      </c>
      <c r="DA67" s="16">
        <f t="shared" si="73"/>
        <v>150</v>
      </c>
      <c r="DB67" s="164">
        <f t="shared" si="74"/>
        <v>150</v>
      </c>
      <c r="DC67" s="164">
        <f t="shared" si="75"/>
        <v>150</v>
      </c>
      <c r="DD67" s="16">
        <f t="shared" si="76"/>
        <v>20</v>
      </c>
      <c r="DE67" s="166">
        <f t="shared" si="77"/>
        <v>100</v>
      </c>
      <c r="DF67" s="164">
        <f t="shared" ca="1" si="53"/>
        <v>280</v>
      </c>
      <c r="DG67" s="16">
        <f t="shared" si="54"/>
        <v>0</v>
      </c>
      <c r="DH67" s="16">
        <f t="shared" si="55"/>
        <v>67</v>
      </c>
      <c r="DI67" s="166"/>
    </row>
    <row r="68" spans="1:114" s="16" customFormat="1">
      <c r="A68" s="36">
        <f t="shared" si="78"/>
        <v>620</v>
      </c>
      <c r="B68" s="36">
        <f t="shared" si="51"/>
        <v>380</v>
      </c>
      <c r="C68" s="83">
        <f t="shared" si="70"/>
        <v>0</v>
      </c>
      <c r="D68" s="574"/>
      <c r="E68" s="16">
        <f t="shared" si="79"/>
        <v>1000</v>
      </c>
      <c r="F68" s="86">
        <f t="shared" ref="F68:L74" si="82">F67+CP68</f>
        <v>0</v>
      </c>
      <c r="G68" s="37">
        <f t="shared" si="82"/>
        <v>100</v>
      </c>
      <c r="H68" s="247">
        <f t="shared" si="82"/>
        <v>150</v>
      </c>
      <c r="I68" s="38">
        <f t="shared" si="82"/>
        <v>150</v>
      </c>
      <c r="J68" s="39">
        <f t="shared" si="82"/>
        <v>100</v>
      </c>
      <c r="K68" s="40">
        <f t="shared" si="82"/>
        <v>20</v>
      </c>
      <c r="L68" s="500">
        <f t="shared" si="82"/>
        <v>100</v>
      </c>
      <c r="M68" s="635">
        <f>Rezone!J68</f>
        <v>66</v>
      </c>
      <c r="N68" s="356"/>
      <c r="O68" s="348"/>
      <c r="P68" s="348"/>
      <c r="Q68" s="348"/>
      <c r="R68" s="348"/>
      <c r="S68" s="348"/>
      <c r="T68" s="348"/>
      <c r="U68" s="348"/>
      <c r="V68" s="348"/>
      <c r="W68" s="348"/>
      <c r="X68" s="348"/>
      <c r="Y68" s="348"/>
      <c r="Z68" s="348"/>
      <c r="AA68" s="348"/>
      <c r="AB68" s="348"/>
      <c r="AC68" s="348"/>
      <c r="AD68" s="348"/>
      <c r="AE68" s="348"/>
      <c r="AF68" s="343"/>
      <c r="AG68" s="532">
        <f t="shared" si="52"/>
        <v>43694.708333333176</v>
      </c>
      <c r="AH68" s="91">
        <f>MIN(25%,(BG68+CE68)/(E68-Explore!S68*20))</f>
        <v>0</v>
      </c>
      <c r="AI68" s="59">
        <f t="shared" ref="AI68:AI131" si="83">MIN(25%,(BG68+CE68)/E68)</f>
        <v>0</v>
      </c>
      <c r="AJ68" s="56">
        <f ca="1">Production!$H68</f>
        <v>3639826</v>
      </c>
      <c r="AK68" s="57">
        <f ca="1">Production!$J68</f>
        <v>277264</v>
      </c>
      <c r="AL68" s="152">
        <f ca="1">ROUND( (1 - MIN(facs_constr_factor*$AH68,facs_constr_max)) * (1+MIN(tech_construction*Techs!AC68,tech_conquerors_crafts*Techs!AS68)) * AU68*(1+race_construction_cost),0)</f>
        <v>1615</v>
      </c>
      <c r="AM68" s="166">
        <f t="shared" si="80"/>
        <v>263</v>
      </c>
      <c r="AN68" s="152">
        <f ca="1">ROUND( (1 - MIN(facs_constr_factor*$AI68,facs_constr_max)) * (1+MIN(tech_construction*Techs!AE68,tech_conquerors_crafts*Techs!AU68)) * AU68*(1+race_construction_cost),0)</f>
        <v>1615</v>
      </c>
      <c r="AO68" s="166">
        <f t="shared" ref="AO68:AO99" si="84">ROUND( (1 - MIN(facs_constr_factor*$AH68,facs_constr_max)) * AV68,0)</f>
        <v>263</v>
      </c>
      <c r="AP68" s="16">
        <f t="shared" ca="1" si="56"/>
        <v>0</v>
      </c>
      <c r="AQ68" s="53">
        <f t="shared" si="57"/>
        <v>0</v>
      </c>
      <c r="AR68" s="16">
        <f>MIN(SUM(F67:L67)+SUM(Explore!T56:Z56)+SUM(BV68:CN68),SUM($N68:$AF68))</f>
        <v>0</v>
      </c>
      <c r="AS68" s="16">
        <f>IF(Explore!S68&lt;&gt;0,MAX(0, MIN(20, 20 + SUM(N68:AF68) - SUM(BV68:CN68) - SUM(F67:L67)-SUM(Explore!T56:Z56)-20*Explore!S68)),0)</f>
        <v>0</v>
      </c>
      <c r="AU68" s="152">
        <f t="shared" ref="AU68:AU131" si="85">(MAX($B68,250,0.75*E68)-250) * 1.53 + 850</f>
        <v>1615</v>
      </c>
      <c r="AV68" s="166">
        <f t="shared" ref="AV68:AV131" si="86">(MAX($B68,250,0.75*E68)-250) * 0.35+87.5</f>
        <v>262.5</v>
      </c>
      <c r="AW68" s="164"/>
      <c r="AX68" s="295">
        <f>AX67 + IF(Overview!$B$14="Gnome",N59,N56) -BV68</f>
        <v>0</v>
      </c>
      <c r="AY68" s="28">
        <f>AY67 + IF(Overview!$B$14="Gnome",O59,O56) -BW68</f>
        <v>0</v>
      </c>
      <c r="AZ68" s="28">
        <f>AZ67 + IF(Overview!$B$14="Gnome",P59,P56) -BX68</f>
        <v>80</v>
      </c>
      <c r="BA68" s="28">
        <f>BA67 + IF(Overview!$B$14="Gnome",Q59,Q56) -BY68</f>
        <v>200</v>
      </c>
      <c r="BB68" s="28">
        <f>BB67 + IF(Overview!$B$14="Gnome",R59,R56) -BZ68</f>
        <v>0</v>
      </c>
      <c r="BC68" s="29">
        <f>BC67 + IF(Overview!$B$14="Gnome",S59,S56) -CA68</f>
        <v>50</v>
      </c>
      <c r="BD68" s="29">
        <f>BD67 + IF(Overview!$B$14="Gnome",T59,T56) -CB68</f>
        <v>0</v>
      </c>
      <c r="BE68" s="30">
        <f>BE67 + IF(Overview!$B$14="Gnome",U59,U56) -CC68</f>
        <v>0</v>
      </c>
      <c r="BF68" s="30">
        <f>BF67 + IF(Overview!$B$14="Gnome",V59,V56) -CD68</f>
        <v>0</v>
      </c>
      <c r="BG68" s="31">
        <f>BG67 + IF(Overview!$B$14="Gnome",W59,W56) -CE68</f>
        <v>0</v>
      </c>
      <c r="BH68" s="31">
        <f>BH67 + IF(Overview!$B$14="Gnome",X59,X56) -CF68</f>
        <v>0</v>
      </c>
      <c r="BI68" s="31">
        <f>BI67 + IF(Overview!$B$14="Gnome",Y59,Y56) -CG68</f>
        <v>0</v>
      </c>
      <c r="BJ68" s="31">
        <f>BJ67 + IF(Overview!$B$14="Gnome",Z59,Z56) -CH68</f>
        <v>0</v>
      </c>
      <c r="BK68" s="32">
        <f>BK67 + IF(Overview!$B$14="Gnome",AA59,AA56) -CI68</f>
        <v>50</v>
      </c>
      <c r="BL68" s="32">
        <f>BL67 + IF(Overview!$B$14="Gnome",AB59,AB56) -CJ68</f>
        <v>0</v>
      </c>
      <c r="BM68" s="32">
        <f>BM67 + IF(Overview!$B$14="Gnome",AC59,AC56) -CK68</f>
        <v>0</v>
      </c>
      <c r="BN68" s="33">
        <f>BN67 + IF(Overview!$B$14="Gnome",AD59,AD56) -CL68</f>
        <v>0</v>
      </c>
      <c r="BO68" s="33">
        <f>BO67 + IF(Overview!$B$14="Gnome",AE59,AE56) -CM68</f>
        <v>0</v>
      </c>
      <c r="BP68" s="69">
        <f>BP67 + IF(Overview!$B$14="Gnome",AF59,AF56) -CN68</f>
        <v>0</v>
      </c>
      <c r="BR68" s="442"/>
      <c r="BS68" s="156">
        <f t="shared" si="81"/>
        <v>1000</v>
      </c>
      <c r="BT68" s="574">
        <f t="shared" si="43"/>
        <v>43694.708333333176</v>
      </c>
      <c r="BV68" s="356"/>
      <c r="BW68" s="348"/>
      <c r="BX68" s="348"/>
      <c r="BY68" s="348"/>
      <c r="BZ68" s="348"/>
      <c r="CA68" s="348"/>
      <c r="CB68" s="348"/>
      <c r="CC68" s="348"/>
      <c r="CD68" s="348"/>
      <c r="CE68" s="348"/>
      <c r="CF68" s="348"/>
      <c r="CG68" s="348"/>
      <c r="CH68" s="348"/>
      <c r="CI68" s="348"/>
      <c r="CJ68" s="348"/>
      <c r="CK68" s="348"/>
      <c r="CL68" s="348"/>
      <c r="CM68" s="360"/>
      <c r="CN68" s="357"/>
      <c r="CP68" s="86">
        <f>-SUM($O68:$R68)+SUM($BW68:BZ68)+Rezone!L68+IF(home_land=CP$2,CW68) + Explore!T56</f>
        <v>0</v>
      </c>
      <c r="CQ68" s="37">
        <f>-SUM($S68:$T68)+SUM($CA68:$CB68) +Rezone!M68 + IF(home_land=CQ$2,CW68) + Explore!U56</f>
        <v>0</v>
      </c>
      <c r="CR68" s="247">
        <f>-SUM($U68:$V68)+SUM($CC68:$CD68) +Rezone!N68 + IF(home_land=CR$2,CW68) + Explore!V56</f>
        <v>0</v>
      </c>
      <c r="CS68" s="38">
        <f>-SUM($W68:$Z68)+SUM($CE68:$CH68) +Rezone!O68 + IF(home_land=CS$2,CW68) + Explore!W56</f>
        <v>0</v>
      </c>
      <c r="CT68" s="39">
        <f>-SUM($AA68:$AC68)+SUM($CI68:$CK68) +Rezone!P68 + IF(home_land=CT$2,CW68) + Explore!X56</f>
        <v>0</v>
      </c>
      <c r="CU68" s="40">
        <f xml:space="preserve"> - SUM($AD68,$AE68)+SUM($CL68,$CM68) +Rezone!Q68 + IF(home_land=CU$2,CW68)+Explore!Y56</f>
        <v>0</v>
      </c>
      <c r="CV68" s="500">
        <f>-$AF68+$CN68 +Rezone!R68 + IF(home_land=CV$2,CW68) + Explore!Z56</f>
        <v>0</v>
      </c>
      <c r="CW68" s="159">
        <f>IF(Explore!S68=1,25) - N68 + BV68</f>
        <v>0</v>
      </c>
      <c r="CY68" s="152">
        <f t="shared" si="71"/>
        <v>280</v>
      </c>
      <c r="CZ68" s="164">
        <f t="shared" si="72"/>
        <v>150</v>
      </c>
      <c r="DA68" s="16">
        <f t="shared" si="73"/>
        <v>150</v>
      </c>
      <c r="DB68" s="164">
        <f t="shared" si="74"/>
        <v>150</v>
      </c>
      <c r="DC68" s="164">
        <f t="shared" si="75"/>
        <v>150</v>
      </c>
      <c r="DD68" s="16">
        <f t="shared" si="76"/>
        <v>20</v>
      </c>
      <c r="DE68" s="166">
        <f t="shared" si="77"/>
        <v>100</v>
      </c>
      <c r="DF68" s="164">
        <f t="shared" ca="1" si="53"/>
        <v>280</v>
      </c>
      <c r="DG68" s="16">
        <f t="shared" si="54"/>
        <v>0</v>
      </c>
      <c r="DH68" s="16">
        <f t="shared" si="55"/>
        <v>68</v>
      </c>
      <c r="DI68" s="166"/>
    </row>
    <row r="69" spans="1:114" s="16" customFormat="1">
      <c r="A69" s="36">
        <f t="shared" si="78"/>
        <v>620</v>
      </c>
      <c r="B69" s="36">
        <f t="shared" si="51"/>
        <v>380</v>
      </c>
      <c r="C69" s="83">
        <f t="shared" si="70"/>
        <v>0</v>
      </c>
      <c r="D69" s="574"/>
      <c r="E69" s="16">
        <f t="shared" si="79"/>
        <v>1000</v>
      </c>
      <c r="F69" s="86">
        <f t="shared" si="82"/>
        <v>0</v>
      </c>
      <c r="G69" s="37">
        <f t="shared" si="82"/>
        <v>100</v>
      </c>
      <c r="H69" s="247">
        <f t="shared" si="82"/>
        <v>150</v>
      </c>
      <c r="I69" s="38">
        <f t="shared" si="82"/>
        <v>150</v>
      </c>
      <c r="J69" s="39">
        <f t="shared" si="82"/>
        <v>100</v>
      </c>
      <c r="K69" s="40">
        <f t="shared" si="82"/>
        <v>20</v>
      </c>
      <c r="L69" s="500">
        <f t="shared" si="82"/>
        <v>100</v>
      </c>
      <c r="M69" s="635">
        <f>Rezone!J69</f>
        <v>67</v>
      </c>
      <c r="N69" s="356"/>
      <c r="O69" s="348"/>
      <c r="P69" s="348"/>
      <c r="Q69" s="348"/>
      <c r="R69" s="348"/>
      <c r="S69" s="348"/>
      <c r="T69" s="348"/>
      <c r="U69" s="348"/>
      <c r="V69" s="348"/>
      <c r="W69" s="348"/>
      <c r="X69" s="348"/>
      <c r="Y69" s="348"/>
      <c r="Z69" s="348"/>
      <c r="AA69" s="348"/>
      <c r="AB69" s="348"/>
      <c r="AC69" s="348"/>
      <c r="AD69" s="348"/>
      <c r="AE69" s="348"/>
      <c r="AF69" s="343"/>
      <c r="AG69" s="532">
        <f t="shared" si="52"/>
        <v>43694.74999999984</v>
      </c>
      <c r="AH69" s="91">
        <f>MIN(25%,(BG69+CE69)/(E69-Explore!S69*20))</f>
        <v>0</v>
      </c>
      <c r="AI69" s="59">
        <f t="shared" si="83"/>
        <v>0</v>
      </c>
      <c r="AJ69" s="56">
        <f ca="1">Production!$H69</f>
        <v>3650477</v>
      </c>
      <c r="AK69" s="57">
        <f ca="1">Production!$J69</f>
        <v>276991</v>
      </c>
      <c r="AL69" s="152">
        <f ca="1">ROUND( (1 - MIN(facs_constr_factor*$AH69,facs_constr_max)) * (1+MIN(tech_construction*Techs!AC69,tech_conquerors_crafts*Techs!AS69)) * AU69*(1+race_construction_cost),0)</f>
        <v>1615</v>
      </c>
      <c r="AM69" s="166">
        <f t="shared" si="80"/>
        <v>263</v>
      </c>
      <c r="AN69" s="152">
        <f ca="1">ROUND( (1 - MIN(facs_constr_factor*$AI69,facs_constr_max)) * (1+MIN(tech_construction*Techs!AE69,tech_conquerors_crafts*Techs!AU69)) * AU69*(1+race_construction_cost),0)</f>
        <v>1615</v>
      </c>
      <c r="AO69" s="166">
        <f t="shared" si="84"/>
        <v>263</v>
      </c>
      <c r="AP69" s="16">
        <f t="shared" ca="1" si="56"/>
        <v>0</v>
      </c>
      <c r="AQ69" s="53">
        <f t="shared" si="57"/>
        <v>0</v>
      </c>
      <c r="AR69" s="16">
        <f>MIN(SUM(F68:L68)+SUM(Explore!T57:Z57)+SUM(BV69:CN69),SUM($N69:$AF69))</f>
        <v>0</v>
      </c>
      <c r="AS69" s="16">
        <f>IF(Explore!S69&lt;&gt;0,MAX(0, MIN(20, 20 + SUM(N69:AF69) - SUM(BV69:CN69) - SUM(F68:L68)-SUM(Explore!T57:Z57)-20*Explore!S69)),0)</f>
        <v>0</v>
      </c>
      <c r="AU69" s="152">
        <f t="shared" si="85"/>
        <v>1615</v>
      </c>
      <c r="AV69" s="166">
        <f t="shared" si="86"/>
        <v>262.5</v>
      </c>
      <c r="AW69" s="164"/>
      <c r="AX69" s="295">
        <f>AX68 + IF(Overview!$B$14="Gnome",N60,N57) -BV69</f>
        <v>0</v>
      </c>
      <c r="AY69" s="28">
        <f>AY68 + IF(Overview!$B$14="Gnome",O60,O57) -BW69</f>
        <v>0</v>
      </c>
      <c r="AZ69" s="28">
        <f>AZ68 + IF(Overview!$B$14="Gnome",P60,P57) -BX69</f>
        <v>80</v>
      </c>
      <c r="BA69" s="28">
        <f>BA68 + IF(Overview!$B$14="Gnome",Q60,Q57) -BY69</f>
        <v>200</v>
      </c>
      <c r="BB69" s="28">
        <f>BB68 + IF(Overview!$B$14="Gnome",R60,R57) -BZ69</f>
        <v>0</v>
      </c>
      <c r="BC69" s="29">
        <f>BC68 + IF(Overview!$B$14="Gnome",S60,S57) -CA69</f>
        <v>50</v>
      </c>
      <c r="BD69" s="29">
        <f>BD68 + IF(Overview!$B$14="Gnome",T60,T57) -CB69</f>
        <v>0</v>
      </c>
      <c r="BE69" s="30">
        <f>BE68 + IF(Overview!$B$14="Gnome",U60,U57) -CC69</f>
        <v>0</v>
      </c>
      <c r="BF69" s="30">
        <f>BF68 + IF(Overview!$B$14="Gnome",V60,V57) -CD69</f>
        <v>0</v>
      </c>
      <c r="BG69" s="31">
        <f>BG68 + IF(Overview!$B$14="Gnome",W60,W57) -CE69</f>
        <v>0</v>
      </c>
      <c r="BH69" s="31">
        <f>BH68 + IF(Overview!$B$14="Gnome",X60,X57) -CF69</f>
        <v>0</v>
      </c>
      <c r="BI69" s="31">
        <f>BI68 + IF(Overview!$B$14="Gnome",Y60,Y57) -CG69</f>
        <v>0</v>
      </c>
      <c r="BJ69" s="31">
        <f>BJ68 + IF(Overview!$B$14="Gnome",Z60,Z57) -CH69</f>
        <v>0</v>
      </c>
      <c r="BK69" s="32">
        <f>BK68 + IF(Overview!$B$14="Gnome",AA60,AA57) -CI69</f>
        <v>50</v>
      </c>
      <c r="BL69" s="32">
        <f>BL68 + IF(Overview!$B$14="Gnome",AB60,AB57) -CJ69</f>
        <v>0</v>
      </c>
      <c r="BM69" s="32">
        <f>BM68 + IF(Overview!$B$14="Gnome",AC60,AC57) -CK69</f>
        <v>0</v>
      </c>
      <c r="BN69" s="33">
        <f>BN68 + IF(Overview!$B$14="Gnome",AD60,AD57) -CL69</f>
        <v>0</v>
      </c>
      <c r="BO69" s="33">
        <f>BO68 + IF(Overview!$B$14="Gnome",AE60,AE57) -CM69</f>
        <v>0</v>
      </c>
      <c r="BP69" s="69">
        <f>BP68 + IF(Overview!$B$14="Gnome",AF60,AF57) -CN69</f>
        <v>0</v>
      </c>
      <c r="BR69" s="442"/>
      <c r="BS69" s="156">
        <f t="shared" si="81"/>
        <v>1000</v>
      </c>
      <c r="BT69" s="574">
        <f t="shared" si="43"/>
        <v>43694.74999999984</v>
      </c>
      <c r="BV69" s="356"/>
      <c r="BW69" s="348"/>
      <c r="BX69" s="348"/>
      <c r="BY69" s="348"/>
      <c r="BZ69" s="348"/>
      <c r="CA69" s="348"/>
      <c r="CB69" s="348"/>
      <c r="CC69" s="348"/>
      <c r="CD69" s="348"/>
      <c r="CE69" s="348"/>
      <c r="CF69" s="348"/>
      <c r="CG69" s="348"/>
      <c r="CH69" s="348"/>
      <c r="CI69" s="348"/>
      <c r="CJ69" s="348"/>
      <c r="CK69" s="348"/>
      <c r="CL69" s="348"/>
      <c r="CM69" s="360"/>
      <c r="CN69" s="357"/>
      <c r="CP69" s="86">
        <f>-SUM($O69:$R69)+SUM($BW69:BZ69)+Rezone!L69+IF(home_land=CP$2,CW69) + Explore!T57</f>
        <v>0</v>
      </c>
      <c r="CQ69" s="37">
        <f>-SUM($S69:$T69)+SUM($CA69:$CB69) +Rezone!M69 + IF(home_land=CQ$2,CW69) + Explore!U57</f>
        <v>0</v>
      </c>
      <c r="CR69" s="247">
        <f>-SUM($U69:$V69)+SUM($CC69:$CD69) +Rezone!N69 + IF(home_land=CR$2,CW69) + Explore!V57</f>
        <v>0</v>
      </c>
      <c r="CS69" s="38">
        <f>-SUM($W69:$Z69)+SUM($CE69:$CH69) +Rezone!O69 + IF(home_land=CS$2,CW69) + Explore!W57</f>
        <v>0</v>
      </c>
      <c r="CT69" s="39">
        <f>-SUM($AA69:$AC69)+SUM($CI69:$CK69) +Rezone!P69 + IF(home_land=CT$2,CW69) + Explore!X57</f>
        <v>0</v>
      </c>
      <c r="CU69" s="40">
        <f xml:space="preserve"> - SUM($AD69,$AE69)+SUM($CL69,$CM69) +Rezone!Q69 + IF(home_land=CU$2,CW69)+Explore!Y57</f>
        <v>0</v>
      </c>
      <c r="CV69" s="500">
        <f>-$AF69+$CN69 +Rezone!R69 + IF(home_land=CV$2,CW69) + Explore!Z57</f>
        <v>0</v>
      </c>
      <c r="CW69" s="159">
        <f>IF(Explore!S69=1,25) - N69 + BV69</f>
        <v>0</v>
      </c>
      <c r="CY69" s="152">
        <f t="shared" si="71"/>
        <v>280</v>
      </c>
      <c r="CZ69" s="164">
        <f t="shared" si="72"/>
        <v>150</v>
      </c>
      <c r="DA69" s="16">
        <f t="shared" si="73"/>
        <v>150</v>
      </c>
      <c r="DB69" s="164">
        <f t="shared" si="74"/>
        <v>150</v>
      </c>
      <c r="DC69" s="164">
        <f t="shared" si="75"/>
        <v>150</v>
      </c>
      <c r="DD69" s="16">
        <f t="shared" si="76"/>
        <v>20</v>
      </c>
      <c r="DE69" s="166">
        <f t="shared" si="77"/>
        <v>100</v>
      </c>
      <c r="DF69" s="164">
        <f t="shared" ca="1" si="53"/>
        <v>280</v>
      </c>
      <c r="DG69" s="16">
        <f t="shared" si="54"/>
        <v>0</v>
      </c>
      <c r="DH69" s="16">
        <f t="shared" si="55"/>
        <v>69</v>
      </c>
      <c r="DI69" s="166"/>
    </row>
    <row r="70" spans="1:114" s="16" customFormat="1">
      <c r="A70" s="36">
        <f t="shared" si="78"/>
        <v>620</v>
      </c>
      <c r="B70" s="36">
        <f t="shared" si="51"/>
        <v>380</v>
      </c>
      <c r="C70" s="83">
        <f t="shared" si="70"/>
        <v>0</v>
      </c>
      <c r="D70" s="574"/>
      <c r="E70" s="16">
        <f t="shared" si="79"/>
        <v>1000</v>
      </c>
      <c r="F70" s="86">
        <f t="shared" si="82"/>
        <v>0</v>
      </c>
      <c r="G70" s="37">
        <f t="shared" si="82"/>
        <v>100</v>
      </c>
      <c r="H70" s="247">
        <f t="shared" si="82"/>
        <v>150</v>
      </c>
      <c r="I70" s="38">
        <f t="shared" si="82"/>
        <v>150</v>
      </c>
      <c r="J70" s="39">
        <f t="shared" si="82"/>
        <v>100</v>
      </c>
      <c r="K70" s="40">
        <f t="shared" si="82"/>
        <v>20</v>
      </c>
      <c r="L70" s="500">
        <f t="shared" si="82"/>
        <v>100</v>
      </c>
      <c r="M70" s="635">
        <f>Rezone!J70</f>
        <v>68</v>
      </c>
      <c r="N70" s="356"/>
      <c r="O70" s="348"/>
      <c r="P70" s="348"/>
      <c r="Q70" s="376"/>
      <c r="R70" s="348"/>
      <c r="S70" s="348"/>
      <c r="T70" s="348"/>
      <c r="U70" s="348"/>
      <c r="V70" s="348"/>
      <c r="W70" s="348"/>
      <c r="X70" s="348"/>
      <c r="Y70" s="348"/>
      <c r="Z70" s="348"/>
      <c r="AA70" s="348"/>
      <c r="AB70" s="348"/>
      <c r="AC70" s="348"/>
      <c r="AD70" s="348"/>
      <c r="AE70" s="348"/>
      <c r="AF70" s="343"/>
      <c r="AG70" s="532">
        <f t="shared" si="52"/>
        <v>43694.791666666504</v>
      </c>
      <c r="AH70" s="91">
        <f>MIN(25%,(BG70+CE70)/(E70-Explore!S70*20))</f>
        <v>0</v>
      </c>
      <c r="AI70" s="59">
        <f t="shared" si="83"/>
        <v>0</v>
      </c>
      <c r="AJ70" s="56">
        <f ca="1">Production!$H70</f>
        <v>3661128</v>
      </c>
      <c r="AK70" s="57">
        <f ca="1">Production!$J70</f>
        <v>276721</v>
      </c>
      <c r="AL70" s="152">
        <f ca="1">ROUND( (1 - MIN(facs_constr_factor*$AH70,facs_constr_max)) * (1+MIN(tech_construction*Techs!AC70,tech_conquerors_crafts*Techs!AS70)) * AU70*(1+race_construction_cost),0)</f>
        <v>1615</v>
      </c>
      <c r="AM70" s="166">
        <f t="shared" si="80"/>
        <v>263</v>
      </c>
      <c r="AN70" s="152">
        <f ca="1">ROUND( (1 - MIN(facs_constr_factor*$AI70,facs_constr_max)) * (1+MIN(tech_construction*Techs!AE70,tech_conquerors_crafts*Techs!AU70)) * AU70*(1+race_construction_cost),0)</f>
        <v>1615</v>
      </c>
      <c r="AO70" s="166">
        <f t="shared" si="84"/>
        <v>263</v>
      </c>
      <c r="AP70" s="16">
        <f t="shared" ca="1" si="56"/>
        <v>0</v>
      </c>
      <c r="AQ70" s="53">
        <f t="shared" si="57"/>
        <v>0</v>
      </c>
      <c r="AR70" s="16">
        <f>MIN(SUM(F69:L69)+SUM(Explore!T58:Z58)+SUM(BV70:CN70),SUM($N70:$AF70))</f>
        <v>0</v>
      </c>
      <c r="AS70" s="16">
        <f>IF(Explore!S70&lt;&gt;0,MAX(0, MIN(20, 20 + SUM(N70:AF70) - SUM(BV70:CN70) - SUM(F69:L69)-SUM(Explore!T58:Z58)-20*Explore!S70)),0)</f>
        <v>0</v>
      </c>
      <c r="AU70" s="152">
        <f t="shared" si="85"/>
        <v>1615</v>
      </c>
      <c r="AV70" s="166">
        <f t="shared" si="86"/>
        <v>262.5</v>
      </c>
      <c r="AW70" s="164"/>
      <c r="AX70" s="295">
        <f>AX69 + IF(Overview!$B$14="Gnome",N61,N58) -BV70</f>
        <v>0</v>
      </c>
      <c r="AY70" s="28">
        <f>AY69 + IF(Overview!$B$14="Gnome",O61,O58) -BW70</f>
        <v>0</v>
      </c>
      <c r="AZ70" s="28">
        <f>AZ69 + IF(Overview!$B$14="Gnome",P61,P58) -BX70</f>
        <v>80</v>
      </c>
      <c r="BA70" s="28">
        <f>BA69 + IF(Overview!$B$14="Gnome",Q61,Q58) -BY70</f>
        <v>200</v>
      </c>
      <c r="BB70" s="28">
        <f>BB69 + IF(Overview!$B$14="Gnome",R61,R58) -BZ70</f>
        <v>0</v>
      </c>
      <c r="BC70" s="29">
        <f>BC69 + IF(Overview!$B$14="Gnome",S61,S58) -CA70</f>
        <v>50</v>
      </c>
      <c r="BD70" s="29">
        <f>BD69 + IF(Overview!$B$14="Gnome",T61,T58) -CB70</f>
        <v>0</v>
      </c>
      <c r="BE70" s="30">
        <f>BE69 + IF(Overview!$B$14="Gnome",U61,U58) -CC70</f>
        <v>0</v>
      </c>
      <c r="BF70" s="30">
        <f>BF69 + IF(Overview!$B$14="Gnome",V61,V58) -CD70</f>
        <v>0</v>
      </c>
      <c r="BG70" s="31">
        <f>BG69 + IF(Overview!$B$14="Gnome",W61,W58) -CE70</f>
        <v>0</v>
      </c>
      <c r="BH70" s="31">
        <f>BH69 + IF(Overview!$B$14="Gnome",X61,X58) -CF70</f>
        <v>0</v>
      </c>
      <c r="BI70" s="31">
        <f>BI69 + IF(Overview!$B$14="Gnome",Y61,Y58) -CG70</f>
        <v>0</v>
      </c>
      <c r="BJ70" s="31">
        <f>BJ69 + IF(Overview!$B$14="Gnome",Z61,Z58) -CH70</f>
        <v>0</v>
      </c>
      <c r="BK70" s="32">
        <f>BK69 + IF(Overview!$B$14="Gnome",AA61,AA58) -CI70</f>
        <v>50</v>
      </c>
      <c r="BL70" s="32">
        <f>BL69 + IF(Overview!$B$14="Gnome",AB61,AB58) -CJ70</f>
        <v>0</v>
      </c>
      <c r="BM70" s="32">
        <f>BM69 + IF(Overview!$B$14="Gnome",AC61,AC58) -CK70</f>
        <v>0</v>
      </c>
      <c r="BN70" s="33">
        <f>BN69 + IF(Overview!$B$14="Gnome",AD61,AD58) -CL70</f>
        <v>0</v>
      </c>
      <c r="BO70" s="33">
        <f>BO69 + IF(Overview!$B$14="Gnome",AE61,AE58) -CM70</f>
        <v>0</v>
      </c>
      <c r="BP70" s="69">
        <f>BP69 + IF(Overview!$B$14="Gnome",AF61,AF58) -CN70</f>
        <v>0</v>
      </c>
      <c r="BR70" s="442"/>
      <c r="BS70" s="156">
        <f t="shared" si="81"/>
        <v>1000</v>
      </c>
      <c r="BT70" s="574">
        <f>BT69+1/24</f>
        <v>43694.791666666504</v>
      </c>
      <c r="BV70" s="356"/>
      <c r="BW70" s="348"/>
      <c r="BX70" s="348"/>
      <c r="BY70" s="348"/>
      <c r="BZ70" s="348"/>
      <c r="CA70" s="348"/>
      <c r="CB70" s="348"/>
      <c r="CC70" s="348"/>
      <c r="CD70" s="348"/>
      <c r="CE70" s="348"/>
      <c r="CF70" s="348"/>
      <c r="CG70" s="348"/>
      <c r="CH70" s="348"/>
      <c r="CI70" s="348"/>
      <c r="CJ70" s="348"/>
      <c r="CK70" s="348"/>
      <c r="CL70" s="348"/>
      <c r="CM70" s="360"/>
      <c r="CN70" s="357"/>
      <c r="CP70" s="86">
        <f>-SUM($O70:$R70)+SUM($BW70:BZ70)+Rezone!L70+IF(home_land=CP$2,CW70) + Explore!T58</f>
        <v>0</v>
      </c>
      <c r="CQ70" s="37">
        <f>-SUM($S70:$T70)+SUM($CA70:$CB70) +Rezone!M70 + IF(home_land=CQ$2,CW70) + Explore!U58</f>
        <v>0</v>
      </c>
      <c r="CR70" s="247">
        <f>-SUM($U70:$V70)+SUM($CC70:$CD70) +Rezone!N70 + IF(home_land=CR$2,CW70) + Explore!V58</f>
        <v>0</v>
      </c>
      <c r="CS70" s="38">
        <f>-SUM($W70:$Z70)+SUM($CE70:$CH70) +Rezone!O70 + IF(home_land=CS$2,CW70) + Explore!W58</f>
        <v>0</v>
      </c>
      <c r="CT70" s="39">
        <f>-SUM($AA70:$AC70)+SUM($CI70:$CK70) +Rezone!P70 + IF(home_land=CT$2,CW70) + Explore!X58</f>
        <v>0</v>
      </c>
      <c r="CU70" s="40">
        <f xml:space="preserve"> - SUM($AD70,$AE70)+SUM($CL70,$CM70) +Rezone!Q70 + IF(home_land=CU$2,CW70)+Explore!Y58</f>
        <v>0</v>
      </c>
      <c r="CV70" s="500">
        <f>-$AF70+$CN70 +Rezone!R70 + IF(home_land=CV$2,CW70) + Explore!Z58</f>
        <v>0</v>
      </c>
      <c r="CW70" s="159">
        <f>IF(Explore!S70=1,25) - N70 + BV70</f>
        <v>0</v>
      </c>
      <c r="CY70" s="152">
        <f t="shared" si="71"/>
        <v>280</v>
      </c>
      <c r="CZ70" s="164">
        <f t="shared" si="72"/>
        <v>150</v>
      </c>
      <c r="DA70" s="16">
        <f t="shared" si="73"/>
        <v>150</v>
      </c>
      <c r="DB70" s="164">
        <f t="shared" si="74"/>
        <v>150</v>
      </c>
      <c r="DC70" s="164">
        <f t="shared" si="75"/>
        <v>150</v>
      </c>
      <c r="DD70" s="16">
        <f t="shared" si="76"/>
        <v>20</v>
      </c>
      <c r="DE70" s="166">
        <f t="shared" si="77"/>
        <v>100</v>
      </c>
      <c r="DF70" s="164">
        <f t="shared" ca="1" si="53"/>
        <v>280</v>
      </c>
      <c r="DG70" s="16">
        <f t="shared" si="54"/>
        <v>0</v>
      </c>
      <c r="DH70" s="16">
        <f t="shared" si="55"/>
        <v>70</v>
      </c>
      <c r="DI70" s="166"/>
    </row>
    <row r="71" spans="1:114" s="16" customFormat="1">
      <c r="A71" s="36">
        <f t="shared" si="78"/>
        <v>620</v>
      </c>
      <c r="B71" s="36">
        <f t="shared" si="51"/>
        <v>380</v>
      </c>
      <c r="C71" s="83">
        <f t="shared" si="70"/>
        <v>0</v>
      </c>
      <c r="D71" s="574"/>
      <c r="E71" s="16">
        <f t="shared" si="79"/>
        <v>1000</v>
      </c>
      <c r="F71" s="86">
        <f t="shared" si="82"/>
        <v>0</v>
      </c>
      <c r="G71" s="37">
        <f t="shared" si="82"/>
        <v>100</v>
      </c>
      <c r="H71" s="247">
        <f t="shared" si="82"/>
        <v>150</v>
      </c>
      <c r="I71" s="38">
        <f t="shared" si="82"/>
        <v>150</v>
      </c>
      <c r="J71" s="39">
        <f t="shared" si="82"/>
        <v>100</v>
      </c>
      <c r="K71" s="40">
        <f t="shared" si="82"/>
        <v>20</v>
      </c>
      <c r="L71" s="500">
        <f t="shared" si="82"/>
        <v>100</v>
      </c>
      <c r="M71" s="635">
        <f>Rezone!J71</f>
        <v>69</v>
      </c>
      <c r="N71" s="356"/>
      <c r="O71" s="348"/>
      <c r="P71" s="348"/>
      <c r="Q71" s="348"/>
      <c r="R71" s="348"/>
      <c r="S71" s="348"/>
      <c r="T71" s="348"/>
      <c r="U71" s="348"/>
      <c r="V71" s="348"/>
      <c r="W71" s="348"/>
      <c r="X71" s="348"/>
      <c r="Y71" s="348"/>
      <c r="Z71" s="348"/>
      <c r="AA71" s="348"/>
      <c r="AB71" s="348"/>
      <c r="AC71" s="348"/>
      <c r="AD71" s="348"/>
      <c r="AE71" s="348"/>
      <c r="AF71" s="343"/>
      <c r="AG71" s="532">
        <f t="shared" si="52"/>
        <v>43694.833333333168</v>
      </c>
      <c r="AH71" s="91">
        <f>MIN(25%,(BG71+CE71)/(E71-Explore!S71*20))</f>
        <v>0</v>
      </c>
      <c r="AI71" s="59">
        <f t="shared" si="83"/>
        <v>0</v>
      </c>
      <c r="AJ71" s="56">
        <f ca="1">Production!$H71</f>
        <v>3671779</v>
      </c>
      <c r="AK71" s="57">
        <f ca="1">Production!$J71</f>
        <v>276454</v>
      </c>
      <c r="AL71" s="152">
        <f ca="1">ROUND( (1 - MIN(facs_constr_factor*$AH71,facs_constr_max)) * (1+MIN(tech_construction*Techs!AC71,tech_conquerors_crafts*Techs!AS71)) * AU71*(1+race_construction_cost),0)</f>
        <v>1615</v>
      </c>
      <c r="AM71" s="166">
        <f t="shared" si="80"/>
        <v>263</v>
      </c>
      <c r="AN71" s="152">
        <f ca="1">ROUND( (1 - MIN(facs_constr_factor*$AI71,facs_constr_max)) * (1+MIN(tech_construction*Techs!AE71,tech_conquerors_crafts*Techs!AU71)) * AU71*(1+race_construction_cost),0)</f>
        <v>1615</v>
      </c>
      <c r="AO71" s="166">
        <f t="shared" si="84"/>
        <v>263</v>
      </c>
      <c r="AP71" s="16">
        <f t="shared" ca="1" si="56"/>
        <v>0</v>
      </c>
      <c r="AQ71" s="53">
        <f t="shared" si="57"/>
        <v>0</v>
      </c>
      <c r="AR71" s="16">
        <f>MIN(SUM(F70:L70)+SUM(Explore!T59:Z59)+SUM(BV71:CN71),SUM($N71:$AF71))</f>
        <v>0</v>
      </c>
      <c r="AS71" s="16">
        <f>IF(Explore!S71&lt;&gt;0,MAX(0, MIN(20, 20 + SUM(N71:AF71) - SUM(BV71:CN71) - SUM(F70:L70)-SUM(Explore!T59:Z59)-20*Explore!S71)),0)</f>
        <v>0</v>
      </c>
      <c r="AU71" s="152">
        <f t="shared" si="85"/>
        <v>1615</v>
      </c>
      <c r="AV71" s="166">
        <f t="shared" si="86"/>
        <v>262.5</v>
      </c>
      <c r="AW71" s="164"/>
      <c r="AX71" s="295">
        <f>AX70 + IF(Overview!$B$14="Gnome",N62,N59) -BV71</f>
        <v>0</v>
      </c>
      <c r="AY71" s="28">
        <f>AY70 + IF(Overview!$B$14="Gnome",O62,O59) -BW71</f>
        <v>0</v>
      </c>
      <c r="AZ71" s="28">
        <f>AZ70 + IF(Overview!$B$14="Gnome",P62,P59) -BX71</f>
        <v>80</v>
      </c>
      <c r="BA71" s="28">
        <f>BA70 + IF(Overview!$B$14="Gnome",Q62,Q59) -BY71</f>
        <v>200</v>
      </c>
      <c r="BB71" s="28">
        <f>BB70 + IF(Overview!$B$14="Gnome",R62,R59) -BZ71</f>
        <v>0</v>
      </c>
      <c r="BC71" s="29">
        <f>BC70 + IF(Overview!$B$14="Gnome",S62,S59) -CA71</f>
        <v>50</v>
      </c>
      <c r="BD71" s="29">
        <f>BD70 + IF(Overview!$B$14="Gnome",T62,T59) -CB71</f>
        <v>0</v>
      </c>
      <c r="BE71" s="30">
        <f>BE70 + IF(Overview!$B$14="Gnome",U62,U59) -CC71</f>
        <v>0</v>
      </c>
      <c r="BF71" s="30">
        <f>BF70 + IF(Overview!$B$14="Gnome",V62,V59) -CD71</f>
        <v>0</v>
      </c>
      <c r="BG71" s="31">
        <f>BG70 + IF(Overview!$B$14="Gnome",W62,W59) -CE71</f>
        <v>0</v>
      </c>
      <c r="BH71" s="31">
        <f>BH70 + IF(Overview!$B$14="Gnome",X62,X59) -CF71</f>
        <v>0</v>
      </c>
      <c r="BI71" s="31">
        <f>BI70 + IF(Overview!$B$14="Gnome",Y62,Y59) -CG71</f>
        <v>0</v>
      </c>
      <c r="BJ71" s="31">
        <f>BJ70 + IF(Overview!$B$14="Gnome",Z62,Z59) -CH71</f>
        <v>0</v>
      </c>
      <c r="BK71" s="32">
        <f>BK70 + IF(Overview!$B$14="Gnome",AA62,AA59) -CI71</f>
        <v>50</v>
      </c>
      <c r="BL71" s="32">
        <f>BL70 + IF(Overview!$B$14="Gnome",AB62,AB59) -CJ71</f>
        <v>0</v>
      </c>
      <c r="BM71" s="32">
        <f>BM70 + IF(Overview!$B$14="Gnome",AC62,AC59) -CK71</f>
        <v>0</v>
      </c>
      <c r="BN71" s="33">
        <f>BN70 + IF(Overview!$B$14="Gnome",AD62,AD59) -CL71</f>
        <v>0</v>
      </c>
      <c r="BO71" s="33">
        <f>BO70 + IF(Overview!$B$14="Gnome",AE62,AE59) -CM71</f>
        <v>0</v>
      </c>
      <c r="BP71" s="69">
        <f>BP70 + IF(Overview!$B$14="Gnome",AF62,AF59) -CN71</f>
        <v>0</v>
      </c>
      <c r="BR71" s="442"/>
      <c r="BS71" s="156">
        <f t="shared" si="81"/>
        <v>1000</v>
      </c>
      <c r="BT71" s="574">
        <f>BT70+1/24</f>
        <v>43694.833333333168</v>
      </c>
      <c r="BV71" s="356"/>
      <c r="BW71" s="348"/>
      <c r="BX71" s="348"/>
      <c r="BY71" s="348"/>
      <c r="BZ71" s="348"/>
      <c r="CA71" s="348"/>
      <c r="CB71" s="348"/>
      <c r="CC71" s="348"/>
      <c r="CD71" s="348"/>
      <c r="CE71" s="348"/>
      <c r="CF71" s="348"/>
      <c r="CG71" s="348"/>
      <c r="CH71" s="348"/>
      <c r="CI71" s="348"/>
      <c r="CJ71" s="348"/>
      <c r="CK71" s="348"/>
      <c r="CL71" s="348"/>
      <c r="CM71" s="360"/>
      <c r="CN71" s="357"/>
      <c r="CP71" s="86">
        <f>-SUM($O71:$R71)+SUM($BW71:BZ71)+Rezone!L71+IF(home_land=CP$2,CW71) + Explore!T59</f>
        <v>0</v>
      </c>
      <c r="CQ71" s="37">
        <f>-SUM($S71:$T71)+SUM($CA71:$CB71) +Rezone!M71 + IF(home_land=CQ$2,CW71) + Explore!U59</f>
        <v>0</v>
      </c>
      <c r="CR71" s="247">
        <f>-SUM($U71:$V71)+SUM($CC71:$CD71) +Rezone!N71 + IF(home_land=CR$2,CW71) + Explore!V59</f>
        <v>0</v>
      </c>
      <c r="CS71" s="38">
        <f>-SUM($W71:$Z71)+SUM($CE71:$CH71) +Rezone!O71 + IF(home_land=CS$2,CW71) + Explore!W59</f>
        <v>0</v>
      </c>
      <c r="CT71" s="39">
        <f>-SUM($AA71:$AC71)+SUM($CI71:$CK71) +Rezone!P71 + IF(home_land=CT$2,CW71) + Explore!X59</f>
        <v>0</v>
      </c>
      <c r="CU71" s="40">
        <f xml:space="preserve"> - SUM($AD71,$AE71)+SUM($CL71,$CM71) +Rezone!Q71 + IF(home_land=CU$2,CW71)+Explore!Y59</f>
        <v>0</v>
      </c>
      <c r="CV71" s="500">
        <f>-$AF71+$CN71 +Rezone!R71 + IF(home_land=CV$2,CW71) + Explore!Z59</f>
        <v>0</v>
      </c>
      <c r="CW71" s="159">
        <f>IF(Explore!S71=1,25) - N71 + BV71</f>
        <v>0</v>
      </c>
      <c r="CY71" s="152">
        <f t="shared" si="71"/>
        <v>280</v>
      </c>
      <c r="CZ71" s="164">
        <f t="shared" si="72"/>
        <v>150</v>
      </c>
      <c r="DA71" s="16">
        <f t="shared" si="73"/>
        <v>150</v>
      </c>
      <c r="DB71" s="164">
        <f t="shared" si="74"/>
        <v>150</v>
      </c>
      <c r="DC71" s="164">
        <f t="shared" si="75"/>
        <v>150</v>
      </c>
      <c r="DD71" s="16">
        <f t="shared" si="76"/>
        <v>20</v>
      </c>
      <c r="DE71" s="166">
        <f t="shared" si="77"/>
        <v>100</v>
      </c>
      <c r="DF71" s="164">
        <f t="shared" ca="1" si="53"/>
        <v>280</v>
      </c>
      <c r="DG71" s="16">
        <f t="shared" si="54"/>
        <v>0</v>
      </c>
      <c r="DH71" s="16">
        <f t="shared" si="55"/>
        <v>71</v>
      </c>
      <c r="DI71" s="166"/>
    </row>
    <row r="72" spans="1:114" s="16" customFormat="1">
      <c r="A72" s="36">
        <f t="shared" si="78"/>
        <v>620</v>
      </c>
      <c r="B72" s="36">
        <f t="shared" si="51"/>
        <v>380</v>
      </c>
      <c r="C72" s="83">
        <f t="shared" si="70"/>
        <v>0</v>
      </c>
      <c r="D72" s="574"/>
      <c r="E72" s="16">
        <f t="shared" si="79"/>
        <v>1000</v>
      </c>
      <c r="F72" s="86">
        <f t="shared" si="82"/>
        <v>0</v>
      </c>
      <c r="G72" s="37">
        <f t="shared" si="82"/>
        <v>100</v>
      </c>
      <c r="H72" s="247">
        <f t="shared" si="82"/>
        <v>150</v>
      </c>
      <c r="I72" s="38">
        <f t="shared" si="82"/>
        <v>150</v>
      </c>
      <c r="J72" s="39">
        <f t="shared" si="82"/>
        <v>100</v>
      </c>
      <c r="K72" s="40">
        <f t="shared" si="82"/>
        <v>20</v>
      </c>
      <c r="L72" s="500">
        <f t="shared" si="82"/>
        <v>100</v>
      </c>
      <c r="M72" s="635">
        <f>Rezone!J72</f>
        <v>70</v>
      </c>
      <c r="N72" s="356"/>
      <c r="O72" s="348"/>
      <c r="P72" s="348"/>
      <c r="Q72" s="348"/>
      <c r="R72" s="348"/>
      <c r="S72" s="348"/>
      <c r="T72" s="348"/>
      <c r="U72" s="348"/>
      <c r="V72" s="348"/>
      <c r="W72" s="348"/>
      <c r="X72" s="348"/>
      <c r="Y72" s="348"/>
      <c r="Z72" s="348"/>
      <c r="AA72" s="348"/>
      <c r="AB72" s="348"/>
      <c r="AC72" s="348"/>
      <c r="AD72" s="348"/>
      <c r="AE72" s="348"/>
      <c r="AF72" s="343"/>
      <c r="AG72" s="532">
        <f t="shared" si="52"/>
        <v>43694.874999999833</v>
      </c>
      <c r="AH72" s="91">
        <f>MIN(25%,(BG72+CE72)/(E72-Explore!S72*20))</f>
        <v>0</v>
      </c>
      <c r="AI72" s="59">
        <f t="shared" si="83"/>
        <v>0</v>
      </c>
      <c r="AJ72" s="56">
        <f ca="1">Production!$H72</f>
        <v>3682430</v>
      </c>
      <c r="AK72" s="57">
        <f ca="1">Production!$J72</f>
        <v>276189</v>
      </c>
      <c r="AL72" s="152">
        <f ca="1">ROUND( (1 - MIN(facs_constr_factor*$AH72,facs_constr_max)) * (1+MIN(tech_construction*Techs!AC72,tech_conquerors_crafts*Techs!AS72)) * AU72*(1+race_construction_cost),0)</f>
        <v>1615</v>
      </c>
      <c r="AM72" s="166">
        <f t="shared" si="80"/>
        <v>263</v>
      </c>
      <c r="AN72" s="152">
        <f ca="1">ROUND( (1 - MIN(facs_constr_factor*$AI72,facs_constr_max)) * (1+MIN(tech_construction*Techs!AE72,tech_conquerors_crafts*Techs!AU72)) * AU72*(1+race_construction_cost),0)</f>
        <v>1615</v>
      </c>
      <c r="AO72" s="166">
        <f t="shared" si="84"/>
        <v>263</v>
      </c>
      <c r="AP72" s="16">
        <f t="shared" ca="1" si="56"/>
        <v>0</v>
      </c>
      <c r="AQ72" s="53">
        <f t="shared" si="57"/>
        <v>0</v>
      </c>
      <c r="AR72" s="16">
        <f>MIN(SUM(F71:L71)+SUM(Explore!T60:Z60)+SUM(BV72:CN72),SUM($N72:$AF72))</f>
        <v>0</v>
      </c>
      <c r="AS72" s="16">
        <f>IF(Explore!S72&lt;&gt;0,MAX(0, MIN(20, 20 + SUM(N72:AF72) - SUM(BV72:CN72) - SUM(F71:L71)-SUM(Explore!T60:Z60)-20*Explore!S72)),0)</f>
        <v>0</v>
      </c>
      <c r="AU72" s="152">
        <f t="shared" si="85"/>
        <v>1615</v>
      </c>
      <c r="AV72" s="166">
        <f t="shared" si="86"/>
        <v>262.5</v>
      </c>
      <c r="AW72" s="164"/>
      <c r="AX72" s="295">
        <f>AX71 + IF(Overview!$B$14="Gnome",N63,N60) -BV72</f>
        <v>0</v>
      </c>
      <c r="AY72" s="28">
        <f>AY71 + IF(Overview!$B$14="Gnome",O63,O60) -BW72</f>
        <v>0</v>
      </c>
      <c r="AZ72" s="28">
        <f>AZ71 + IF(Overview!$B$14="Gnome",P63,P60) -BX72</f>
        <v>80</v>
      </c>
      <c r="BA72" s="28">
        <f>BA71 + IF(Overview!$B$14="Gnome",Q63,Q60) -BY72</f>
        <v>200</v>
      </c>
      <c r="BB72" s="28">
        <f>BB71 + IF(Overview!$B$14="Gnome",R63,R60) -BZ72</f>
        <v>0</v>
      </c>
      <c r="BC72" s="29">
        <f>BC71 + IF(Overview!$B$14="Gnome",S63,S60) -CA72</f>
        <v>50</v>
      </c>
      <c r="BD72" s="29">
        <f>BD71 + IF(Overview!$B$14="Gnome",T63,T60) -CB72</f>
        <v>0</v>
      </c>
      <c r="BE72" s="30">
        <f>BE71 + IF(Overview!$B$14="Gnome",U63,U60) -CC72</f>
        <v>0</v>
      </c>
      <c r="BF72" s="30">
        <f>BF71 + IF(Overview!$B$14="Gnome",V63,V60) -CD72</f>
        <v>0</v>
      </c>
      <c r="BG72" s="31">
        <f>BG71 + IF(Overview!$B$14="Gnome",W63,W60) -CE72</f>
        <v>0</v>
      </c>
      <c r="BH72" s="31">
        <f>BH71 + IF(Overview!$B$14="Gnome",X63,X60) -CF72</f>
        <v>0</v>
      </c>
      <c r="BI72" s="31">
        <f>BI71 + IF(Overview!$B$14="Gnome",Y63,Y60) -CG72</f>
        <v>0</v>
      </c>
      <c r="BJ72" s="31">
        <f>BJ71 + IF(Overview!$B$14="Gnome",Z63,Z60) -CH72</f>
        <v>0</v>
      </c>
      <c r="BK72" s="32">
        <f>BK71 + IF(Overview!$B$14="Gnome",AA63,AA60) -CI72</f>
        <v>50</v>
      </c>
      <c r="BL72" s="32">
        <f>BL71 + IF(Overview!$B$14="Gnome",AB63,AB60) -CJ72</f>
        <v>0</v>
      </c>
      <c r="BM72" s="32">
        <f>BM71 + IF(Overview!$B$14="Gnome",AC63,AC60) -CK72</f>
        <v>0</v>
      </c>
      <c r="BN72" s="33">
        <f>BN71 + IF(Overview!$B$14="Gnome",AD63,AD60) -CL72</f>
        <v>0</v>
      </c>
      <c r="BO72" s="33">
        <f>BO71 + IF(Overview!$B$14="Gnome",AE63,AE60) -CM72</f>
        <v>0</v>
      </c>
      <c r="BP72" s="69">
        <f>BP71 + IF(Overview!$B$14="Gnome",AF63,AF60) -CN72</f>
        <v>0</v>
      </c>
      <c r="BR72" s="442"/>
      <c r="BS72" s="156">
        <f t="shared" si="81"/>
        <v>1000</v>
      </c>
      <c r="BT72" s="574">
        <f>BT71+1/24</f>
        <v>43694.874999999833</v>
      </c>
      <c r="BV72" s="356"/>
      <c r="BW72" s="348"/>
      <c r="BX72" s="348"/>
      <c r="BY72" s="348"/>
      <c r="BZ72" s="348"/>
      <c r="CA72" s="348"/>
      <c r="CB72" s="348"/>
      <c r="CC72" s="348"/>
      <c r="CD72" s="348"/>
      <c r="CE72" s="348"/>
      <c r="CF72" s="348"/>
      <c r="CG72" s="348"/>
      <c r="CH72" s="348"/>
      <c r="CI72" s="348"/>
      <c r="CJ72" s="348"/>
      <c r="CK72" s="348"/>
      <c r="CL72" s="348"/>
      <c r="CM72" s="360"/>
      <c r="CN72" s="357"/>
      <c r="CP72" s="86">
        <f>-SUM($O72:$R72)+SUM($BW72:BZ72)+Rezone!L72+IF(home_land=CP$2,CW72) + Explore!T60</f>
        <v>0</v>
      </c>
      <c r="CQ72" s="37">
        <f>-SUM($S72:$T72)+SUM($CA72:$CB72) +Rezone!M72 + IF(home_land=CQ$2,CW72) + Explore!U60</f>
        <v>0</v>
      </c>
      <c r="CR72" s="247">
        <f>-SUM($U72:$V72)+SUM($CC72:$CD72) +Rezone!N72 + IF(home_land=CR$2,CW72) + Explore!V60</f>
        <v>0</v>
      </c>
      <c r="CS72" s="38">
        <f>-SUM($W72:$Z72)+SUM($CE72:$CH72) +Rezone!O72 + IF(home_land=CS$2,CW72) + Explore!W60</f>
        <v>0</v>
      </c>
      <c r="CT72" s="39">
        <f>-SUM($AA72:$AC72)+SUM($CI72:$CK72) +Rezone!P72 + IF(home_land=CT$2,CW72) + Explore!X60</f>
        <v>0</v>
      </c>
      <c r="CU72" s="40">
        <f xml:space="preserve"> - SUM($AD72,$AE72)+SUM($CL72,$CM72) +Rezone!Q72 + IF(home_land=CU$2,CW72)+Explore!Y60</f>
        <v>0</v>
      </c>
      <c r="CV72" s="500">
        <f>-$AF72+$CN72 +Rezone!R72 + IF(home_land=CV$2,CW72) + Explore!Z60</f>
        <v>0</v>
      </c>
      <c r="CW72" s="159">
        <f>IF(Explore!S72=1,25) - N72 + BV72</f>
        <v>0</v>
      </c>
      <c r="CY72" s="152">
        <f t="shared" si="71"/>
        <v>280</v>
      </c>
      <c r="CZ72" s="164">
        <f t="shared" si="72"/>
        <v>150</v>
      </c>
      <c r="DA72" s="16">
        <f t="shared" si="73"/>
        <v>150</v>
      </c>
      <c r="DB72" s="164">
        <f t="shared" si="74"/>
        <v>150</v>
      </c>
      <c r="DC72" s="164">
        <f t="shared" si="75"/>
        <v>150</v>
      </c>
      <c r="DD72" s="16">
        <f t="shared" si="76"/>
        <v>20</v>
      </c>
      <c r="DE72" s="166">
        <f t="shared" si="77"/>
        <v>100</v>
      </c>
      <c r="DF72" s="164">
        <f t="shared" ca="1" si="53"/>
        <v>280</v>
      </c>
      <c r="DG72" s="16">
        <f t="shared" si="54"/>
        <v>0</v>
      </c>
      <c r="DH72" s="16">
        <f t="shared" si="55"/>
        <v>72</v>
      </c>
      <c r="DI72" s="166"/>
    </row>
    <row r="73" spans="1:114" s="16" customFormat="1">
      <c r="A73" s="36">
        <f t="shared" si="78"/>
        <v>620</v>
      </c>
      <c r="B73" s="36">
        <f t="shared" si="51"/>
        <v>380</v>
      </c>
      <c r="C73" s="83">
        <f t="shared" si="70"/>
        <v>0</v>
      </c>
      <c r="D73" s="574"/>
      <c r="E73" s="16">
        <f t="shared" si="79"/>
        <v>1000</v>
      </c>
      <c r="F73" s="86">
        <f t="shared" si="82"/>
        <v>0</v>
      </c>
      <c r="G73" s="37">
        <f t="shared" si="82"/>
        <v>100</v>
      </c>
      <c r="H73" s="247">
        <f t="shared" si="82"/>
        <v>150</v>
      </c>
      <c r="I73" s="38">
        <f t="shared" si="82"/>
        <v>150</v>
      </c>
      <c r="J73" s="39">
        <f t="shared" si="82"/>
        <v>100</v>
      </c>
      <c r="K73" s="40">
        <f t="shared" si="82"/>
        <v>20</v>
      </c>
      <c r="L73" s="500">
        <f t="shared" si="82"/>
        <v>100</v>
      </c>
      <c r="M73" s="635">
        <f>Rezone!J73</f>
        <v>71</v>
      </c>
      <c r="N73" s="356"/>
      <c r="O73" s="348"/>
      <c r="P73" s="348"/>
      <c r="Q73" s="348"/>
      <c r="R73" s="348"/>
      <c r="S73" s="348"/>
      <c r="T73" s="348"/>
      <c r="U73" s="348"/>
      <c r="V73" s="348"/>
      <c r="W73" s="348"/>
      <c r="X73" s="348"/>
      <c r="Y73" s="348"/>
      <c r="Z73" s="348"/>
      <c r="AA73" s="348"/>
      <c r="AB73" s="348"/>
      <c r="AC73" s="348"/>
      <c r="AD73" s="348"/>
      <c r="AE73" s="348"/>
      <c r="AF73" s="343"/>
      <c r="AG73" s="532">
        <f t="shared" si="52"/>
        <v>43694.916666666497</v>
      </c>
      <c r="AH73" s="91">
        <f>MIN(25%,(BG73+CE73)/(E73-Explore!S73*20))</f>
        <v>0</v>
      </c>
      <c r="AI73" s="59">
        <f t="shared" si="83"/>
        <v>0</v>
      </c>
      <c r="AJ73" s="56">
        <f ca="1">Production!$H73</f>
        <v>3693081</v>
      </c>
      <c r="AK73" s="57">
        <f ca="1">Production!$J73</f>
        <v>275927</v>
      </c>
      <c r="AL73" s="152">
        <f ca="1">ROUND( (1 - MIN(facs_constr_factor*$AH73,facs_constr_max)) * (1+MIN(tech_construction*Techs!AC73,tech_conquerors_crafts*Techs!AS73)) * AU73*(1+race_construction_cost),0)</f>
        <v>1615</v>
      </c>
      <c r="AM73" s="166">
        <f t="shared" si="80"/>
        <v>263</v>
      </c>
      <c r="AN73" s="152">
        <f ca="1">ROUND( (1 - MIN(facs_constr_factor*$AI73,facs_constr_max)) * (1+MIN(tech_construction*Techs!AE73,tech_conquerors_crafts*Techs!AU73)) * AU73*(1+race_construction_cost),0)</f>
        <v>1615</v>
      </c>
      <c r="AO73" s="166">
        <f t="shared" si="84"/>
        <v>263</v>
      </c>
      <c r="AP73" s="16">
        <f t="shared" ca="1" si="56"/>
        <v>0</v>
      </c>
      <c r="AQ73" s="53">
        <f t="shared" si="57"/>
        <v>0</v>
      </c>
      <c r="AR73" s="16">
        <f>MIN(SUM(F72:L72)+SUM(Explore!T61:Z61)+SUM(BV73:CN73),SUM($N73:$AF73))</f>
        <v>0</v>
      </c>
      <c r="AS73" s="16">
        <f>IF(Explore!S73&lt;&gt;0,MAX(0, MIN(20, 20 + SUM(N73:AF73) - SUM(BV73:CN73) - SUM(F72:L72)-SUM(Explore!T61:Z61)-20*Explore!S73)),0)</f>
        <v>0</v>
      </c>
      <c r="AU73" s="152">
        <f t="shared" si="85"/>
        <v>1615</v>
      </c>
      <c r="AV73" s="166">
        <f t="shared" si="86"/>
        <v>262.5</v>
      </c>
      <c r="AW73" s="164"/>
      <c r="AX73" s="295">
        <f>AX72 + IF(Overview!$B$14="Gnome",N64,N61) -BV73</f>
        <v>0</v>
      </c>
      <c r="AY73" s="28">
        <f>AY72 + IF(Overview!$B$14="Gnome",O64,O61) -BW73</f>
        <v>0</v>
      </c>
      <c r="AZ73" s="28">
        <f>AZ72 + IF(Overview!$B$14="Gnome",P64,P61) -BX73</f>
        <v>80</v>
      </c>
      <c r="BA73" s="28">
        <f>BA72 + IF(Overview!$B$14="Gnome",Q64,Q61) -BY73</f>
        <v>200</v>
      </c>
      <c r="BB73" s="28">
        <f>BB72 + IF(Overview!$B$14="Gnome",R64,R61) -BZ73</f>
        <v>0</v>
      </c>
      <c r="BC73" s="29">
        <f>BC72 + IF(Overview!$B$14="Gnome",S64,S61) -CA73</f>
        <v>50</v>
      </c>
      <c r="BD73" s="29">
        <f>BD72 + IF(Overview!$B$14="Gnome",T64,T61) -CB73</f>
        <v>0</v>
      </c>
      <c r="BE73" s="30">
        <f>BE72 + IF(Overview!$B$14="Gnome",U64,U61) -CC73</f>
        <v>0</v>
      </c>
      <c r="BF73" s="30">
        <f>BF72 + IF(Overview!$B$14="Gnome",V64,V61) -CD73</f>
        <v>0</v>
      </c>
      <c r="BG73" s="31">
        <f>BG72 + IF(Overview!$B$14="Gnome",W64,W61) -CE73</f>
        <v>0</v>
      </c>
      <c r="BH73" s="31">
        <f>BH72 + IF(Overview!$B$14="Gnome",X64,X61) -CF73</f>
        <v>0</v>
      </c>
      <c r="BI73" s="31">
        <f>BI72 + IF(Overview!$B$14="Gnome",Y64,Y61) -CG73</f>
        <v>0</v>
      </c>
      <c r="BJ73" s="31">
        <f>BJ72 + IF(Overview!$B$14="Gnome",Z64,Z61) -CH73</f>
        <v>0</v>
      </c>
      <c r="BK73" s="32">
        <f>BK72 + IF(Overview!$B$14="Gnome",AA64,AA61) -CI73</f>
        <v>50</v>
      </c>
      <c r="BL73" s="32">
        <f>BL72 + IF(Overview!$B$14="Gnome",AB64,AB61) -CJ73</f>
        <v>0</v>
      </c>
      <c r="BM73" s="32">
        <f>BM72 + IF(Overview!$B$14="Gnome",AC64,AC61) -CK73</f>
        <v>0</v>
      </c>
      <c r="BN73" s="33">
        <f>BN72 + IF(Overview!$B$14="Gnome",AD64,AD61) -CL73</f>
        <v>0</v>
      </c>
      <c r="BO73" s="33">
        <f>BO72 + IF(Overview!$B$14="Gnome",AE64,AE61) -CM73</f>
        <v>0</v>
      </c>
      <c r="BP73" s="69">
        <f>BP72 + IF(Overview!$B$14="Gnome",AF64,AF61) -CN73</f>
        <v>0</v>
      </c>
      <c r="BR73" s="442"/>
      <c r="BS73" s="156">
        <f t="shared" si="81"/>
        <v>1000</v>
      </c>
      <c r="BT73" s="574">
        <f>BT72+1/24</f>
        <v>43694.916666666497</v>
      </c>
      <c r="BV73" s="356"/>
      <c r="BW73" s="348"/>
      <c r="BX73" s="348"/>
      <c r="BY73" s="348"/>
      <c r="BZ73" s="348"/>
      <c r="CA73" s="348"/>
      <c r="CB73" s="348"/>
      <c r="CC73" s="348"/>
      <c r="CD73" s="348"/>
      <c r="CE73" s="348"/>
      <c r="CF73" s="348"/>
      <c r="CG73" s="348"/>
      <c r="CH73" s="348"/>
      <c r="CI73" s="348"/>
      <c r="CJ73" s="348"/>
      <c r="CK73" s="348"/>
      <c r="CL73" s="348"/>
      <c r="CM73" s="360"/>
      <c r="CN73" s="357"/>
      <c r="CP73" s="86">
        <f>-SUM($O73:$R73)+SUM($BW73:BZ73)+Rezone!L73+IF(home_land=CP$2,CW73) + Explore!T61</f>
        <v>0</v>
      </c>
      <c r="CQ73" s="37">
        <f>-SUM($S73:$T73)+SUM($CA73:$CB73) +Rezone!M73 + IF(home_land=CQ$2,CW73) + Explore!U61</f>
        <v>0</v>
      </c>
      <c r="CR73" s="247">
        <f>-SUM($U73:$V73)+SUM($CC73:$CD73) +Rezone!N73 + IF(home_land=CR$2,CW73) + Explore!V61</f>
        <v>0</v>
      </c>
      <c r="CS73" s="38">
        <f>-SUM($W73:$Z73)+SUM($CE73:$CH73) +Rezone!O73 + IF(home_land=CS$2,CW73) + Explore!W61</f>
        <v>0</v>
      </c>
      <c r="CT73" s="39">
        <f>-SUM($AA73:$AC73)+SUM($CI73:$CK73) +Rezone!P73 + IF(home_land=CT$2,CW73) + Explore!X61</f>
        <v>0</v>
      </c>
      <c r="CU73" s="40">
        <f xml:space="preserve"> - SUM($AD73,$AE73)+SUM($CL73,$CM73) +Rezone!Q73 + IF(home_land=CU$2,CW73)+Explore!Y61</f>
        <v>0</v>
      </c>
      <c r="CV73" s="500">
        <f>-$AF73+$CN73 +Rezone!R73 + IF(home_land=CV$2,CW73) + Explore!Z61</f>
        <v>0</v>
      </c>
      <c r="CW73" s="159">
        <f>IF(Explore!S73=1,25) - N73 + BV73</f>
        <v>0</v>
      </c>
      <c r="CY73" s="152">
        <f t="shared" si="71"/>
        <v>280</v>
      </c>
      <c r="CZ73" s="164">
        <f t="shared" si="72"/>
        <v>150</v>
      </c>
      <c r="DA73" s="16">
        <f t="shared" si="73"/>
        <v>150</v>
      </c>
      <c r="DB73" s="164">
        <f t="shared" si="74"/>
        <v>150</v>
      </c>
      <c r="DC73" s="164">
        <f t="shared" si="75"/>
        <v>150</v>
      </c>
      <c r="DD73" s="16">
        <f t="shared" si="76"/>
        <v>20</v>
      </c>
      <c r="DE73" s="166">
        <f t="shared" si="77"/>
        <v>100</v>
      </c>
      <c r="DF73" s="164">
        <f t="shared" ca="1" si="53"/>
        <v>280</v>
      </c>
      <c r="DG73" s="16">
        <f t="shared" si="54"/>
        <v>0</v>
      </c>
      <c r="DH73" s="16">
        <f t="shared" si="55"/>
        <v>73</v>
      </c>
      <c r="DI73" s="166"/>
    </row>
    <row r="74" spans="1:114" s="16" customFormat="1" ht="13.5" thickBot="1">
      <c r="A74" s="36">
        <f t="shared" si="78"/>
        <v>620</v>
      </c>
      <c r="B74" s="36">
        <f t="shared" si="51"/>
        <v>380</v>
      </c>
      <c r="C74" s="83">
        <f t="shared" si="70"/>
        <v>0</v>
      </c>
      <c r="D74" s="574"/>
      <c r="E74" s="16">
        <f t="shared" si="79"/>
        <v>1000</v>
      </c>
      <c r="F74" s="86">
        <f t="shared" si="82"/>
        <v>0</v>
      </c>
      <c r="G74" s="37">
        <f t="shared" si="82"/>
        <v>100</v>
      </c>
      <c r="H74" s="247">
        <f t="shared" si="82"/>
        <v>150</v>
      </c>
      <c r="I74" s="38">
        <f t="shared" si="82"/>
        <v>150</v>
      </c>
      <c r="J74" s="39">
        <f t="shared" si="82"/>
        <v>100</v>
      </c>
      <c r="K74" s="40">
        <f t="shared" si="82"/>
        <v>20</v>
      </c>
      <c r="L74" s="500">
        <f t="shared" si="82"/>
        <v>100</v>
      </c>
      <c r="M74" s="635">
        <f>Rezone!J74</f>
        <v>72</v>
      </c>
      <c r="N74" s="356"/>
      <c r="O74" s="348"/>
      <c r="P74" s="348"/>
      <c r="Q74" s="348"/>
      <c r="R74" s="348"/>
      <c r="S74" s="348"/>
      <c r="T74" s="348"/>
      <c r="U74" s="348"/>
      <c r="V74" s="348"/>
      <c r="W74" s="348"/>
      <c r="X74" s="348"/>
      <c r="Y74" s="348"/>
      <c r="Z74" s="348"/>
      <c r="AA74" s="348"/>
      <c r="AB74" s="348"/>
      <c r="AC74" s="348"/>
      <c r="AD74" s="348"/>
      <c r="AE74" s="348"/>
      <c r="AF74" s="343"/>
      <c r="AG74" s="532">
        <f t="shared" si="52"/>
        <v>43694.958333333161</v>
      </c>
      <c r="AH74" s="91">
        <f>MIN(25%,(BG74+CE74)/(E74-Explore!S74*20))</f>
        <v>0</v>
      </c>
      <c r="AI74" s="59">
        <f t="shared" si="83"/>
        <v>0</v>
      </c>
      <c r="AJ74" s="56">
        <f ca="1">Production!$H74</f>
        <v>3703732</v>
      </c>
      <c r="AK74" s="57">
        <f ca="1">Production!$J74</f>
        <v>275668</v>
      </c>
      <c r="AL74" s="152">
        <f ca="1">ROUND( (1 - MIN(facs_constr_factor*$AH74,facs_constr_max)) * (1+MIN(tech_construction*Techs!AC74,tech_conquerors_crafts*Techs!AS74)) * AU74*(1+race_construction_cost),0)</f>
        <v>1615</v>
      </c>
      <c r="AM74" s="166">
        <f t="shared" si="80"/>
        <v>263</v>
      </c>
      <c r="AN74" s="152">
        <f ca="1">ROUND( (1 - MIN(facs_constr_factor*$AI74,facs_constr_max)) * (1+MIN(tech_construction*Techs!AE74,tech_conquerors_crafts*Techs!AU74)) * AU74*(1+race_construction_cost),0)</f>
        <v>1615</v>
      </c>
      <c r="AO74" s="166">
        <f t="shared" si="84"/>
        <v>263</v>
      </c>
      <c r="AP74" s="16">
        <f t="shared" ca="1" si="56"/>
        <v>0</v>
      </c>
      <c r="AQ74" s="53">
        <f t="shared" si="57"/>
        <v>0</v>
      </c>
      <c r="AR74" s="16">
        <f>MIN(SUM(F73:L73)+SUM(Explore!T62:Z62)+SUM(BV74:CN74),SUM($N74:$AF74))</f>
        <v>0</v>
      </c>
      <c r="AS74" s="16">
        <f>IF(Explore!S74&lt;&gt;0,MAX(0, MIN(20, 20 + SUM(N74:AF74) - SUM(BV74:CN74) - SUM(F73:L73)-SUM(Explore!T62:Z62)-20*Explore!S74)),0)</f>
        <v>0</v>
      </c>
      <c r="AU74" s="152">
        <f t="shared" si="85"/>
        <v>1615</v>
      </c>
      <c r="AV74" s="166">
        <f t="shared" si="86"/>
        <v>262.5</v>
      </c>
      <c r="AW74" s="164"/>
      <c r="AX74" s="295">
        <f>AX73 + IF(Overview!$B$14="Gnome",N65,N62) -BV74</f>
        <v>0</v>
      </c>
      <c r="AY74" s="28">
        <f>AY73 + IF(Overview!$B$14="Gnome",O65,O62) -BW74</f>
        <v>0</v>
      </c>
      <c r="AZ74" s="28">
        <f>AZ73 + IF(Overview!$B$14="Gnome",P65,P62) -BX74</f>
        <v>80</v>
      </c>
      <c r="BA74" s="28">
        <f>BA73 + IF(Overview!$B$14="Gnome",Q65,Q62) -BY74</f>
        <v>200</v>
      </c>
      <c r="BB74" s="28">
        <f>BB73 + IF(Overview!$B$14="Gnome",R65,R62) -BZ74</f>
        <v>0</v>
      </c>
      <c r="BC74" s="29">
        <f>BC73 + IF(Overview!$B$14="Gnome",S65,S62) -CA74</f>
        <v>50</v>
      </c>
      <c r="BD74" s="29">
        <f>BD73 + IF(Overview!$B$14="Gnome",T65,T62) -CB74</f>
        <v>0</v>
      </c>
      <c r="BE74" s="30">
        <f>BE73 + IF(Overview!$B$14="Gnome",U65,U62) -CC74</f>
        <v>0</v>
      </c>
      <c r="BF74" s="30">
        <f>BF73 + IF(Overview!$B$14="Gnome",V65,V62) -CD74</f>
        <v>0</v>
      </c>
      <c r="BG74" s="31">
        <f>BG73 + IF(Overview!$B$14="Gnome",W65,W62) -CE74</f>
        <v>0</v>
      </c>
      <c r="BH74" s="31">
        <f>BH73 + IF(Overview!$B$14="Gnome",X65,X62) -CF74</f>
        <v>0</v>
      </c>
      <c r="BI74" s="31">
        <f>BI73 + IF(Overview!$B$14="Gnome",Y65,Y62) -CG74</f>
        <v>0</v>
      </c>
      <c r="BJ74" s="31">
        <f>BJ73 + IF(Overview!$B$14="Gnome",Z65,Z62) -CH74</f>
        <v>0</v>
      </c>
      <c r="BK74" s="32">
        <f>BK73 + IF(Overview!$B$14="Gnome",AA65,AA62) -CI74</f>
        <v>50</v>
      </c>
      <c r="BL74" s="32">
        <f>BL73 + IF(Overview!$B$14="Gnome",AB65,AB62) -CJ74</f>
        <v>0</v>
      </c>
      <c r="BM74" s="32">
        <f>BM73 + IF(Overview!$B$14="Gnome",AC65,AC62) -CK74</f>
        <v>0</v>
      </c>
      <c r="BN74" s="33">
        <f>BN73 + IF(Overview!$B$14="Gnome",AD65,AD62) -CL74</f>
        <v>0</v>
      </c>
      <c r="BO74" s="33">
        <f>BO73 + IF(Overview!$B$14="Gnome",AE65,AE62) -CM74</f>
        <v>0</v>
      </c>
      <c r="BP74" s="69">
        <f>BP73 + IF(Overview!$B$14="Gnome",AF65,AF62) -CN74</f>
        <v>0</v>
      </c>
      <c r="BR74" s="442"/>
      <c r="BS74" s="156">
        <f t="shared" si="81"/>
        <v>1000</v>
      </c>
      <c r="BT74" s="574">
        <f>BT73+1/24</f>
        <v>43694.958333333161</v>
      </c>
      <c r="BV74" s="356"/>
      <c r="BW74" s="348"/>
      <c r="BX74" s="348"/>
      <c r="BY74" s="348"/>
      <c r="BZ74" s="348"/>
      <c r="CA74" s="348"/>
      <c r="CB74" s="348"/>
      <c r="CC74" s="348"/>
      <c r="CD74" s="348"/>
      <c r="CE74" s="348"/>
      <c r="CF74" s="348"/>
      <c r="CG74" s="348"/>
      <c r="CH74" s="348"/>
      <c r="CI74" s="348"/>
      <c r="CJ74" s="348"/>
      <c r="CK74" s="348"/>
      <c r="CL74" s="348"/>
      <c r="CM74" s="360"/>
      <c r="CN74" s="357"/>
      <c r="CP74" s="86">
        <f>-SUM($O74:$R74)+SUM($BW74:BZ74)+Rezone!L74+IF(home_land=CP$2,CW74) + Explore!T62</f>
        <v>0</v>
      </c>
      <c r="CQ74" s="37">
        <f>-SUM($S74:$T74)+SUM($CA74:$CB74) +Rezone!M74 + IF(home_land=CQ$2,CW74) + Explore!U62</f>
        <v>0</v>
      </c>
      <c r="CR74" s="247">
        <f>-SUM($U74:$V74)+SUM($CC74:$CD74) +Rezone!N74 + IF(home_land=CR$2,CW74) + Explore!V62</f>
        <v>0</v>
      </c>
      <c r="CS74" s="38">
        <f>-SUM($W74:$Z74)+SUM($CE74:$CH74) +Rezone!O74 + IF(home_land=CS$2,CW74) + Explore!W62</f>
        <v>0</v>
      </c>
      <c r="CT74" s="39">
        <f>-SUM($AA74:$AC74)+SUM($CI74:$CK74) +Rezone!P74 + IF(home_land=CT$2,CW74) + Explore!X62</f>
        <v>0</v>
      </c>
      <c r="CU74" s="40">
        <f xml:space="preserve"> - SUM($AD74,$AE74)+SUM($CL74,$CM74) +Rezone!Q74 + IF(home_land=CU$2,CW74)+Explore!Y62</f>
        <v>0</v>
      </c>
      <c r="CV74" s="500">
        <f>-$AF74+$CN74 +Rezone!R74 + IF(home_land=CV$2,CW74) + Explore!Z62</f>
        <v>0</v>
      </c>
      <c r="CW74" s="159">
        <f>IF(Explore!S74=1,25) - N74 + BV74</f>
        <v>0</v>
      </c>
      <c r="CY74" s="152">
        <f t="shared" si="71"/>
        <v>280</v>
      </c>
      <c r="CZ74" s="164">
        <f t="shared" si="72"/>
        <v>150</v>
      </c>
      <c r="DA74" s="16">
        <f t="shared" si="73"/>
        <v>150</v>
      </c>
      <c r="DB74" s="164">
        <f t="shared" si="74"/>
        <v>150</v>
      </c>
      <c r="DC74" s="164">
        <f t="shared" si="75"/>
        <v>150</v>
      </c>
      <c r="DD74" s="16">
        <f t="shared" si="76"/>
        <v>20</v>
      </c>
      <c r="DE74" s="166">
        <f t="shared" si="77"/>
        <v>100</v>
      </c>
      <c r="DF74" s="164">
        <f t="shared" ca="1" si="53"/>
        <v>280</v>
      </c>
      <c r="DG74" s="16">
        <f t="shared" si="54"/>
        <v>0</v>
      </c>
      <c r="DH74" s="16">
        <f t="shared" si="55"/>
        <v>74</v>
      </c>
      <c r="DI74" s="166"/>
    </row>
    <row r="75" spans="1:114" s="601" customFormat="1" ht="14.25" thickTop="1" thickBot="1">
      <c r="A75" s="621">
        <f t="shared" ref="A75:A135" si="87">SUM(F75:L75)</f>
        <v>620</v>
      </c>
      <c r="B75" s="621">
        <f t="shared" ref="B75:B135" si="88">SUM(AX75:BP75)</f>
        <v>380</v>
      </c>
      <c r="C75" s="622">
        <f t="shared" ref="C75:C135" si="89">SUM(N64:AF75)</f>
        <v>0</v>
      </c>
      <c r="D75" s="623"/>
      <c r="E75" s="601">
        <f t="shared" ref="E75:E135" si="90">A75+B75+C75</f>
        <v>1000</v>
      </c>
      <c r="F75" s="599">
        <f t="shared" ref="F75:F135" si="91">F74+CP75</f>
        <v>0</v>
      </c>
      <c r="G75" s="600">
        <f t="shared" ref="G75:G135" si="92">G74+CQ75</f>
        <v>100</v>
      </c>
      <c r="H75" s="600">
        <f t="shared" ref="H75:H135" si="93">H74+CR75</f>
        <v>150</v>
      </c>
      <c r="I75" s="600">
        <f t="shared" ref="I75:I135" si="94">I74+CS75</f>
        <v>150</v>
      </c>
      <c r="J75" s="600">
        <f t="shared" ref="J75:J135" si="95">J74+CT75</f>
        <v>100</v>
      </c>
      <c r="K75" s="600">
        <f t="shared" ref="K75:K135" si="96">K74+CU75</f>
        <v>20</v>
      </c>
      <c r="L75" s="600">
        <f t="shared" ref="L75:L135" si="97">L74+CV75</f>
        <v>100</v>
      </c>
      <c r="M75" s="611">
        <f>Rezone!J75</f>
        <v>73</v>
      </c>
      <c r="N75" s="612"/>
      <c r="O75" s="613"/>
      <c r="P75" s="613"/>
      <c r="Q75" s="613"/>
      <c r="R75" s="613"/>
      <c r="S75" s="613"/>
      <c r="T75" s="613"/>
      <c r="U75" s="613"/>
      <c r="V75" s="613"/>
      <c r="W75" s="613"/>
      <c r="X75" s="613"/>
      <c r="Y75" s="613"/>
      <c r="Z75" s="613"/>
      <c r="AA75" s="613"/>
      <c r="AB75" s="613"/>
      <c r="AC75" s="613"/>
      <c r="AD75" s="613"/>
      <c r="AE75" s="613"/>
      <c r="AF75" s="624"/>
      <c r="AG75" s="793">
        <f t="shared" ref="AG75:AG135" si="98">AG74+1/24</f>
        <v>43694.999999999825</v>
      </c>
      <c r="AH75" s="616">
        <f>MIN(25%,(BG75+CE75)/(E75-Explore!S75*20))</f>
        <v>0</v>
      </c>
      <c r="AI75" s="618">
        <f t="shared" si="83"/>
        <v>0</v>
      </c>
      <c r="AJ75" s="599">
        <f ca="1">Production!$H75</f>
        <v>3714383</v>
      </c>
      <c r="AK75" s="598">
        <f ca="1">Production!$J75</f>
        <v>275411</v>
      </c>
      <c r="AL75" s="599">
        <f ca="1">ROUND( (1 - MIN(facs_constr_factor*$AH75,facs_constr_max)) * (1+MIN(tech_construction*Techs!AC75,tech_conquerors_crafts*Techs!AS75)) * AU75*(1+race_construction_cost),0)</f>
        <v>1615</v>
      </c>
      <c r="AM75" s="598">
        <f t="shared" si="80"/>
        <v>263</v>
      </c>
      <c r="AN75" s="599">
        <f ca="1">ROUND( (1 - MIN(facs_constr_factor*$AI75,facs_constr_max)) * (1+MIN(tech_construction*Techs!AE75,tech_conquerors_crafts*Techs!AU75)) * AU75*(1+race_construction_cost),0)</f>
        <v>1615</v>
      </c>
      <c r="AO75" s="598">
        <f t="shared" si="84"/>
        <v>263</v>
      </c>
      <c r="AP75" s="601">
        <f t="shared" ca="1" si="56"/>
        <v>0</v>
      </c>
      <c r="AQ75" s="610">
        <f t="shared" si="57"/>
        <v>0</v>
      </c>
      <c r="AR75" s="601">
        <f>MIN(SUM(F74:L74)+SUM(Explore!T63:Z63)+SUM(BV75:CN75),SUM($N75:$AF75))</f>
        <v>0</v>
      </c>
      <c r="AS75" s="601">
        <f>IF(Explore!S75&lt;&gt;0,MAX(0, MIN(20, 20 + SUM(N75:AF75) - SUM(BV75:CN75) - SUM(F74:L74)-SUM(Explore!T63:Z63)-20*Explore!S75)),0)</f>
        <v>0</v>
      </c>
      <c r="AU75" s="599">
        <f t="shared" si="85"/>
        <v>1615</v>
      </c>
      <c r="AV75" s="598">
        <f t="shared" si="86"/>
        <v>262.5</v>
      </c>
      <c r="AW75" s="615"/>
      <c r="AX75" s="609">
        <f>AX74 + IF(Overview!$B$14="Gnome",N66,N63) -BV75</f>
        <v>0</v>
      </c>
      <c r="AY75" s="601">
        <f>AY74 + IF(Overview!$B$14="Gnome",O66,O63) -BW75</f>
        <v>0</v>
      </c>
      <c r="AZ75" s="601">
        <f>AZ74 + IF(Overview!$B$14="Gnome",P66,P63) -BX75</f>
        <v>80</v>
      </c>
      <c r="BA75" s="601">
        <f>BA74 + IF(Overview!$B$14="Gnome",Q66,Q63) -BY75</f>
        <v>200</v>
      </c>
      <c r="BB75" s="601">
        <f>BB74 + IF(Overview!$B$14="Gnome",R66,R63) -BZ75</f>
        <v>0</v>
      </c>
      <c r="BC75" s="601">
        <f>BC74 + IF(Overview!$B$14="Gnome",S66,S63) -CA75</f>
        <v>50</v>
      </c>
      <c r="BD75" s="601">
        <f>BD74 + IF(Overview!$B$14="Gnome",T66,T63) -CB75</f>
        <v>0</v>
      </c>
      <c r="BE75" s="601">
        <f>BE74 + IF(Overview!$B$14="Gnome",U66,U63) -CC75</f>
        <v>0</v>
      </c>
      <c r="BF75" s="601">
        <f>BF74 + IF(Overview!$B$14="Gnome",V66,V63) -CD75</f>
        <v>0</v>
      </c>
      <c r="BG75" s="601">
        <f>BG74 + IF(Overview!$B$14="Gnome",W66,W63) -CE75</f>
        <v>0</v>
      </c>
      <c r="BH75" s="601">
        <f>BH74 + IF(Overview!$B$14="Gnome",X66,X63) -CF75</f>
        <v>0</v>
      </c>
      <c r="BI75" s="601">
        <f>BI74 + IF(Overview!$B$14="Gnome",Y66,Y63) -CG75</f>
        <v>0</v>
      </c>
      <c r="BJ75" s="601">
        <f>BJ74 + IF(Overview!$B$14="Gnome",Z66,Z63) -CH75</f>
        <v>0</v>
      </c>
      <c r="BK75" s="601">
        <f>BK74 + IF(Overview!$B$14="Gnome",AA66,AA63) -CI75</f>
        <v>50</v>
      </c>
      <c r="BL75" s="601">
        <f>BL74 + IF(Overview!$B$14="Gnome",AB66,AB63) -CJ75</f>
        <v>0</v>
      </c>
      <c r="BM75" s="601">
        <f>BM74 + IF(Overview!$B$14="Gnome",AC66,AC63) -CK75</f>
        <v>0</v>
      </c>
      <c r="BN75" s="601">
        <f>BN74 + IF(Overview!$B$14="Gnome",AD66,AD63) -CL75</f>
        <v>0</v>
      </c>
      <c r="BO75" s="601">
        <f>BO74 + IF(Overview!$B$14="Gnome",AE66,AE63) -CM75</f>
        <v>0</v>
      </c>
      <c r="BP75" s="610">
        <f>BP74 + IF(Overview!$B$14="Gnome",AF66,AF63) -CN75</f>
        <v>0</v>
      </c>
      <c r="BR75" s="600"/>
      <c r="BS75" s="609">
        <f t="shared" ref="BS75:BS135" si="99">E75</f>
        <v>1000</v>
      </c>
      <c r="BT75" s="623">
        <f t="shared" ref="BT75:BT135" si="100">BT74+1/24</f>
        <v>43694.999999999825</v>
      </c>
      <c r="BV75" s="612"/>
      <c r="BW75" s="613"/>
      <c r="BX75" s="613"/>
      <c r="BY75" s="613"/>
      <c r="BZ75" s="613"/>
      <c r="CA75" s="613"/>
      <c r="CB75" s="613"/>
      <c r="CC75" s="613"/>
      <c r="CD75" s="613"/>
      <c r="CE75" s="613"/>
      <c r="CF75" s="613"/>
      <c r="CG75" s="613"/>
      <c r="CH75" s="613"/>
      <c r="CI75" s="613"/>
      <c r="CJ75" s="613"/>
      <c r="CK75" s="613"/>
      <c r="CL75" s="613"/>
      <c r="CM75" s="609"/>
      <c r="CN75" s="614"/>
      <c r="CP75" s="599">
        <f>-SUM($O75:$R75)+SUM($BW75:BZ75)+Rezone!L75+IF(home_land=CP$2,CW75) + Explore!T63</f>
        <v>0</v>
      </c>
      <c r="CQ75" s="600">
        <f>-SUM($S75:$T75)+SUM($CA75:$CB75) +Rezone!M75 + IF(home_land=CQ$2,CW75) + Explore!U63</f>
        <v>0</v>
      </c>
      <c r="CR75" s="600">
        <f>-SUM($U75:$V75)+SUM($CC75:$CD75) +Rezone!N75 + IF(home_land=CR$2,CW75) + Explore!V63</f>
        <v>0</v>
      </c>
      <c r="CS75" s="600">
        <f>-SUM($W75:$Z75)+SUM($CE75:$CH75) +Rezone!O75 + IF(home_land=CS$2,CW75) + Explore!W63</f>
        <v>0</v>
      </c>
      <c r="CT75" s="600">
        <f>-SUM($AA75:$AC75)+SUM($CI75:$CK75) +Rezone!P75 + IF(home_land=CT$2,CW75) + Explore!X63</f>
        <v>0</v>
      </c>
      <c r="CU75" s="600">
        <f xml:space="preserve"> - SUM($AD75,$AE75)+SUM($CL75,$CM75) +Rezone!Q75 + IF(home_land=CU$2,CW75)+Explore!Y63</f>
        <v>0</v>
      </c>
      <c r="CV75" s="600">
        <f>-$AF75+$CN75 +Rezone!R75 + IF(home_land=CV$2,CW75) + Explore!Z63</f>
        <v>0</v>
      </c>
      <c r="CW75" s="613">
        <f>IF(Explore!S75=1,25) - N75 + BV75</f>
        <v>0</v>
      </c>
      <c r="CY75" s="599">
        <f t="shared" ref="CY75:CY135" si="101">F75+SUM(O64:R75)+SUM(AY75:BB75)</f>
        <v>280</v>
      </c>
      <c r="CZ75" s="600">
        <f t="shared" ref="CZ75:CZ135" si="102">G75+SUM(S64:T75)+SUM(BC75:BD75)</f>
        <v>150</v>
      </c>
      <c r="DA75" s="601">
        <f t="shared" ref="DA75:DA135" si="103">H75+SUM(U64:V75)+SUM(BE75:BF75)</f>
        <v>150</v>
      </c>
      <c r="DB75" s="600">
        <f t="shared" ref="DB75:DB135" si="104">I75+SUM(W64:X75)+SUM(BG75:BH75)</f>
        <v>150</v>
      </c>
      <c r="DC75" s="600">
        <f t="shared" ref="DC75:DC135" si="105">J75+SUM(AA64:AC75)+SUM(BK75:BM75)</f>
        <v>150</v>
      </c>
      <c r="DD75" s="601">
        <f t="shared" ref="DD75:DD135" si="106">K75+SUM(AD64:AD75)+BN75</f>
        <v>20</v>
      </c>
      <c r="DE75" s="598">
        <f t="shared" ref="DE75:DE135" si="107">L75+SUM(AF64:AF75)+BP75</f>
        <v>100</v>
      </c>
      <c r="DF75" s="600">
        <f t="shared" ref="DF75:DF135" ca="1" si="108">INDIRECT(ADDRESS(DH75,$DI$4))+DG75</f>
        <v>280</v>
      </c>
      <c r="DG75" s="601">
        <f t="shared" ref="DG75:DG135" si="109">SUM(N64:N75)+AX75</f>
        <v>0</v>
      </c>
      <c r="DH75" s="601">
        <f t="shared" ref="DH75:DH135" si="110">DH74+1</f>
        <v>75</v>
      </c>
      <c r="DI75" s="598"/>
    </row>
    <row r="76" spans="1:114" s="170" customFormat="1" ht="13.5" thickTop="1">
      <c r="A76" s="242">
        <f t="shared" si="87"/>
        <v>620</v>
      </c>
      <c r="B76" s="242">
        <f t="shared" si="88"/>
        <v>380</v>
      </c>
      <c r="C76" s="243">
        <f t="shared" si="89"/>
        <v>0</v>
      </c>
      <c r="D76" s="532"/>
      <c r="E76" s="170">
        <f t="shared" si="90"/>
        <v>1000</v>
      </c>
      <c r="F76" s="245">
        <f t="shared" si="91"/>
        <v>0</v>
      </c>
      <c r="G76" s="246">
        <f t="shared" si="92"/>
        <v>100</v>
      </c>
      <c r="H76" s="247">
        <f t="shared" si="93"/>
        <v>150</v>
      </c>
      <c r="I76" s="248">
        <f t="shared" si="94"/>
        <v>150</v>
      </c>
      <c r="J76" s="249">
        <f t="shared" si="95"/>
        <v>100</v>
      </c>
      <c r="K76" s="250">
        <f t="shared" si="96"/>
        <v>20</v>
      </c>
      <c r="L76" s="498">
        <f t="shared" si="97"/>
        <v>100</v>
      </c>
      <c r="M76" s="634">
        <f>Rezone!J76</f>
        <v>74</v>
      </c>
      <c r="N76" s="352"/>
      <c r="O76" s="345"/>
      <c r="P76" s="344"/>
      <c r="Q76" s="344"/>
      <c r="R76" s="344"/>
      <c r="S76" s="344"/>
      <c r="T76" s="344"/>
      <c r="U76" s="344"/>
      <c r="V76" s="344"/>
      <c r="W76" s="344"/>
      <c r="X76" s="344"/>
      <c r="Y76" s="344"/>
      <c r="Z76" s="344"/>
      <c r="AA76" s="344"/>
      <c r="AB76" s="345"/>
      <c r="AC76" s="345"/>
      <c r="AD76" s="345"/>
      <c r="AE76" s="345"/>
      <c r="AF76" s="336"/>
      <c r="AG76" s="532">
        <f t="shared" si="98"/>
        <v>43695.04166666649</v>
      </c>
      <c r="AH76" s="251">
        <f>MIN(25%,(BG76+CE76)/(E76-Explore!S76*20))</f>
        <v>0</v>
      </c>
      <c r="AI76" s="187">
        <f t="shared" si="83"/>
        <v>0</v>
      </c>
      <c r="AJ76" s="152">
        <f ca="1">Production!$H76</f>
        <v>3725034</v>
      </c>
      <c r="AK76" s="166">
        <f ca="1">Production!$J76</f>
        <v>275157</v>
      </c>
      <c r="AL76" s="152">
        <f ca="1">ROUND( (1 - MIN(facs_constr_factor*$AH76,facs_constr_max)) * (1+MIN(tech_construction*Techs!AC76,tech_conquerors_crafts*Techs!AS76)) * AU76*(1+race_construction_cost),0)</f>
        <v>1615</v>
      </c>
      <c r="AM76" s="166">
        <f t="shared" si="80"/>
        <v>263</v>
      </c>
      <c r="AN76" s="152">
        <f ca="1">ROUND( (1 - MIN(facs_constr_factor*$AI76,facs_constr_max)) * (1+MIN(tech_construction*Techs!AE76,tech_conquerors_crafts*Techs!AU76)) * AU76*(1+race_construction_cost),0)</f>
        <v>1615</v>
      </c>
      <c r="AO76" s="166">
        <f t="shared" si="84"/>
        <v>263</v>
      </c>
      <c r="AP76" s="170">
        <f t="shared" ca="1" si="56"/>
        <v>0</v>
      </c>
      <c r="AQ76" s="157">
        <f t="shared" si="57"/>
        <v>0</v>
      </c>
      <c r="AR76" s="170">
        <f>MIN(SUM(F75:L75)+SUM(Explore!T64:Z64)+SUM(BV76:CN76),SUM($N76:$AF76))</f>
        <v>0</v>
      </c>
      <c r="AS76" s="170">
        <f>IF(Explore!S76&lt;&gt;0,MAX(0, MIN(20, 20 + SUM(N76:AF76) - SUM(BV76:CN76) - SUM(F75:L75)-SUM(Explore!T64:Z64)-20*Explore!S76)),0)</f>
        <v>0</v>
      </c>
      <c r="AU76" s="152">
        <f t="shared" si="85"/>
        <v>1615</v>
      </c>
      <c r="AV76" s="166">
        <f t="shared" si="86"/>
        <v>262.5</v>
      </c>
      <c r="AW76" s="164"/>
      <c r="AX76" s="293">
        <f>AX75 + IF(Overview!$B$14="Gnome",N67,N64) -BV76</f>
        <v>0</v>
      </c>
      <c r="AY76" s="244">
        <f>AY75 + IF(Overview!$B$14="Gnome",O67,O64) -BW76</f>
        <v>0</v>
      </c>
      <c r="AZ76" s="244">
        <f>AZ75 + IF(Overview!$B$14="Gnome",P67,P64) -BX76</f>
        <v>80</v>
      </c>
      <c r="BA76" s="244">
        <f>BA75 + IF(Overview!$B$14="Gnome",Q67,Q64) -BY76</f>
        <v>200</v>
      </c>
      <c r="BB76" s="244">
        <f>BB75 + IF(Overview!$B$14="Gnome",R67,R64) -BZ76</f>
        <v>0</v>
      </c>
      <c r="BC76" s="206">
        <f>BC75 + IF(Overview!$B$14="Gnome",S67,S64) -CA76</f>
        <v>50</v>
      </c>
      <c r="BD76" s="206">
        <f>BD75 + IF(Overview!$B$14="Gnome",T67,T64) -CB76</f>
        <v>0</v>
      </c>
      <c r="BE76" s="207">
        <f>BE75 + IF(Overview!$B$14="Gnome",U67,U64) -CC76</f>
        <v>0</v>
      </c>
      <c r="BF76" s="207">
        <f>BF75 + IF(Overview!$B$14="Gnome",V67,V64) -CD76</f>
        <v>0</v>
      </c>
      <c r="BG76" s="208">
        <f>BG75 + IF(Overview!$B$14="Gnome",W67,W64) -CE76</f>
        <v>0</v>
      </c>
      <c r="BH76" s="208">
        <f>BH75 + IF(Overview!$B$14="Gnome",X67,X64) -CF76</f>
        <v>0</v>
      </c>
      <c r="BI76" s="208">
        <f>BI75 + IF(Overview!$B$14="Gnome",Y67,Y64) -CG76</f>
        <v>0</v>
      </c>
      <c r="BJ76" s="208">
        <f>BJ75 + IF(Overview!$B$14="Gnome",Z67,Z64) -CH76</f>
        <v>0</v>
      </c>
      <c r="BK76" s="209">
        <f>BK75 + IF(Overview!$B$14="Gnome",AA67,AA64) -CI76</f>
        <v>50</v>
      </c>
      <c r="BL76" s="209">
        <f>BL75 + IF(Overview!$B$14="Gnome",AB67,AB64) -CJ76</f>
        <v>0</v>
      </c>
      <c r="BM76" s="209">
        <f>BM75 + IF(Overview!$B$14="Gnome",AC67,AC64) -CK76</f>
        <v>0</v>
      </c>
      <c r="BN76" s="210">
        <f>BN75 + IF(Overview!$B$14="Gnome",AD67,AD64) -CL76</f>
        <v>0</v>
      </c>
      <c r="BO76" s="210">
        <f>BO75 + IF(Overview!$B$14="Gnome",AE67,AE64) -CM76</f>
        <v>0</v>
      </c>
      <c r="BP76" s="211">
        <f>BP75 + IF(Overview!$B$14="Gnome",AF67,AF64) -CN76</f>
        <v>0</v>
      </c>
      <c r="BR76" s="440"/>
      <c r="BS76" s="156">
        <f t="shared" si="99"/>
        <v>1000</v>
      </c>
      <c r="BT76" s="532">
        <f t="shared" si="100"/>
        <v>43695.04166666649</v>
      </c>
      <c r="BV76" s="352"/>
      <c r="BW76" s="345"/>
      <c r="BX76" s="345"/>
      <c r="BY76" s="345"/>
      <c r="BZ76" s="345"/>
      <c r="CA76" s="345"/>
      <c r="CB76" s="345"/>
      <c r="CC76" s="345"/>
      <c r="CD76" s="345"/>
      <c r="CE76" s="345"/>
      <c r="CF76" s="345"/>
      <c r="CG76" s="345"/>
      <c r="CH76" s="345"/>
      <c r="CI76" s="345"/>
      <c r="CJ76" s="345"/>
      <c r="CK76" s="345"/>
      <c r="CL76" s="345"/>
      <c r="CM76" s="763"/>
      <c r="CN76" s="353"/>
      <c r="CP76" s="722">
        <f>-SUM($O76:$R76)+SUM($BW76:BZ76)+Rezone!L76+IF(home_land=CP$2,CW76) + Explore!T64</f>
        <v>0</v>
      </c>
      <c r="CQ76" s="723">
        <f>-SUM($S76:$T76)+SUM($CA76:$CB76) +Rezone!M76 + IF(home_land=CQ$2,CW76) + Explore!U64</f>
        <v>0</v>
      </c>
      <c r="CR76" s="724">
        <f>-SUM($U76:$V76)+SUM($CC76:$CD76) +Rezone!N76 + IF(home_land=CR$2,CW76) + Explore!V64</f>
        <v>0</v>
      </c>
      <c r="CS76" s="725">
        <f>-SUM($W76:$Z76)+SUM($CE76:$CH76) +Rezone!O76 + IF(home_land=CS$2,CW76) + Explore!W64</f>
        <v>0</v>
      </c>
      <c r="CT76" s="726">
        <f>-SUM($AA76:$AC76)+SUM($CI76:$CK76) +Rezone!P76 + IF(home_land=CT$2,CW76) + Explore!X64</f>
        <v>0</v>
      </c>
      <c r="CU76" s="727">
        <f xml:space="preserve"> - SUM($AD76,$AE76)+SUM($CL76,$CM76) +Rezone!Q76 + IF(home_land=CU$2,CW76)+Explore!Y64</f>
        <v>0</v>
      </c>
      <c r="CV76" s="728">
        <f>-$AF76+$CN76 +Rezone!R76 + IF(home_land=CV$2,CW76) + Explore!Z64</f>
        <v>0</v>
      </c>
      <c r="CW76" s="721">
        <f>IF(Explore!S76=1,25) - N76 + BV76</f>
        <v>0</v>
      </c>
      <c r="CY76" s="172">
        <f t="shared" si="101"/>
        <v>280</v>
      </c>
      <c r="CZ76" s="168">
        <f t="shared" si="102"/>
        <v>150</v>
      </c>
      <c r="DA76" s="191">
        <f t="shared" si="103"/>
        <v>150</v>
      </c>
      <c r="DB76" s="168">
        <f t="shared" si="104"/>
        <v>150</v>
      </c>
      <c r="DC76" s="168">
        <f t="shared" si="105"/>
        <v>150</v>
      </c>
      <c r="DD76" s="191">
        <f t="shared" si="106"/>
        <v>20</v>
      </c>
      <c r="DE76" s="167">
        <f t="shared" si="107"/>
        <v>100</v>
      </c>
      <c r="DF76" s="168">
        <f t="shared" ca="1" si="108"/>
        <v>280</v>
      </c>
      <c r="DG76" s="1010">
        <f t="shared" si="109"/>
        <v>0</v>
      </c>
      <c r="DH76" s="168">
        <f t="shared" si="110"/>
        <v>76</v>
      </c>
      <c r="DI76" s="167"/>
      <c r="DJ76" s="164"/>
    </row>
    <row r="77" spans="1:114" s="170" customFormat="1">
      <c r="A77" s="242">
        <f t="shared" si="87"/>
        <v>620</v>
      </c>
      <c r="B77" s="242">
        <f t="shared" si="88"/>
        <v>380</v>
      </c>
      <c r="C77" s="243">
        <f t="shared" si="89"/>
        <v>0</v>
      </c>
      <c r="D77" s="532"/>
      <c r="E77" s="170">
        <f t="shared" si="90"/>
        <v>1000</v>
      </c>
      <c r="F77" s="245">
        <f t="shared" si="91"/>
        <v>0</v>
      </c>
      <c r="G77" s="246">
        <f t="shared" si="92"/>
        <v>100</v>
      </c>
      <c r="H77" s="247">
        <f t="shared" si="93"/>
        <v>150</v>
      </c>
      <c r="I77" s="248">
        <f t="shared" si="94"/>
        <v>150</v>
      </c>
      <c r="J77" s="249">
        <f t="shared" si="95"/>
        <v>100</v>
      </c>
      <c r="K77" s="250">
        <f t="shared" si="96"/>
        <v>20</v>
      </c>
      <c r="L77" s="498">
        <f t="shared" si="97"/>
        <v>100</v>
      </c>
      <c r="M77" s="634">
        <f>Rezone!J77</f>
        <v>75</v>
      </c>
      <c r="N77" s="352"/>
      <c r="O77" s="345"/>
      <c r="P77" s="345"/>
      <c r="Q77" s="345"/>
      <c r="R77" s="345"/>
      <c r="S77" s="345"/>
      <c r="T77" s="345"/>
      <c r="U77" s="345"/>
      <c r="V77" s="345"/>
      <c r="W77" s="345"/>
      <c r="X77" s="345"/>
      <c r="Y77" s="345"/>
      <c r="Z77" s="345"/>
      <c r="AA77" s="345"/>
      <c r="AB77" s="345"/>
      <c r="AC77" s="345"/>
      <c r="AD77" s="345"/>
      <c r="AE77" s="345"/>
      <c r="AF77" s="336"/>
      <c r="AG77" s="532">
        <f t="shared" si="98"/>
        <v>43695.083333333154</v>
      </c>
      <c r="AH77" s="251">
        <f>MIN(25%,(BG77+CE77)/(E77-Explore!S77*20))</f>
        <v>0</v>
      </c>
      <c r="AI77" s="187">
        <f t="shared" si="83"/>
        <v>0</v>
      </c>
      <c r="AJ77" s="152">
        <f ca="1">Production!$H77</f>
        <v>3735685</v>
      </c>
      <c r="AK77" s="166">
        <f ca="1">Production!$J77</f>
        <v>274905</v>
      </c>
      <c r="AL77" s="152">
        <f ca="1">ROUND( (1 - MIN(facs_constr_factor*$AH77,facs_constr_max)) * (1+MIN(tech_construction*Techs!AC77,tech_conquerors_crafts*Techs!AS77)) * AU77*(1+race_construction_cost),0)</f>
        <v>1615</v>
      </c>
      <c r="AM77" s="166">
        <f t="shared" si="80"/>
        <v>263</v>
      </c>
      <c r="AN77" s="152">
        <f ca="1">ROUND( (1 - MIN(facs_constr_factor*$AI77,facs_constr_max)) * (1+MIN(tech_construction*Techs!AE77,tech_conquerors_crafts*Techs!AU77)) * AU77*(1+race_construction_cost),0)</f>
        <v>1615</v>
      </c>
      <c r="AO77" s="166">
        <f t="shared" si="84"/>
        <v>263</v>
      </c>
      <c r="AP77" s="170">
        <f t="shared" ca="1" si="56"/>
        <v>0</v>
      </c>
      <c r="AQ77" s="157">
        <f t="shared" si="57"/>
        <v>0</v>
      </c>
      <c r="AR77" s="170">
        <f>MIN(SUM(F76:L76)+SUM(Explore!T65:Z65)+SUM(BV77:CN77),SUM($N77:$AF77))</f>
        <v>0</v>
      </c>
      <c r="AS77" s="170">
        <f>IF(Explore!S77&lt;&gt;0,MAX(0, MIN(20, 20 + SUM(N77:AF77) - SUM(BV77:CN77) - SUM(F76:L76)-SUM(Explore!T65:Z65)-20*Explore!S77)),0)</f>
        <v>0</v>
      </c>
      <c r="AU77" s="152">
        <f t="shared" si="85"/>
        <v>1615</v>
      </c>
      <c r="AV77" s="166">
        <f t="shared" si="86"/>
        <v>262.5</v>
      </c>
      <c r="AW77" s="164"/>
      <c r="AX77" s="293">
        <f>AX76 + IF(Overview!$B$14="Gnome",N68,N65) -BV77</f>
        <v>0</v>
      </c>
      <c r="AY77" s="244">
        <f>AY76 + IF(Overview!$B$14="Gnome",O68,O65) -BW77</f>
        <v>0</v>
      </c>
      <c r="AZ77" s="244">
        <f>AZ76 + IF(Overview!$B$14="Gnome",P68,P65) -BX77</f>
        <v>80</v>
      </c>
      <c r="BA77" s="244">
        <f>BA76 + IF(Overview!$B$14="Gnome",Q68,Q65) -BY77</f>
        <v>200</v>
      </c>
      <c r="BB77" s="244">
        <f>BB76 + IF(Overview!$B$14="Gnome",R68,R65) -BZ77</f>
        <v>0</v>
      </c>
      <c r="BC77" s="206">
        <f>BC76 + IF(Overview!$B$14="Gnome",S68,S65) -CA77</f>
        <v>50</v>
      </c>
      <c r="BD77" s="206">
        <f>BD76 + IF(Overview!$B$14="Gnome",T68,T65) -CB77</f>
        <v>0</v>
      </c>
      <c r="BE77" s="207">
        <f>BE76 + IF(Overview!$B$14="Gnome",U68,U65) -CC77</f>
        <v>0</v>
      </c>
      <c r="BF77" s="207">
        <f>BF76 + IF(Overview!$B$14="Gnome",V68,V65) -CD77</f>
        <v>0</v>
      </c>
      <c r="BG77" s="208">
        <f>BG76 + IF(Overview!$B$14="Gnome",W68,W65) -CE77</f>
        <v>0</v>
      </c>
      <c r="BH77" s="208">
        <f>BH76 + IF(Overview!$B$14="Gnome",X68,X65) -CF77</f>
        <v>0</v>
      </c>
      <c r="BI77" s="208">
        <f>BI76 + IF(Overview!$B$14="Gnome",Y68,Y65) -CG77</f>
        <v>0</v>
      </c>
      <c r="BJ77" s="208">
        <f>BJ76 + IF(Overview!$B$14="Gnome",Z68,Z65) -CH77</f>
        <v>0</v>
      </c>
      <c r="BK77" s="209">
        <f>BK76 + IF(Overview!$B$14="Gnome",AA68,AA65) -CI77</f>
        <v>50</v>
      </c>
      <c r="BL77" s="209">
        <f>BL76 + IF(Overview!$B$14="Gnome",AB68,AB65) -CJ77</f>
        <v>0</v>
      </c>
      <c r="BM77" s="209">
        <f>BM76 + IF(Overview!$B$14="Gnome",AC68,AC65) -CK77</f>
        <v>0</v>
      </c>
      <c r="BN77" s="210">
        <f>BN76 + IF(Overview!$B$14="Gnome",AD68,AD65) -CL77</f>
        <v>0</v>
      </c>
      <c r="BO77" s="210">
        <f>BO76 + IF(Overview!$B$14="Gnome",AE68,AE65) -CM77</f>
        <v>0</v>
      </c>
      <c r="BP77" s="211">
        <f>BP76 + IF(Overview!$B$14="Gnome",AF68,AF65) -CN77</f>
        <v>0</v>
      </c>
      <c r="BR77" s="440"/>
      <c r="BS77" s="156">
        <f t="shared" si="99"/>
        <v>1000</v>
      </c>
      <c r="BT77" s="532">
        <f t="shared" si="100"/>
        <v>43695.083333333154</v>
      </c>
      <c r="BV77" s="352"/>
      <c r="BW77" s="345"/>
      <c r="BX77" s="345"/>
      <c r="BY77" s="345"/>
      <c r="BZ77" s="345"/>
      <c r="CA77" s="345"/>
      <c r="CB77" s="345"/>
      <c r="CC77" s="345"/>
      <c r="CD77" s="345"/>
      <c r="CE77" s="345"/>
      <c r="CF77" s="345"/>
      <c r="CG77" s="345"/>
      <c r="CH77" s="345"/>
      <c r="CI77" s="345"/>
      <c r="CJ77" s="345"/>
      <c r="CK77" s="345"/>
      <c r="CL77" s="345"/>
      <c r="CM77" s="763"/>
      <c r="CN77" s="353"/>
      <c r="CP77" s="245">
        <f>-SUM($O77:$R77)+SUM($BW77:BZ77)+Rezone!L77+IF(home_land=CP$2,CW77) + Explore!T65</f>
        <v>0</v>
      </c>
      <c r="CQ77" s="246">
        <f>-SUM($S77:$T77)+SUM($CA77:$CB77) +Rezone!M77 + IF(home_land=CQ$2,CW77) + Explore!U65</f>
        <v>0</v>
      </c>
      <c r="CR77" s="247">
        <f>-SUM($U77:$V77)+SUM($CC77:$CD77) +Rezone!N77 + IF(home_land=CR$2,CW77) + Explore!V65</f>
        <v>0</v>
      </c>
      <c r="CS77" s="248">
        <f>-SUM($W77:$Z77)+SUM($CE77:$CH77) +Rezone!O77 + IF(home_land=CS$2,CW77) + Explore!W65</f>
        <v>0</v>
      </c>
      <c r="CT77" s="249">
        <f>-SUM($AA77:$AC77)+SUM($CI77:$CK77) +Rezone!P77 + IF(home_land=CT$2,CW77) + Explore!X65</f>
        <v>0</v>
      </c>
      <c r="CU77" s="250">
        <f xml:space="preserve"> - SUM($AD77,$AE77)+SUM($CL77,$CM77) +Rezone!Q77 + IF(home_land=CU$2,CW77)+Explore!Y65</f>
        <v>0</v>
      </c>
      <c r="CV77" s="729">
        <f>-$AF77+$CN77 +Rezone!R77 + IF(home_land=CV$2,CW77) + Explore!Z65</f>
        <v>0</v>
      </c>
      <c r="CW77" s="159">
        <f>IF(Explore!S77=1,25) - N77 + BV77</f>
        <v>0</v>
      </c>
      <c r="CY77" s="152">
        <f t="shared" si="101"/>
        <v>280</v>
      </c>
      <c r="CZ77" s="164">
        <f t="shared" si="102"/>
        <v>150</v>
      </c>
      <c r="DA77" s="170">
        <f t="shared" si="103"/>
        <v>150</v>
      </c>
      <c r="DB77" s="164">
        <f t="shared" si="104"/>
        <v>150</v>
      </c>
      <c r="DC77" s="164">
        <f t="shared" si="105"/>
        <v>150</v>
      </c>
      <c r="DD77" s="170">
        <f t="shared" si="106"/>
        <v>20</v>
      </c>
      <c r="DE77" s="166">
        <f t="shared" si="107"/>
        <v>100</v>
      </c>
      <c r="DF77" s="164">
        <f t="shared" ca="1" si="108"/>
        <v>280</v>
      </c>
      <c r="DG77" s="170">
        <f t="shared" si="109"/>
        <v>0</v>
      </c>
      <c r="DH77" s="164">
        <f t="shared" si="110"/>
        <v>77</v>
      </c>
      <c r="DI77" s="166"/>
    </row>
    <row r="78" spans="1:114" s="16" customFormat="1">
      <c r="A78" s="36">
        <f t="shared" si="87"/>
        <v>620</v>
      </c>
      <c r="B78" s="36">
        <f t="shared" si="88"/>
        <v>380</v>
      </c>
      <c r="C78" s="83">
        <f t="shared" si="89"/>
        <v>0</v>
      </c>
      <c r="D78" s="574"/>
      <c r="E78" s="16">
        <f t="shared" si="90"/>
        <v>1000</v>
      </c>
      <c r="F78" s="86">
        <f t="shared" si="91"/>
        <v>0</v>
      </c>
      <c r="G78" s="37">
        <f t="shared" si="92"/>
        <v>100</v>
      </c>
      <c r="H78" s="247">
        <f t="shared" si="93"/>
        <v>150</v>
      </c>
      <c r="I78" s="38">
        <f t="shared" si="94"/>
        <v>150</v>
      </c>
      <c r="J78" s="39">
        <f t="shared" si="95"/>
        <v>100</v>
      </c>
      <c r="K78" s="40">
        <f t="shared" si="96"/>
        <v>20</v>
      </c>
      <c r="L78" s="500">
        <f t="shared" si="97"/>
        <v>100</v>
      </c>
      <c r="M78" s="635">
        <f>Rezone!J78</f>
        <v>76</v>
      </c>
      <c r="N78" s="356"/>
      <c r="O78" s="348"/>
      <c r="P78" s="348"/>
      <c r="Q78" s="348"/>
      <c r="R78" s="345"/>
      <c r="S78" s="348"/>
      <c r="T78" s="348"/>
      <c r="U78" s="348"/>
      <c r="V78" s="348"/>
      <c r="W78" s="345"/>
      <c r="X78" s="345"/>
      <c r="Y78" s="348"/>
      <c r="Z78" s="345"/>
      <c r="AA78" s="348"/>
      <c r="AB78" s="348"/>
      <c r="AC78" s="345"/>
      <c r="AD78" s="348"/>
      <c r="AE78" s="348"/>
      <c r="AF78" s="336"/>
      <c r="AG78" s="532">
        <f t="shared" si="98"/>
        <v>43695.124999999818</v>
      </c>
      <c r="AH78" s="91">
        <f>MIN(25%,(BG78+CE78)/(E78-Explore!S78*20))</f>
        <v>0</v>
      </c>
      <c r="AI78" s="59">
        <f t="shared" si="83"/>
        <v>0</v>
      </c>
      <c r="AJ78" s="56">
        <f ca="1">Production!$H78</f>
        <v>3746336</v>
      </c>
      <c r="AK78" s="57">
        <f ca="1">Production!$J78</f>
        <v>274656</v>
      </c>
      <c r="AL78" s="152">
        <f ca="1">ROUND( (1 - MIN(facs_constr_factor*$AH78,facs_constr_max)) * (1+MIN(tech_construction*Techs!AC78,tech_conquerors_crafts*Techs!AS78)) * AU78*(1+race_construction_cost),0)</f>
        <v>1615</v>
      </c>
      <c r="AM78" s="166">
        <f t="shared" si="80"/>
        <v>263</v>
      </c>
      <c r="AN78" s="152">
        <f ca="1">ROUND( (1 - MIN(facs_constr_factor*$AI78,facs_constr_max)) * (1+MIN(tech_construction*Techs!AE78,tech_conquerors_crafts*Techs!AU78)) * AU78*(1+race_construction_cost),0)</f>
        <v>1615</v>
      </c>
      <c r="AO78" s="166">
        <f t="shared" si="84"/>
        <v>263</v>
      </c>
      <c r="AP78" s="16">
        <f t="shared" ca="1" si="56"/>
        <v>0</v>
      </c>
      <c r="AQ78" s="53">
        <f t="shared" si="57"/>
        <v>0</v>
      </c>
      <c r="AR78" s="16">
        <f>MIN(SUM(F77:L77)+SUM(Explore!T66:Z66)+SUM(BV78:CN78),SUM($N78:$AF78))</f>
        <v>0</v>
      </c>
      <c r="AS78" s="16">
        <f>IF(Explore!S78&lt;&gt;0,MAX(0, MIN(20, 20 + SUM(N78:AF78) - SUM(BV78:CN78) - SUM(F77:L77)-SUM(Explore!T66:Z66)-20*Explore!S78)),0)</f>
        <v>0</v>
      </c>
      <c r="AU78" s="152">
        <f t="shared" si="85"/>
        <v>1615</v>
      </c>
      <c r="AV78" s="166">
        <f t="shared" si="86"/>
        <v>262.5</v>
      </c>
      <c r="AW78" s="164"/>
      <c r="AX78" s="295">
        <f>AX77 + IF(Overview!$B$14="Gnome",N69,N66) -BV78</f>
        <v>0</v>
      </c>
      <c r="AY78" s="28">
        <f>AY77 + IF(Overview!$B$14="Gnome",O69,O66) -BW78</f>
        <v>0</v>
      </c>
      <c r="AZ78" s="28">
        <f>AZ77 + IF(Overview!$B$14="Gnome",P69,P66) -BX78</f>
        <v>80</v>
      </c>
      <c r="BA78" s="28">
        <f>BA77 + IF(Overview!$B$14="Gnome",Q69,Q66) -BY78</f>
        <v>200</v>
      </c>
      <c r="BB78" s="28">
        <f>BB77 + IF(Overview!$B$14="Gnome",R69,R66) -BZ78</f>
        <v>0</v>
      </c>
      <c r="BC78" s="29">
        <f>BC77 + IF(Overview!$B$14="Gnome",S69,S66) -CA78</f>
        <v>50</v>
      </c>
      <c r="BD78" s="29">
        <f>BD77 + IF(Overview!$B$14="Gnome",T69,T66) -CB78</f>
        <v>0</v>
      </c>
      <c r="BE78" s="30">
        <f>BE77 + IF(Overview!$B$14="Gnome",U69,U66) -CC78</f>
        <v>0</v>
      </c>
      <c r="BF78" s="30">
        <f>BF77 + IF(Overview!$B$14="Gnome",V69,V66) -CD78</f>
        <v>0</v>
      </c>
      <c r="BG78" s="31">
        <f>BG77 + IF(Overview!$B$14="Gnome",W69,W66) -CE78</f>
        <v>0</v>
      </c>
      <c r="BH78" s="31">
        <f>BH77 + IF(Overview!$B$14="Gnome",X69,X66) -CF78</f>
        <v>0</v>
      </c>
      <c r="BI78" s="31">
        <f>BI77 + IF(Overview!$B$14="Gnome",Y69,Y66) -CG78</f>
        <v>0</v>
      </c>
      <c r="BJ78" s="31">
        <f>BJ77 + IF(Overview!$B$14="Gnome",Z69,Z66) -CH78</f>
        <v>0</v>
      </c>
      <c r="BK78" s="32">
        <f>BK77 + IF(Overview!$B$14="Gnome",AA69,AA66) -CI78</f>
        <v>50</v>
      </c>
      <c r="BL78" s="32">
        <f>BL77 + IF(Overview!$B$14="Gnome",AB69,AB66) -CJ78</f>
        <v>0</v>
      </c>
      <c r="BM78" s="32">
        <f>BM77 + IF(Overview!$B$14="Gnome",AC69,AC66) -CK78</f>
        <v>0</v>
      </c>
      <c r="BN78" s="33">
        <f>BN77 + IF(Overview!$B$14="Gnome",AD69,AD66) -CL78</f>
        <v>0</v>
      </c>
      <c r="BO78" s="33">
        <f>BO77 + IF(Overview!$B$14="Gnome",AE69,AE66) -CM78</f>
        <v>0</v>
      </c>
      <c r="BP78" s="69">
        <f>BP77 + IF(Overview!$B$14="Gnome",AF69,AF66) -CN78</f>
        <v>0</v>
      </c>
      <c r="BR78" s="442"/>
      <c r="BS78" s="156">
        <f t="shared" si="99"/>
        <v>1000</v>
      </c>
      <c r="BT78" s="574">
        <f t="shared" si="100"/>
        <v>43695.124999999818</v>
      </c>
      <c r="BV78" s="356"/>
      <c r="BW78" s="348"/>
      <c r="BX78" s="348"/>
      <c r="BY78" s="348"/>
      <c r="BZ78" s="348"/>
      <c r="CA78" s="348"/>
      <c r="CB78" s="348"/>
      <c r="CC78" s="348"/>
      <c r="CD78" s="348"/>
      <c r="CE78" s="348"/>
      <c r="CF78" s="348"/>
      <c r="CG78" s="348"/>
      <c r="CH78" s="348"/>
      <c r="CI78" s="348"/>
      <c r="CJ78" s="348"/>
      <c r="CK78" s="348"/>
      <c r="CL78" s="348"/>
      <c r="CM78" s="360"/>
      <c r="CN78" s="357"/>
      <c r="CP78" s="245">
        <f>-SUM($O78:$R78)+SUM($BW78:BZ78)+Rezone!L78+IF(home_land=CP$2,CW78) + Explore!T66</f>
        <v>0</v>
      </c>
      <c r="CQ78" s="246">
        <f>-SUM($S78:$T78)+SUM($CA78:$CB78) +Rezone!M78 + IF(home_land=CQ$2,CW78) + Explore!U66</f>
        <v>0</v>
      </c>
      <c r="CR78" s="247">
        <f>-SUM($U78:$V78)+SUM($CC78:$CD78) +Rezone!N78 + IF(home_land=CR$2,CW78) + Explore!V66</f>
        <v>0</v>
      </c>
      <c r="CS78" s="248">
        <f>-SUM($W78:$Z78)+SUM($CE78:$CH78) +Rezone!O78 + IF(home_land=CS$2,CW78) + Explore!W66</f>
        <v>0</v>
      </c>
      <c r="CT78" s="249">
        <f>-SUM($AA78:$AC78)+SUM($CI78:$CK78) +Rezone!P78 + IF(home_land=CT$2,CW78) + Explore!X66</f>
        <v>0</v>
      </c>
      <c r="CU78" s="250">
        <f xml:space="preserve"> - SUM($AD78,$AE78)+SUM($CL78,$CM78) +Rezone!Q78 + IF(home_land=CU$2,CW78)+Explore!Y66</f>
        <v>0</v>
      </c>
      <c r="CV78" s="729">
        <f>-$AF78+$CN78 +Rezone!R78 + IF(home_land=CV$2,CW78) + Explore!Z66</f>
        <v>0</v>
      </c>
      <c r="CW78" s="159">
        <f>IF(Explore!S78=1,25) - N78 + BV78</f>
        <v>0</v>
      </c>
      <c r="CY78" s="152">
        <f t="shared" si="101"/>
        <v>280</v>
      </c>
      <c r="CZ78" s="164">
        <f t="shared" si="102"/>
        <v>150</v>
      </c>
      <c r="DA78" s="170">
        <f t="shared" si="103"/>
        <v>150</v>
      </c>
      <c r="DB78" s="164">
        <f t="shared" si="104"/>
        <v>150</v>
      </c>
      <c r="DC78" s="164">
        <f t="shared" si="105"/>
        <v>150</v>
      </c>
      <c r="DD78" s="170">
        <f t="shared" si="106"/>
        <v>20</v>
      </c>
      <c r="DE78" s="166">
        <f t="shared" si="107"/>
        <v>100</v>
      </c>
      <c r="DF78" s="164">
        <f t="shared" ca="1" si="108"/>
        <v>280</v>
      </c>
      <c r="DG78" s="170">
        <f t="shared" si="109"/>
        <v>0</v>
      </c>
      <c r="DH78" s="164">
        <f t="shared" si="110"/>
        <v>78</v>
      </c>
      <c r="DI78" s="166"/>
    </row>
    <row r="79" spans="1:114" s="16" customFormat="1">
      <c r="A79" s="36">
        <f t="shared" si="87"/>
        <v>620</v>
      </c>
      <c r="B79" s="36">
        <f t="shared" si="88"/>
        <v>380</v>
      </c>
      <c r="C79" s="83">
        <f t="shared" si="89"/>
        <v>0</v>
      </c>
      <c r="D79" s="574"/>
      <c r="E79" s="16">
        <f t="shared" si="90"/>
        <v>1000</v>
      </c>
      <c r="F79" s="86">
        <f t="shared" si="91"/>
        <v>0</v>
      </c>
      <c r="G79" s="37">
        <f t="shared" si="92"/>
        <v>100</v>
      </c>
      <c r="H79" s="247">
        <f t="shared" si="93"/>
        <v>150</v>
      </c>
      <c r="I79" s="38">
        <f t="shared" si="94"/>
        <v>150</v>
      </c>
      <c r="J79" s="39">
        <f t="shared" si="95"/>
        <v>100</v>
      </c>
      <c r="K79" s="40">
        <f t="shared" si="96"/>
        <v>20</v>
      </c>
      <c r="L79" s="500">
        <f t="shared" si="97"/>
        <v>100</v>
      </c>
      <c r="M79" s="635">
        <f>Rezone!J79</f>
        <v>77</v>
      </c>
      <c r="N79" s="356"/>
      <c r="O79" s="348"/>
      <c r="P79" s="348"/>
      <c r="Q79" s="348"/>
      <c r="R79" s="345"/>
      <c r="S79" s="348"/>
      <c r="T79" s="348"/>
      <c r="U79" s="348"/>
      <c r="V79" s="348"/>
      <c r="W79" s="345"/>
      <c r="X79" s="345"/>
      <c r="Y79" s="348"/>
      <c r="Z79" s="345"/>
      <c r="AA79" s="348"/>
      <c r="AB79" s="348"/>
      <c r="AC79" s="345"/>
      <c r="AD79" s="348"/>
      <c r="AE79" s="348"/>
      <c r="AF79" s="336"/>
      <c r="AG79" s="532">
        <f t="shared" si="98"/>
        <v>43695.166666666482</v>
      </c>
      <c r="AH79" s="91">
        <f>MIN(25%,(BG79+CE79)/(E79-Explore!S79*20))</f>
        <v>0</v>
      </c>
      <c r="AI79" s="59">
        <f t="shared" si="83"/>
        <v>0</v>
      </c>
      <c r="AJ79" s="56">
        <f ca="1">Production!$H79</f>
        <v>3756987</v>
      </c>
      <c r="AK79" s="57">
        <f ca="1">Production!$J79</f>
        <v>274409</v>
      </c>
      <c r="AL79" s="152">
        <f ca="1">ROUND( (1 - MIN(facs_constr_factor*$AH79,facs_constr_max)) * (1+MIN(tech_construction*Techs!AC79,tech_conquerors_crafts*Techs!AS79)) * AU79*(1+race_construction_cost),0)</f>
        <v>1615</v>
      </c>
      <c r="AM79" s="166">
        <f t="shared" si="80"/>
        <v>263</v>
      </c>
      <c r="AN79" s="152">
        <f ca="1">ROUND( (1 - MIN(facs_constr_factor*$AI79,facs_constr_max)) * (1+MIN(tech_construction*Techs!AE79,tech_conquerors_crafts*Techs!AU79)) * AU79*(1+race_construction_cost),0)</f>
        <v>1615</v>
      </c>
      <c r="AO79" s="166">
        <f t="shared" si="84"/>
        <v>263</v>
      </c>
      <c r="AP79" s="16">
        <f t="shared" ca="1" si="56"/>
        <v>0</v>
      </c>
      <c r="AQ79" s="53">
        <f t="shared" si="57"/>
        <v>0</v>
      </c>
      <c r="AR79" s="16">
        <f>MIN(SUM(F78:L78)+SUM(Explore!T67:Z67)+SUM(BV79:CN79),SUM($N79:$AF79))</f>
        <v>0</v>
      </c>
      <c r="AS79" s="16">
        <f>IF(Explore!S79&lt;&gt;0,MAX(0, MIN(20, 20 + SUM(N79:AF79) - SUM(BV79:CN79) - SUM(F78:L78)-SUM(Explore!T67:Z67)-20*Explore!S79)),0)</f>
        <v>0</v>
      </c>
      <c r="AU79" s="152">
        <f t="shared" si="85"/>
        <v>1615</v>
      </c>
      <c r="AV79" s="166">
        <f t="shared" si="86"/>
        <v>262.5</v>
      </c>
      <c r="AW79" s="164"/>
      <c r="AX79" s="295">
        <f>AX78 + IF(Overview!$B$14="Gnome",N70,N67) -BV79</f>
        <v>0</v>
      </c>
      <c r="AY79" s="28">
        <f>AY78 + IF(Overview!$B$14="Gnome",O70,O67) -BW79</f>
        <v>0</v>
      </c>
      <c r="AZ79" s="28">
        <f>AZ78 + IF(Overview!$B$14="Gnome",P70,P67) -BX79</f>
        <v>80</v>
      </c>
      <c r="BA79" s="28">
        <f>BA78 + IF(Overview!$B$14="Gnome",Q70,Q67) -BY79</f>
        <v>200</v>
      </c>
      <c r="BB79" s="28">
        <f>BB78 + IF(Overview!$B$14="Gnome",R70,R67) -BZ79</f>
        <v>0</v>
      </c>
      <c r="BC79" s="29">
        <f>BC78 + IF(Overview!$B$14="Gnome",S70,S67) -CA79</f>
        <v>50</v>
      </c>
      <c r="BD79" s="29">
        <f>BD78 + IF(Overview!$B$14="Gnome",T70,T67) -CB79</f>
        <v>0</v>
      </c>
      <c r="BE79" s="30">
        <f>BE78 + IF(Overview!$B$14="Gnome",U70,U67) -CC79</f>
        <v>0</v>
      </c>
      <c r="BF79" s="30">
        <f>BF78 + IF(Overview!$B$14="Gnome",V70,V67) -CD79</f>
        <v>0</v>
      </c>
      <c r="BG79" s="31">
        <f>BG78 + IF(Overview!$B$14="Gnome",W70,W67) -CE79</f>
        <v>0</v>
      </c>
      <c r="BH79" s="31">
        <f>BH78 + IF(Overview!$B$14="Gnome",X70,X67) -CF79</f>
        <v>0</v>
      </c>
      <c r="BI79" s="31">
        <f>BI78 + IF(Overview!$B$14="Gnome",Y70,Y67) -CG79</f>
        <v>0</v>
      </c>
      <c r="BJ79" s="31">
        <f>BJ78 + IF(Overview!$B$14="Gnome",Z70,Z67) -CH79</f>
        <v>0</v>
      </c>
      <c r="BK79" s="32">
        <f>BK78 + IF(Overview!$B$14="Gnome",AA70,AA67) -CI79</f>
        <v>50</v>
      </c>
      <c r="BL79" s="32">
        <f>BL78 + IF(Overview!$B$14="Gnome",AB70,AB67) -CJ79</f>
        <v>0</v>
      </c>
      <c r="BM79" s="32">
        <f>BM78 + IF(Overview!$B$14="Gnome",AC70,AC67) -CK79</f>
        <v>0</v>
      </c>
      <c r="BN79" s="33">
        <f>BN78 + IF(Overview!$B$14="Gnome",AD70,AD67) -CL79</f>
        <v>0</v>
      </c>
      <c r="BO79" s="33">
        <f>BO78 + IF(Overview!$B$14="Gnome",AE70,AE67) -CM79</f>
        <v>0</v>
      </c>
      <c r="BP79" s="69">
        <f>BP78 + IF(Overview!$B$14="Gnome",AF70,AF67) -CN79</f>
        <v>0</v>
      </c>
      <c r="BR79" s="442"/>
      <c r="BS79" s="156">
        <f t="shared" si="99"/>
        <v>1000</v>
      </c>
      <c r="BT79" s="574">
        <f t="shared" si="100"/>
        <v>43695.166666666482</v>
      </c>
      <c r="BV79" s="356"/>
      <c r="BW79" s="348"/>
      <c r="BX79" s="348"/>
      <c r="BY79" s="348"/>
      <c r="BZ79" s="348"/>
      <c r="CA79" s="348"/>
      <c r="CB79" s="348"/>
      <c r="CC79" s="348"/>
      <c r="CD79" s="348"/>
      <c r="CE79" s="348"/>
      <c r="CF79" s="348"/>
      <c r="CG79" s="348"/>
      <c r="CH79" s="348"/>
      <c r="CI79" s="348"/>
      <c r="CJ79" s="348"/>
      <c r="CK79" s="348"/>
      <c r="CL79" s="348"/>
      <c r="CM79" s="360"/>
      <c r="CN79" s="357"/>
      <c r="CP79" s="245">
        <f>-SUM($O79:$R79)+SUM($BW79:BZ79)+Rezone!L79+IF(home_land=CP$2,CW79) + Explore!T67</f>
        <v>0</v>
      </c>
      <c r="CQ79" s="246">
        <f>-SUM($S79:$T79)+SUM($CA79:$CB79) +Rezone!M79 + IF(home_land=CQ$2,CW79) + Explore!U67</f>
        <v>0</v>
      </c>
      <c r="CR79" s="247">
        <f>-SUM($U79:$V79)+SUM($CC79:$CD79) +Rezone!N79 + IF(home_land=CR$2,CW79) + Explore!V67</f>
        <v>0</v>
      </c>
      <c r="CS79" s="248">
        <f>-SUM($W79:$Z79)+SUM($CE79:$CH79) +Rezone!O79 + IF(home_land=CS$2,CW79) + Explore!W67</f>
        <v>0</v>
      </c>
      <c r="CT79" s="249">
        <f>-SUM($AA79:$AC79)+SUM($CI79:$CK79) +Rezone!P79 + IF(home_land=CT$2,CW79) + Explore!X67</f>
        <v>0</v>
      </c>
      <c r="CU79" s="250">
        <f xml:space="preserve"> - SUM($AD79,$AE79)+SUM($CL79,$CM79) +Rezone!Q79 + IF(home_land=CU$2,CW79)+Explore!Y67</f>
        <v>0</v>
      </c>
      <c r="CV79" s="729">
        <f>-$AF79+$CN79 +Rezone!R79 + IF(home_land=CV$2,CW79) + Explore!Z67</f>
        <v>0</v>
      </c>
      <c r="CW79" s="159">
        <f>IF(Explore!S79=1,25) - N79 + BV79</f>
        <v>0</v>
      </c>
      <c r="CY79" s="152">
        <f t="shared" si="101"/>
        <v>280</v>
      </c>
      <c r="CZ79" s="164">
        <f t="shared" si="102"/>
        <v>150</v>
      </c>
      <c r="DA79" s="170">
        <f t="shared" si="103"/>
        <v>150</v>
      </c>
      <c r="DB79" s="164">
        <f t="shared" si="104"/>
        <v>150</v>
      </c>
      <c r="DC79" s="164">
        <f t="shared" si="105"/>
        <v>150</v>
      </c>
      <c r="DD79" s="170">
        <f t="shared" si="106"/>
        <v>20</v>
      </c>
      <c r="DE79" s="166">
        <f t="shared" si="107"/>
        <v>100</v>
      </c>
      <c r="DF79" s="164">
        <f t="shared" ca="1" si="108"/>
        <v>280</v>
      </c>
      <c r="DG79" s="170">
        <f t="shared" si="109"/>
        <v>0</v>
      </c>
      <c r="DH79" s="164">
        <f t="shared" si="110"/>
        <v>79</v>
      </c>
      <c r="DI79" s="166"/>
    </row>
    <row r="80" spans="1:114" s="16" customFormat="1">
      <c r="A80" s="36">
        <f t="shared" si="87"/>
        <v>620</v>
      </c>
      <c r="B80" s="36">
        <f t="shared" si="88"/>
        <v>380</v>
      </c>
      <c r="C80" s="83">
        <f t="shared" si="89"/>
        <v>0</v>
      </c>
      <c r="D80" s="574"/>
      <c r="E80" s="16">
        <f t="shared" si="90"/>
        <v>1000</v>
      </c>
      <c r="F80" s="86">
        <f t="shared" si="91"/>
        <v>0</v>
      </c>
      <c r="G80" s="37">
        <f t="shared" si="92"/>
        <v>100</v>
      </c>
      <c r="H80" s="247">
        <f t="shared" si="93"/>
        <v>150</v>
      </c>
      <c r="I80" s="38">
        <f t="shared" si="94"/>
        <v>150</v>
      </c>
      <c r="J80" s="39">
        <f t="shared" si="95"/>
        <v>100</v>
      </c>
      <c r="K80" s="40">
        <f t="shared" si="96"/>
        <v>20</v>
      </c>
      <c r="L80" s="500">
        <f t="shared" si="97"/>
        <v>100</v>
      </c>
      <c r="M80" s="635">
        <f>Rezone!J80</f>
        <v>78</v>
      </c>
      <c r="N80" s="356"/>
      <c r="O80" s="348"/>
      <c r="P80" s="348"/>
      <c r="Q80" s="348"/>
      <c r="R80" s="345"/>
      <c r="S80" s="348"/>
      <c r="T80" s="348"/>
      <c r="U80" s="348"/>
      <c r="V80" s="348"/>
      <c r="W80" s="345"/>
      <c r="X80" s="345"/>
      <c r="Y80" s="348"/>
      <c r="Z80" s="345"/>
      <c r="AA80" s="348"/>
      <c r="AB80" s="348"/>
      <c r="AC80" s="345"/>
      <c r="AD80" s="348"/>
      <c r="AE80" s="348"/>
      <c r="AF80" s="336"/>
      <c r="AG80" s="532">
        <f t="shared" si="98"/>
        <v>43695.208333333147</v>
      </c>
      <c r="AH80" s="91">
        <f>MIN(25%,(BG80+CE80)/(E80-Explore!S80*20))</f>
        <v>0</v>
      </c>
      <c r="AI80" s="59">
        <f t="shared" si="83"/>
        <v>0</v>
      </c>
      <c r="AJ80" s="56">
        <f ca="1">Production!$H80</f>
        <v>3767638</v>
      </c>
      <c r="AK80" s="57">
        <f ca="1">Production!$J80</f>
        <v>274165</v>
      </c>
      <c r="AL80" s="152">
        <f ca="1">ROUND( (1 - MIN(facs_constr_factor*$AH80,facs_constr_max)) * (1+MIN(tech_construction*Techs!AC80,tech_conquerors_crafts*Techs!AS80)) * AU80*(1+race_construction_cost),0)</f>
        <v>1615</v>
      </c>
      <c r="AM80" s="166">
        <f t="shared" si="80"/>
        <v>263</v>
      </c>
      <c r="AN80" s="152">
        <f ca="1">ROUND( (1 - MIN(facs_constr_factor*$AI80,facs_constr_max)) * (1+MIN(tech_construction*Techs!AE80,tech_conquerors_crafts*Techs!AU80)) * AU80*(1+race_construction_cost),0)</f>
        <v>1615</v>
      </c>
      <c r="AO80" s="166">
        <f t="shared" si="84"/>
        <v>263</v>
      </c>
      <c r="AP80" s="16">
        <f t="shared" ca="1" si="56"/>
        <v>0</v>
      </c>
      <c r="AQ80" s="53">
        <f t="shared" si="57"/>
        <v>0</v>
      </c>
      <c r="AR80" s="16">
        <f>MIN(SUM(F79:L79)+SUM(Explore!T68:Z68)+SUM(BV80:CN80),SUM($N80:$AF80))</f>
        <v>0</v>
      </c>
      <c r="AS80" s="16">
        <f>IF(Explore!S80&lt;&gt;0,MAX(0, MIN(20, 20 + SUM(N80:AF80) - SUM(BV80:CN80) - SUM(F79:L79)-SUM(Explore!T68:Z68)-20*Explore!S80)),0)</f>
        <v>0</v>
      </c>
      <c r="AU80" s="152">
        <f t="shared" si="85"/>
        <v>1615</v>
      </c>
      <c r="AV80" s="166">
        <f t="shared" si="86"/>
        <v>262.5</v>
      </c>
      <c r="AW80" s="164"/>
      <c r="AX80" s="295">
        <f>AX79 + IF(Overview!$B$14="Gnome",N71,N68) -BV80</f>
        <v>0</v>
      </c>
      <c r="AY80" s="28">
        <f>AY79 + IF(Overview!$B$14="Gnome",O71,O68) -BW80</f>
        <v>0</v>
      </c>
      <c r="AZ80" s="28">
        <f>AZ79 + IF(Overview!$B$14="Gnome",P71,P68) -BX80</f>
        <v>80</v>
      </c>
      <c r="BA80" s="28">
        <f>BA79 + IF(Overview!$B$14="Gnome",Q71,Q68) -BY80</f>
        <v>200</v>
      </c>
      <c r="BB80" s="28">
        <f>BB79 + IF(Overview!$B$14="Gnome",R71,R68) -BZ80</f>
        <v>0</v>
      </c>
      <c r="BC80" s="29">
        <f>BC79 + IF(Overview!$B$14="Gnome",S71,S68) -CA80</f>
        <v>50</v>
      </c>
      <c r="BD80" s="29">
        <f>BD79 + IF(Overview!$B$14="Gnome",T71,T68) -CB80</f>
        <v>0</v>
      </c>
      <c r="BE80" s="30">
        <f>BE79 + IF(Overview!$B$14="Gnome",U71,U68) -CC80</f>
        <v>0</v>
      </c>
      <c r="BF80" s="30">
        <f>BF79 + IF(Overview!$B$14="Gnome",V71,V68) -CD80</f>
        <v>0</v>
      </c>
      <c r="BG80" s="31">
        <f>BG79 + IF(Overview!$B$14="Gnome",W71,W68) -CE80</f>
        <v>0</v>
      </c>
      <c r="BH80" s="31">
        <f>BH79 + IF(Overview!$B$14="Gnome",X71,X68) -CF80</f>
        <v>0</v>
      </c>
      <c r="BI80" s="31">
        <f>BI79 + IF(Overview!$B$14="Gnome",Y71,Y68) -CG80</f>
        <v>0</v>
      </c>
      <c r="BJ80" s="31">
        <f>BJ79 + IF(Overview!$B$14="Gnome",Z71,Z68) -CH80</f>
        <v>0</v>
      </c>
      <c r="BK80" s="32">
        <f>BK79 + IF(Overview!$B$14="Gnome",AA71,AA68) -CI80</f>
        <v>50</v>
      </c>
      <c r="BL80" s="32">
        <f>BL79 + IF(Overview!$B$14="Gnome",AB71,AB68) -CJ80</f>
        <v>0</v>
      </c>
      <c r="BM80" s="32">
        <f>BM79 + IF(Overview!$B$14="Gnome",AC71,AC68) -CK80</f>
        <v>0</v>
      </c>
      <c r="BN80" s="33">
        <f>BN79 + IF(Overview!$B$14="Gnome",AD71,AD68) -CL80</f>
        <v>0</v>
      </c>
      <c r="BO80" s="33">
        <f>BO79 + IF(Overview!$B$14="Gnome",AE71,AE68) -CM80</f>
        <v>0</v>
      </c>
      <c r="BP80" s="69">
        <f>BP79 + IF(Overview!$B$14="Gnome",AF71,AF68) -CN80</f>
        <v>0</v>
      </c>
      <c r="BR80" s="442"/>
      <c r="BS80" s="156">
        <f t="shared" si="99"/>
        <v>1000</v>
      </c>
      <c r="BT80" s="574">
        <f t="shared" si="100"/>
        <v>43695.208333333147</v>
      </c>
      <c r="BV80" s="356"/>
      <c r="BW80" s="348"/>
      <c r="BX80" s="348"/>
      <c r="BY80" s="348"/>
      <c r="BZ80" s="348"/>
      <c r="CA80" s="348"/>
      <c r="CB80" s="348"/>
      <c r="CC80" s="348"/>
      <c r="CD80" s="348"/>
      <c r="CE80" s="348"/>
      <c r="CF80" s="348"/>
      <c r="CG80" s="348"/>
      <c r="CH80" s="348"/>
      <c r="CI80" s="348"/>
      <c r="CJ80" s="348"/>
      <c r="CK80" s="348"/>
      <c r="CL80" s="348"/>
      <c r="CM80" s="360"/>
      <c r="CN80" s="357"/>
      <c r="CP80" s="245">
        <f>-SUM($O80:$R80)+SUM($BW80:BZ80)+Rezone!L80+IF(home_land=CP$2,CW80) + Explore!T68</f>
        <v>0</v>
      </c>
      <c r="CQ80" s="246">
        <f>-SUM($S80:$T80)+SUM($CA80:$CB80) +Rezone!M80 + IF(home_land=CQ$2,CW80) + Explore!U68</f>
        <v>0</v>
      </c>
      <c r="CR80" s="247">
        <f>-SUM($U80:$V80)+SUM($CC80:$CD80) +Rezone!N80 + IF(home_land=CR$2,CW80) + Explore!V68</f>
        <v>0</v>
      </c>
      <c r="CS80" s="248">
        <f>-SUM($W80:$Z80)+SUM($CE80:$CH80) +Rezone!O80 + IF(home_land=CS$2,CW80) + Explore!W68</f>
        <v>0</v>
      </c>
      <c r="CT80" s="249">
        <f>-SUM($AA80:$AC80)+SUM($CI80:$CK80) +Rezone!P80 + IF(home_land=CT$2,CW80) + Explore!X68</f>
        <v>0</v>
      </c>
      <c r="CU80" s="250">
        <f xml:space="preserve"> - SUM($AD80,$AE80)+SUM($CL80,$CM80) +Rezone!Q80 + IF(home_land=CU$2,CW80)+Explore!Y68</f>
        <v>0</v>
      </c>
      <c r="CV80" s="729">
        <f>-$AF80+$CN80 +Rezone!R80 + IF(home_land=CV$2,CW80) + Explore!Z68</f>
        <v>0</v>
      </c>
      <c r="CW80" s="159">
        <f>IF(Explore!S80=1,25) - N80 + BV80</f>
        <v>0</v>
      </c>
      <c r="CY80" s="152">
        <f t="shared" si="101"/>
        <v>280</v>
      </c>
      <c r="CZ80" s="164">
        <f t="shared" si="102"/>
        <v>150</v>
      </c>
      <c r="DA80" s="170">
        <f t="shared" si="103"/>
        <v>150</v>
      </c>
      <c r="DB80" s="164">
        <f t="shared" si="104"/>
        <v>150</v>
      </c>
      <c r="DC80" s="164">
        <f t="shared" si="105"/>
        <v>150</v>
      </c>
      <c r="DD80" s="170">
        <f t="shared" si="106"/>
        <v>20</v>
      </c>
      <c r="DE80" s="166">
        <f t="shared" si="107"/>
        <v>100</v>
      </c>
      <c r="DF80" s="164">
        <f t="shared" ca="1" si="108"/>
        <v>280</v>
      </c>
      <c r="DG80" s="170">
        <f t="shared" si="109"/>
        <v>0</v>
      </c>
      <c r="DH80" s="164">
        <f t="shared" si="110"/>
        <v>80</v>
      </c>
      <c r="DI80" s="166"/>
    </row>
    <row r="81" spans="1:113" s="16" customFormat="1">
      <c r="A81" s="36">
        <f t="shared" si="87"/>
        <v>620</v>
      </c>
      <c r="B81" s="36">
        <f t="shared" si="88"/>
        <v>380</v>
      </c>
      <c r="C81" s="83">
        <f t="shared" si="89"/>
        <v>0</v>
      </c>
      <c r="D81" s="574"/>
      <c r="E81" s="16">
        <f t="shared" si="90"/>
        <v>1000</v>
      </c>
      <c r="F81" s="86">
        <f t="shared" si="91"/>
        <v>0</v>
      </c>
      <c r="G81" s="37">
        <f t="shared" si="92"/>
        <v>100</v>
      </c>
      <c r="H81" s="247">
        <f t="shared" si="93"/>
        <v>150</v>
      </c>
      <c r="I81" s="38">
        <f t="shared" si="94"/>
        <v>150</v>
      </c>
      <c r="J81" s="39">
        <f t="shared" si="95"/>
        <v>100</v>
      </c>
      <c r="K81" s="40">
        <f t="shared" si="96"/>
        <v>20</v>
      </c>
      <c r="L81" s="500">
        <f t="shared" si="97"/>
        <v>100</v>
      </c>
      <c r="M81" s="635">
        <f>Rezone!J81</f>
        <v>79</v>
      </c>
      <c r="N81" s="356"/>
      <c r="O81" s="348"/>
      <c r="P81" s="348"/>
      <c r="Q81" s="348"/>
      <c r="R81" s="345"/>
      <c r="S81" s="348"/>
      <c r="T81" s="348"/>
      <c r="U81" s="348"/>
      <c r="V81" s="348"/>
      <c r="W81" s="345"/>
      <c r="X81" s="345"/>
      <c r="Y81" s="348"/>
      <c r="Z81" s="345"/>
      <c r="AA81" s="348"/>
      <c r="AB81" s="348"/>
      <c r="AC81" s="345"/>
      <c r="AD81" s="348"/>
      <c r="AE81" s="348"/>
      <c r="AF81" s="336"/>
      <c r="AG81" s="532">
        <f t="shared" si="98"/>
        <v>43695.249999999811</v>
      </c>
      <c r="AH81" s="91">
        <f>MIN(25%,(BG81+CE81)/(E81-Explore!S81*20))</f>
        <v>0</v>
      </c>
      <c r="AI81" s="59">
        <f t="shared" si="83"/>
        <v>0</v>
      </c>
      <c r="AJ81" s="56">
        <f ca="1">Production!$H81</f>
        <v>3778289</v>
      </c>
      <c r="AK81" s="57">
        <f ca="1">Production!$J81</f>
        <v>273923</v>
      </c>
      <c r="AL81" s="152">
        <f ca="1">ROUND( (1 - MIN(facs_constr_factor*$AH81,facs_constr_max)) * (1+MIN(tech_construction*Techs!AC81,tech_conquerors_crafts*Techs!AS81)) * AU81*(1+race_construction_cost),0)</f>
        <v>1615</v>
      </c>
      <c r="AM81" s="166">
        <f t="shared" si="80"/>
        <v>263</v>
      </c>
      <c r="AN81" s="152">
        <f ca="1">ROUND( (1 - MIN(facs_constr_factor*$AI81,facs_constr_max)) * (1+MIN(tech_construction*Techs!AE81,tech_conquerors_crafts*Techs!AU81)) * AU81*(1+race_construction_cost),0)</f>
        <v>1615</v>
      </c>
      <c r="AO81" s="166">
        <f t="shared" si="84"/>
        <v>263</v>
      </c>
      <c r="AP81" s="16">
        <f t="shared" ca="1" si="56"/>
        <v>0</v>
      </c>
      <c r="AQ81" s="53">
        <f t="shared" si="57"/>
        <v>0</v>
      </c>
      <c r="AR81" s="16">
        <f>MIN(SUM(F80:L80)+SUM(Explore!T69:Z69)+SUM(BV81:CN81),SUM($N81:$AF81))</f>
        <v>0</v>
      </c>
      <c r="AS81" s="16">
        <f>IF(Explore!S81&lt;&gt;0,MAX(0, MIN(20, 20 + SUM(N81:AF81) - SUM(BV81:CN81) - SUM(F80:L80)-SUM(Explore!T69:Z69)-20*Explore!S81)),0)</f>
        <v>0</v>
      </c>
      <c r="AU81" s="152">
        <f t="shared" si="85"/>
        <v>1615</v>
      </c>
      <c r="AV81" s="166">
        <f t="shared" si="86"/>
        <v>262.5</v>
      </c>
      <c r="AW81" s="164"/>
      <c r="AX81" s="295">
        <f>AX80 + IF(Overview!$B$14="Gnome",N72,N69) -BV81</f>
        <v>0</v>
      </c>
      <c r="AY81" s="28">
        <f>AY80 + IF(Overview!$B$14="Gnome",O72,O69) -BW81</f>
        <v>0</v>
      </c>
      <c r="AZ81" s="28">
        <f>AZ80 + IF(Overview!$B$14="Gnome",P72,P69) -BX81</f>
        <v>80</v>
      </c>
      <c r="BA81" s="28">
        <f>BA80 + IF(Overview!$B$14="Gnome",Q72,Q69) -BY81</f>
        <v>200</v>
      </c>
      <c r="BB81" s="28">
        <f>BB80 + IF(Overview!$B$14="Gnome",R72,R69) -BZ81</f>
        <v>0</v>
      </c>
      <c r="BC81" s="29">
        <f>BC80 + IF(Overview!$B$14="Gnome",S72,S69) -CA81</f>
        <v>50</v>
      </c>
      <c r="BD81" s="29">
        <f>BD80 + IF(Overview!$B$14="Gnome",T72,T69) -CB81</f>
        <v>0</v>
      </c>
      <c r="BE81" s="30">
        <f>BE80 + IF(Overview!$B$14="Gnome",U72,U69) -CC81</f>
        <v>0</v>
      </c>
      <c r="BF81" s="30">
        <f>BF80 + IF(Overview!$B$14="Gnome",V72,V69) -CD81</f>
        <v>0</v>
      </c>
      <c r="BG81" s="31">
        <f>BG80 + IF(Overview!$B$14="Gnome",W72,W69) -CE81</f>
        <v>0</v>
      </c>
      <c r="BH81" s="31">
        <f>BH80 + IF(Overview!$B$14="Gnome",X72,X69) -CF81</f>
        <v>0</v>
      </c>
      <c r="BI81" s="31">
        <f>BI80 + IF(Overview!$B$14="Gnome",Y72,Y69) -CG81</f>
        <v>0</v>
      </c>
      <c r="BJ81" s="31">
        <f>BJ80 + IF(Overview!$B$14="Gnome",Z72,Z69) -CH81</f>
        <v>0</v>
      </c>
      <c r="BK81" s="32">
        <f>BK80 + IF(Overview!$B$14="Gnome",AA72,AA69) -CI81</f>
        <v>50</v>
      </c>
      <c r="BL81" s="32">
        <f>BL80 + IF(Overview!$B$14="Gnome",AB72,AB69) -CJ81</f>
        <v>0</v>
      </c>
      <c r="BM81" s="32">
        <f>BM80 + IF(Overview!$B$14="Gnome",AC72,AC69) -CK81</f>
        <v>0</v>
      </c>
      <c r="BN81" s="33">
        <f>BN80 + IF(Overview!$B$14="Gnome",AD72,AD69) -CL81</f>
        <v>0</v>
      </c>
      <c r="BO81" s="33">
        <f>BO80 + IF(Overview!$B$14="Gnome",AE72,AE69) -CM81</f>
        <v>0</v>
      </c>
      <c r="BP81" s="69">
        <f>BP80 + IF(Overview!$B$14="Gnome",AF72,AF69) -CN81</f>
        <v>0</v>
      </c>
      <c r="BR81" s="442"/>
      <c r="BS81" s="156">
        <f t="shared" si="99"/>
        <v>1000</v>
      </c>
      <c r="BT81" s="574">
        <f t="shared" si="100"/>
        <v>43695.249999999811</v>
      </c>
      <c r="BV81" s="356"/>
      <c r="BW81" s="348"/>
      <c r="BX81" s="348"/>
      <c r="BY81" s="348"/>
      <c r="BZ81" s="348"/>
      <c r="CA81" s="348"/>
      <c r="CB81" s="348"/>
      <c r="CC81" s="348"/>
      <c r="CD81" s="348"/>
      <c r="CE81" s="348"/>
      <c r="CF81" s="348"/>
      <c r="CG81" s="348"/>
      <c r="CH81" s="348"/>
      <c r="CI81" s="348"/>
      <c r="CJ81" s="348"/>
      <c r="CK81" s="348"/>
      <c r="CL81" s="348"/>
      <c r="CM81" s="360"/>
      <c r="CN81" s="357"/>
      <c r="CP81" s="245">
        <f>-SUM($O81:$R81)+SUM($BW81:BZ81)+Rezone!L81+IF(home_land=CP$2,CW81) + Explore!T69</f>
        <v>0</v>
      </c>
      <c r="CQ81" s="246">
        <f>-SUM($S81:$T81)+SUM($CA81:$CB81) +Rezone!M81 + IF(home_land=CQ$2,CW81) + Explore!U69</f>
        <v>0</v>
      </c>
      <c r="CR81" s="247">
        <f>-SUM($U81:$V81)+SUM($CC81:$CD81) +Rezone!N81 + IF(home_land=CR$2,CW81) + Explore!V69</f>
        <v>0</v>
      </c>
      <c r="CS81" s="248">
        <f>-SUM($W81:$Z81)+SUM($CE81:$CH81) +Rezone!O81 + IF(home_land=CS$2,CW81) + Explore!W69</f>
        <v>0</v>
      </c>
      <c r="CT81" s="249">
        <f>-SUM($AA81:$AC81)+SUM($CI81:$CK81) +Rezone!P81 + IF(home_land=CT$2,CW81) + Explore!X69</f>
        <v>0</v>
      </c>
      <c r="CU81" s="250">
        <f xml:space="preserve"> - SUM($AD81,$AE81)+SUM($CL81,$CM81) +Rezone!Q81 + IF(home_land=CU$2,CW81)+Explore!Y69</f>
        <v>0</v>
      </c>
      <c r="CV81" s="729">
        <f>-$AF81+$CN81 +Rezone!R81 + IF(home_land=CV$2,CW81) + Explore!Z69</f>
        <v>0</v>
      </c>
      <c r="CW81" s="159">
        <f>IF(Explore!S81=1,25) - N81 + BV81</f>
        <v>0</v>
      </c>
      <c r="CY81" s="152">
        <f t="shared" si="101"/>
        <v>280</v>
      </c>
      <c r="CZ81" s="164">
        <f t="shared" si="102"/>
        <v>150</v>
      </c>
      <c r="DA81" s="170">
        <f t="shared" si="103"/>
        <v>150</v>
      </c>
      <c r="DB81" s="164">
        <f t="shared" si="104"/>
        <v>150</v>
      </c>
      <c r="DC81" s="164">
        <f t="shared" si="105"/>
        <v>150</v>
      </c>
      <c r="DD81" s="170">
        <f t="shared" si="106"/>
        <v>20</v>
      </c>
      <c r="DE81" s="166">
        <f t="shared" si="107"/>
        <v>100</v>
      </c>
      <c r="DF81" s="164">
        <f t="shared" ca="1" si="108"/>
        <v>280</v>
      </c>
      <c r="DG81" s="170">
        <f t="shared" si="109"/>
        <v>0</v>
      </c>
      <c r="DH81" s="164">
        <f t="shared" si="110"/>
        <v>81</v>
      </c>
      <c r="DI81" s="166"/>
    </row>
    <row r="82" spans="1:113" s="16" customFormat="1">
      <c r="A82" s="36">
        <f t="shared" si="87"/>
        <v>620</v>
      </c>
      <c r="B82" s="36">
        <f t="shared" si="88"/>
        <v>380</v>
      </c>
      <c r="C82" s="83">
        <f t="shared" si="89"/>
        <v>0</v>
      </c>
      <c r="D82" s="574"/>
      <c r="E82" s="16">
        <f t="shared" si="90"/>
        <v>1000</v>
      </c>
      <c r="F82" s="86">
        <f t="shared" si="91"/>
        <v>0</v>
      </c>
      <c r="G82" s="37">
        <f t="shared" si="92"/>
        <v>100</v>
      </c>
      <c r="H82" s="247">
        <f t="shared" si="93"/>
        <v>150</v>
      </c>
      <c r="I82" s="38">
        <f t="shared" si="94"/>
        <v>150</v>
      </c>
      <c r="J82" s="39">
        <f t="shared" si="95"/>
        <v>100</v>
      </c>
      <c r="K82" s="40">
        <f t="shared" si="96"/>
        <v>20</v>
      </c>
      <c r="L82" s="500">
        <f t="shared" si="97"/>
        <v>100</v>
      </c>
      <c r="M82" s="635">
        <f>Rezone!J82</f>
        <v>80</v>
      </c>
      <c r="N82" s="356"/>
      <c r="O82" s="348"/>
      <c r="P82" s="348"/>
      <c r="Q82" s="348"/>
      <c r="R82" s="345"/>
      <c r="S82" s="348"/>
      <c r="T82" s="348"/>
      <c r="U82" s="348"/>
      <c r="V82" s="348"/>
      <c r="W82" s="345"/>
      <c r="X82" s="345"/>
      <c r="Y82" s="348"/>
      <c r="Z82" s="345"/>
      <c r="AA82" s="348"/>
      <c r="AB82" s="348"/>
      <c r="AC82" s="345"/>
      <c r="AD82" s="348"/>
      <c r="AE82" s="348"/>
      <c r="AF82" s="336"/>
      <c r="AG82" s="532">
        <f t="shared" si="98"/>
        <v>43695.291666666475</v>
      </c>
      <c r="AH82" s="91">
        <f>MIN(25%,(BG82+CE82)/(E82-Explore!S82*20))</f>
        <v>0</v>
      </c>
      <c r="AI82" s="59">
        <f t="shared" si="83"/>
        <v>0</v>
      </c>
      <c r="AJ82" s="56">
        <f ca="1">Production!$H82</f>
        <v>3788940</v>
      </c>
      <c r="AK82" s="57">
        <f ca="1">Production!$J82</f>
        <v>273684</v>
      </c>
      <c r="AL82" s="152">
        <f ca="1">ROUND( (1 - MIN(facs_constr_factor*$AH82,facs_constr_max)) * (1+MIN(tech_construction*Techs!AC82,tech_conquerors_crafts*Techs!AS82)) * AU82*(1+race_construction_cost),0)</f>
        <v>1615</v>
      </c>
      <c r="AM82" s="166">
        <f t="shared" si="80"/>
        <v>263</v>
      </c>
      <c r="AN82" s="152">
        <f ca="1">ROUND( (1 - MIN(facs_constr_factor*$AI82,facs_constr_max)) * (1+MIN(tech_construction*Techs!AE82,tech_conquerors_crafts*Techs!AU82)) * AU82*(1+race_construction_cost),0)</f>
        <v>1615</v>
      </c>
      <c r="AO82" s="166">
        <f t="shared" si="84"/>
        <v>263</v>
      </c>
      <c r="AP82" s="16">
        <f t="shared" ref="AP82:AP135" ca="1" si="111">AR82*AL82 + AS82*AN82</f>
        <v>0</v>
      </c>
      <c r="AQ82" s="53">
        <f t="shared" ref="AQ82:AQ135" si="112">AR82*AM82+AS82*AO82</f>
        <v>0</v>
      </c>
      <c r="AR82" s="16">
        <f>MIN(SUM(F81:L81)+SUM(Explore!T70:Z70)+SUM(BV82:CN82),SUM($N82:$AF82))</f>
        <v>0</v>
      </c>
      <c r="AS82" s="16">
        <f>IF(Explore!S82&lt;&gt;0,MAX(0, MIN(20, 20 + SUM(N82:AF82) - SUM(BV82:CN82) - SUM(F81:L81)-SUM(Explore!T70:Z70)-20*Explore!S82)),0)</f>
        <v>0</v>
      </c>
      <c r="AU82" s="152">
        <f t="shared" si="85"/>
        <v>1615</v>
      </c>
      <c r="AV82" s="166">
        <f t="shared" si="86"/>
        <v>262.5</v>
      </c>
      <c r="AW82" s="164"/>
      <c r="AX82" s="295">
        <f>AX81 + IF(Overview!$B$14="Gnome",N73,N70) -BV82</f>
        <v>0</v>
      </c>
      <c r="AY82" s="28">
        <f>AY81 + IF(Overview!$B$14="Gnome",O73,O70) -BW82</f>
        <v>0</v>
      </c>
      <c r="AZ82" s="28">
        <f>AZ81 + IF(Overview!$B$14="Gnome",P73,P70) -BX82</f>
        <v>80</v>
      </c>
      <c r="BA82" s="28">
        <f>BA81 + IF(Overview!$B$14="Gnome",Q73,Q70) -BY82</f>
        <v>200</v>
      </c>
      <c r="BB82" s="28">
        <f>BB81 + IF(Overview!$B$14="Gnome",R73,R70) -BZ82</f>
        <v>0</v>
      </c>
      <c r="BC82" s="29">
        <f>BC81 + IF(Overview!$B$14="Gnome",S73,S70) -CA82</f>
        <v>50</v>
      </c>
      <c r="BD82" s="29">
        <f>BD81 + IF(Overview!$B$14="Gnome",T73,T70) -CB82</f>
        <v>0</v>
      </c>
      <c r="BE82" s="30">
        <f>BE81 + IF(Overview!$B$14="Gnome",U73,U70) -CC82</f>
        <v>0</v>
      </c>
      <c r="BF82" s="30">
        <f>BF81 + IF(Overview!$B$14="Gnome",V73,V70) -CD82</f>
        <v>0</v>
      </c>
      <c r="BG82" s="31">
        <f>BG81 + IF(Overview!$B$14="Gnome",W73,W70) -CE82</f>
        <v>0</v>
      </c>
      <c r="BH82" s="31">
        <f>BH81 + IF(Overview!$B$14="Gnome",X73,X70) -CF82</f>
        <v>0</v>
      </c>
      <c r="BI82" s="31">
        <f>BI81 + IF(Overview!$B$14="Gnome",Y73,Y70) -CG82</f>
        <v>0</v>
      </c>
      <c r="BJ82" s="31">
        <f>BJ81 + IF(Overview!$B$14="Gnome",Z73,Z70) -CH82</f>
        <v>0</v>
      </c>
      <c r="BK82" s="32">
        <f>BK81 + IF(Overview!$B$14="Gnome",AA73,AA70) -CI82</f>
        <v>50</v>
      </c>
      <c r="BL82" s="32">
        <f>BL81 + IF(Overview!$B$14="Gnome",AB73,AB70) -CJ82</f>
        <v>0</v>
      </c>
      <c r="BM82" s="32">
        <f>BM81 + IF(Overview!$B$14="Gnome",AC73,AC70) -CK82</f>
        <v>0</v>
      </c>
      <c r="BN82" s="33">
        <f>BN81 + IF(Overview!$B$14="Gnome",AD73,AD70) -CL82</f>
        <v>0</v>
      </c>
      <c r="BO82" s="33">
        <f>BO81 + IF(Overview!$B$14="Gnome",AE73,AE70) -CM82</f>
        <v>0</v>
      </c>
      <c r="BP82" s="69">
        <f>BP81 + IF(Overview!$B$14="Gnome",AF73,AF70) -CN82</f>
        <v>0</v>
      </c>
      <c r="BR82" s="442"/>
      <c r="BS82" s="156">
        <f t="shared" si="99"/>
        <v>1000</v>
      </c>
      <c r="BT82" s="574">
        <f t="shared" si="100"/>
        <v>43695.291666666475</v>
      </c>
      <c r="BV82" s="356"/>
      <c r="BW82" s="348"/>
      <c r="BX82" s="348"/>
      <c r="BY82" s="348"/>
      <c r="BZ82" s="348"/>
      <c r="CA82" s="348"/>
      <c r="CB82" s="348"/>
      <c r="CC82" s="348"/>
      <c r="CD82" s="348"/>
      <c r="CE82" s="348"/>
      <c r="CF82" s="348"/>
      <c r="CG82" s="348"/>
      <c r="CH82" s="348"/>
      <c r="CI82" s="348"/>
      <c r="CJ82" s="348"/>
      <c r="CK82" s="348"/>
      <c r="CL82" s="348"/>
      <c r="CM82" s="360"/>
      <c r="CN82" s="357"/>
      <c r="CP82" s="245">
        <f>-SUM($O82:$R82)+SUM($BW82:BZ82)+Rezone!L82+IF(home_land=CP$2,CW82) + Explore!T70</f>
        <v>0</v>
      </c>
      <c r="CQ82" s="246">
        <f>-SUM($S82:$T82)+SUM($CA82:$CB82) +Rezone!M82 + IF(home_land=CQ$2,CW82) + Explore!U70</f>
        <v>0</v>
      </c>
      <c r="CR82" s="247">
        <f>-SUM($U82:$V82)+SUM($CC82:$CD82) +Rezone!N82 + IF(home_land=CR$2,CW82) + Explore!V70</f>
        <v>0</v>
      </c>
      <c r="CS82" s="248">
        <f>-SUM($W82:$Z82)+SUM($CE82:$CH82) +Rezone!O82 + IF(home_land=CS$2,CW82) + Explore!W70</f>
        <v>0</v>
      </c>
      <c r="CT82" s="249">
        <f>-SUM($AA82:$AC82)+SUM($CI82:$CK82) +Rezone!P82 + IF(home_land=CT$2,CW82) + Explore!X70</f>
        <v>0</v>
      </c>
      <c r="CU82" s="250">
        <f xml:space="preserve"> - SUM($AD82,$AE82)+SUM($CL82,$CM82) +Rezone!Q82 + IF(home_land=CU$2,CW82)+Explore!Y70</f>
        <v>0</v>
      </c>
      <c r="CV82" s="729">
        <f>-$AF82+$CN82 +Rezone!R82 + IF(home_land=CV$2,CW82) + Explore!Z70</f>
        <v>0</v>
      </c>
      <c r="CW82" s="159">
        <f>IF(Explore!S82=1,25) - N82 + BV82</f>
        <v>0</v>
      </c>
      <c r="CY82" s="152">
        <f t="shared" si="101"/>
        <v>280</v>
      </c>
      <c r="CZ82" s="164">
        <f t="shared" si="102"/>
        <v>150</v>
      </c>
      <c r="DA82" s="170">
        <f t="shared" si="103"/>
        <v>150</v>
      </c>
      <c r="DB82" s="164">
        <f t="shared" si="104"/>
        <v>150</v>
      </c>
      <c r="DC82" s="164">
        <f t="shared" si="105"/>
        <v>150</v>
      </c>
      <c r="DD82" s="170">
        <f t="shared" si="106"/>
        <v>20</v>
      </c>
      <c r="DE82" s="166">
        <f t="shared" si="107"/>
        <v>100</v>
      </c>
      <c r="DF82" s="164">
        <f t="shared" ca="1" si="108"/>
        <v>280</v>
      </c>
      <c r="DG82" s="170">
        <f t="shared" si="109"/>
        <v>0</v>
      </c>
      <c r="DH82" s="164">
        <f t="shared" si="110"/>
        <v>82</v>
      </c>
      <c r="DI82" s="166"/>
    </row>
    <row r="83" spans="1:113" s="16" customFormat="1">
      <c r="A83" s="36">
        <f t="shared" si="87"/>
        <v>620</v>
      </c>
      <c r="B83" s="36">
        <f t="shared" si="88"/>
        <v>380</v>
      </c>
      <c r="C83" s="83">
        <f t="shared" si="89"/>
        <v>0</v>
      </c>
      <c r="D83" s="574"/>
      <c r="E83" s="16">
        <f t="shared" si="90"/>
        <v>1000</v>
      </c>
      <c r="F83" s="86">
        <f t="shared" si="91"/>
        <v>0</v>
      </c>
      <c r="G83" s="37">
        <f t="shared" si="92"/>
        <v>100</v>
      </c>
      <c r="H83" s="247">
        <f t="shared" si="93"/>
        <v>150</v>
      </c>
      <c r="I83" s="38">
        <f t="shared" si="94"/>
        <v>150</v>
      </c>
      <c r="J83" s="39">
        <f t="shared" si="95"/>
        <v>100</v>
      </c>
      <c r="K83" s="40">
        <f t="shared" si="96"/>
        <v>20</v>
      </c>
      <c r="L83" s="500">
        <f t="shared" si="97"/>
        <v>100</v>
      </c>
      <c r="M83" s="635">
        <f>Rezone!J83</f>
        <v>81</v>
      </c>
      <c r="N83" s="356"/>
      <c r="O83" s="348"/>
      <c r="P83" s="348"/>
      <c r="Q83" s="376"/>
      <c r="R83" s="345"/>
      <c r="S83" s="348"/>
      <c r="T83" s="348"/>
      <c r="U83" s="348"/>
      <c r="V83" s="348"/>
      <c r="W83" s="345"/>
      <c r="X83" s="345"/>
      <c r="Y83" s="348"/>
      <c r="Z83" s="345"/>
      <c r="AA83" s="348"/>
      <c r="AB83" s="348"/>
      <c r="AC83" s="345"/>
      <c r="AD83" s="348"/>
      <c r="AE83" s="348"/>
      <c r="AF83" s="336"/>
      <c r="AG83" s="532">
        <f t="shared" si="98"/>
        <v>43695.333333333139</v>
      </c>
      <c r="AH83" s="91">
        <f>MIN(25%,(BG83+CE83)/(E83-Explore!S83*20))</f>
        <v>0</v>
      </c>
      <c r="AI83" s="59">
        <f t="shared" si="83"/>
        <v>0</v>
      </c>
      <c r="AJ83" s="56">
        <f ca="1">Production!$H83</f>
        <v>3799591</v>
      </c>
      <c r="AK83" s="57">
        <f ca="1">Production!$J83</f>
        <v>273447</v>
      </c>
      <c r="AL83" s="152">
        <f ca="1">ROUND( (1 - MIN(facs_constr_factor*$AH83,facs_constr_max)) * (1+MIN(tech_construction*Techs!AC83,tech_conquerors_crafts*Techs!AS83)) * AU83*(1+race_construction_cost),0)</f>
        <v>1615</v>
      </c>
      <c r="AM83" s="166">
        <f t="shared" si="80"/>
        <v>263</v>
      </c>
      <c r="AN83" s="152">
        <f ca="1">ROUND( (1 - MIN(facs_constr_factor*$AI83,facs_constr_max)) * (1+MIN(tech_construction*Techs!AE83,tech_conquerors_crafts*Techs!AU83)) * AU83*(1+race_construction_cost),0)</f>
        <v>1615</v>
      </c>
      <c r="AO83" s="166">
        <f t="shared" si="84"/>
        <v>263</v>
      </c>
      <c r="AP83" s="16">
        <f t="shared" ca="1" si="111"/>
        <v>0</v>
      </c>
      <c r="AQ83" s="53">
        <f t="shared" si="112"/>
        <v>0</v>
      </c>
      <c r="AR83" s="16">
        <f>MIN(SUM(F82:L82)+SUM(Explore!T71:Z71)+SUM(BV83:CN83),SUM($N83:$AF83))</f>
        <v>0</v>
      </c>
      <c r="AS83" s="16">
        <f>IF(Explore!S83&lt;&gt;0,MAX(0, MIN(20, 20 + SUM(N83:AF83) - SUM(BV83:CN83) - SUM(F82:L82)-SUM(Explore!T71:Z71)-20*Explore!S83)),0)</f>
        <v>0</v>
      </c>
      <c r="AU83" s="152">
        <f t="shared" si="85"/>
        <v>1615</v>
      </c>
      <c r="AV83" s="166">
        <f t="shared" si="86"/>
        <v>262.5</v>
      </c>
      <c r="AW83" s="164"/>
      <c r="AX83" s="295">
        <f>AX82 + IF(Overview!$B$14="Gnome",N74,N71) -BV83</f>
        <v>0</v>
      </c>
      <c r="AY83" s="28">
        <f>AY82 + IF(Overview!$B$14="Gnome",O74,O71) -BW83</f>
        <v>0</v>
      </c>
      <c r="AZ83" s="28">
        <f>AZ82 + IF(Overview!$B$14="Gnome",P74,P71) -BX83</f>
        <v>80</v>
      </c>
      <c r="BA83" s="28">
        <f>BA82 + IF(Overview!$B$14="Gnome",Q74,Q71) -BY83</f>
        <v>200</v>
      </c>
      <c r="BB83" s="28">
        <f>BB82 + IF(Overview!$B$14="Gnome",R74,R71) -BZ83</f>
        <v>0</v>
      </c>
      <c r="BC83" s="29">
        <f>BC82 + IF(Overview!$B$14="Gnome",S74,S71) -CA83</f>
        <v>50</v>
      </c>
      <c r="BD83" s="29">
        <f>BD82 + IF(Overview!$B$14="Gnome",T74,T71) -CB83</f>
        <v>0</v>
      </c>
      <c r="BE83" s="30">
        <f>BE82 + IF(Overview!$B$14="Gnome",U74,U71) -CC83</f>
        <v>0</v>
      </c>
      <c r="BF83" s="30">
        <f>BF82 + IF(Overview!$B$14="Gnome",V74,V71) -CD83</f>
        <v>0</v>
      </c>
      <c r="BG83" s="31">
        <f>BG82 + IF(Overview!$B$14="Gnome",W74,W71) -CE83</f>
        <v>0</v>
      </c>
      <c r="BH83" s="31">
        <f>BH82 + IF(Overview!$B$14="Gnome",X74,X71) -CF83</f>
        <v>0</v>
      </c>
      <c r="BI83" s="31">
        <f>BI82 + IF(Overview!$B$14="Gnome",Y74,Y71) -CG83</f>
        <v>0</v>
      </c>
      <c r="BJ83" s="31">
        <f>BJ82 + IF(Overview!$B$14="Gnome",Z74,Z71) -CH83</f>
        <v>0</v>
      </c>
      <c r="BK83" s="32">
        <f>BK82 + IF(Overview!$B$14="Gnome",AA74,AA71) -CI83</f>
        <v>50</v>
      </c>
      <c r="BL83" s="32">
        <f>BL82 + IF(Overview!$B$14="Gnome",AB74,AB71) -CJ83</f>
        <v>0</v>
      </c>
      <c r="BM83" s="32">
        <f>BM82 + IF(Overview!$B$14="Gnome",AC74,AC71) -CK83</f>
        <v>0</v>
      </c>
      <c r="BN83" s="33">
        <f>BN82 + IF(Overview!$B$14="Gnome",AD74,AD71) -CL83</f>
        <v>0</v>
      </c>
      <c r="BO83" s="33">
        <f>BO82 + IF(Overview!$B$14="Gnome",AE74,AE71) -CM83</f>
        <v>0</v>
      </c>
      <c r="BP83" s="69">
        <f>BP82 + IF(Overview!$B$14="Gnome",AF74,AF71) -CN83</f>
        <v>0</v>
      </c>
      <c r="BR83" s="442"/>
      <c r="BS83" s="156">
        <f t="shared" si="99"/>
        <v>1000</v>
      </c>
      <c r="BT83" s="574">
        <f t="shared" si="100"/>
        <v>43695.333333333139</v>
      </c>
      <c r="BV83" s="356"/>
      <c r="BW83" s="348"/>
      <c r="BX83" s="348"/>
      <c r="BY83" s="348"/>
      <c r="BZ83" s="348"/>
      <c r="CA83" s="348"/>
      <c r="CB83" s="348"/>
      <c r="CC83" s="348"/>
      <c r="CD83" s="348"/>
      <c r="CE83" s="348"/>
      <c r="CF83" s="348"/>
      <c r="CG83" s="348"/>
      <c r="CH83" s="348"/>
      <c r="CI83" s="348"/>
      <c r="CJ83" s="348"/>
      <c r="CK83" s="348"/>
      <c r="CL83" s="348"/>
      <c r="CM83" s="360"/>
      <c r="CN83" s="357"/>
      <c r="CP83" s="245">
        <f>-SUM($O83:$R83)+SUM($BW83:BZ83)+Rezone!L83+IF(home_land=CP$2,CW83) + Explore!T71</f>
        <v>0</v>
      </c>
      <c r="CQ83" s="246">
        <f>-SUM($S83:$T83)+SUM($CA83:$CB83) +Rezone!M83 + IF(home_land=CQ$2,CW83) + Explore!U71</f>
        <v>0</v>
      </c>
      <c r="CR83" s="247">
        <f>-SUM($U83:$V83)+SUM($CC83:$CD83) +Rezone!N83 + IF(home_land=CR$2,CW83) + Explore!V71</f>
        <v>0</v>
      </c>
      <c r="CS83" s="248">
        <f>-SUM($W83:$Z83)+SUM($CE83:$CH83) +Rezone!O83 + IF(home_land=CS$2,CW83) + Explore!W71</f>
        <v>0</v>
      </c>
      <c r="CT83" s="249">
        <f>-SUM($AA83:$AC83)+SUM($CI83:$CK83) +Rezone!P83 + IF(home_land=CT$2,CW83) + Explore!X71</f>
        <v>0</v>
      </c>
      <c r="CU83" s="250">
        <f xml:space="preserve"> - SUM($AD83,$AE83)+SUM($CL83,$CM83) +Rezone!Q83 + IF(home_land=CU$2,CW83)+Explore!Y71</f>
        <v>0</v>
      </c>
      <c r="CV83" s="729">
        <f>-$AF83+$CN83 +Rezone!R83 + IF(home_land=CV$2,CW83) + Explore!Z71</f>
        <v>0</v>
      </c>
      <c r="CW83" s="159">
        <f>IF(Explore!S83=1,25) - N83 + BV83</f>
        <v>0</v>
      </c>
      <c r="CY83" s="152">
        <f t="shared" si="101"/>
        <v>280</v>
      </c>
      <c r="CZ83" s="164">
        <f t="shared" si="102"/>
        <v>150</v>
      </c>
      <c r="DA83" s="170">
        <f t="shared" si="103"/>
        <v>150</v>
      </c>
      <c r="DB83" s="164">
        <f t="shared" si="104"/>
        <v>150</v>
      </c>
      <c r="DC83" s="164">
        <f t="shared" si="105"/>
        <v>150</v>
      </c>
      <c r="DD83" s="170">
        <f t="shared" si="106"/>
        <v>20</v>
      </c>
      <c r="DE83" s="166">
        <f t="shared" si="107"/>
        <v>100</v>
      </c>
      <c r="DF83" s="164">
        <f t="shared" ca="1" si="108"/>
        <v>280</v>
      </c>
      <c r="DG83" s="170">
        <f t="shared" si="109"/>
        <v>0</v>
      </c>
      <c r="DH83" s="164">
        <f t="shared" si="110"/>
        <v>83</v>
      </c>
      <c r="DI83" s="166"/>
    </row>
    <row r="84" spans="1:113" s="16" customFormat="1">
      <c r="A84" s="36">
        <f t="shared" si="87"/>
        <v>620</v>
      </c>
      <c r="B84" s="36">
        <f t="shared" si="88"/>
        <v>380</v>
      </c>
      <c r="C84" s="83">
        <f t="shared" si="89"/>
        <v>0</v>
      </c>
      <c r="D84" s="574"/>
      <c r="E84" s="16">
        <f t="shared" si="90"/>
        <v>1000</v>
      </c>
      <c r="F84" s="86">
        <f t="shared" si="91"/>
        <v>0</v>
      </c>
      <c r="G84" s="37">
        <f t="shared" si="92"/>
        <v>100</v>
      </c>
      <c r="H84" s="247">
        <f t="shared" si="93"/>
        <v>150</v>
      </c>
      <c r="I84" s="38">
        <f t="shared" si="94"/>
        <v>150</v>
      </c>
      <c r="J84" s="39">
        <f t="shared" si="95"/>
        <v>100</v>
      </c>
      <c r="K84" s="40">
        <f t="shared" si="96"/>
        <v>20</v>
      </c>
      <c r="L84" s="500">
        <f t="shared" si="97"/>
        <v>100</v>
      </c>
      <c r="M84" s="635">
        <f>Rezone!J84</f>
        <v>82</v>
      </c>
      <c r="N84" s="356"/>
      <c r="O84" s="348"/>
      <c r="P84" s="348"/>
      <c r="Q84" s="376"/>
      <c r="R84" s="345"/>
      <c r="S84" s="348"/>
      <c r="T84" s="348"/>
      <c r="U84" s="348"/>
      <c r="V84" s="348"/>
      <c r="W84" s="345"/>
      <c r="X84" s="345"/>
      <c r="Y84" s="348"/>
      <c r="Z84" s="345"/>
      <c r="AA84" s="348"/>
      <c r="AB84" s="348"/>
      <c r="AC84" s="345"/>
      <c r="AD84" s="348"/>
      <c r="AE84" s="348"/>
      <c r="AF84" s="336"/>
      <c r="AG84" s="532">
        <f t="shared" si="98"/>
        <v>43695.374999999804</v>
      </c>
      <c r="AH84" s="91">
        <f>MIN(25%,(BG84+CE84)/(E84-Explore!S84*20))</f>
        <v>0</v>
      </c>
      <c r="AI84" s="59">
        <f t="shared" si="83"/>
        <v>0</v>
      </c>
      <c r="AJ84" s="56">
        <f ca="1">Production!$H84</f>
        <v>3810242</v>
      </c>
      <c r="AK84" s="57">
        <f ca="1">Production!$J84</f>
        <v>273213</v>
      </c>
      <c r="AL84" s="152">
        <f ca="1">ROUND( (1 - MIN(facs_constr_factor*$AH84,facs_constr_max)) * (1+MIN(tech_construction*Techs!AC84,tech_conquerors_crafts*Techs!AS84)) * AU84*(1+race_construction_cost),0)</f>
        <v>1615</v>
      </c>
      <c r="AM84" s="166">
        <f t="shared" si="80"/>
        <v>263</v>
      </c>
      <c r="AN84" s="152">
        <f ca="1">ROUND( (1 - MIN(facs_constr_factor*$AI84,facs_constr_max)) * (1+MIN(tech_construction*Techs!AE84,tech_conquerors_crafts*Techs!AU84)) * AU84*(1+race_construction_cost),0)</f>
        <v>1615</v>
      </c>
      <c r="AO84" s="166">
        <f t="shared" si="84"/>
        <v>263</v>
      </c>
      <c r="AP84" s="16">
        <f t="shared" ca="1" si="111"/>
        <v>0</v>
      </c>
      <c r="AQ84" s="53">
        <f t="shared" si="112"/>
        <v>0</v>
      </c>
      <c r="AR84" s="16">
        <f>MIN(SUM(F83:L83)+SUM(Explore!T72:Z72)+SUM(BV84:CN84),SUM($N84:$AF84))</f>
        <v>0</v>
      </c>
      <c r="AS84" s="16">
        <f>IF(Explore!S84&lt;&gt;0,MAX(0, MIN(20, 20 + SUM(N84:AF84) - SUM(BV84:CN84) - SUM(F83:L83)-SUM(Explore!T72:Z72)-20*Explore!S84)),0)</f>
        <v>0</v>
      </c>
      <c r="AU84" s="152">
        <f t="shared" si="85"/>
        <v>1615</v>
      </c>
      <c r="AV84" s="166">
        <f t="shared" si="86"/>
        <v>262.5</v>
      </c>
      <c r="AW84" s="164"/>
      <c r="AX84" s="295">
        <f>AX83 + IF(Overview!$B$14="Gnome",N75,N72) -BV84</f>
        <v>0</v>
      </c>
      <c r="AY84" s="28">
        <f>AY83 + IF(Overview!$B$14="Gnome",O75,O72) -BW84</f>
        <v>0</v>
      </c>
      <c r="AZ84" s="28">
        <f>AZ83 + IF(Overview!$B$14="Gnome",P75,P72) -BX84</f>
        <v>80</v>
      </c>
      <c r="BA84" s="28">
        <f>BA83 + IF(Overview!$B$14="Gnome",Q75,Q72) -BY84</f>
        <v>200</v>
      </c>
      <c r="BB84" s="28">
        <f>BB83 + IF(Overview!$B$14="Gnome",R75,R72) -BZ84</f>
        <v>0</v>
      </c>
      <c r="BC84" s="29">
        <f>BC83 + IF(Overview!$B$14="Gnome",S75,S72) -CA84</f>
        <v>50</v>
      </c>
      <c r="BD84" s="29">
        <f>BD83 + IF(Overview!$B$14="Gnome",T75,T72) -CB84</f>
        <v>0</v>
      </c>
      <c r="BE84" s="30">
        <f>BE83 + IF(Overview!$B$14="Gnome",U75,U72) -CC84</f>
        <v>0</v>
      </c>
      <c r="BF84" s="30">
        <f>BF83 + IF(Overview!$B$14="Gnome",V75,V72) -CD84</f>
        <v>0</v>
      </c>
      <c r="BG84" s="31">
        <f>BG83 + IF(Overview!$B$14="Gnome",W75,W72) -CE84</f>
        <v>0</v>
      </c>
      <c r="BH84" s="31">
        <f>BH83 + IF(Overview!$B$14="Gnome",X75,X72) -CF84</f>
        <v>0</v>
      </c>
      <c r="BI84" s="31">
        <f>BI83 + IF(Overview!$B$14="Gnome",Y75,Y72) -CG84</f>
        <v>0</v>
      </c>
      <c r="BJ84" s="31">
        <f>BJ83 + IF(Overview!$B$14="Gnome",Z75,Z72) -CH84</f>
        <v>0</v>
      </c>
      <c r="BK84" s="32">
        <f>BK83 + IF(Overview!$B$14="Gnome",AA75,AA72) -CI84</f>
        <v>50</v>
      </c>
      <c r="BL84" s="32">
        <f>BL83 + IF(Overview!$B$14="Gnome",AB75,AB72) -CJ84</f>
        <v>0</v>
      </c>
      <c r="BM84" s="32">
        <f>BM83 + IF(Overview!$B$14="Gnome",AC75,AC72) -CK84</f>
        <v>0</v>
      </c>
      <c r="BN84" s="33">
        <f>BN83 + IF(Overview!$B$14="Gnome",AD75,AD72) -CL84</f>
        <v>0</v>
      </c>
      <c r="BO84" s="33">
        <f>BO83 + IF(Overview!$B$14="Gnome",AE75,AE72) -CM84</f>
        <v>0</v>
      </c>
      <c r="BP84" s="69">
        <f>BP83 + IF(Overview!$B$14="Gnome",AF75,AF72) -CN84</f>
        <v>0</v>
      </c>
      <c r="BR84" s="442"/>
      <c r="BS84" s="156">
        <f t="shared" si="99"/>
        <v>1000</v>
      </c>
      <c r="BT84" s="574">
        <f t="shared" si="100"/>
        <v>43695.374999999804</v>
      </c>
      <c r="BV84" s="356"/>
      <c r="BW84" s="348"/>
      <c r="BX84" s="348"/>
      <c r="BY84" s="348"/>
      <c r="BZ84" s="348"/>
      <c r="CA84" s="348"/>
      <c r="CB84" s="348"/>
      <c r="CC84" s="348"/>
      <c r="CD84" s="348"/>
      <c r="CE84" s="348"/>
      <c r="CF84" s="348"/>
      <c r="CG84" s="348"/>
      <c r="CH84" s="348"/>
      <c r="CI84" s="348"/>
      <c r="CJ84" s="348"/>
      <c r="CK84" s="348"/>
      <c r="CL84" s="348"/>
      <c r="CM84" s="360"/>
      <c r="CN84" s="357"/>
      <c r="CP84" s="245">
        <f>-SUM($O84:$R84)+SUM($BW84:BZ84)+Rezone!L84+IF(home_land=CP$2,CW84) + Explore!T72</f>
        <v>0</v>
      </c>
      <c r="CQ84" s="246">
        <f>-SUM($S84:$T84)+SUM($CA84:$CB84) +Rezone!M84 + IF(home_land=CQ$2,CW84) + Explore!U72</f>
        <v>0</v>
      </c>
      <c r="CR84" s="247">
        <f>-SUM($U84:$V84)+SUM($CC84:$CD84) +Rezone!N84 + IF(home_land=CR$2,CW84) + Explore!V72</f>
        <v>0</v>
      </c>
      <c r="CS84" s="248">
        <f>-SUM($W84:$Z84)+SUM($CE84:$CH84) +Rezone!O84 + IF(home_land=CS$2,CW84) + Explore!W72</f>
        <v>0</v>
      </c>
      <c r="CT84" s="249">
        <f>-SUM($AA84:$AC84)+SUM($CI84:$CK84) +Rezone!P84 + IF(home_land=CT$2,CW84) + Explore!X72</f>
        <v>0</v>
      </c>
      <c r="CU84" s="250">
        <f xml:space="preserve"> - SUM($AD84,$AE84)+SUM($CL84,$CM84) +Rezone!Q84 + IF(home_land=CU$2,CW84)+Explore!Y72</f>
        <v>0</v>
      </c>
      <c r="CV84" s="729">
        <f>-$AF84+$CN84 +Rezone!R84 + IF(home_land=CV$2,CW84) + Explore!Z72</f>
        <v>0</v>
      </c>
      <c r="CW84" s="159">
        <f>IF(Explore!S84=1,25) - N84 + BV84</f>
        <v>0</v>
      </c>
      <c r="CY84" s="152">
        <f t="shared" si="101"/>
        <v>280</v>
      </c>
      <c r="CZ84" s="164">
        <f t="shared" si="102"/>
        <v>150</v>
      </c>
      <c r="DA84" s="170">
        <f t="shared" si="103"/>
        <v>150</v>
      </c>
      <c r="DB84" s="164">
        <f t="shared" si="104"/>
        <v>150</v>
      </c>
      <c r="DC84" s="164">
        <f t="shared" si="105"/>
        <v>150</v>
      </c>
      <c r="DD84" s="170">
        <f t="shared" si="106"/>
        <v>20</v>
      </c>
      <c r="DE84" s="166">
        <f t="shared" si="107"/>
        <v>100</v>
      </c>
      <c r="DF84" s="164">
        <f t="shared" ca="1" si="108"/>
        <v>280</v>
      </c>
      <c r="DG84" s="170">
        <f t="shared" si="109"/>
        <v>0</v>
      </c>
      <c r="DH84" s="164">
        <f t="shared" si="110"/>
        <v>84</v>
      </c>
      <c r="DI84" s="166"/>
    </row>
    <row r="85" spans="1:113" s="16" customFormat="1">
      <c r="A85" s="36">
        <f t="shared" si="87"/>
        <v>620</v>
      </c>
      <c r="B85" s="36">
        <f t="shared" si="88"/>
        <v>380</v>
      </c>
      <c r="C85" s="83">
        <f t="shared" si="89"/>
        <v>0</v>
      </c>
      <c r="D85" s="574"/>
      <c r="E85" s="16">
        <f t="shared" si="90"/>
        <v>1000</v>
      </c>
      <c r="F85" s="86">
        <f t="shared" si="91"/>
        <v>0</v>
      </c>
      <c r="G85" s="37">
        <f t="shared" si="92"/>
        <v>100</v>
      </c>
      <c r="H85" s="247">
        <f t="shared" si="93"/>
        <v>150</v>
      </c>
      <c r="I85" s="38">
        <f t="shared" si="94"/>
        <v>150</v>
      </c>
      <c r="J85" s="39">
        <f t="shared" si="95"/>
        <v>100</v>
      </c>
      <c r="K85" s="40">
        <f t="shared" si="96"/>
        <v>20</v>
      </c>
      <c r="L85" s="500">
        <f t="shared" si="97"/>
        <v>100</v>
      </c>
      <c r="M85" s="635">
        <f>Rezone!J85</f>
        <v>83</v>
      </c>
      <c r="N85" s="356"/>
      <c r="O85" s="348"/>
      <c r="P85" s="348"/>
      <c r="Q85" s="376"/>
      <c r="R85" s="345"/>
      <c r="S85" s="348"/>
      <c r="T85" s="348"/>
      <c r="U85" s="348"/>
      <c r="V85" s="348"/>
      <c r="W85" s="345"/>
      <c r="X85" s="345"/>
      <c r="Y85" s="348"/>
      <c r="Z85" s="345"/>
      <c r="AA85" s="348"/>
      <c r="AB85" s="348"/>
      <c r="AC85" s="345"/>
      <c r="AD85" s="348"/>
      <c r="AE85" s="348"/>
      <c r="AF85" s="336"/>
      <c r="AG85" s="532">
        <f t="shared" si="98"/>
        <v>43695.416666666468</v>
      </c>
      <c r="AH85" s="91">
        <f>MIN(25%,(BG85+CE85)/(E85-Explore!S85*20))</f>
        <v>0</v>
      </c>
      <c r="AI85" s="59">
        <f t="shared" si="83"/>
        <v>0</v>
      </c>
      <c r="AJ85" s="56">
        <f ca="1">Production!$H85</f>
        <v>3820893</v>
      </c>
      <c r="AK85" s="57">
        <f ca="1">Production!$J85</f>
        <v>272981</v>
      </c>
      <c r="AL85" s="152">
        <f ca="1">ROUND( (1 - MIN(facs_constr_factor*$AH85,facs_constr_max)) * (1+MIN(tech_construction*Techs!AC85,tech_conquerors_crafts*Techs!AS85)) * AU85*(1+race_construction_cost),0)</f>
        <v>1615</v>
      </c>
      <c r="AM85" s="166">
        <f t="shared" si="80"/>
        <v>263</v>
      </c>
      <c r="AN85" s="152">
        <f ca="1">ROUND( (1 - MIN(facs_constr_factor*$AI85,facs_constr_max)) * (1+MIN(tech_construction*Techs!AE85,tech_conquerors_crafts*Techs!AU85)) * AU85*(1+race_construction_cost),0)</f>
        <v>1615</v>
      </c>
      <c r="AO85" s="166">
        <f t="shared" si="84"/>
        <v>263</v>
      </c>
      <c r="AP85" s="16">
        <f t="shared" ca="1" si="111"/>
        <v>0</v>
      </c>
      <c r="AQ85" s="53">
        <f t="shared" si="112"/>
        <v>0</v>
      </c>
      <c r="AR85" s="16">
        <f>MIN(SUM(F84:L84)+SUM(Explore!T73:Z73)+SUM(BV85:CN85),SUM($N85:$AF85))</f>
        <v>0</v>
      </c>
      <c r="AS85" s="16">
        <f>IF(Explore!S85&lt;&gt;0,MAX(0, MIN(20, 20 + SUM(N85:AF85) - SUM(BV85:CN85) - SUM(F84:L84)-SUM(Explore!T73:Z73)-20*Explore!S85)),0)</f>
        <v>0</v>
      </c>
      <c r="AU85" s="152">
        <f t="shared" si="85"/>
        <v>1615</v>
      </c>
      <c r="AV85" s="166">
        <f t="shared" si="86"/>
        <v>262.5</v>
      </c>
      <c r="AW85" s="164"/>
      <c r="AX85" s="295">
        <f>AX84 + IF(Overview!$B$14="Gnome",N76,N73) -BV85</f>
        <v>0</v>
      </c>
      <c r="AY85" s="28">
        <f>AY84 + IF(Overview!$B$14="Gnome",O76,O73) -BW85</f>
        <v>0</v>
      </c>
      <c r="AZ85" s="28">
        <f>AZ84 + IF(Overview!$B$14="Gnome",P76,P73) -BX85</f>
        <v>80</v>
      </c>
      <c r="BA85" s="28">
        <f>BA84 + IF(Overview!$B$14="Gnome",Q76,Q73) -BY85</f>
        <v>200</v>
      </c>
      <c r="BB85" s="28">
        <f>BB84 + IF(Overview!$B$14="Gnome",R76,R73) -BZ85</f>
        <v>0</v>
      </c>
      <c r="BC85" s="29">
        <f>BC84 + IF(Overview!$B$14="Gnome",S76,S73) -CA85</f>
        <v>50</v>
      </c>
      <c r="BD85" s="29">
        <f>BD84 + IF(Overview!$B$14="Gnome",T76,T73) -CB85</f>
        <v>0</v>
      </c>
      <c r="BE85" s="30">
        <f>BE84 + IF(Overview!$B$14="Gnome",U76,U73) -CC85</f>
        <v>0</v>
      </c>
      <c r="BF85" s="30">
        <f>BF84 + IF(Overview!$B$14="Gnome",V76,V73) -CD85</f>
        <v>0</v>
      </c>
      <c r="BG85" s="31">
        <f>BG84 + IF(Overview!$B$14="Gnome",W76,W73) -CE85</f>
        <v>0</v>
      </c>
      <c r="BH85" s="31">
        <f>BH84 + IF(Overview!$B$14="Gnome",X76,X73) -CF85</f>
        <v>0</v>
      </c>
      <c r="BI85" s="31">
        <f>BI84 + IF(Overview!$B$14="Gnome",Y76,Y73) -CG85</f>
        <v>0</v>
      </c>
      <c r="BJ85" s="31">
        <f>BJ84 + IF(Overview!$B$14="Gnome",Z76,Z73) -CH85</f>
        <v>0</v>
      </c>
      <c r="BK85" s="32">
        <f>BK84 + IF(Overview!$B$14="Gnome",AA76,AA73) -CI85</f>
        <v>50</v>
      </c>
      <c r="BL85" s="32">
        <f>BL84 + IF(Overview!$B$14="Gnome",AB76,AB73) -CJ85</f>
        <v>0</v>
      </c>
      <c r="BM85" s="32">
        <f>BM84 + IF(Overview!$B$14="Gnome",AC76,AC73) -CK85</f>
        <v>0</v>
      </c>
      <c r="BN85" s="33">
        <f>BN84 + IF(Overview!$B$14="Gnome",AD76,AD73) -CL85</f>
        <v>0</v>
      </c>
      <c r="BO85" s="33">
        <f>BO84 + IF(Overview!$B$14="Gnome",AE76,AE73) -CM85</f>
        <v>0</v>
      </c>
      <c r="BP85" s="69">
        <f>BP84 + IF(Overview!$B$14="Gnome",AF76,AF73) -CN85</f>
        <v>0</v>
      </c>
      <c r="BR85" s="442"/>
      <c r="BS85" s="156">
        <f t="shared" si="99"/>
        <v>1000</v>
      </c>
      <c r="BT85" s="574">
        <f t="shared" si="100"/>
        <v>43695.416666666468</v>
      </c>
      <c r="BV85" s="356"/>
      <c r="BW85" s="348"/>
      <c r="BX85" s="348"/>
      <c r="BY85" s="348"/>
      <c r="BZ85" s="348"/>
      <c r="CA85" s="348"/>
      <c r="CB85" s="348"/>
      <c r="CC85" s="348"/>
      <c r="CD85" s="348"/>
      <c r="CE85" s="348"/>
      <c r="CF85" s="348"/>
      <c r="CG85" s="348"/>
      <c r="CH85" s="348"/>
      <c r="CI85" s="348"/>
      <c r="CJ85" s="348"/>
      <c r="CK85" s="348"/>
      <c r="CL85" s="348"/>
      <c r="CM85" s="360"/>
      <c r="CN85" s="357"/>
      <c r="CP85" s="245">
        <f>-SUM($O85:$R85)+SUM($BW85:BZ85)+Rezone!L85+IF(home_land=CP$2,CW85) + Explore!T73</f>
        <v>0</v>
      </c>
      <c r="CQ85" s="246">
        <f>-SUM($S85:$T85)+SUM($CA85:$CB85) +Rezone!M85 + IF(home_land=CQ$2,CW85) + Explore!U73</f>
        <v>0</v>
      </c>
      <c r="CR85" s="247">
        <f>-SUM($U85:$V85)+SUM($CC85:$CD85) +Rezone!N85 + IF(home_land=CR$2,CW85) + Explore!V73</f>
        <v>0</v>
      </c>
      <c r="CS85" s="248">
        <f>-SUM($W85:$Z85)+SUM($CE85:$CH85) +Rezone!O85 + IF(home_land=CS$2,CW85) + Explore!W73</f>
        <v>0</v>
      </c>
      <c r="CT85" s="249">
        <f>-SUM($AA85:$AC85)+SUM($CI85:$CK85) +Rezone!P85 + IF(home_land=CT$2,CW85) + Explore!X73</f>
        <v>0</v>
      </c>
      <c r="CU85" s="250">
        <f xml:space="preserve"> - SUM($AD85,$AE85)+SUM($CL85,$CM85) +Rezone!Q85 + IF(home_land=CU$2,CW85)+Explore!Y73</f>
        <v>0</v>
      </c>
      <c r="CV85" s="729">
        <f>-$AF85+$CN85 +Rezone!R85 + IF(home_land=CV$2,CW85) + Explore!Z73</f>
        <v>0</v>
      </c>
      <c r="CW85" s="159">
        <f>IF(Explore!S85=1,25) - N85 + BV85</f>
        <v>0</v>
      </c>
      <c r="CY85" s="152">
        <f t="shared" si="101"/>
        <v>280</v>
      </c>
      <c r="CZ85" s="164">
        <f t="shared" si="102"/>
        <v>150</v>
      </c>
      <c r="DA85" s="170">
        <f t="shared" si="103"/>
        <v>150</v>
      </c>
      <c r="DB85" s="164">
        <f t="shared" si="104"/>
        <v>150</v>
      </c>
      <c r="DC85" s="164">
        <f t="shared" si="105"/>
        <v>150</v>
      </c>
      <c r="DD85" s="170">
        <f t="shared" si="106"/>
        <v>20</v>
      </c>
      <c r="DE85" s="166">
        <f t="shared" si="107"/>
        <v>100</v>
      </c>
      <c r="DF85" s="164">
        <f t="shared" ca="1" si="108"/>
        <v>280</v>
      </c>
      <c r="DG85" s="170">
        <f t="shared" si="109"/>
        <v>0</v>
      </c>
      <c r="DH85" s="164">
        <f t="shared" si="110"/>
        <v>85</v>
      </c>
      <c r="DI85" s="166"/>
    </row>
    <row r="86" spans="1:113" s="170" customFormat="1">
      <c r="A86" s="242">
        <f t="shared" si="87"/>
        <v>620</v>
      </c>
      <c r="B86" s="242">
        <f t="shared" si="88"/>
        <v>380</v>
      </c>
      <c r="C86" s="243">
        <f t="shared" si="89"/>
        <v>0</v>
      </c>
      <c r="D86" s="532"/>
      <c r="E86" s="170">
        <f t="shared" si="90"/>
        <v>1000</v>
      </c>
      <c r="F86" s="245">
        <f t="shared" si="91"/>
        <v>0</v>
      </c>
      <c r="G86" s="246">
        <f t="shared" si="92"/>
        <v>100</v>
      </c>
      <c r="H86" s="247">
        <f t="shared" si="93"/>
        <v>150</v>
      </c>
      <c r="I86" s="248">
        <f t="shared" si="94"/>
        <v>150</v>
      </c>
      <c r="J86" s="249">
        <f t="shared" si="95"/>
        <v>100</v>
      </c>
      <c r="K86" s="250">
        <f t="shared" si="96"/>
        <v>20</v>
      </c>
      <c r="L86" s="498">
        <f t="shared" si="97"/>
        <v>100</v>
      </c>
      <c r="M86" s="634">
        <f>Rezone!J86</f>
        <v>84</v>
      </c>
      <c r="N86" s="352"/>
      <c r="O86" s="345"/>
      <c r="P86" s="345"/>
      <c r="Q86" s="345"/>
      <c r="R86" s="345"/>
      <c r="S86" s="345"/>
      <c r="T86" s="345"/>
      <c r="U86" s="345"/>
      <c r="V86" s="345"/>
      <c r="W86" s="345"/>
      <c r="X86" s="345"/>
      <c r="Y86" s="345"/>
      <c r="Z86" s="345"/>
      <c r="AA86" s="345"/>
      <c r="AB86" s="345"/>
      <c r="AC86" s="345"/>
      <c r="AD86" s="345"/>
      <c r="AE86" s="345"/>
      <c r="AF86" s="336"/>
      <c r="AG86" s="532">
        <f t="shared" si="98"/>
        <v>43695.458333333132</v>
      </c>
      <c r="AH86" s="251">
        <f>MIN(25%,(BG86+CE86)/(E86-Explore!S86*20))</f>
        <v>0</v>
      </c>
      <c r="AI86" s="187">
        <f t="shared" si="83"/>
        <v>0</v>
      </c>
      <c r="AJ86" s="152">
        <f ca="1">Production!$H86</f>
        <v>3831544</v>
      </c>
      <c r="AK86" s="166">
        <f ca="1">Production!$J86</f>
        <v>272751</v>
      </c>
      <c r="AL86" s="152">
        <f ca="1">ROUND( (1 - MIN(facs_constr_factor*$AH86,facs_constr_max)) * (1+MIN(tech_construction*Techs!AC86,tech_conquerors_crafts*Techs!AS86)) * AU86*(1+race_construction_cost),0)</f>
        <v>1615</v>
      </c>
      <c r="AM86" s="166">
        <f t="shared" si="80"/>
        <v>263</v>
      </c>
      <c r="AN86" s="152">
        <f ca="1">ROUND( (1 - MIN(facs_constr_factor*$AI86,facs_constr_max)) * (1+MIN(tech_construction*Techs!AE86,tech_conquerors_crafts*Techs!AU86)) * AU86*(1+race_construction_cost),0)</f>
        <v>1615</v>
      </c>
      <c r="AO86" s="166">
        <f t="shared" si="84"/>
        <v>263</v>
      </c>
      <c r="AP86" s="170">
        <f t="shared" ca="1" si="111"/>
        <v>0</v>
      </c>
      <c r="AQ86" s="157">
        <f t="shared" si="112"/>
        <v>0</v>
      </c>
      <c r="AR86" s="170">
        <f>MIN(SUM(F85:L85)+SUM(Explore!T74:Z74)+SUM(BV86:CN86),SUM($N86:$AF86))</f>
        <v>0</v>
      </c>
      <c r="AS86" s="170">
        <f>IF(Explore!S86&lt;&gt;0,MAX(0, MIN(20, 20 + SUM(N86:AF86) - SUM(BV86:CN86) - SUM(F85:L85)-SUM(Explore!T74:Z74)-20*Explore!S86)),0)</f>
        <v>0</v>
      </c>
      <c r="AU86" s="152">
        <f t="shared" si="85"/>
        <v>1615</v>
      </c>
      <c r="AV86" s="166">
        <f t="shared" si="86"/>
        <v>262.5</v>
      </c>
      <c r="AW86" s="164"/>
      <c r="AX86" s="293">
        <f>AX85 + IF(Overview!$B$14="Gnome",N77,N74) -BV86</f>
        <v>0</v>
      </c>
      <c r="AY86" s="244">
        <f>AY85 + IF(Overview!$B$14="Gnome",O77,O74) -BW86</f>
        <v>0</v>
      </c>
      <c r="AZ86" s="244">
        <f>AZ85 + IF(Overview!$B$14="Gnome",P77,P74) -BX86</f>
        <v>80</v>
      </c>
      <c r="BA86" s="244">
        <f>BA85 + IF(Overview!$B$14="Gnome",Q77,Q74) -BY86</f>
        <v>200</v>
      </c>
      <c r="BB86" s="244">
        <f>BB85 + IF(Overview!$B$14="Gnome",R77,R74) -BZ86</f>
        <v>0</v>
      </c>
      <c r="BC86" s="206">
        <f>BC85 + IF(Overview!$B$14="Gnome",S77,S74) -CA86</f>
        <v>50</v>
      </c>
      <c r="BD86" s="206">
        <f>BD85 + IF(Overview!$B$14="Gnome",T77,T74) -CB86</f>
        <v>0</v>
      </c>
      <c r="BE86" s="207">
        <f>BE85 + IF(Overview!$B$14="Gnome",U77,U74) -CC86</f>
        <v>0</v>
      </c>
      <c r="BF86" s="207">
        <f>BF85 + IF(Overview!$B$14="Gnome",V77,V74) -CD86</f>
        <v>0</v>
      </c>
      <c r="BG86" s="208">
        <f>BG85 + IF(Overview!$B$14="Gnome",W77,W74) -CE86</f>
        <v>0</v>
      </c>
      <c r="BH86" s="208">
        <f>BH85 + IF(Overview!$B$14="Gnome",X77,X74) -CF86</f>
        <v>0</v>
      </c>
      <c r="BI86" s="208">
        <f>BI85 + IF(Overview!$B$14="Gnome",Y77,Y74) -CG86</f>
        <v>0</v>
      </c>
      <c r="BJ86" s="208">
        <f>BJ85 + IF(Overview!$B$14="Gnome",Z77,Z74) -CH86</f>
        <v>0</v>
      </c>
      <c r="BK86" s="209">
        <f>BK85 + IF(Overview!$B$14="Gnome",AA77,AA74) -CI86</f>
        <v>50</v>
      </c>
      <c r="BL86" s="209">
        <f>BL85 + IF(Overview!$B$14="Gnome",AB77,AB74) -CJ86</f>
        <v>0</v>
      </c>
      <c r="BM86" s="209">
        <f>BM85 + IF(Overview!$B$14="Gnome",AC77,AC74) -CK86</f>
        <v>0</v>
      </c>
      <c r="BN86" s="210">
        <f>BN85 + IF(Overview!$B$14="Gnome",AD77,AD74) -CL86</f>
        <v>0</v>
      </c>
      <c r="BO86" s="210">
        <f>BO85 + IF(Overview!$B$14="Gnome",AE77,AE74) -CM86</f>
        <v>0</v>
      </c>
      <c r="BP86" s="211">
        <f>BP85 + IF(Overview!$B$14="Gnome",AF77,AF74) -CN86</f>
        <v>0</v>
      </c>
      <c r="BR86" s="440"/>
      <c r="BS86" s="156">
        <f t="shared" si="99"/>
        <v>1000</v>
      </c>
      <c r="BT86" s="532">
        <f t="shared" si="100"/>
        <v>43695.458333333132</v>
      </c>
      <c r="BV86" s="352"/>
      <c r="BW86" s="345"/>
      <c r="BX86" s="345"/>
      <c r="BY86" s="345"/>
      <c r="BZ86" s="345"/>
      <c r="CA86" s="345"/>
      <c r="CB86" s="345"/>
      <c r="CC86" s="345"/>
      <c r="CD86" s="345"/>
      <c r="CE86" s="345"/>
      <c r="CF86" s="345"/>
      <c r="CG86" s="345"/>
      <c r="CH86" s="345"/>
      <c r="CI86" s="345"/>
      <c r="CJ86" s="345"/>
      <c r="CK86" s="345"/>
      <c r="CL86" s="345"/>
      <c r="CM86" s="763"/>
      <c r="CN86" s="353"/>
      <c r="CP86" s="245">
        <f>-SUM($O86:$R86)+SUM($BW86:BZ86)+Rezone!L86+IF(home_land=CP$2,CW86) + Explore!T74</f>
        <v>0</v>
      </c>
      <c r="CQ86" s="246">
        <f>-SUM($S86:$T86)+SUM($CA86:$CB86) +Rezone!M86 + IF(home_land=CQ$2,CW86) + Explore!U74</f>
        <v>0</v>
      </c>
      <c r="CR86" s="247">
        <f>-SUM($U86:$V86)+SUM($CC86:$CD86) +Rezone!N86 + IF(home_land=CR$2,CW86) + Explore!V74</f>
        <v>0</v>
      </c>
      <c r="CS86" s="248">
        <f>-SUM($W86:$Z86)+SUM($CE86:$CH86) +Rezone!O86 + IF(home_land=CS$2,CW86) + Explore!W74</f>
        <v>0</v>
      </c>
      <c r="CT86" s="249">
        <f>-SUM($AA86:$AC86)+SUM($CI86:$CK86) +Rezone!P86 + IF(home_land=CT$2,CW86) + Explore!X74</f>
        <v>0</v>
      </c>
      <c r="CU86" s="250">
        <f xml:space="preserve"> - SUM($AD86,$AE86)+SUM($CL86,$CM86) +Rezone!Q86 + IF(home_land=CU$2,CW86)+Explore!Y74</f>
        <v>0</v>
      </c>
      <c r="CV86" s="729">
        <f>-$AF86+$CN86 +Rezone!R86 + IF(home_land=CV$2,CW86) + Explore!Z74</f>
        <v>0</v>
      </c>
      <c r="CW86" s="159">
        <f>IF(Explore!S86=1,25) - N86 + BV86</f>
        <v>0</v>
      </c>
      <c r="CY86" s="152">
        <f t="shared" si="101"/>
        <v>280</v>
      </c>
      <c r="CZ86" s="164">
        <f t="shared" si="102"/>
        <v>150</v>
      </c>
      <c r="DA86" s="170">
        <f t="shared" si="103"/>
        <v>150</v>
      </c>
      <c r="DB86" s="164">
        <f t="shared" si="104"/>
        <v>150</v>
      </c>
      <c r="DC86" s="164">
        <f t="shared" si="105"/>
        <v>150</v>
      </c>
      <c r="DD86" s="170">
        <f t="shared" si="106"/>
        <v>20</v>
      </c>
      <c r="DE86" s="166">
        <f t="shared" si="107"/>
        <v>100</v>
      </c>
      <c r="DF86" s="164">
        <f t="shared" ca="1" si="108"/>
        <v>280</v>
      </c>
      <c r="DG86" s="170">
        <f t="shared" si="109"/>
        <v>0</v>
      </c>
      <c r="DH86" s="164">
        <f t="shared" si="110"/>
        <v>86</v>
      </c>
      <c r="DI86" s="166"/>
    </row>
    <row r="87" spans="1:113" s="163" customFormat="1">
      <c r="A87" s="711">
        <f t="shared" si="87"/>
        <v>620</v>
      </c>
      <c r="B87" s="711">
        <f t="shared" si="88"/>
        <v>380</v>
      </c>
      <c r="C87" s="712">
        <f t="shared" si="89"/>
        <v>0</v>
      </c>
      <c r="D87" s="677"/>
      <c r="E87" s="163">
        <f t="shared" si="90"/>
        <v>1000</v>
      </c>
      <c r="F87" s="713">
        <f t="shared" si="91"/>
        <v>0</v>
      </c>
      <c r="G87" s="714">
        <f t="shared" si="92"/>
        <v>100</v>
      </c>
      <c r="H87" s="272">
        <f t="shared" si="93"/>
        <v>150</v>
      </c>
      <c r="I87" s="715">
        <f t="shared" si="94"/>
        <v>150</v>
      </c>
      <c r="J87" s="716">
        <f t="shared" si="95"/>
        <v>100</v>
      </c>
      <c r="K87" s="717">
        <f t="shared" si="96"/>
        <v>20</v>
      </c>
      <c r="L87" s="718">
        <f t="shared" si="97"/>
        <v>100</v>
      </c>
      <c r="M87" s="318">
        <f>Rezone!J87</f>
        <v>85</v>
      </c>
      <c r="N87" s="371"/>
      <c r="O87" s="771"/>
      <c r="P87" s="346"/>
      <c r="Q87" s="346"/>
      <c r="R87" s="346"/>
      <c r="S87" s="346"/>
      <c r="T87" s="346"/>
      <c r="U87" s="346"/>
      <c r="V87" s="346"/>
      <c r="W87" s="346"/>
      <c r="X87" s="346"/>
      <c r="Y87" s="346"/>
      <c r="Z87" s="346"/>
      <c r="AA87" s="346"/>
      <c r="AB87" s="346"/>
      <c r="AC87" s="346"/>
      <c r="AD87" s="346"/>
      <c r="AE87" s="346"/>
      <c r="AF87" s="745"/>
      <c r="AG87" s="677">
        <f t="shared" si="98"/>
        <v>43695.499999999796</v>
      </c>
      <c r="AH87" s="305">
        <f>MIN(25%,(BG87+CE87)/(E87-Explore!S87*20))</f>
        <v>0</v>
      </c>
      <c r="AI87" s="186">
        <f t="shared" si="83"/>
        <v>0</v>
      </c>
      <c r="AJ87" s="151">
        <f ca="1">Production!$H87</f>
        <v>3842195</v>
      </c>
      <c r="AK87" s="158">
        <f ca="1">Production!$J87</f>
        <v>272523</v>
      </c>
      <c r="AL87" s="151">
        <f ca="1">ROUND( (1 - MIN(facs_constr_factor*$AH87,facs_constr_max)) * (1+MIN(tech_construction*Techs!AC87,tech_conquerors_crafts*Techs!AS87)) * AU87*(1+race_construction_cost),0)</f>
        <v>1615</v>
      </c>
      <c r="AM87" s="158">
        <f t="shared" si="80"/>
        <v>263</v>
      </c>
      <c r="AN87" s="151">
        <f ca="1">ROUND( (1 - MIN(facs_constr_factor*$AI87,facs_constr_max)) * (1+MIN(tech_construction*Techs!AE87,tech_conquerors_crafts*Techs!AU87)) * AU87*(1+race_construction_cost),0)</f>
        <v>1615</v>
      </c>
      <c r="AO87" s="158">
        <f t="shared" si="84"/>
        <v>263</v>
      </c>
      <c r="AP87" s="163">
        <f t="shared" ca="1" si="111"/>
        <v>0</v>
      </c>
      <c r="AQ87" s="185">
        <f t="shared" si="112"/>
        <v>0</v>
      </c>
      <c r="AR87" s="163">
        <f>MIN(SUM(F86:L86)+SUM(Explore!T75:Z75)+SUM(BV87:CN87),SUM($N87:$AF87))</f>
        <v>0</v>
      </c>
      <c r="AS87" s="163">
        <f>IF(Explore!S87&lt;&gt;0,MAX(0, MIN(20, 20 + SUM(N87:AF87) - SUM(BV87:CN87) - SUM(F86:L86)-SUM(Explore!T75:Z75)-20*Explore!S87)),0)</f>
        <v>0</v>
      </c>
      <c r="AU87" s="151">
        <f t="shared" si="85"/>
        <v>1615</v>
      </c>
      <c r="AV87" s="158">
        <f t="shared" si="86"/>
        <v>262.5</v>
      </c>
      <c r="AW87" s="153"/>
      <c r="AX87" s="719">
        <f>AX86 + IF(Overview!$B$14="Gnome",N78,N75) -BV87</f>
        <v>0</v>
      </c>
      <c r="AY87" s="288">
        <f>AY86 + IF(Overview!$B$14="Gnome",O78,O75) -BW87</f>
        <v>0</v>
      </c>
      <c r="AZ87" s="288">
        <f>AZ86 + IF(Overview!$B$14="Gnome",P78,P75) -BX87</f>
        <v>80</v>
      </c>
      <c r="BA87" s="288">
        <f>BA86 + IF(Overview!$B$14="Gnome",Q78,Q75) -BY87</f>
        <v>200</v>
      </c>
      <c r="BB87" s="288">
        <f>BB86 + IF(Overview!$B$14="Gnome",R78,R75) -BZ87</f>
        <v>0</v>
      </c>
      <c r="BC87" s="197">
        <f>BC86 + IF(Overview!$B$14="Gnome",S78,S75) -CA87</f>
        <v>50</v>
      </c>
      <c r="BD87" s="197">
        <f>BD86 + IF(Overview!$B$14="Gnome",T78,T75) -CB87</f>
        <v>0</v>
      </c>
      <c r="BE87" s="198">
        <f>BE86 + IF(Overview!$B$14="Gnome",U78,U75) -CC87</f>
        <v>0</v>
      </c>
      <c r="BF87" s="198">
        <f>BF86 + IF(Overview!$B$14="Gnome",V78,V75) -CD87</f>
        <v>0</v>
      </c>
      <c r="BG87" s="199">
        <f>BG86 + IF(Overview!$B$14="Gnome",W78,W75) -CE87</f>
        <v>0</v>
      </c>
      <c r="BH87" s="199">
        <f>BH86 + IF(Overview!$B$14="Gnome",X78,X75) -CF87</f>
        <v>0</v>
      </c>
      <c r="BI87" s="199">
        <f>BI86 + IF(Overview!$B$14="Gnome",Y78,Y75) -CG87</f>
        <v>0</v>
      </c>
      <c r="BJ87" s="199">
        <f>BJ86 + IF(Overview!$B$14="Gnome",Z78,Z75) -CH87</f>
        <v>0</v>
      </c>
      <c r="BK87" s="200">
        <f>BK86 + IF(Overview!$B$14="Gnome",AA78,AA75) -CI87</f>
        <v>50</v>
      </c>
      <c r="BL87" s="200">
        <f>BL86 + IF(Overview!$B$14="Gnome",AB78,AB75) -CJ87</f>
        <v>0</v>
      </c>
      <c r="BM87" s="200">
        <f>BM86 + IF(Overview!$B$14="Gnome",AC78,AC75) -CK87</f>
        <v>0</v>
      </c>
      <c r="BN87" s="201">
        <f>BN86 + IF(Overview!$B$14="Gnome",AD78,AD75) -CL87</f>
        <v>0</v>
      </c>
      <c r="BO87" s="201">
        <f>BO86 + IF(Overview!$B$14="Gnome",AE78,AE75) -CM87</f>
        <v>0</v>
      </c>
      <c r="BP87" s="202">
        <f>BP86 + IF(Overview!$B$14="Gnome",AF78,AF75) -CN87</f>
        <v>0</v>
      </c>
      <c r="BR87" s="720"/>
      <c r="BS87" s="184">
        <f t="shared" si="99"/>
        <v>1000</v>
      </c>
      <c r="BT87" s="677">
        <f t="shared" si="100"/>
        <v>43695.499999999796</v>
      </c>
      <c r="BU87" s="581"/>
      <c r="BV87" s="371"/>
      <c r="BW87" s="346"/>
      <c r="BX87" s="346"/>
      <c r="BY87" s="346"/>
      <c r="BZ87" s="346"/>
      <c r="CA87" s="346"/>
      <c r="CB87" s="346"/>
      <c r="CC87" s="346"/>
      <c r="CD87" s="346"/>
      <c r="CE87" s="346"/>
      <c r="CF87" s="346"/>
      <c r="CG87" s="346"/>
      <c r="CH87" s="346"/>
      <c r="CI87" s="346"/>
      <c r="CJ87" s="346"/>
      <c r="CK87" s="346"/>
      <c r="CL87" s="346"/>
      <c r="CM87" s="764"/>
      <c r="CN87" s="372"/>
      <c r="CP87" s="713">
        <f>-SUM($O87:$R87)+SUM($BW87:BZ87)+Rezone!L87+IF(home_land=CP$2,CW87) + Explore!T75</f>
        <v>0</v>
      </c>
      <c r="CQ87" s="714">
        <f>-SUM($S87:$T87)+SUM($CA87:$CB87) +Rezone!M87 + IF(home_land=CQ$2,CW87) + Explore!U75</f>
        <v>0</v>
      </c>
      <c r="CR87" s="272">
        <f>-SUM($U87:$V87)+SUM($CC87:$CD87) +Rezone!N87 + IF(home_land=CR$2,CW87) + Explore!V75</f>
        <v>0</v>
      </c>
      <c r="CS87" s="715">
        <f>-SUM($W87:$Z87)+SUM($CE87:$CH87) +Rezone!O87 + IF(home_land=CS$2,CW87) + Explore!W75</f>
        <v>0</v>
      </c>
      <c r="CT87" s="716">
        <f>-SUM($AA87:$AC87)+SUM($CI87:$CK87) +Rezone!P87 + IF(home_land=CT$2,CW87) + Explore!X75</f>
        <v>0</v>
      </c>
      <c r="CU87" s="717">
        <f xml:space="preserve"> - SUM($AD87,$AE87)+SUM($CL87,$CM87) +Rezone!Q87 + IF(home_land=CU$2,CW87)+Explore!Y75</f>
        <v>0</v>
      </c>
      <c r="CV87" s="718">
        <f>-$AF87+$CN87 +Rezone!R87 + IF(home_land=CV$2,CW87) + Explore!Z75</f>
        <v>0</v>
      </c>
      <c r="CW87" s="287">
        <f>IF(Explore!S87=1,25) - N87 + BV87</f>
        <v>0</v>
      </c>
      <c r="CY87" s="151">
        <f t="shared" si="101"/>
        <v>280</v>
      </c>
      <c r="CZ87" s="153">
        <f t="shared" si="102"/>
        <v>150</v>
      </c>
      <c r="DA87" s="163">
        <f t="shared" si="103"/>
        <v>150</v>
      </c>
      <c r="DB87" s="153">
        <f t="shared" si="104"/>
        <v>150</v>
      </c>
      <c r="DC87" s="153">
        <f t="shared" si="105"/>
        <v>150</v>
      </c>
      <c r="DD87" s="163">
        <f t="shared" si="106"/>
        <v>20</v>
      </c>
      <c r="DE87" s="158">
        <f t="shared" si="107"/>
        <v>100</v>
      </c>
      <c r="DF87" s="153">
        <f t="shared" ca="1" si="108"/>
        <v>280</v>
      </c>
      <c r="DG87" s="163">
        <f t="shared" si="109"/>
        <v>0</v>
      </c>
      <c r="DH87" s="163">
        <f t="shared" si="110"/>
        <v>87</v>
      </c>
      <c r="DI87" s="158"/>
    </row>
    <row r="88" spans="1:113" s="170" customFormat="1">
      <c r="A88" s="242">
        <f t="shared" si="87"/>
        <v>620</v>
      </c>
      <c r="B88" s="242">
        <f t="shared" si="88"/>
        <v>380</v>
      </c>
      <c r="C88" s="243">
        <f t="shared" si="89"/>
        <v>0</v>
      </c>
      <c r="D88" s="532"/>
      <c r="E88" s="170">
        <f t="shared" si="90"/>
        <v>1000</v>
      </c>
      <c r="F88" s="245">
        <f t="shared" si="91"/>
        <v>0</v>
      </c>
      <c r="G88" s="246">
        <f t="shared" si="92"/>
        <v>100</v>
      </c>
      <c r="H88" s="247">
        <f t="shared" si="93"/>
        <v>150</v>
      </c>
      <c r="I88" s="248">
        <f t="shared" si="94"/>
        <v>150</v>
      </c>
      <c r="J88" s="249">
        <f t="shared" si="95"/>
        <v>100</v>
      </c>
      <c r="K88" s="250">
        <f t="shared" si="96"/>
        <v>20</v>
      </c>
      <c r="L88" s="498">
        <f t="shared" si="97"/>
        <v>100</v>
      </c>
      <c r="M88" s="634">
        <f>Rezone!J88</f>
        <v>86</v>
      </c>
      <c r="N88" s="352"/>
      <c r="O88" s="345"/>
      <c r="P88" s="345"/>
      <c r="Q88" s="345"/>
      <c r="R88" s="345"/>
      <c r="S88" s="345"/>
      <c r="T88" s="345"/>
      <c r="U88" s="345"/>
      <c r="V88" s="345"/>
      <c r="W88" s="363"/>
      <c r="X88" s="345"/>
      <c r="Y88" s="345"/>
      <c r="Z88" s="345"/>
      <c r="AA88" s="345"/>
      <c r="AB88" s="345"/>
      <c r="AC88" s="345"/>
      <c r="AD88" s="345"/>
      <c r="AE88" s="345"/>
      <c r="AF88" s="336"/>
      <c r="AG88" s="532">
        <f t="shared" si="98"/>
        <v>43695.541666666461</v>
      </c>
      <c r="AH88" s="251">
        <f>MIN(25%,(BG88+CE88)/(E88-Explore!S88*20))</f>
        <v>0</v>
      </c>
      <c r="AI88" s="187">
        <f t="shared" si="83"/>
        <v>0</v>
      </c>
      <c r="AJ88" s="152">
        <f ca="1">Production!$H88</f>
        <v>3852846</v>
      </c>
      <c r="AK88" s="166">
        <f ca="1">Production!$J88</f>
        <v>272298</v>
      </c>
      <c r="AL88" s="152">
        <f ca="1">ROUND( (1 - MIN(facs_constr_factor*$AH88,facs_constr_max)) * (1+MIN(tech_construction*Techs!AC88,tech_conquerors_crafts*Techs!AS88)) * AU88*(1+race_construction_cost),0)</f>
        <v>1615</v>
      </c>
      <c r="AM88" s="166">
        <f t="shared" si="80"/>
        <v>263</v>
      </c>
      <c r="AN88" s="152">
        <f ca="1">ROUND( (1 - MIN(facs_constr_factor*$AI88,facs_constr_max)) * (1+MIN(tech_construction*Techs!AE88,tech_conquerors_crafts*Techs!AU88)) * AU88*(1+race_construction_cost),0)</f>
        <v>1615</v>
      </c>
      <c r="AO88" s="166">
        <f t="shared" si="84"/>
        <v>263</v>
      </c>
      <c r="AP88" s="170">
        <f t="shared" ca="1" si="111"/>
        <v>0</v>
      </c>
      <c r="AQ88" s="157">
        <f t="shared" si="112"/>
        <v>0</v>
      </c>
      <c r="AR88" s="170">
        <f>MIN(SUM(F87:L87)+SUM(Explore!T76:Z76)+SUM(BV88:CN88),SUM($N88:$AF88))</f>
        <v>0</v>
      </c>
      <c r="AS88" s="170">
        <f>IF(Explore!S88&lt;&gt;0,MAX(0, MIN(20, 20 + SUM(N88:AF88) - SUM(BV88:CN88) - SUM(F87:L87)-SUM(Explore!T76:Z76)-20*Explore!S88)),0)</f>
        <v>0</v>
      </c>
      <c r="AU88" s="152">
        <f t="shared" si="85"/>
        <v>1615</v>
      </c>
      <c r="AV88" s="166">
        <f t="shared" si="86"/>
        <v>262.5</v>
      </c>
      <c r="AW88" s="164"/>
      <c r="AX88" s="293">
        <f>AX87 + IF(Overview!$B$14="Gnome",N79,N76) -BV88</f>
        <v>0</v>
      </c>
      <c r="AY88" s="244">
        <f>AY87 + IF(Overview!$B$14="Gnome",O79,O76) -BW88</f>
        <v>0</v>
      </c>
      <c r="AZ88" s="244">
        <f>AZ87 + IF(Overview!$B$14="Gnome",P79,P76) -BX88</f>
        <v>80</v>
      </c>
      <c r="BA88" s="244">
        <f>BA87 + IF(Overview!$B$14="Gnome",Q79,Q76) -BY88</f>
        <v>200</v>
      </c>
      <c r="BB88" s="244">
        <f>BB87 + IF(Overview!$B$14="Gnome",R79,R76) -BZ88</f>
        <v>0</v>
      </c>
      <c r="BC88" s="206">
        <f>BC87 + IF(Overview!$B$14="Gnome",S79,S76) -CA88</f>
        <v>50</v>
      </c>
      <c r="BD88" s="206">
        <f>BD87 + IF(Overview!$B$14="Gnome",T79,T76) -CB88</f>
        <v>0</v>
      </c>
      <c r="BE88" s="207">
        <f>BE87 + IF(Overview!$B$14="Gnome",U79,U76) -CC88</f>
        <v>0</v>
      </c>
      <c r="BF88" s="207">
        <f>BF87 + IF(Overview!$B$14="Gnome",V79,V76) -CD88</f>
        <v>0</v>
      </c>
      <c r="BG88" s="208">
        <f>BG87 + IF(Overview!$B$14="Gnome",W79,W76) -CE88</f>
        <v>0</v>
      </c>
      <c r="BH88" s="208">
        <f>BH87 + IF(Overview!$B$14="Gnome",X79,X76) -CF88</f>
        <v>0</v>
      </c>
      <c r="BI88" s="208">
        <f>BI87 + IF(Overview!$B$14="Gnome",Y79,Y76) -CG88</f>
        <v>0</v>
      </c>
      <c r="BJ88" s="208">
        <f>BJ87 + IF(Overview!$B$14="Gnome",Z79,Z76) -CH88</f>
        <v>0</v>
      </c>
      <c r="BK88" s="209">
        <f>BK87 + IF(Overview!$B$14="Gnome",AA79,AA76) -CI88</f>
        <v>50</v>
      </c>
      <c r="BL88" s="209">
        <f>BL87 + IF(Overview!$B$14="Gnome",AB79,AB76) -CJ88</f>
        <v>0</v>
      </c>
      <c r="BM88" s="209">
        <f>BM87 + IF(Overview!$B$14="Gnome",AC79,AC76) -CK88</f>
        <v>0</v>
      </c>
      <c r="BN88" s="210">
        <f>BN87 + IF(Overview!$B$14="Gnome",AD79,AD76) -CL88</f>
        <v>0</v>
      </c>
      <c r="BO88" s="210">
        <f>BO87 + IF(Overview!$B$14="Gnome",AE79,AE76) -CM88</f>
        <v>0</v>
      </c>
      <c r="BP88" s="211">
        <f>BP87 + IF(Overview!$B$14="Gnome",AF79,AF76) -CN88</f>
        <v>0</v>
      </c>
      <c r="BR88" s="440"/>
      <c r="BS88" s="156">
        <f t="shared" si="99"/>
        <v>1000</v>
      </c>
      <c r="BT88" s="532">
        <f t="shared" si="100"/>
        <v>43695.541666666461</v>
      </c>
      <c r="BV88" s="352"/>
      <c r="BW88" s="345"/>
      <c r="BX88" s="345"/>
      <c r="BY88" s="345"/>
      <c r="BZ88" s="345"/>
      <c r="CA88" s="345"/>
      <c r="CB88" s="345"/>
      <c r="CC88" s="345"/>
      <c r="CD88" s="345"/>
      <c r="CE88" s="345"/>
      <c r="CF88" s="345"/>
      <c r="CG88" s="345"/>
      <c r="CH88" s="345"/>
      <c r="CI88" s="345"/>
      <c r="CJ88" s="345"/>
      <c r="CK88" s="345"/>
      <c r="CL88" s="345"/>
      <c r="CM88" s="763"/>
      <c r="CN88" s="353"/>
      <c r="CP88" s="245">
        <f>-SUM($O88:$R88)+SUM($BW88:BZ88)+Rezone!L88+IF(home_land=CP$2,CW88) + Explore!T76</f>
        <v>0</v>
      </c>
      <c r="CQ88" s="246">
        <f>-SUM($S88:$T88)+SUM($CA88:$CB88) +Rezone!M88 + IF(home_land=CQ$2,CW88) + Explore!U76</f>
        <v>0</v>
      </c>
      <c r="CR88" s="247">
        <f>-SUM($U88:$V88)+SUM($CC88:$CD88) +Rezone!N88 + IF(home_land=CR$2,CW88) + Explore!V76</f>
        <v>0</v>
      </c>
      <c r="CS88" s="248">
        <f>-SUM($W88:$Z88)+SUM($CE88:$CH88) +Rezone!O88 + IF(home_land=CS$2,CW88) + Explore!W76</f>
        <v>0</v>
      </c>
      <c r="CT88" s="249">
        <f>-SUM($AA88:$AC88)+SUM($CI88:$CK88) +Rezone!P88 + IF(home_land=CT$2,CW88) + Explore!X76</f>
        <v>0</v>
      </c>
      <c r="CU88" s="250">
        <f xml:space="preserve"> - SUM($AD88,$AE88)+SUM($CL88,$CM88) +Rezone!Q88 + IF(home_land=CU$2,CW88)+Explore!Y76</f>
        <v>0</v>
      </c>
      <c r="CV88" s="498">
        <f>-$AF88+$CN88 +Rezone!R88 + IF(home_land=CV$2,CW88) + Explore!Z76</f>
        <v>0</v>
      </c>
      <c r="CW88" s="159">
        <f>IF(Explore!S88=1,25) - N88 + BV88</f>
        <v>0</v>
      </c>
      <c r="CY88" s="152">
        <f t="shared" si="101"/>
        <v>280</v>
      </c>
      <c r="CZ88" s="164">
        <f t="shared" si="102"/>
        <v>150</v>
      </c>
      <c r="DA88" s="170">
        <f t="shared" si="103"/>
        <v>150</v>
      </c>
      <c r="DB88" s="164">
        <f t="shared" si="104"/>
        <v>150</v>
      </c>
      <c r="DC88" s="164">
        <f t="shared" si="105"/>
        <v>150</v>
      </c>
      <c r="DD88" s="170">
        <f t="shared" si="106"/>
        <v>20</v>
      </c>
      <c r="DE88" s="166">
        <f t="shared" si="107"/>
        <v>100</v>
      </c>
      <c r="DF88" s="164">
        <f t="shared" ca="1" si="108"/>
        <v>280</v>
      </c>
      <c r="DG88" s="170">
        <f t="shared" si="109"/>
        <v>0</v>
      </c>
      <c r="DH88" s="170">
        <f t="shared" si="110"/>
        <v>88</v>
      </c>
      <c r="DI88" s="166"/>
    </row>
    <row r="89" spans="1:113" s="170" customFormat="1">
      <c r="A89" s="242">
        <f t="shared" si="87"/>
        <v>620</v>
      </c>
      <c r="B89" s="242">
        <f t="shared" si="88"/>
        <v>380</v>
      </c>
      <c r="C89" s="243">
        <f t="shared" si="89"/>
        <v>0</v>
      </c>
      <c r="D89" s="532"/>
      <c r="E89" s="170">
        <f t="shared" si="90"/>
        <v>1000</v>
      </c>
      <c r="F89" s="245">
        <f t="shared" si="91"/>
        <v>0</v>
      </c>
      <c r="G89" s="246">
        <f t="shared" si="92"/>
        <v>100</v>
      </c>
      <c r="H89" s="247">
        <f t="shared" si="93"/>
        <v>150</v>
      </c>
      <c r="I89" s="248">
        <f t="shared" si="94"/>
        <v>150</v>
      </c>
      <c r="J89" s="249">
        <f t="shared" si="95"/>
        <v>100</v>
      </c>
      <c r="K89" s="250">
        <f t="shared" si="96"/>
        <v>20</v>
      </c>
      <c r="L89" s="498">
        <f t="shared" si="97"/>
        <v>100</v>
      </c>
      <c r="M89" s="634">
        <f>Rezone!J89</f>
        <v>87</v>
      </c>
      <c r="N89" s="352"/>
      <c r="O89" s="345"/>
      <c r="P89" s="345"/>
      <c r="Q89" s="345"/>
      <c r="R89" s="345"/>
      <c r="S89" s="345"/>
      <c r="T89" s="345"/>
      <c r="U89" s="345"/>
      <c r="V89" s="345"/>
      <c r="W89" s="345"/>
      <c r="X89" s="345"/>
      <c r="Y89" s="345"/>
      <c r="Z89" s="345"/>
      <c r="AA89" s="345"/>
      <c r="AB89" s="345"/>
      <c r="AC89" s="345"/>
      <c r="AD89" s="345"/>
      <c r="AE89" s="345"/>
      <c r="AF89" s="336"/>
      <c r="AG89" s="532">
        <f t="shared" si="98"/>
        <v>43695.583333333125</v>
      </c>
      <c r="AH89" s="251">
        <f>MIN(25%,(BG89+CE89)/(E89-Explore!S89*20))</f>
        <v>0</v>
      </c>
      <c r="AI89" s="187">
        <f t="shared" si="83"/>
        <v>0</v>
      </c>
      <c r="AJ89" s="152">
        <f ca="1">Production!$H89</f>
        <v>3863497</v>
      </c>
      <c r="AK89" s="166">
        <f ca="1">Production!$J89</f>
        <v>272075</v>
      </c>
      <c r="AL89" s="152">
        <f ca="1">ROUND( (1 - MIN(facs_constr_factor*$AH89,facs_constr_max)) * (1+MIN(tech_construction*Techs!AC89,tech_conquerors_crafts*Techs!AS89)) * AU89*(1+race_construction_cost),0)</f>
        <v>1615</v>
      </c>
      <c r="AM89" s="166">
        <f t="shared" si="80"/>
        <v>263</v>
      </c>
      <c r="AN89" s="152">
        <f ca="1">ROUND( (1 - MIN(facs_constr_factor*$AI89,facs_constr_max)) * (1+MIN(tech_construction*Techs!AE89,tech_conquerors_crafts*Techs!AU89)) * AU89*(1+race_construction_cost),0)</f>
        <v>1615</v>
      </c>
      <c r="AO89" s="166">
        <f t="shared" si="84"/>
        <v>263</v>
      </c>
      <c r="AP89" s="170">
        <f t="shared" ca="1" si="111"/>
        <v>0</v>
      </c>
      <c r="AQ89" s="157">
        <f t="shared" si="112"/>
        <v>0</v>
      </c>
      <c r="AR89" s="170">
        <f>MIN(SUM(F88:L88)+SUM(Explore!T77:Z77)+SUM(BV89:CN89),SUM($N89:$AF89))</f>
        <v>0</v>
      </c>
      <c r="AS89" s="170">
        <f>IF(Explore!S89&lt;&gt;0,MAX(0, MIN(20, 20 + SUM(N89:AF89) - SUM(BV89:CN89) - SUM(F88:L88)-SUM(Explore!T77:Z77)-20*Explore!S89)),0)</f>
        <v>0</v>
      </c>
      <c r="AU89" s="152">
        <f t="shared" si="85"/>
        <v>1615</v>
      </c>
      <c r="AV89" s="166">
        <f t="shared" si="86"/>
        <v>262.5</v>
      </c>
      <c r="AW89" s="164"/>
      <c r="AX89" s="293">
        <f>AX88 + IF(Overview!$B$14="Gnome",N80,N77) -BV89</f>
        <v>0</v>
      </c>
      <c r="AY89" s="244">
        <f>AY88 + IF(Overview!$B$14="Gnome",O80,O77) -BW89</f>
        <v>0</v>
      </c>
      <c r="AZ89" s="244">
        <f>AZ88 + IF(Overview!$B$14="Gnome",P80,P77) -BX89</f>
        <v>80</v>
      </c>
      <c r="BA89" s="244">
        <f>BA88 + IF(Overview!$B$14="Gnome",Q80,Q77) -BY89</f>
        <v>200</v>
      </c>
      <c r="BB89" s="244">
        <f>BB88 + IF(Overview!$B$14="Gnome",R80,R77) -BZ89</f>
        <v>0</v>
      </c>
      <c r="BC89" s="206">
        <f>BC88 + IF(Overview!$B$14="Gnome",S80,S77) -CA89</f>
        <v>50</v>
      </c>
      <c r="BD89" s="206">
        <f>BD88 + IF(Overview!$B$14="Gnome",T80,T77) -CB89</f>
        <v>0</v>
      </c>
      <c r="BE89" s="207">
        <f>BE88 + IF(Overview!$B$14="Gnome",U80,U77) -CC89</f>
        <v>0</v>
      </c>
      <c r="BF89" s="207">
        <f>BF88 + IF(Overview!$B$14="Gnome",V80,V77) -CD89</f>
        <v>0</v>
      </c>
      <c r="BG89" s="208">
        <f>BG88 + IF(Overview!$B$14="Gnome",W80,W77) -CE89</f>
        <v>0</v>
      </c>
      <c r="BH89" s="208">
        <f>BH88 + IF(Overview!$B$14="Gnome",X80,X77) -CF89</f>
        <v>0</v>
      </c>
      <c r="BI89" s="208">
        <f>BI88 + IF(Overview!$B$14="Gnome",Y80,Y77) -CG89</f>
        <v>0</v>
      </c>
      <c r="BJ89" s="208">
        <f>BJ88 + IF(Overview!$B$14="Gnome",Z80,Z77) -CH89</f>
        <v>0</v>
      </c>
      <c r="BK89" s="209">
        <f>BK88 + IF(Overview!$B$14="Gnome",AA80,AA77) -CI89</f>
        <v>50</v>
      </c>
      <c r="BL89" s="209">
        <f>BL88 + IF(Overview!$B$14="Gnome",AB80,AB77) -CJ89</f>
        <v>0</v>
      </c>
      <c r="BM89" s="209">
        <f>BM88 + IF(Overview!$B$14="Gnome",AC80,AC77) -CK89</f>
        <v>0</v>
      </c>
      <c r="BN89" s="210">
        <f>BN88 + IF(Overview!$B$14="Gnome",AD80,AD77) -CL89</f>
        <v>0</v>
      </c>
      <c r="BO89" s="210">
        <f>BO88 + IF(Overview!$B$14="Gnome",AE80,AE77) -CM89</f>
        <v>0</v>
      </c>
      <c r="BP89" s="211">
        <f>BP88 + IF(Overview!$B$14="Gnome",AF80,AF77) -CN89</f>
        <v>0</v>
      </c>
      <c r="BR89" s="440"/>
      <c r="BS89" s="156">
        <f t="shared" si="99"/>
        <v>1000</v>
      </c>
      <c r="BT89" s="532">
        <f t="shared" si="100"/>
        <v>43695.583333333125</v>
      </c>
      <c r="BV89" s="352"/>
      <c r="BW89" s="345"/>
      <c r="BX89" s="345"/>
      <c r="BY89" s="345"/>
      <c r="BZ89" s="345"/>
      <c r="CA89" s="345"/>
      <c r="CB89" s="345"/>
      <c r="CC89" s="345"/>
      <c r="CD89" s="345"/>
      <c r="CE89" s="345"/>
      <c r="CF89" s="345"/>
      <c r="CG89" s="345"/>
      <c r="CH89" s="345"/>
      <c r="CI89" s="345"/>
      <c r="CJ89" s="345"/>
      <c r="CK89" s="345"/>
      <c r="CL89" s="345"/>
      <c r="CM89" s="763"/>
      <c r="CN89" s="353"/>
      <c r="CP89" s="245">
        <f>-SUM($O89:$R89)+SUM($BW89:BZ89)+Rezone!L89+IF(home_land=CP$2,CW89) + Explore!T77</f>
        <v>0</v>
      </c>
      <c r="CQ89" s="246">
        <f>-SUM($S89:$T89)+SUM($CA89:$CB89) +Rezone!M89 + IF(home_land=CQ$2,CW89) + Explore!U77</f>
        <v>0</v>
      </c>
      <c r="CR89" s="247">
        <f>-SUM($U89:$V89)+SUM($CC89:$CD89) +Rezone!N89 + IF(home_land=CR$2,CW89) + Explore!V77</f>
        <v>0</v>
      </c>
      <c r="CS89" s="248">
        <f>-SUM($W89:$Z89)+SUM($CE89:$CH89) +Rezone!O89 + IF(home_land=CS$2,CW89) + Explore!W77</f>
        <v>0</v>
      </c>
      <c r="CT89" s="249">
        <f>-SUM($AA89:$AC89)+SUM($CI89:$CK89) +Rezone!P89 + IF(home_land=CT$2,CW89) + Explore!X77</f>
        <v>0</v>
      </c>
      <c r="CU89" s="250">
        <f xml:space="preserve"> - SUM($AD89,$AE89)+SUM($CL89,$CM89) +Rezone!Q89 + IF(home_land=CU$2,CW89)+Explore!Y77</f>
        <v>0</v>
      </c>
      <c r="CV89" s="498">
        <f>-$AF89+$CN89 +Rezone!R89 + IF(home_land=CV$2,CW89) + Explore!Z77</f>
        <v>0</v>
      </c>
      <c r="CW89" s="159">
        <f>IF(Explore!S89=1,25) - N89 + BV89</f>
        <v>0</v>
      </c>
      <c r="CY89" s="152">
        <f t="shared" si="101"/>
        <v>280</v>
      </c>
      <c r="CZ89" s="164">
        <f t="shared" si="102"/>
        <v>150</v>
      </c>
      <c r="DA89" s="170">
        <f t="shared" si="103"/>
        <v>150</v>
      </c>
      <c r="DB89" s="164">
        <f t="shared" si="104"/>
        <v>150</v>
      </c>
      <c r="DC89" s="164">
        <f t="shared" si="105"/>
        <v>150</v>
      </c>
      <c r="DD89" s="170">
        <f t="shared" si="106"/>
        <v>20</v>
      </c>
      <c r="DE89" s="166">
        <f t="shared" si="107"/>
        <v>100</v>
      </c>
      <c r="DF89" s="164">
        <f t="shared" ca="1" si="108"/>
        <v>280</v>
      </c>
      <c r="DG89" s="170">
        <f t="shared" si="109"/>
        <v>0</v>
      </c>
      <c r="DH89" s="170">
        <f t="shared" si="110"/>
        <v>89</v>
      </c>
      <c r="DI89" s="166"/>
    </row>
    <row r="90" spans="1:113" s="16" customFormat="1">
      <c r="A90" s="36">
        <f t="shared" si="87"/>
        <v>620</v>
      </c>
      <c r="B90" s="36">
        <f t="shared" si="88"/>
        <v>380</v>
      </c>
      <c r="C90" s="83">
        <f t="shared" si="89"/>
        <v>0</v>
      </c>
      <c r="D90" s="574"/>
      <c r="E90" s="16">
        <f t="shared" si="90"/>
        <v>1000</v>
      </c>
      <c r="F90" s="86">
        <f t="shared" si="91"/>
        <v>0</v>
      </c>
      <c r="G90" s="37">
        <f t="shared" si="92"/>
        <v>100</v>
      </c>
      <c r="H90" s="247">
        <f t="shared" si="93"/>
        <v>150</v>
      </c>
      <c r="I90" s="38">
        <f t="shared" si="94"/>
        <v>150</v>
      </c>
      <c r="J90" s="39">
        <f t="shared" si="95"/>
        <v>100</v>
      </c>
      <c r="K90" s="40">
        <f t="shared" si="96"/>
        <v>20</v>
      </c>
      <c r="L90" s="500">
        <f t="shared" si="97"/>
        <v>100</v>
      </c>
      <c r="M90" s="635">
        <f>Rezone!J90</f>
        <v>88</v>
      </c>
      <c r="N90" s="356"/>
      <c r="O90" s="348"/>
      <c r="P90" s="348"/>
      <c r="Q90" s="348"/>
      <c r="R90" s="345"/>
      <c r="S90" s="348"/>
      <c r="T90" s="348"/>
      <c r="U90" s="348"/>
      <c r="V90" s="348"/>
      <c r="W90" s="345"/>
      <c r="X90" s="345"/>
      <c r="Y90" s="348"/>
      <c r="Z90" s="345"/>
      <c r="AA90" s="348"/>
      <c r="AB90" s="348"/>
      <c r="AC90" s="345"/>
      <c r="AD90" s="348"/>
      <c r="AE90" s="348"/>
      <c r="AF90" s="336"/>
      <c r="AG90" s="532">
        <f t="shared" si="98"/>
        <v>43695.624999999789</v>
      </c>
      <c r="AH90" s="91">
        <f>MIN(25%,(BG90+CE90)/(E90-Explore!S90*20))</f>
        <v>0</v>
      </c>
      <c r="AI90" s="59">
        <f t="shared" si="83"/>
        <v>0</v>
      </c>
      <c r="AJ90" s="56">
        <f ca="1">Production!$H90</f>
        <v>3874148</v>
      </c>
      <c r="AK90" s="57">
        <f ca="1">Production!$J90</f>
        <v>271854</v>
      </c>
      <c r="AL90" s="152">
        <f ca="1">ROUND( (1 - MIN(facs_constr_factor*$AH90,facs_constr_max)) * (1+MIN(tech_construction*Techs!AC90,tech_conquerors_crafts*Techs!AS90)) * AU90*(1+race_construction_cost),0)</f>
        <v>1615</v>
      </c>
      <c r="AM90" s="166">
        <f t="shared" si="80"/>
        <v>263</v>
      </c>
      <c r="AN90" s="152">
        <f ca="1">ROUND( (1 - MIN(facs_constr_factor*$AI90,facs_constr_max)) * (1+MIN(tech_construction*Techs!AE90,tech_conquerors_crafts*Techs!AU90)) * AU90*(1+race_construction_cost),0)</f>
        <v>1615</v>
      </c>
      <c r="AO90" s="166">
        <f t="shared" si="84"/>
        <v>263</v>
      </c>
      <c r="AP90" s="16">
        <f t="shared" ca="1" si="111"/>
        <v>0</v>
      </c>
      <c r="AQ90" s="53">
        <f t="shared" si="112"/>
        <v>0</v>
      </c>
      <c r="AR90" s="16">
        <f>MIN(SUM(F89:L89)+SUM(Explore!T78:Z78)+SUM(BV90:CN90),SUM($N90:$AF90))</f>
        <v>0</v>
      </c>
      <c r="AS90" s="16">
        <f>IF(Explore!S90&lt;&gt;0,MAX(0, MIN(20, 20 + SUM(N90:AF90) - SUM(BV90:CN90) - SUM(F89:L89)-SUM(Explore!T78:Z78)-20*Explore!S90)),0)</f>
        <v>0</v>
      </c>
      <c r="AU90" s="152">
        <f t="shared" si="85"/>
        <v>1615</v>
      </c>
      <c r="AV90" s="166">
        <f t="shared" si="86"/>
        <v>262.5</v>
      </c>
      <c r="AW90" s="164"/>
      <c r="AX90" s="295">
        <f>AX89 + IF(Overview!$B$14="Gnome",N81,N78) -BV90</f>
        <v>0</v>
      </c>
      <c r="AY90" s="28">
        <f>AY89 + IF(Overview!$B$14="Gnome",O81,O78) -BW90</f>
        <v>0</v>
      </c>
      <c r="AZ90" s="28">
        <f>AZ89 + IF(Overview!$B$14="Gnome",P81,P78) -BX90</f>
        <v>80</v>
      </c>
      <c r="BA90" s="28">
        <f>BA89 + IF(Overview!$B$14="Gnome",Q81,Q78) -BY90</f>
        <v>200</v>
      </c>
      <c r="BB90" s="28">
        <f>BB89 + IF(Overview!$B$14="Gnome",R81,R78) -BZ90</f>
        <v>0</v>
      </c>
      <c r="BC90" s="29">
        <f>BC89 + IF(Overview!$B$14="Gnome",S81,S78) -CA90</f>
        <v>50</v>
      </c>
      <c r="BD90" s="29">
        <f>BD89 + IF(Overview!$B$14="Gnome",T81,T78) -CB90</f>
        <v>0</v>
      </c>
      <c r="BE90" s="30">
        <f>BE89 + IF(Overview!$B$14="Gnome",U81,U78) -CC90</f>
        <v>0</v>
      </c>
      <c r="BF90" s="30">
        <f>BF89 + IF(Overview!$B$14="Gnome",V81,V78) -CD90</f>
        <v>0</v>
      </c>
      <c r="BG90" s="31">
        <f>BG89 + IF(Overview!$B$14="Gnome",W81,W78) -CE90</f>
        <v>0</v>
      </c>
      <c r="BH90" s="31">
        <f>BH89 + IF(Overview!$B$14="Gnome",X81,X78) -CF90</f>
        <v>0</v>
      </c>
      <c r="BI90" s="31">
        <f>BI89 + IF(Overview!$B$14="Gnome",Y81,Y78) -CG90</f>
        <v>0</v>
      </c>
      <c r="BJ90" s="31">
        <f>BJ89 + IF(Overview!$B$14="Gnome",Z81,Z78) -CH90</f>
        <v>0</v>
      </c>
      <c r="BK90" s="32">
        <f>BK89 + IF(Overview!$B$14="Gnome",AA81,AA78) -CI90</f>
        <v>50</v>
      </c>
      <c r="BL90" s="32">
        <f>BL89 + IF(Overview!$B$14="Gnome",AB81,AB78) -CJ90</f>
        <v>0</v>
      </c>
      <c r="BM90" s="32">
        <f>BM89 + IF(Overview!$B$14="Gnome",AC81,AC78) -CK90</f>
        <v>0</v>
      </c>
      <c r="BN90" s="33">
        <f>BN89 + IF(Overview!$B$14="Gnome",AD81,AD78) -CL90</f>
        <v>0</v>
      </c>
      <c r="BO90" s="33">
        <f>BO89 + IF(Overview!$B$14="Gnome",AE81,AE78) -CM90</f>
        <v>0</v>
      </c>
      <c r="BP90" s="69">
        <f>BP89 + IF(Overview!$B$14="Gnome",AF81,AF78) -CN90</f>
        <v>0</v>
      </c>
      <c r="BR90" s="442"/>
      <c r="BS90" s="156">
        <f t="shared" si="99"/>
        <v>1000</v>
      </c>
      <c r="BT90" s="574">
        <f t="shared" si="100"/>
        <v>43695.624999999789</v>
      </c>
      <c r="BV90" s="356"/>
      <c r="BW90" s="348"/>
      <c r="BX90" s="348"/>
      <c r="BY90" s="348"/>
      <c r="BZ90" s="348"/>
      <c r="CA90" s="348"/>
      <c r="CB90" s="348"/>
      <c r="CC90" s="348"/>
      <c r="CD90" s="348"/>
      <c r="CE90" s="348"/>
      <c r="CF90" s="348"/>
      <c r="CG90" s="348"/>
      <c r="CH90" s="348"/>
      <c r="CI90" s="348"/>
      <c r="CJ90" s="348"/>
      <c r="CK90" s="348"/>
      <c r="CL90" s="348"/>
      <c r="CM90" s="360"/>
      <c r="CN90" s="357"/>
      <c r="CP90" s="86">
        <f>-SUM($O90:$R90)+SUM($BW90:BZ90)+Rezone!L90+IF(home_land=CP$2,CW90) + Explore!T78</f>
        <v>0</v>
      </c>
      <c r="CQ90" s="37">
        <f>-SUM($S90:$T90)+SUM($CA90:$CB90) +Rezone!M90 + IF(home_land=CQ$2,CW90) + Explore!U78</f>
        <v>0</v>
      </c>
      <c r="CR90" s="247">
        <f>-SUM($U90:$V90)+SUM($CC90:$CD90) +Rezone!N90 + IF(home_land=CR$2,CW90) + Explore!V78</f>
        <v>0</v>
      </c>
      <c r="CS90" s="38">
        <f>-SUM($W90:$Z90)+SUM($CE90:$CH90) +Rezone!O90 + IF(home_land=CS$2,CW90) + Explore!W78</f>
        <v>0</v>
      </c>
      <c r="CT90" s="39">
        <f>-SUM($AA90:$AC90)+SUM($CI90:$CK90) +Rezone!P90 + IF(home_land=CT$2,CW90) + Explore!X78</f>
        <v>0</v>
      </c>
      <c r="CU90" s="40">
        <f xml:space="preserve"> - SUM($AD90,$AE90)+SUM($CL90,$CM90) +Rezone!Q90 + IF(home_land=CU$2,CW90)+Explore!Y78</f>
        <v>0</v>
      </c>
      <c r="CV90" s="500">
        <f>-$AF90+$CN90 +Rezone!R90 + IF(home_land=CV$2,CW90) + Explore!Z78</f>
        <v>0</v>
      </c>
      <c r="CW90" s="159">
        <f>IF(Explore!S90=1,25) - N90 + BV90</f>
        <v>0</v>
      </c>
      <c r="CY90" s="152">
        <f t="shared" si="101"/>
        <v>280</v>
      </c>
      <c r="CZ90" s="164">
        <f t="shared" si="102"/>
        <v>150</v>
      </c>
      <c r="DA90" s="16">
        <f t="shared" si="103"/>
        <v>150</v>
      </c>
      <c r="DB90" s="164">
        <f t="shared" si="104"/>
        <v>150</v>
      </c>
      <c r="DC90" s="164">
        <f t="shared" si="105"/>
        <v>150</v>
      </c>
      <c r="DD90" s="16">
        <f t="shared" si="106"/>
        <v>20</v>
      </c>
      <c r="DE90" s="166">
        <f t="shared" si="107"/>
        <v>100</v>
      </c>
      <c r="DF90" s="164">
        <f t="shared" ca="1" si="108"/>
        <v>280</v>
      </c>
      <c r="DG90" s="16">
        <f t="shared" si="109"/>
        <v>0</v>
      </c>
      <c r="DH90" s="16">
        <f t="shared" si="110"/>
        <v>90</v>
      </c>
      <c r="DI90" s="166"/>
    </row>
    <row r="91" spans="1:113" s="16" customFormat="1">
      <c r="A91" s="36">
        <f t="shared" si="87"/>
        <v>620</v>
      </c>
      <c r="B91" s="36">
        <f t="shared" si="88"/>
        <v>380</v>
      </c>
      <c r="C91" s="83">
        <f t="shared" si="89"/>
        <v>0</v>
      </c>
      <c r="D91" s="574"/>
      <c r="E91" s="16">
        <f t="shared" si="90"/>
        <v>1000</v>
      </c>
      <c r="F91" s="86">
        <f t="shared" si="91"/>
        <v>0</v>
      </c>
      <c r="G91" s="37">
        <f t="shared" si="92"/>
        <v>100</v>
      </c>
      <c r="H91" s="247">
        <f t="shared" si="93"/>
        <v>150</v>
      </c>
      <c r="I91" s="38">
        <f t="shared" si="94"/>
        <v>150</v>
      </c>
      <c r="J91" s="39">
        <f t="shared" si="95"/>
        <v>100</v>
      </c>
      <c r="K91" s="40">
        <f t="shared" si="96"/>
        <v>20</v>
      </c>
      <c r="L91" s="500">
        <f t="shared" si="97"/>
        <v>100</v>
      </c>
      <c r="M91" s="635">
        <f>Rezone!J91</f>
        <v>89</v>
      </c>
      <c r="N91" s="356"/>
      <c r="O91" s="348"/>
      <c r="P91" s="348"/>
      <c r="Q91" s="348"/>
      <c r="R91" s="345"/>
      <c r="S91" s="348"/>
      <c r="T91" s="348"/>
      <c r="U91" s="348"/>
      <c r="V91" s="348"/>
      <c r="W91" s="345"/>
      <c r="X91" s="345"/>
      <c r="Y91" s="348"/>
      <c r="Z91" s="345"/>
      <c r="AA91" s="348"/>
      <c r="AB91" s="348"/>
      <c r="AC91" s="345"/>
      <c r="AD91" s="348"/>
      <c r="AE91" s="348"/>
      <c r="AF91" s="336"/>
      <c r="AG91" s="532">
        <f t="shared" si="98"/>
        <v>43695.666666666453</v>
      </c>
      <c r="AH91" s="91">
        <f>MIN(25%,(BG91+CE91)/(E91-Explore!S91*20))</f>
        <v>0</v>
      </c>
      <c r="AI91" s="59">
        <f t="shared" si="83"/>
        <v>0</v>
      </c>
      <c r="AJ91" s="56">
        <f ca="1">Production!$H91</f>
        <v>3884799</v>
      </c>
      <c r="AK91" s="57">
        <f ca="1">Production!$J91</f>
        <v>271635</v>
      </c>
      <c r="AL91" s="152">
        <f ca="1">ROUND( (1 - MIN(facs_constr_factor*$AH91,facs_constr_max)) * (1+MIN(tech_construction*Techs!AC91,tech_conquerors_crafts*Techs!AS91)) * AU91*(1+race_construction_cost),0)</f>
        <v>1615</v>
      </c>
      <c r="AM91" s="166">
        <f t="shared" si="80"/>
        <v>263</v>
      </c>
      <c r="AN91" s="152">
        <f ca="1">ROUND( (1 - MIN(facs_constr_factor*$AI91,facs_constr_max)) * (1+MIN(tech_construction*Techs!AE91,tech_conquerors_crafts*Techs!AU91)) * AU91*(1+race_construction_cost),0)</f>
        <v>1615</v>
      </c>
      <c r="AO91" s="166">
        <f t="shared" si="84"/>
        <v>263</v>
      </c>
      <c r="AP91" s="16">
        <f t="shared" ca="1" si="111"/>
        <v>0</v>
      </c>
      <c r="AQ91" s="53">
        <f t="shared" si="112"/>
        <v>0</v>
      </c>
      <c r="AR91" s="16">
        <f>MIN(SUM(F90:L90)+SUM(Explore!T79:Z79)+SUM(BV91:CN91),SUM($N91:$AF91))</f>
        <v>0</v>
      </c>
      <c r="AS91" s="16">
        <f>IF(Explore!S91&lt;&gt;0,MAX(0, MIN(20, 20 + SUM(N91:AF91) - SUM(BV91:CN91) - SUM(F90:L90)-SUM(Explore!T79:Z79)-20*Explore!S91)),0)</f>
        <v>0</v>
      </c>
      <c r="AU91" s="152">
        <f t="shared" si="85"/>
        <v>1615</v>
      </c>
      <c r="AV91" s="166">
        <f t="shared" si="86"/>
        <v>262.5</v>
      </c>
      <c r="AW91" s="164"/>
      <c r="AX91" s="295">
        <f>AX90 + IF(Overview!$B$14="Gnome",N82,N79) -BV91</f>
        <v>0</v>
      </c>
      <c r="AY91" s="28">
        <f>AY90 + IF(Overview!$B$14="Gnome",O82,O79) -BW91</f>
        <v>0</v>
      </c>
      <c r="AZ91" s="28">
        <f>AZ90 + IF(Overview!$B$14="Gnome",P82,P79) -BX91</f>
        <v>80</v>
      </c>
      <c r="BA91" s="28">
        <f>BA90 + IF(Overview!$B$14="Gnome",Q82,Q79) -BY91</f>
        <v>200</v>
      </c>
      <c r="BB91" s="28">
        <f>BB90 + IF(Overview!$B$14="Gnome",R82,R79) -BZ91</f>
        <v>0</v>
      </c>
      <c r="BC91" s="29">
        <f>BC90 + IF(Overview!$B$14="Gnome",S82,S79) -CA91</f>
        <v>50</v>
      </c>
      <c r="BD91" s="29">
        <f>BD90 + IF(Overview!$B$14="Gnome",T82,T79) -CB91</f>
        <v>0</v>
      </c>
      <c r="BE91" s="30">
        <f>BE90 + IF(Overview!$B$14="Gnome",U82,U79) -CC91</f>
        <v>0</v>
      </c>
      <c r="BF91" s="30">
        <f>BF90 + IF(Overview!$B$14="Gnome",V82,V79) -CD91</f>
        <v>0</v>
      </c>
      <c r="BG91" s="31">
        <f>BG90 + IF(Overview!$B$14="Gnome",W82,W79) -CE91</f>
        <v>0</v>
      </c>
      <c r="BH91" s="31">
        <f>BH90 + IF(Overview!$B$14="Gnome",X82,X79) -CF91</f>
        <v>0</v>
      </c>
      <c r="BI91" s="31">
        <f>BI90 + IF(Overview!$B$14="Gnome",Y82,Y79) -CG91</f>
        <v>0</v>
      </c>
      <c r="BJ91" s="31">
        <f>BJ90 + IF(Overview!$B$14="Gnome",Z82,Z79) -CH91</f>
        <v>0</v>
      </c>
      <c r="BK91" s="32">
        <f>BK90 + IF(Overview!$B$14="Gnome",AA82,AA79) -CI91</f>
        <v>50</v>
      </c>
      <c r="BL91" s="32">
        <f>BL90 + IF(Overview!$B$14="Gnome",AB82,AB79) -CJ91</f>
        <v>0</v>
      </c>
      <c r="BM91" s="32">
        <f>BM90 + IF(Overview!$B$14="Gnome",AC82,AC79) -CK91</f>
        <v>0</v>
      </c>
      <c r="BN91" s="33">
        <f>BN90 + IF(Overview!$B$14="Gnome",AD82,AD79) -CL91</f>
        <v>0</v>
      </c>
      <c r="BO91" s="33">
        <f>BO90 + IF(Overview!$B$14="Gnome",AE82,AE79) -CM91</f>
        <v>0</v>
      </c>
      <c r="BP91" s="69">
        <f>BP90 + IF(Overview!$B$14="Gnome",AF82,AF79) -CN91</f>
        <v>0</v>
      </c>
      <c r="BR91" s="442"/>
      <c r="BS91" s="156">
        <f t="shared" si="99"/>
        <v>1000</v>
      </c>
      <c r="BT91" s="574">
        <f t="shared" si="100"/>
        <v>43695.666666666453</v>
      </c>
      <c r="BV91" s="356"/>
      <c r="BW91" s="348"/>
      <c r="BX91" s="348"/>
      <c r="BY91" s="348"/>
      <c r="BZ91" s="348"/>
      <c r="CA91" s="348"/>
      <c r="CB91" s="348"/>
      <c r="CC91" s="348"/>
      <c r="CD91" s="348"/>
      <c r="CE91" s="348"/>
      <c r="CF91" s="348"/>
      <c r="CG91" s="348"/>
      <c r="CH91" s="348"/>
      <c r="CI91" s="348"/>
      <c r="CJ91" s="348"/>
      <c r="CK91" s="348"/>
      <c r="CL91" s="348"/>
      <c r="CM91" s="360"/>
      <c r="CN91" s="357"/>
      <c r="CP91" s="86">
        <f>-SUM($O91:$R91)+SUM($BW91:BZ91)+Rezone!L91+IF(home_land=CP$2,CW91) + Explore!T79</f>
        <v>0</v>
      </c>
      <c r="CQ91" s="37">
        <f>-SUM($S91:$T91)+SUM($CA91:$CB91) +Rezone!M91 + IF(home_land=CQ$2,CW91) + Explore!U79</f>
        <v>0</v>
      </c>
      <c r="CR91" s="247">
        <f>-SUM($U91:$V91)+SUM($CC91:$CD91) +Rezone!N91 + IF(home_land=CR$2,CW91) + Explore!V79</f>
        <v>0</v>
      </c>
      <c r="CS91" s="38">
        <f>-SUM($W91:$Z91)+SUM($CE91:$CH91) +Rezone!O91 + IF(home_land=CS$2,CW91) + Explore!W79</f>
        <v>0</v>
      </c>
      <c r="CT91" s="39">
        <f>-SUM($AA91:$AC91)+SUM($CI91:$CK91) +Rezone!P91 + IF(home_land=CT$2,CW91) + Explore!X79</f>
        <v>0</v>
      </c>
      <c r="CU91" s="40">
        <f xml:space="preserve"> - SUM($AD91,$AE91)+SUM($CL91,$CM91) +Rezone!Q91 + IF(home_land=CU$2,CW91)+Explore!Y79</f>
        <v>0</v>
      </c>
      <c r="CV91" s="500">
        <f>-$AF91+$CN91 +Rezone!R91 + IF(home_land=CV$2,CW91) + Explore!Z79</f>
        <v>0</v>
      </c>
      <c r="CW91" s="159">
        <f>IF(Explore!S91=1,25) - N91 + BV91</f>
        <v>0</v>
      </c>
      <c r="CY91" s="152">
        <f t="shared" si="101"/>
        <v>280</v>
      </c>
      <c r="CZ91" s="164">
        <f t="shared" si="102"/>
        <v>150</v>
      </c>
      <c r="DA91" s="16">
        <f t="shared" si="103"/>
        <v>150</v>
      </c>
      <c r="DB91" s="164">
        <f t="shared" si="104"/>
        <v>150</v>
      </c>
      <c r="DC91" s="164">
        <f t="shared" si="105"/>
        <v>150</v>
      </c>
      <c r="DD91" s="16">
        <f t="shared" si="106"/>
        <v>20</v>
      </c>
      <c r="DE91" s="166">
        <f t="shared" si="107"/>
        <v>100</v>
      </c>
      <c r="DF91" s="164">
        <f t="shared" ca="1" si="108"/>
        <v>280</v>
      </c>
      <c r="DG91" s="16">
        <f t="shared" si="109"/>
        <v>0</v>
      </c>
      <c r="DH91" s="16">
        <f t="shared" si="110"/>
        <v>91</v>
      </c>
      <c r="DI91" s="166"/>
    </row>
    <row r="92" spans="1:113" s="16" customFormat="1">
      <c r="A92" s="36">
        <f t="shared" si="87"/>
        <v>620</v>
      </c>
      <c r="B92" s="36">
        <f t="shared" si="88"/>
        <v>380</v>
      </c>
      <c r="C92" s="83">
        <f t="shared" si="89"/>
        <v>0</v>
      </c>
      <c r="D92" s="574"/>
      <c r="E92" s="16">
        <f t="shared" si="90"/>
        <v>1000</v>
      </c>
      <c r="F92" s="86">
        <f t="shared" si="91"/>
        <v>0</v>
      </c>
      <c r="G92" s="37">
        <f t="shared" si="92"/>
        <v>100</v>
      </c>
      <c r="H92" s="247">
        <f t="shared" si="93"/>
        <v>150</v>
      </c>
      <c r="I92" s="38">
        <f t="shared" si="94"/>
        <v>150</v>
      </c>
      <c r="J92" s="39">
        <f t="shared" si="95"/>
        <v>100</v>
      </c>
      <c r="K92" s="40">
        <f t="shared" si="96"/>
        <v>20</v>
      </c>
      <c r="L92" s="500">
        <f t="shared" si="97"/>
        <v>100</v>
      </c>
      <c r="M92" s="635">
        <f>Rezone!J92</f>
        <v>90</v>
      </c>
      <c r="N92" s="356"/>
      <c r="O92" s="348"/>
      <c r="P92" s="348"/>
      <c r="Q92" s="348"/>
      <c r="R92" s="345"/>
      <c r="S92" s="348"/>
      <c r="T92" s="348"/>
      <c r="U92" s="348"/>
      <c r="V92" s="348"/>
      <c r="W92" s="345"/>
      <c r="X92" s="345"/>
      <c r="Y92" s="348"/>
      <c r="Z92" s="345"/>
      <c r="AA92" s="348"/>
      <c r="AB92" s="348"/>
      <c r="AC92" s="345"/>
      <c r="AD92" s="348"/>
      <c r="AE92" s="348"/>
      <c r="AF92" s="336"/>
      <c r="AG92" s="532">
        <f t="shared" si="98"/>
        <v>43695.708333333117</v>
      </c>
      <c r="AH92" s="91">
        <f>MIN(25%,(BG92+CE92)/(E92-Explore!S92*20))</f>
        <v>0</v>
      </c>
      <c r="AI92" s="59">
        <f t="shared" si="83"/>
        <v>0</v>
      </c>
      <c r="AJ92" s="56">
        <f ca="1">Production!$H92</f>
        <v>3895450</v>
      </c>
      <c r="AK92" s="57">
        <f ca="1">Production!$J92</f>
        <v>271419</v>
      </c>
      <c r="AL92" s="152">
        <f ca="1">ROUND( (1 - MIN(facs_constr_factor*$AH92,facs_constr_max)) * (1+MIN(tech_construction*Techs!AC92,tech_conquerors_crafts*Techs!AS92)) * AU92*(1+race_construction_cost),0)</f>
        <v>1615</v>
      </c>
      <c r="AM92" s="166">
        <f t="shared" si="80"/>
        <v>263</v>
      </c>
      <c r="AN92" s="152">
        <f ca="1">ROUND( (1 - MIN(facs_constr_factor*$AI92,facs_constr_max)) * (1+MIN(tech_construction*Techs!AE92,tech_conquerors_crafts*Techs!AU92)) * AU92*(1+race_construction_cost),0)</f>
        <v>1615</v>
      </c>
      <c r="AO92" s="166">
        <f t="shared" si="84"/>
        <v>263</v>
      </c>
      <c r="AP92" s="16">
        <f t="shared" ca="1" si="111"/>
        <v>0</v>
      </c>
      <c r="AQ92" s="53">
        <f t="shared" si="112"/>
        <v>0</v>
      </c>
      <c r="AR92" s="16">
        <f>MIN(SUM(F91:L91)+SUM(Explore!T80:Z80)+SUM(BV92:CN92),SUM($N92:$AF92))</f>
        <v>0</v>
      </c>
      <c r="AS92" s="16">
        <f>IF(Explore!S92&lt;&gt;0,MAX(0, MIN(20, 20 + SUM(N92:AF92) - SUM(BV92:CN92) - SUM(F91:L91)-SUM(Explore!T80:Z80)-20*Explore!S92)),0)</f>
        <v>0</v>
      </c>
      <c r="AU92" s="152">
        <f t="shared" si="85"/>
        <v>1615</v>
      </c>
      <c r="AV92" s="166">
        <f t="shared" si="86"/>
        <v>262.5</v>
      </c>
      <c r="AW92" s="164"/>
      <c r="AX92" s="295">
        <f>AX91 + IF(Overview!$B$14="Gnome",N83,N80) -BV92</f>
        <v>0</v>
      </c>
      <c r="AY92" s="28">
        <f>AY91 + IF(Overview!$B$14="Gnome",O83,O80) -BW92</f>
        <v>0</v>
      </c>
      <c r="AZ92" s="28">
        <f>AZ91 + IF(Overview!$B$14="Gnome",P83,P80) -BX92</f>
        <v>80</v>
      </c>
      <c r="BA92" s="28">
        <f>BA91 + IF(Overview!$B$14="Gnome",Q83,Q80) -BY92</f>
        <v>200</v>
      </c>
      <c r="BB92" s="28">
        <f>BB91 + IF(Overview!$B$14="Gnome",R83,R80) -BZ92</f>
        <v>0</v>
      </c>
      <c r="BC92" s="29">
        <f>BC91 + IF(Overview!$B$14="Gnome",S83,S80) -CA92</f>
        <v>50</v>
      </c>
      <c r="BD92" s="29">
        <f>BD91 + IF(Overview!$B$14="Gnome",T83,T80) -CB92</f>
        <v>0</v>
      </c>
      <c r="BE92" s="30">
        <f>BE91 + IF(Overview!$B$14="Gnome",U83,U80) -CC92</f>
        <v>0</v>
      </c>
      <c r="BF92" s="30">
        <f>BF91 + IF(Overview!$B$14="Gnome",V83,V80) -CD92</f>
        <v>0</v>
      </c>
      <c r="BG92" s="31">
        <f>BG91 + IF(Overview!$B$14="Gnome",W83,W80) -CE92</f>
        <v>0</v>
      </c>
      <c r="BH92" s="31">
        <f>BH91 + IF(Overview!$B$14="Gnome",X83,X80) -CF92</f>
        <v>0</v>
      </c>
      <c r="BI92" s="31">
        <f>BI91 + IF(Overview!$B$14="Gnome",Y83,Y80) -CG92</f>
        <v>0</v>
      </c>
      <c r="BJ92" s="31">
        <f>BJ91 + IF(Overview!$B$14="Gnome",Z83,Z80) -CH92</f>
        <v>0</v>
      </c>
      <c r="BK92" s="32">
        <f>BK91 + IF(Overview!$B$14="Gnome",AA83,AA80) -CI92</f>
        <v>50</v>
      </c>
      <c r="BL92" s="32">
        <f>BL91 + IF(Overview!$B$14="Gnome",AB83,AB80) -CJ92</f>
        <v>0</v>
      </c>
      <c r="BM92" s="32">
        <f>BM91 + IF(Overview!$B$14="Gnome",AC83,AC80) -CK92</f>
        <v>0</v>
      </c>
      <c r="BN92" s="33">
        <f>BN91 + IF(Overview!$B$14="Gnome",AD83,AD80) -CL92</f>
        <v>0</v>
      </c>
      <c r="BO92" s="33">
        <f>BO91 + IF(Overview!$B$14="Gnome",AE83,AE80) -CM92</f>
        <v>0</v>
      </c>
      <c r="BP92" s="69">
        <f>BP91 + IF(Overview!$B$14="Gnome",AF83,AF80) -CN92</f>
        <v>0</v>
      </c>
      <c r="BR92" s="442"/>
      <c r="BS92" s="156">
        <f t="shared" si="99"/>
        <v>1000</v>
      </c>
      <c r="BT92" s="574">
        <f t="shared" si="100"/>
        <v>43695.708333333117</v>
      </c>
      <c r="BV92" s="356"/>
      <c r="BW92" s="348"/>
      <c r="BX92" s="348"/>
      <c r="BY92" s="348"/>
      <c r="BZ92" s="348"/>
      <c r="CA92" s="348"/>
      <c r="CB92" s="348"/>
      <c r="CC92" s="348"/>
      <c r="CD92" s="348"/>
      <c r="CE92" s="348"/>
      <c r="CF92" s="348"/>
      <c r="CG92" s="348"/>
      <c r="CH92" s="348"/>
      <c r="CI92" s="348"/>
      <c r="CJ92" s="348"/>
      <c r="CK92" s="348"/>
      <c r="CL92" s="348"/>
      <c r="CM92" s="360"/>
      <c r="CN92" s="357"/>
      <c r="CP92" s="86">
        <f>-SUM($O92:$R92)+SUM($BW92:BZ92)+Rezone!L92+IF(home_land=CP$2,CW92) + Explore!T80</f>
        <v>0</v>
      </c>
      <c r="CQ92" s="37">
        <f>-SUM($S92:$T92)+SUM($CA92:$CB92) +Rezone!M92 + IF(home_land=CQ$2,CW92) + Explore!U80</f>
        <v>0</v>
      </c>
      <c r="CR92" s="247">
        <f>-SUM($U92:$V92)+SUM($CC92:$CD92) +Rezone!N92 + IF(home_land=CR$2,CW92) + Explore!V80</f>
        <v>0</v>
      </c>
      <c r="CS92" s="38">
        <f>-SUM($W92:$Z92)+SUM($CE92:$CH92) +Rezone!O92 + IF(home_land=CS$2,CW92) + Explore!W80</f>
        <v>0</v>
      </c>
      <c r="CT92" s="39">
        <f>-SUM($AA92:$AC92)+SUM($CI92:$CK92) +Rezone!P92 + IF(home_land=CT$2,CW92) + Explore!X80</f>
        <v>0</v>
      </c>
      <c r="CU92" s="40">
        <f xml:space="preserve"> - SUM($AD92,$AE92)+SUM($CL92,$CM92) +Rezone!Q92 + IF(home_land=CU$2,CW92)+Explore!Y80</f>
        <v>0</v>
      </c>
      <c r="CV92" s="500">
        <f>-$AF92+$CN92 +Rezone!R92 + IF(home_land=CV$2,CW92) + Explore!Z80</f>
        <v>0</v>
      </c>
      <c r="CW92" s="159">
        <f>IF(Explore!S92=1,25) - N92 + BV92</f>
        <v>0</v>
      </c>
      <c r="CY92" s="152">
        <f t="shared" si="101"/>
        <v>280</v>
      </c>
      <c r="CZ92" s="164">
        <f t="shared" si="102"/>
        <v>150</v>
      </c>
      <c r="DA92" s="16">
        <f t="shared" si="103"/>
        <v>150</v>
      </c>
      <c r="DB92" s="164">
        <f t="shared" si="104"/>
        <v>150</v>
      </c>
      <c r="DC92" s="164">
        <f t="shared" si="105"/>
        <v>150</v>
      </c>
      <c r="DD92" s="16">
        <f t="shared" si="106"/>
        <v>20</v>
      </c>
      <c r="DE92" s="166">
        <f t="shared" si="107"/>
        <v>100</v>
      </c>
      <c r="DF92" s="164">
        <f t="shared" ca="1" si="108"/>
        <v>280</v>
      </c>
      <c r="DG92" s="16">
        <f t="shared" si="109"/>
        <v>0</v>
      </c>
      <c r="DH92" s="16">
        <f t="shared" si="110"/>
        <v>92</v>
      </c>
      <c r="DI92" s="166"/>
    </row>
    <row r="93" spans="1:113" s="16" customFormat="1">
      <c r="A93" s="36">
        <f t="shared" si="87"/>
        <v>620</v>
      </c>
      <c r="B93" s="36">
        <f t="shared" si="88"/>
        <v>380</v>
      </c>
      <c r="C93" s="83">
        <f t="shared" si="89"/>
        <v>0</v>
      </c>
      <c r="D93" s="574"/>
      <c r="E93" s="16">
        <f t="shared" si="90"/>
        <v>1000</v>
      </c>
      <c r="F93" s="86">
        <f t="shared" si="91"/>
        <v>0</v>
      </c>
      <c r="G93" s="37">
        <f t="shared" si="92"/>
        <v>100</v>
      </c>
      <c r="H93" s="247">
        <f t="shared" si="93"/>
        <v>150</v>
      </c>
      <c r="I93" s="38">
        <f t="shared" si="94"/>
        <v>150</v>
      </c>
      <c r="J93" s="39">
        <f t="shared" si="95"/>
        <v>100</v>
      </c>
      <c r="K93" s="40">
        <f t="shared" si="96"/>
        <v>20</v>
      </c>
      <c r="L93" s="500">
        <f t="shared" si="97"/>
        <v>100</v>
      </c>
      <c r="M93" s="635">
        <f>Rezone!J93</f>
        <v>91</v>
      </c>
      <c r="N93" s="356"/>
      <c r="O93" s="348"/>
      <c r="P93" s="348"/>
      <c r="Q93" s="348"/>
      <c r="R93" s="345"/>
      <c r="S93" s="348"/>
      <c r="T93" s="348"/>
      <c r="U93" s="348"/>
      <c r="V93" s="348"/>
      <c r="W93" s="345"/>
      <c r="X93" s="345"/>
      <c r="Y93" s="348"/>
      <c r="Z93" s="345"/>
      <c r="AA93" s="348"/>
      <c r="AB93" s="348"/>
      <c r="AC93" s="345"/>
      <c r="AD93" s="348"/>
      <c r="AE93" s="348"/>
      <c r="AF93" s="336"/>
      <c r="AG93" s="532">
        <f t="shared" si="98"/>
        <v>43695.749999999782</v>
      </c>
      <c r="AH93" s="91">
        <f>MIN(25%,(BG93+CE93)/(E93-Explore!S93*20))</f>
        <v>0</v>
      </c>
      <c r="AI93" s="59">
        <f t="shared" si="83"/>
        <v>0</v>
      </c>
      <c r="AJ93" s="56">
        <f ca="1">Production!$H93</f>
        <v>3906101</v>
      </c>
      <c r="AK93" s="57">
        <f ca="1">Production!$J93</f>
        <v>271205</v>
      </c>
      <c r="AL93" s="152">
        <f ca="1">ROUND( (1 - MIN(facs_constr_factor*$AH93,facs_constr_max)) * (1+MIN(tech_construction*Techs!AC93,tech_conquerors_crafts*Techs!AS93)) * AU93*(1+race_construction_cost),0)</f>
        <v>1615</v>
      </c>
      <c r="AM93" s="166">
        <f t="shared" si="80"/>
        <v>263</v>
      </c>
      <c r="AN93" s="152">
        <f ca="1">ROUND( (1 - MIN(facs_constr_factor*$AI93,facs_constr_max)) * (1+MIN(tech_construction*Techs!AE93,tech_conquerors_crafts*Techs!AU93)) * AU93*(1+race_construction_cost),0)</f>
        <v>1615</v>
      </c>
      <c r="AO93" s="166">
        <f t="shared" si="84"/>
        <v>263</v>
      </c>
      <c r="AP93" s="16">
        <f t="shared" ca="1" si="111"/>
        <v>0</v>
      </c>
      <c r="AQ93" s="53">
        <f t="shared" si="112"/>
        <v>0</v>
      </c>
      <c r="AR93" s="16">
        <f>MIN(SUM(F92:L92)+SUM(Explore!T81:Z81)+SUM(BV93:CN93),SUM($N93:$AF93))</f>
        <v>0</v>
      </c>
      <c r="AS93" s="16">
        <f>IF(Explore!S93&lt;&gt;0,MAX(0, MIN(20, 20 + SUM(N93:AF93) - SUM(BV93:CN93) - SUM(F92:L92)-SUM(Explore!T81:Z81)-20*Explore!S93)),0)</f>
        <v>0</v>
      </c>
      <c r="AU93" s="152">
        <f t="shared" si="85"/>
        <v>1615</v>
      </c>
      <c r="AV93" s="166">
        <f t="shared" si="86"/>
        <v>262.5</v>
      </c>
      <c r="AW93" s="164"/>
      <c r="AX93" s="295">
        <f>AX92 + IF(Overview!$B$14="Gnome",N84,N81) -BV93</f>
        <v>0</v>
      </c>
      <c r="AY93" s="28">
        <f>AY92 + IF(Overview!$B$14="Gnome",O84,O81) -BW93</f>
        <v>0</v>
      </c>
      <c r="AZ93" s="28">
        <f>AZ92 + IF(Overview!$B$14="Gnome",P84,P81) -BX93</f>
        <v>80</v>
      </c>
      <c r="BA93" s="28">
        <f>BA92 + IF(Overview!$B$14="Gnome",Q84,Q81) -BY93</f>
        <v>200</v>
      </c>
      <c r="BB93" s="28">
        <f>BB92 + IF(Overview!$B$14="Gnome",R84,R81) -BZ93</f>
        <v>0</v>
      </c>
      <c r="BC93" s="29">
        <f>BC92 + IF(Overview!$B$14="Gnome",S84,S81) -CA93</f>
        <v>50</v>
      </c>
      <c r="BD93" s="29">
        <f>BD92 + IF(Overview!$B$14="Gnome",T84,T81) -CB93</f>
        <v>0</v>
      </c>
      <c r="BE93" s="30">
        <f>BE92 + IF(Overview!$B$14="Gnome",U84,U81) -CC93</f>
        <v>0</v>
      </c>
      <c r="BF93" s="30">
        <f>BF92 + IF(Overview!$B$14="Gnome",V84,V81) -CD93</f>
        <v>0</v>
      </c>
      <c r="BG93" s="31">
        <f>BG92 + IF(Overview!$B$14="Gnome",W84,W81) -CE93</f>
        <v>0</v>
      </c>
      <c r="BH93" s="31">
        <f>BH92 + IF(Overview!$B$14="Gnome",X84,X81) -CF93</f>
        <v>0</v>
      </c>
      <c r="BI93" s="31">
        <f>BI92 + IF(Overview!$B$14="Gnome",Y84,Y81) -CG93</f>
        <v>0</v>
      </c>
      <c r="BJ93" s="31">
        <f>BJ92 + IF(Overview!$B$14="Gnome",Z84,Z81) -CH93</f>
        <v>0</v>
      </c>
      <c r="BK93" s="32">
        <f>BK92 + IF(Overview!$B$14="Gnome",AA84,AA81) -CI93</f>
        <v>50</v>
      </c>
      <c r="BL93" s="32">
        <f>BL92 + IF(Overview!$B$14="Gnome",AB84,AB81) -CJ93</f>
        <v>0</v>
      </c>
      <c r="BM93" s="32">
        <f>BM92 + IF(Overview!$B$14="Gnome",AC84,AC81) -CK93</f>
        <v>0</v>
      </c>
      <c r="BN93" s="33">
        <f>BN92 + IF(Overview!$B$14="Gnome",AD84,AD81) -CL93</f>
        <v>0</v>
      </c>
      <c r="BO93" s="33">
        <f>BO92 + IF(Overview!$B$14="Gnome",AE84,AE81) -CM93</f>
        <v>0</v>
      </c>
      <c r="BP93" s="69">
        <f>BP92 + IF(Overview!$B$14="Gnome",AF84,AF81) -CN93</f>
        <v>0</v>
      </c>
      <c r="BR93" s="442"/>
      <c r="BS93" s="156">
        <f t="shared" si="99"/>
        <v>1000</v>
      </c>
      <c r="BT93" s="574">
        <f t="shared" si="100"/>
        <v>43695.749999999782</v>
      </c>
      <c r="BV93" s="356"/>
      <c r="BW93" s="348"/>
      <c r="BX93" s="348"/>
      <c r="BY93" s="348"/>
      <c r="BZ93" s="348"/>
      <c r="CA93" s="348"/>
      <c r="CB93" s="348"/>
      <c r="CC93" s="348"/>
      <c r="CD93" s="348"/>
      <c r="CE93" s="348"/>
      <c r="CF93" s="348"/>
      <c r="CG93" s="348"/>
      <c r="CH93" s="348"/>
      <c r="CI93" s="348"/>
      <c r="CJ93" s="348"/>
      <c r="CK93" s="348"/>
      <c r="CL93" s="348"/>
      <c r="CM93" s="360"/>
      <c r="CN93" s="357"/>
      <c r="CP93" s="86">
        <f>-SUM($O93:$R93)+SUM($BW93:BZ93)+Rezone!L93+IF(home_land=CP$2,CW93) + Explore!T81</f>
        <v>0</v>
      </c>
      <c r="CQ93" s="37">
        <f>-SUM($S93:$T93)+SUM($CA93:$CB93) +Rezone!M93 + IF(home_land=CQ$2,CW93) + Explore!U81</f>
        <v>0</v>
      </c>
      <c r="CR93" s="247">
        <f>-SUM($U93:$V93)+SUM($CC93:$CD93) +Rezone!N93 + IF(home_land=CR$2,CW93) + Explore!V81</f>
        <v>0</v>
      </c>
      <c r="CS93" s="38">
        <f>-SUM($W93:$Z93)+SUM($CE93:$CH93) +Rezone!O93 + IF(home_land=CS$2,CW93) + Explore!W81</f>
        <v>0</v>
      </c>
      <c r="CT93" s="39">
        <f>-SUM($AA93:$AC93)+SUM($CI93:$CK93) +Rezone!P93 + IF(home_land=CT$2,CW93) + Explore!X81</f>
        <v>0</v>
      </c>
      <c r="CU93" s="40">
        <f xml:space="preserve"> - SUM($AD93,$AE93)+SUM($CL93,$CM93) +Rezone!Q93 + IF(home_land=CU$2,CW93)+Explore!Y81</f>
        <v>0</v>
      </c>
      <c r="CV93" s="500">
        <f>-$AF93+$CN93 +Rezone!R93 + IF(home_land=CV$2,CW93) + Explore!Z81</f>
        <v>0</v>
      </c>
      <c r="CW93" s="159">
        <f>IF(Explore!S93=1,25) - N93 + BV93</f>
        <v>0</v>
      </c>
      <c r="CY93" s="152">
        <f t="shared" si="101"/>
        <v>280</v>
      </c>
      <c r="CZ93" s="164">
        <f t="shared" si="102"/>
        <v>150</v>
      </c>
      <c r="DA93" s="16">
        <f t="shared" si="103"/>
        <v>150</v>
      </c>
      <c r="DB93" s="164">
        <f t="shared" si="104"/>
        <v>150</v>
      </c>
      <c r="DC93" s="164">
        <f t="shared" si="105"/>
        <v>150</v>
      </c>
      <c r="DD93" s="16">
        <f t="shared" si="106"/>
        <v>20</v>
      </c>
      <c r="DE93" s="166">
        <f t="shared" si="107"/>
        <v>100</v>
      </c>
      <c r="DF93" s="164">
        <f t="shared" ca="1" si="108"/>
        <v>280</v>
      </c>
      <c r="DG93" s="16">
        <f t="shared" si="109"/>
        <v>0</v>
      </c>
      <c r="DH93" s="16">
        <f t="shared" si="110"/>
        <v>93</v>
      </c>
      <c r="DI93" s="166"/>
    </row>
    <row r="94" spans="1:113" s="16" customFormat="1">
      <c r="A94" s="36">
        <f t="shared" si="87"/>
        <v>620</v>
      </c>
      <c r="B94" s="36">
        <f t="shared" si="88"/>
        <v>380</v>
      </c>
      <c r="C94" s="83">
        <f t="shared" si="89"/>
        <v>0</v>
      </c>
      <c r="D94" s="574"/>
      <c r="E94" s="16">
        <f t="shared" si="90"/>
        <v>1000</v>
      </c>
      <c r="F94" s="86">
        <f t="shared" si="91"/>
        <v>0</v>
      </c>
      <c r="G94" s="37">
        <f t="shared" si="92"/>
        <v>100</v>
      </c>
      <c r="H94" s="247">
        <f t="shared" si="93"/>
        <v>150</v>
      </c>
      <c r="I94" s="38">
        <f t="shared" si="94"/>
        <v>150</v>
      </c>
      <c r="J94" s="39">
        <f t="shared" si="95"/>
        <v>100</v>
      </c>
      <c r="K94" s="40">
        <f t="shared" si="96"/>
        <v>20</v>
      </c>
      <c r="L94" s="500">
        <f t="shared" si="97"/>
        <v>100</v>
      </c>
      <c r="M94" s="635">
        <f>Rezone!J94</f>
        <v>92</v>
      </c>
      <c r="N94" s="356"/>
      <c r="O94" s="348"/>
      <c r="P94" s="348"/>
      <c r="Q94" s="348"/>
      <c r="R94" s="345"/>
      <c r="S94" s="348"/>
      <c r="T94" s="348"/>
      <c r="U94" s="348"/>
      <c r="V94" s="348"/>
      <c r="W94" s="345"/>
      <c r="X94" s="345"/>
      <c r="Y94" s="348"/>
      <c r="Z94" s="345"/>
      <c r="AA94" s="348"/>
      <c r="AB94" s="348"/>
      <c r="AC94" s="345"/>
      <c r="AD94" s="348"/>
      <c r="AE94" s="348"/>
      <c r="AF94" s="336"/>
      <c r="AG94" s="532">
        <f t="shared" si="98"/>
        <v>43695.791666666446</v>
      </c>
      <c r="AH94" s="91">
        <f>MIN(25%,(BG94+CE94)/(E94-Explore!S94*20))</f>
        <v>0</v>
      </c>
      <c r="AI94" s="59">
        <f t="shared" si="83"/>
        <v>0</v>
      </c>
      <c r="AJ94" s="56">
        <f ca="1">Production!$H94</f>
        <v>3916752</v>
      </c>
      <c r="AK94" s="57">
        <f ca="1">Production!$J94</f>
        <v>270993</v>
      </c>
      <c r="AL94" s="152">
        <f ca="1">ROUND( (1 - MIN(facs_constr_factor*$AH94,facs_constr_max)) * (1+MIN(tech_construction*Techs!AC94,tech_conquerors_crafts*Techs!AS94)) * AU94*(1+race_construction_cost),0)</f>
        <v>1615</v>
      </c>
      <c r="AM94" s="166">
        <f t="shared" si="80"/>
        <v>263</v>
      </c>
      <c r="AN94" s="152">
        <f ca="1">ROUND( (1 - MIN(facs_constr_factor*$AI94,facs_constr_max)) * (1+MIN(tech_construction*Techs!AE94,tech_conquerors_crafts*Techs!AU94)) * AU94*(1+race_construction_cost),0)</f>
        <v>1615</v>
      </c>
      <c r="AO94" s="166">
        <f t="shared" si="84"/>
        <v>263</v>
      </c>
      <c r="AP94" s="16">
        <f t="shared" ca="1" si="111"/>
        <v>0</v>
      </c>
      <c r="AQ94" s="53">
        <f t="shared" si="112"/>
        <v>0</v>
      </c>
      <c r="AR94" s="16">
        <f>MIN(SUM(F93:L93)+SUM(Explore!T82:Z82)+SUM(BV94:CN94),SUM($N94:$AF94))</f>
        <v>0</v>
      </c>
      <c r="AS94" s="16">
        <f>IF(Explore!S94&lt;&gt;0,MAX(0, MIN(20, 20 + SUM(N94:AF94) - SUM(BV94:CN94) - SUM(F93:L93)-SUM(Explore!T82:Z82)-20*Explore!S94)),0)</f>
        <v>0</v>
      </c>
      <c r="AU94" s="152">
        <f t="shared" si="85"/>
        <v>1615</v>
      </c>
      <c r="AV94" s="166">
        <f t="shared" si="86"/>
        <v>262.5</v>
      </c>
      <c r="AW94" s="164"/>
      <c r="AX94" s="295">
        <f>AX93 + IF(Overview!$B$14="Gnome",N85,N82) -BV94</f>
        <v>0</v>
      </c>
      <c r="AY94" s="28">
        <f>AY93 + IF(Overview!$B$14="Gnome",O85,O82) -BW94</f>
        <v>0</v>
      </c>
      <c r="AZ94" s="28">
        <f>AZ93 + IF(Overview!$B$14="Gnome",P85,P82) -BX94</f>
        <v>80</v>
      </c>
      <c r="BA94" s="28">
        <f>BA93 + IF(Overview!$B$14="Gnome",Q85,Q82) -BY94</f>
        <v>200</v>
      </c>
      <c r="BB94" s="28">
        <f>BB93 + IF(Overview!$B$14="Gnome",R85,R82) -BZ94</f>
        <v>0</v>
      </c>
      <c r="BC94" s="29">
        <f>BC93 + IF(Overview!$B$14="Gnome",S85,S82) -CA94</f>
        <v>50</v>
      </c>
      <c r="BD94" s="29">
        <f>BD93 + IF(Overview!$B$14="Gnome",T85,T82) -CB94</f>
        <v>0</v>
      </c>
      <c r="BE94" s="30">
        <f>BE93 + IF(Overview!$B$14="Gnome",U85,U82) -CC94</f>
        <v>0</v>
      </c>
      <c r="BF94" s="30">
        <f>BF93 + IF(Overview!$B$14="Gnome",V85,V82) -CD94</f>
        <v>0</v>
      </c>
      <c r="BG94" s="31">
        <f>BG93 + IF(Overview!$B$14="Gnome",W85,W82) -CE94</f>
        <v>0</v>
      </c>
      <c r="BH94" s="31">
        <f>BH93 + IF(Overview!$B$14="Gnome",X85,X82) -CF94</f>
        <v>0</v>
      </c>
      <c r="BI94" s="31">
        <f>BI93 + IF(Overview!$B$14="Gnome",Y85,Y82) -CG94</f>
        <v>0</v>
      </c>
      <c r="BJ94" s="31">
        <f>BJ93 + IF(Overview!$B$14="Gnome",Z85,Z82) -CH94</f>
        <v>0</v>
      </c>
      <c r="BK94" s="32">
        <f>BK93 + IF(Overview!$B$14="Gnome",AA85,AA82) -CI94</f>
        <v>50</v>
      </c>
      <c r="BL94" s="32">
        <f>BL93 + IF(Overview!$B$14="Gnome",AB85,AB82) -CJ94</f>
        <v>0</v>
      </c>
      <c r="BM94" s="32">
        <f>BM93 + IF(Overview!$B$14="Gnome",AC85,AC82) -CK94</f>
        <v>0</v>
      </c>
      <c r="BN94" s="33">
        <f>BN93 + IF(Overview!$B$14="Gnome",AD85,AD82) -CL94</f>
        <v>0</v>
      </c>
      <c r="BO94" s="33">
        <f>BO93 + IF(Overview!$B$14="Gnome",AE85,AE82) -CM94</f>
        <v>0</v>
      </c>
      <c r="BP94" s="69">
        <f>BP93 + IF(Overview!$B$14="Gnome",AF85,AF82) -CN94</f>
        <v>0</v>
      </c>
      <c r="BR94" s="442"/>
      <c r="BS94" s="156">
        <f t="shared" si="99"/>
        <v>1000</v>
      </c>
      <c r="BT94" s="574">
        <f t="shared" si="100"/>
        <v>43695.791666666446</v>
      </c>
      <c r="BV94" s="356"/>
      <c r="BW94" s="348"/>
      <c r="BX94" s="348"/>
      <c r="BY94" s="348"/>
      <c r="BZ94" s="348"/>
      <c r="CA94" s="348"/>
      <c r="CB94" s="348"/>
      <c r="CC94" s="348"/>
      <c r="CD94" s="348"/>
      <c r="CE94" s="348"/>
      <c r="CF94" s="348"/>
      <c r="CG94" s="348"/>
      <c r="CH94" s="348"/>
      <c r="CI94" s="348"/>
      <c r="CJ94" s="348"/>
      <c r="CK94" s="348"/>
      <c r="CL94" s="348"/>
      <c r="CM94" s="360"/>
      <c r="CN94" s="357"/>
      <c r="CP94" s="86">
        <f>-SUM($O94:$R94)+SUM($BW94:BZ94)+Rezone!L94+IF(home_land=CP$2,CW94) + Explore!T82</f>
        <v>0</v>
      </c>
      <c r="CQ94" s="37">
        <f>-SUM($S94:$T94)+SUM($CA94:$CB94) +Rezone!M94 + IF(home_land=CQ$2,CW94) + Explore!U82</f>
        <v>0</v>
      </c>
      <c r="CR94" s="247">
        <f>-SUM($U94:$V94)+SUM($CC94:$CD94) +Rezone!N94 + IF(home_land=CR$2,CW94) + Explore!V82</f>
        <v>0</v>
      </c>
      <c r="CS94" s="38">
        <f>-SUM($W94:$Z94)+SUM($CE94:$CH94) +Rezone!O94 + IF(home_land=CS$2,CW94) + Explore!W82</f>
        <v>0</v>
      </c>
      <c r="CT94" s="39">
        <f>-SUM($AA94:$AC94)+SUM($CI94:$CK94) +Rezone!P94 + IF(home_land=CT$2,CW94) + Explore!X82</f>
        <v>0</v>
      </c>
      <c r="CU94" s="40">
        <f xml:space="preserve"> - SUM($AD94,$AE94)+SUM($CL94,$CM94) +Rezone!Q94 + IF(home_land=CU$2,CW94)+Explore!Y82</f>
        <v>0</v>
      </c>
      <c r="CV94" s="500">
        <f>-$AF94+$CN94 +Rezone!R94 + IF(home_land=CV$2,CW94) + Explore!Z82</f>
        <v>0</v>
      </c>
      <c r="CW94" s="159">
        <f>IF(Explore!S94=1,25) - N94 + BV94</f>
        <v>0</v>
      </c>
      <c r="CY94" s="152">
        <f t="shared" si="101"/>
        <v>280</v>
      </c>
      <c r="CZ94" s="164">
        <f t="shared" si="102"/>
        <v>150</v>
      </c>
      <c r="DA94" s="16">
        <f t="shared" si="103"/>
        <v>150</v>
      </c>
      <c r="DB94" s="164">
        <f t="shared" si="104"/>
        <v>150</v>
      </c>
      <c r="DC94" s="164">
        <f t="shared" si="105"/>
        <v>150</v>
      </c>
      <c r="DD94" s="16">
        <f t="shared" si="106"/>
        <v>20</v>
      </c>
      <c r="DE94" s="166">
        <f t="shared" si="107"/>
        <v>100</v>
      </c>
      <c r="DF94" s="164">
        <f t="shared" ca="1" si="108"/>
        <v>280</v>
      </c>
      <c r="DG94" s="16">
        <f t="shared" si="109"/>
        <v>0</v>
      </c>
      <c r="DH94" s="16">
        <f t="shared" si="110"/>
        <v>94</v>
      </c>
      <c r="DI94" s="166"/>
    </row>
    <row r="95" spans="1:113" s="16" customFormat="1">
      <c r="A95" s="36">
        <f t="shared" si="87"/>
        <v>620</v>
      </c>
      <c r="B95" s="36">
        <f t="shared" si="88"/>
        <v>380</v>
      </c>
      <c r="C95" s="83">
        <f t="shared" si="89"/>
        <v>0</v>
      </c>
      <c r="D95" s="574"/>
      <c r="E95" s="16">
        <f t="shared" si="90"/>
        <v>1000</v>
      </c>
      <c r="F95" s="86">
        <f t="shared" si="91"/>
        <v>0</v>
      </c>
      <c r="G95" s="37">
        <f t="shared" si="92"/>
        <v>100</v>
      </c>
      <c r="H95" s="247">
        <f t="shared" si="93"/>
        <v>150</v>
      </c>
      <c r="I95" s="38">
        <f t="shared" si="94"/>
        <v>150</v>
      </c>
      <c r="J95" s="39">
        <f t="shared" si="95"/>
        <v>100</v>
      </c>
      <c r="K95" s="40">
        <f t="shared" si="96"/>
        <v>20</v>
      </c>
      <c r="L95" s="500">
        <f t="shared" si="97"/>
        <v>100</v>
      </c>
      <c r="M95" s="635">
        <f>Rezone!J95</f>
        <v>93</v>
      </c>
      <c r="N95" s="356"/>
      <c r="O95" s="348"/>
      <c r="P95" s="348"/>
      <c r="Q95" s="376"/>
      <c r="R95" s="345"/>
      <c r="S95" s="348"/>
      <c r="T95" s="348"/>
      <c r="U95" s="348"/>
      <c r="V95" s="348"/>
      <c r="W95" s="345"/>
      <c r="X95" s="345"/>
      <c r="Y95" s="348"/>
      <c r="Z95" s="345"/>
      <c r="AA95" s="348"/>
      <c r="AB95" s="348"/>
      <c r="AC95" s="345"/>
      <c r="AD95" s="348"/>
      <c r="AE95" s="348"/>
      <c r="AF95" s="336"/>
      <c r="AG95" s="532">
        <f t="shared" si="98"/>
        <v>43695.83333333311</v>
      </c>
      <c r="AH95" s="91">
        <f>MIN(25%,(BG95+CE95)/(E95-Explore!S95*20))</f>
        <v>0</v>
      </c>
      <c r="AI95" s="59">
        <f t="shared" si="83"/>
        <v>0</v>
      </c>
      <c r="AJ95" s="56">
        <f ca="1">Production!$H95</f>
        <v>3927403</v>
      </c>
      <c r="AK95" s="57">
        <f ca="1">Production!$J95</f>
        <v>270783</v>
      </c>
      <c r="AL95" s="152">
        <f ca="1">ROUND( (1 - MIN(facs_constr_factor*$AH95,facs_constr_max)) * (1+MIN(tech_construction*Techs!AC95,tech_conquerors_crafts*Techs!AS95)) * AU95*(1+race_construction_cost),0)</f>
        <v>1615</v>
      </c>
      <c r="AM95" s="166">
        <f t="shared" si="80"/>
        <v>263</v>
      </c>
      <c r="AN95" s="152">
        <f ca="1">ROUND( (1 - MIN(facs_constr_factor*$AI95,facs_constr_max)) * (1+MIN(tech_construction*Techs!AE95,tech_conquerors_crafts*Techs!AU95)) * AU95*(1+race_construction_cost),0)</f>
        <v>1615</v>
      </c>
      <c r="AO95" s="166">
        <f t="shared" si="84"/>
        <v>263</v>
      </c>
      <c r="AP95" s="16">
        <f t="shared" ca="1" si="111"/>
        <v>0</v>
      </c>
      <c r="AQ95" s="53">
        <f t="shared" si="112"/>
        <v>0</v>
      </c>
      <c r="AR95" s="16">
        <f>MIN(SUM(F94:L94)+SUM(Explore!T83:Z83)+SUM(BV95:CN95),SUM($N95:$AF95))</f>
        <v>0</v>
      </c>
      <c r="AS95" s="16">
        <f>IF(Explore!S95&lt;&gt;0,MAX(0, MIN(20, 20 + SUM(N95:AF95) - SUM(BV95:CN95) - SUM(F94:L94)-SUM(Explore!T83:Z83)-20*Explore!S95)),0)</f>
        <v>0</v>
      </c>
      <c r="AU95" s="152">
        <f t="shared" si="85"/>
        <v>1615</v>
      </c>
      <c r="AV95" s="166">
        <f t="shared" si="86"/>
        <v>262.5</v>
      </c>
      <c r="AW95" s="164"/>
      <c r="AX95" s="295">
        <f>AX94 + IF(Overview!$B$14="Gnome",N86,N83) -BV95</f>
        <v>0</v>
      </c>
      <c r="AY95" s="28">
        <f>AY94 + IF(Overview!$B$14="Gnome",O86,O83) -BW95</f>
        <v>0</v>
      </c>
      <c r="AZ95" s="28">
        <f>AZ94 + IF(Overview!$B$14="Gnome",P86,P83) -BX95</f>
        <v>80</v>
      </c>
      <c r="BA95" s="28">
        <f>BA94 + IF(Overview!$B$14="Gnome",Q86,Q83) -BY95</f>
        <v>200</v>
      </c>
      <c r="BB95" s="28">
        <f>BB94 + IF(Overview!$B$14="Gnome",R86,R83) -BZ95</f>
        <v>0</v>
      </c>
      <c r="BC95" s="29">
        <f>BC94 + IF(Overview!$B$14="Gnome",S86,S83) -CA95</f>
        <v>50</v>
      </c>
      <c r="BD95" s="29">
        <f>BD94 + IF(Overview!$B$14="Gnome",T86,T83) -CB95</f>
        <v>0</v>
      </c>
      <c r="BE95" s="30">
        <f>BE94 + IF(Overview!$B$14="Gnome",U86,U83) -CC95</f>
        <v>0</v>
      </c>
      <c r="BF95" s="30">
        <f>BF94 + IF(Overview!$B$14="Gnome",V86,V83) -CD95</f>
        <v>0</v>
      </c>
      <c r="BG95" s="31">
        <f>BG94 + IF(Overview!$B$14="Gnome",W86,W83) -CE95</f>
        <v>0</v>
      </c>
      <c r="BH95" s="31">
        <f>BH94 + IF(Overview!$B$14="Gnome",X86,X83) -CF95</f>
        <v>0</v>
      </c>
      <c r="BI95" s="31">
        <f>BI94 + IF(Overview!$B$14="Gnome",Y86,Y83) -CG95</f>
        <v>0</v>
      </c>
      <c r="BJ95" s="31">
        <f>BJ94 + IF(Overview!$B$14="Gnome",Z86,Z83) -CH95</f>
        <v>0</v>
      </c>
      <c r="BK95" s="32">
        <f>BK94 + IF(Overview!$B$14="Gnome",AA86,AA83) -CI95</f>
        <v>50</v>
      </c>
      <c r="BL95" s="32">
        <f>BL94 + IF(Overview!$B$14="Gnome",AB86,AB83) -CJ95</f>
        <v>0</v>
      </c>
      <c r="BM95" s="32">
        <f>BM94 + IF(Overview!$B$14="Gnome",AC86,AC83) -CK95</f>
        <v>0</v>
      </c>
      <c r="BN95" s="33">
        <f>BN94 + IF(Overview!$B$14="Gnome",AD86,AD83) -CL95</f>
        <v>0</v>
      </c>
      <c r="BO95" s="33">
        <f>BO94 + IF(Overview!$B$14="Gnome",AE86,AE83) -CM95</f>
        <v>0</v>
      </c>
      <c r="BP95" s="69">
        <f>BP94 + IF(Overview!$B$14="Gnome",AF86,AF83) -CN95</f>
        <v>0</v>
      </c>
      <c r="BR95" s="442"/>
      <c r="BS95" s="156">
        <f t="shared" si="99"/>
        <v>1000</v>
      </c>
      <c r="BT95" s="574">
        <f t="shared" si="100"/>
        <v>43695.83333333311</v>
      </c>
      <c r="BV95" s="356"/>
      <c r="BW95" s="348"/>
      <c r="BX95" s="348"/>
      <c r="BY95" s="348"/>
      <c r="BZ95" s="348"/>
      <c r="CA95" s="348"/>
      <c r="CB95" s="348"/>
      <c r="CC95" s="348"/>
      <c r="CD95" s="348"/>
      <c r="CE95" s="348"/>
      <c r="CF95" s="348"/>
      <c r="CG95" s="348"/>
      <c r="CH95" s="348"/>
      <c r="CI95" s="348"/>
      <c r="CJ95" s="348"/>
      <c r="CK95" s="348"/>
      <c r="CL95" s="348"/>
      <c r="CM95" s="360"/>
      <c r="CN95" s="357"/>
      <c r="CP95" s="86">
        <f>-SUM($O95:$R95)+SUM($BW95:BZ95)+Rezone!L95+IF(home_land=CP$2,CW95) + Explore!T83</f>
        <v>0</v>
      </c>
      <c r="CQ95" s="37">
        <f>-SUM($S95:$T95)+SUM($CA95:$CB95) +Rezone!M95 + IF(home_land=CQ$2,CW95) + Explore!U83</f>
        <v>0</v>
      </c>
      <c r="CR95" s="247">
        <f>-SUM($U95:$V95)+SUM($CC95:$CD95) +Rezone!N95 + IF(home_land=CR$2,CW95) + Explore!V83</f>
        <v>0</v>
      </c>
      <c r="CS95" s="38">
        <f>-SUM($W95:$Z95)+SUM($CE95:$CH95) +Rezone!O95 + IF(home_land=CS$2,CW95) + Explore!W83</f>
        <v>0</v>
      </c>
      <c r="CT95" s="39">
        <f>-SUM($AA95:$AC95)+SUM($CI95:$CK95) +Rezone!P95 + IF(home_land=CT$2,CW95) + Explore!X83</f>
        <v>0</v>
      </c>
      <c r="CU95" s="40">
        <f xml:space="preserve"> - SUM($AD95,$AE95)+SUM($CL95,$CM95) +Rezone!Q95 + IF(home_land=CU$2,CW95)+Explore!Y83</f>
        <v>0</v>
      </c>
      <c r="CV95" s="500">
        <f>-$AF95+$CN95 +Rezone!R95 + IF(home_land=CV$2,CW95) + Explore!Z83</f>
        <v>0</v>
      </c>
      <c r="CW95" s="159">
        <f>IF(Explore!S95=1,25) - N95 + BV95</f>
        <v>0</v>
      </c>
      <c r="CY95" s="152">
        <f t="shared" si="101"/>
        <v>280</v>
      </c>
      <c r="CZ95" s="164">
        <f t="shared" si="102"/>
        <v>150</v>
      </c>
      <c r="DA95" s="16">
        <f t="shared" si="103"/>
        <v>150</v>
      </c>
      <c r="DB95" s="164">
        <f t="shared" si="104"/>
        <v>150</v>
      </c>
      <c r="DC95" s="164">
        <f t="shared" si="105"/>
        <v>150</v>
      </c>
      <c r="DD95" s="16">
        <f t="shared" si="106"/>
        <v>20</v>
      </c>
      <c r="DE95" s="166">
        <f t="shared" si="107"/>
        <v>100</v>
      </c>
      <c r="DF95" s="164">
        <f t="shared" ca="1" si="108"/>
        <v>280</v>
      </c>
      <c r="DG95" s="16">
        <f t="shared" si="109"/>
        <v>0</v>
      </c>
      <c r="DH95" s="16">
        <f t="shared" si="110"/>
        <v>95</v>
      </c>
      <c r="DI95" s="166"/>
    </row>
    <row r="96" spans="1:113" s="16" customFormat="1">
      <c r="A96" s="36">
        <f t="shared" si="87"/>
        <v>620</v>
      </c>
      <c r="B96" s="36">
        <f t="shared" si="88"/>
        <v>380</v>
      </c>
      <c r="C96" s="83">
        <f t="shared" si="89"/>
        <v>0</v>
      </c>
      <c r="D96" s="574"/>
      <c r="E96" s="16">
        <f t="shared" si="90"/>
        <v>1000</v>
      </c>
      <c r="F96" s="86">
        <f t="shared" si="91"/>
        <v>0</v>
      </c>
      <c r="G96" s="37">
        <f t="shared" si="92"/>
        <v>100</v>
      </c>
      <c r="H96" s="247">
        <f t="shared" si="93"/>
        <v>150</v>
      </c>
      <c r="I96" s="38">
        <f t="shared" si="94"/>
        <v>150</v>
      </c>
      <c r="J96" s="39">
        <f t="shared" si="95"/>
        <v>100</v>
      </c>
      <c r="K96" s="40">
        <f t="shared" si="96"/>
        <v>20</v>
      </c>
      <c r="L96" s="500">
        <f t="shared" si="97"/>
        <v>100</v>
      </c>
      <c r="M96" s="635">
        <f>Rezone!J96</f>
        <v>94</v>
      </c>
      <c r="N96" s="356"/>
      <c r="O96" s="348"/>
      <c r="P96" s="348"/>
      <c r="Q96" s="376"/>
      <c r="R96" s="345"/>
      <c r="S96" s="348"/>
      <c r="T96" s="348"/>
      <c r="U96" s="348"/>
      <c r="V96" s="348"/>
      <c r="W96" s="345"/>
      <c r="X96" s="345"/>
      <c r="Y96" s="348"/>
      <c r="Z96" s="345"/>
      <c r="AA96" s="348"/>
      <c r="AB96" s="348"/>
      <c r="AC96" s="345"/>
      <c r="AD96" s="348"/>
      <c r="AE96" s="348"/>
      <c r="AF96" s="336"/>
      <c r="AG96" s="532">
        <f t="shared" si="98"/>
        <v>43695.874999999774</v>
      </c>
      <c r="AH96" s="91">
        <f>MIN(25%,(BG96+CE96)/(E96-Explore!S96*20))</f>
        <v>0</v>
      </c>
      <c r="AI96" s="59">
        <f t="shared" si="83"/>
        <v>0</v>
      </c>
      <c r="AJ96" s="56">
        <f ca="1">Production!$H96</f>
        <v>3938054</v>
      </c>
      <c r="AK96" s="57">
        <f ca="1">Production!$J96</f>
        <v>270575</v>
      </c>
      <c r="AL96" s="152">
        <f ca="1">ROUND( (1 - MIN(facs_constr_factor*$AH96,facs_constr_max)) * (1+MIN(tech_construction*Techs!AC96,tech_conquerors_crafts*Techs!AS96)) * AU96*(1+race_construction_cost),0)</f>
        <v>1615</v>
      </c>
      <c r="AM96" s="166">
        <f t="shared" si="80"/>
        <v>263</v>
      </c>
      <c r="AN96" s="152">
        <f ca="1">ROUND( (1 - MIN(facs_constr_factor*$AI96,facs_constr_max)) * (1+MIN(tech_construction*Techs!AE96,tech_conquerors_crafts*Techs!AU96)) * AU96*(1+race_construction_cost),0)</f>
        <v>1615</v>
      </c>
      <c r="AO96" s="166">
        <f t="shared" si="84"/>
        <v>263</v>
      </c>
      <c r="AP96" s="16">
        <f t="shared" ca="1" si="111"/>
        <v>0</v>
      </c>
      <c r="AQ96" s="53">
        <f t="shared" si="112"/>
        <v>0</v>
      </c>
      <c r="AR96" s="16">
        <f>MIN(SUM(F95:L95)+SUM(Explore!T84:Z84)+SUM(BV96:CN96),SUM($N96:$AF96))</f>
        <v>0</v>
      </c>
      <c r="AS96" s="16">
        <f>IF(Explore!S96&lt;&gt;0,MAX(0, MIN(20, 20 + SUM(N96:AF96) - SUM(BV96:CN96) - SUM(F95:L95)-SUM(Explore!T84:Z84)-20*Explore!S96)),0)</f>
        <v>0</v>
      </c>
      <c r="AU96" s="152">
        <f t="shared" si="85"/>
        <v>1615</v>
      </c>
      <c r="AV96" s="166">
        <f t="shared" si="86"/>
        <v>262.5</v>
      </c>
      <c r="AW96" s="164"/>
      <c r="AX96" s="295">
        <f>AX95 + IF(Overview!$B$14="Gnome",N87,N84) -BV96</f>
        <v>0</v>
      </c>
      <c r="AY96" s="28">
        <f>AY95 + IF(Overview!$B$14="Gnome",O87,O84) -BW96</f>
        <v>0</v>
      </c>
      <c r="AZ96" s="28">
        <f>AZ95 + IF(Overview!$B$14="Gnome",P87,P84) -BX96</f>
        <v>80</v>
      </c>
      <c r="BA96" s="28">
        <f>BA95 + IF(Overview!$B$14="Gnome",Q87,Q84) -BY96</f>
        <v>200</v>
      </c>
      <c r="BB96" s="28">
        <f>BB95 + IF(Overview!$B$14="Gnome",R87,R84) -BZ96</f>
        <v>0</v>
      </c>
      <c r="BC96" s="29">
        <f>BC95 + IF(Overview!$B$14="Gnome",S87,S84) -CA96</f>
        <v>50</v>
      </c>
      <c r="BD96" s="29">
        <f>BD95 + IF(Overview!$B$14="Gnome",T87,T84) -CB96</f>
        <v>0</v>
      </c>
      <c r="BE96" s="30">
        <f>BE95 + IF(Overview!$B$14="Gnome",U87,U84) -CC96</f>
        <v>0</v>
      </c>
      <c r="BF96" s="30">
        <f>BF95 + IF(Overview!$B$14="Gnome",V87,V84) -CD96</f>
        <v>0</v>
      </c>
      <c r="BG96" s="31">
        <f>BG95 + IF(Overview!$B$14="Gnome",W87,W84) -CE96</f>
        <v>0</v>
      </c>
      <c r="BH96" s="31">
        <f>BH95 + IF(Overview!$B$14="Gnome",X87,X84) -CF96</f>
        <v>0</v>
      </c>
      <c r="BI96" s="31">
        <f>BI95 + IF(Overview!$B$14="Gnome",Y87,Y84) -CG96</f>
        <v>0</v>
      </c>
      <c r="BJ96" s="31">
        <f>BJ95 + IF(Overview!$B$14="Gnome",Z87,Z84) -CH96</f>
        <v>0</v>
      </c>
      <c r="BK96" s="32">
        <f>BK95 + IF(Overview!$B$14="Gnome",AA87,AA84) -CI96</f>
        <v>50</v>
      </c>
      <c r="BL96" s="32">
        <f>BL95 + IF(Overview!$B$14="Gnome",AB87,AB84) -CJ96</f>
        <v>0</v>
      </c>
      <c r="BM96" s="32">
        <f>BM95 + IF(Overview!$B$14="Gnome",AC87,AC84) -CK96</f>
        <v>0</v>
      </c>
      <c r="BN96" s="33">
        <f>BN95 + IF(Overview!$B$14="Gnome",AD87,AD84) -CL96</f>
        <v>0</v>
      </c>
      <c r="BO96" s="33">
        <f>BO95 + IF(Overview!$B$14="Gnome",AE87,AE84) -CM96</f>
        <v>0</v>
      </c>
      <c r="BP96" s="69">
        <f>BP95 + IF(Overview!$B$14="Gnome",AF87,AF84) -CN96</f>
        <v>0</v>
      </c>
      <c r="BR96" s="442"/>
      <c r="BS96" s="156">
        <f t="shared" si="99"/>
        <v>1000</v>
      </c>
      <c r="BT96" s="574">
        <f t="shared" si="100"/>
        <v>43695.874999999774</v>
      </c>
      <c r="BV96" s="356"/>
      <c r="BW96" s="348"/>
      <c r="BX96" s="348"/>
      <c r="BY96" s="348"/>
      <c r="BZ96" s="348"/>
      <c r="CA96" s="348"/>
      <c r="CB96" s="348"/>
      <c r="CC96" s="348"/>
      <c r="CD96" s="348"/>
      <c r="CE96" s="348"/>
      <c r="CF96" s="348"/>
      <c r="CG96" s="348"/>
      <c r="CH96" s="348"/>
      <c r="CI96" s="348"/>
      <c r="CJ96" s="348"/>
      <c r="CK96" s="348"/>
      <c r="CL96" s="348"/>
      <c r="CM96" s="360"/>
      <c r="CN96" s="357"/>
      <c r="CP96" s="86">
        <f>-SUM($O96:$R96)+SUM($BW96:BZ96)+Rezone!L96+IF(home_land=CP$2,CW96) + Explore!T84</f>
        <v>0</v>
      </c>
      <c r="CQ96" s="37">
        <f>-SUM($S96:$T96)+SUM($CA96:$CB96) +Rezone!M96 + IF(home_land=CQ$2,CW96) + Explore!U84</f>
        <v>0</v>
      </c>
      <c r="CR96" s="247">
        <f>-SUM($U96:$V96)+SUM($CC96:$CD96) +Rezone!N96 + IF(home_land=CR$2,CW96) + Explore!V84</f>
        <v>0</v>
      </c>
      <c r="CS96" s="38">
        <f>-SUM($W96:$Z96)+SUM($CE96:$CH96) +Rezone!O96 + IF(home_land=CS$2,CW96) + Explore!W84</f>
        <v>0</v>
      </c>
      <c r="CT96" s="39">
        <f>-SUM($AA96:$AC96)+SUM($CI96:$CK96) +Rezone!P96 + IF(home_land=CT$2,CW96) + Explore!X84</f>
        <v>0</v>
      </c>
      <c r="CU96" s="40">
        <f xml:space="preserve"> - SUM($AD96,$AE96)+SUM($CL96,$CM96) +Rezone!Q96 + IF(home_land=CU$2,CW96)+Explore!Y84</f>
        <v>0</v>
      </c>
      <c r="CV96" s="500">
        <f>-$AF96+$CN96 +Rezone!R96 + IF(home_land=CV$2,CW96) + Explore!Z84</f>
        <v>0</v>
      </c>
      <c r="CW96" s="159">
        <f>IF(Explore!S96=1,25) - N96 + BV96</f>
        <v>0</v>
      </c>
      <c r="CY96" s="152">
        <f t="shared" si="101"/>
        <v>280</v>
      </c>
      <c r="CZ96" s="164">
        <f t="shared" si="102"/>
        <v>150</v>
      </c>
      <c r="DA96" s="16">
        <f t="shared" si="103"/>
        <v>150</v>
      </c>
      <c r="DB96" s="164">
        <f t="shared" si="104"/>
        <v>150</v>
      </c>
      <c r="DC96" s="164">
        <f t="shared" si="105"/>
        <v>150</v>
      </c>
      <c r="DD96" s="16">
        <f t="shared" si="106"/>
        <v>20</v>
      </c>
      <c r="DE96" s="166">
        <f t="shared" si="107"/>
        <v>100</v>
      </c>
      <c r="DF96" s="164">
        <f t="shared" ca="1" si="108"/>
        <v>280</v>
      </c>
      <c r="DG96" s="16">
        <f t="shared" si="109"/>
        <v>0</v>
      </c>
      <c r="DH96" s="16">
        <f t="shared" si="110"/>
        <v>96</v>
      </c>
      <c r="DI96" s="166"/>
    </row>
    <row r="97" spans="1:113" s="16" customFormat="1">
      <c r="A97" s="36">
        <f t="shared" si="87"/>
        <v>620</v>
      </c>
      <c r="B97" s="36">
        <f t="shared" si="88"/>
        <v>380</v>
      </c>
      <c r="C97" s="83">
        <f t="shared" si="89"/>
        <v>0</v>
      </c>
      <c r="D97" s="574"/>
      <c r="E97" s="16">
        <f t="shared" si="90"/>
        <v>1000</v>
      </c>
      <c r="F97" s="86">
        <f t="shared" si="91"/>
        <v>0</v>
      </c>
      <c r="G97" s="37">
        <f t="shared" si="92"/>
        <v>100</v>
      </c>
      <c r="H97" s="247">
        <f t="shared" si="93"/>
        <v>150</v>
      </c>
      <c r="I97" s="38">
        <f t="shared" si="94"/>
        <v>150</v>
      </c>
      <c r="J97" s="39">
        <f t="shared" si="95"/>
        <v>100</v>
      </c>
      <c r="K97" s="40">
        <f t="shared" si="96"/>
        <v>20</v>
      </c>
      <c r="L97" s="500">
        <f t="shared" si="97"/>
        <v>100</v>
      </c>
      <c r="M97" s="635">
        <f>Rezone!J97</f>
        <v>95</v>
      </c>
      <c r="N97" s="356"/>
      <c r="O97" s="348"/>
      <c r="P97" s="348"/>
      <c r="Q97" s="376"/>
      <c r="R97" s="345"/>
      <c r="S97" s="348"/>
      <c r="T97" s="348"/>
      <c r="U97" s="348"/>
      <c r="V97" s="348"/>
      <c r="W97" s="345"/>
      <c r="X97" s="345"/>
      <c r="Y97" s="348"/>
      <c r="Z97" s="345"/>
      <c r="AA97" s="348"/>
      <c r="AB97" s="348"/>
      <c r="AC97" s="345"/>
      <c r="AD97" s="348"/>
      <c r="AE97" s="348"/>
      <c r="AF97" s="336"/>
      <c r="AG97" s="532">
        <f t="shared" si="98"/>
        <v>43695.916666666439</v>
      </c>
      <c r="AH97" s="91">
        <f>MIN(25%,(BG97+CE97)/(E97-Explore!S97*20))</f>
        <v>0</v>
      </c>
      <c r="AI97" s="59">
        <f t="shared" si="83"/>
        <v>0</v>
      </c>
      <c r="AJ97" s="56">
        <f ca="1">Production!$H97</f>
        <v>3948705</v>
      </c>
      <c r="AK97" s="57">
        <f ca="1">Production!$J97</f>
        <v>270369</v>
      </c>
      <c r="AL97" s="152">
        <f ca="1">ROUND( (1 - MIN(facs_constr_factor*$AH97,facs_constr_max)) * (1+MIN(tech_construction*Techs!AC97,tech_conquerors_crafts*Techs!AS97)) * AU97*(1+race_construction_cost),0)</f>
        <v>1615</v>
      </c>
      <c r="AM97" s="166">
        <f t="shared" si="80"/>
        <v>263</v>
      </c>
      <c r="AN97" s="152">
        <f ca="1">ROUND( (1 - MIN(facs_constr_factor*$AI97,facs_constr_max)) * (1+MIN(tech_construction*Techs!AE97,tech_conquerors_crafts*Techs!AU97)) * AU97*(1+race_construction_cost),0)</f>
        <v>1615</v>
      </c>
      <c r="AO97" s="166">
        <f t="shared" si="84"/>
        <v>263</v>
      </c>
      <c r="AP97" s="16">
        <f t="shared" ca="1" si="111"/>
        <v>0</v>
      </c>
      <c r="AQ97" s="53">
        <f t="shared" si="112"/>
        <v>0</v>
      </c>
      <c r="AR97" s="16">
        <f>MIN(SUM(F96:L96)+SUM(Explore!T85:Z85)+SUM(BV97:CN97),SUM($N97:$AF97))</f>
        <v>0</v>
      </c>
      <c r="AS97" s="16">
        <f>IF(Explore!S97&lt;&gt;0,MAX(0, MIN(20, 20 + SUM(N97:AF97) - SUM(BV97:CN97) - SUM(F96:L96)-SUM(Explore!T85:Z85)-20*Explore!S97)),0)</f>
        <v>0</v>
      </c>
      <c r="AU97" s="152">
        <f t="shared" si="85"/>
        <v>1615</v>
      </c>
      <c r="AV97" s="166">
        <f t="shared" si="86"/>
        <v>262.5</v>
      </c>
      <c r="AW97" s="164"/>
      <c r="AX97" s="295">
        <f>AX96 + IF(Overview!$B$14="Gnome",N88,N85) -BV97</f>
        <v>0</v>
      </c>
      <c r="AY97" s="28">
        <f>AY96 + IF(Overview!$B$14="Gnome",O88,O85) -BW97</f>
        <v>0</v>
      </c>
      <c r="AZ97" s="28">
        <f>AZ96 + IF(Overview!$B$14="Gnome",P88,P85) -BX97</f>
        <v>80</v>
      </c>
      <c r="BA97" s="28">
        <f>BA96 + IF(Overview!$B$14="Gnome",Q88,Q85) -BY97</f>
        <v>200</v>
      </c>
      <c r="BB97" s="28">
        <f>BB96 + IF(Overview!$B$14="Gnome",R88,R85) -BZ97</f>
        <v>0</v>
      </c>
      <c r="BC97" s="29">
        <f>BC96 + IF(Overview!$B$14="Gnome",S88,S85) -CA97</f>
        <v>50</v>
      </c>
      <c r="BD97" s="29">
        <f>BD96 + IF(Overview!$B$14="Gnome",T88,T85) -CB97</f>
        <v>0</v>
      </c>
      <c r="BE97" s="30">
        <f>BE96 + IF(Overview!$B$14="Gnome",U88,U85) -CC97</f>
        <v>0</v>
      </c>
      <c r="BF97" s="30">
        <f>BF96 + IF(Overview!$B$14="Gnome",V88,V85) -CD97</f>
        <v>0</v>
      </c>
      <c r="BG97" s="31">
        <f>BG96 + IF(Overview!$B$14="Gnome",W88,W85) -CE97</f>
        <v>0</v>
      </c>
      <c r="BH97" s="31">
        <f>BH96 + IF(Overview!$B$14="Gnome",X88,X85) -CF97</f>
        <v>0</v>
      </c>
      <c r="BI97" s="31">
        <f>BI96 + IF(Overview!$B$14="Gnome",Y88,Y85) -CG97</f>
        <v>0</v>
      </c>
      <c r="BJ97" s="31">
        <f>BJ96 + IF(Overview!$B$14="Gnome",Z88,Z85) -CH97</f>
        <v>0</v>
      </c>
      <c r="BK97" s="32">
        <f>BK96 + IF(Overview!$B$14="Gnome",AA88,AA85) -CI97</f>
        <v>50</v>
      </c>
      <c r="BL97" s="32">
        <f>BL96 + IF(Overview!$B$14="Gnome",AB88,AB85) -CJ97</f>
        <v>0</v>
      </c>
      <c r="BM97" s="32">
        <f>BM96 + IF(Overview!$B$14="Gnome",AC88,AC85) -CK97</f>
        <v>0</v>
      </c>
      <c r="BN97" s="33">
        <f>BN96 + IF(Overview!$B$14="Gnome",AD88,AD85) -CL97</f>
        <v>0</v>
      </c>
      <c r="BO97" s="33">
        <f>BO96 + IF(Overview!$B$14="Gnome",AE88,AE85) -CM97</f>
        <v>0</v>
      </c>
      <c r="BP97" s="69">
        <f>BP96 + IF(Overview!$B$14="Gnome",AF88,AF85) -CN97</f>
        <v>0</v>
      </c>
      <c r="BR97" s="442"/>
      <c r="BS97" s="156">
        <f t="shared" si="99"/>
        <v>1000</v>
      </c>
      <c r="BT97" s="574">
        <f t="shared" si="100"/>
        <v>43695.916666666439</v>
      </c>
      <c r="BV97" s="356"/>
      <c r="BW97" s="348"/>
      <c r="BX97" s="348"/>
      <c r="BY97" s="348"/>
      <c r="BZ97" s="348"/>
      <c r="CA97" s="348"/>
      <c r="CB97" s="348"/>
      <c r="CC97" s="348"/>
      <c r="CD97" s="348"/>
      <c r="CE97" s="348"/>
      <c r="CF97" s="348"/>
      <c r="CG97" s="348"/>
      <c r="CH97" s="348"/>
      <c r="CI97" s="348"/>
      <c r="CJ97" s="348"/>
      <c r="CK97" s="348"/>
      <c r="CL97" s="348"/>
      <c r="CM97" s="360"/>
      <c r="CN97" s="357"/>
      <c r="CP97" s="86">
        <f>-SUM($O97:$R97)+SUM($BW97:BZ97)+Rezone!L97+IF(home_land=CP$2,CW97) + Explore!T85</f>
        <v>0</v>
      </c>
      <c r="CQ97" s="37">
        <f>-SUM($S97:$T97)+SUM($CA97:$CB97) +Rezone!M97 + IF(home_land=CQ$2,CW97) + Explore!U85</f>
        <v>0</v>
      </c>
      <c r="CR97" s="247">
        <f>-SUM($U97:$V97)+SUM($CC97:$CD97) +Rezone!N97 + IF(home_land=CR$2,CW97) + Explore!V85</f>
        <v>0</v>
      </c>
      <c r="CS97" s="38">
        <f>-SUM($W97:$Z97)+SUM($CE97:$CH97) +Rezone!O97 + IF(home_land=CS$2,CW97) + Explore!W85</f>
        <v>0</v>
      </c>
      <c r="CT97" s="39">
        <f>-SUM($AA97:$AC97)+SUM($CI97:$CK97) +Rezone!P97 + IF(home_land=CT$2,CW97) + Explore!X85</f>
        <v>0</v>
      </c>
      <c r="CU97" s="40">
        <f xml:space="preserve"> - SUM($AD97,$AE97)+SUM($CL97,$CM97) +Rezone!Q97 + IF(home_land=CU$2,CW97)+Explore!Y85</f>
        <v>0</v>
      </c>
      <c r="CV97" s="500">
        <f>-$AF97+$CN97 +Rezone!R97 + IF(home_land=CV$2,CW97) + Explore!Z85</f>
        <v>0</v>
      </c>
      <c r="CW97" s="159">
        <f>IF(Explore!S97=1,25) - N97 + BV97</f>
        <v>0</v>
      </c>
      <c r="CY97" s="152">
        <f t="shared" si="101"/>
        <v>280</v>
      </c>
      <c r="CZ97" s="164">
        <f t="shared" si="102"/>
        <v>150</v>
      </c>
      <c r="DA97" s="16">
        <f t="shared" si="103"/>
        <v>150</v>
      </c>
      <c r="DB97" s="164">
        <f t="shared" si="104"/>
        <v>150</v>
      </c>
      <c r="DC97" s="164">
        <f t="shared" si="105"/>
        <v>150</v>
      </c>
      <c r="DD97" s="16">
        <f t="shared" si="106"/>
        <v>20</v>
      </c>
      <c r="DE97" s="166">
        <f t="shared" si="107"/>
        <v>100</v>
      </c>
      <c r="DF97" s="164">
        <f t="shared" ca="1" si="108"/>
        <v>280</v>
      </c>
      <c r="DG97" s="16">
        <f t="shared" si="109"/>
        <v>0</v>
      </c>
      <c r="DH97" s="16">
        <f t="shared" si="110"/>
        <v>97</v>
      </c>
      <c r="DI97" s="166"/>
    </row>
    <row r="98" spans="1:113" s="170" customFormat="1" ht="13.5" thickBot="1">
      <c r="A98" s="242">
        <f t="shared" si="87"/>
        <v>620</v>
      </c>
      <c r="B98" s="242">
        <f t="shared" si="88"/>
        <v>380</v>
      </c>
      <c r="C98" s="243">
        <f t="shared" si="89"/>
        <v>0</v>
      </c>
      <c r="D98" s="532"/>
      <c r="E98" s="170">
        <f t="shared" si="90"/>
        <v>1000</v>
      </c>
      <c r="F98" s="245">
        <f t="shared" si="91"/>
        <v>0</v>
      </c>
      <c r="G98" s="246">
        <f t="shared" si="92"/>
        <v>100</v>
      </c>
      <c r="H98" s="247">
        <f t="shared" si="93"/>
        <v>150</v>
      </c>
      <c r="I98" s="248">
        <f t="shared" si="94"/>
        <v>150</v>
      </c>
      <c r="J98" s="249">
        <f t="shared" si="95"/>
        <v>100</v>
      </c>
      <c r="K98" s="250">
        <f t="shared" si="96"/>
        <v>20</v>
      </c>
      <c r="L98" s="498">
        <f t="shared" si="97"/>
        <v>100</v>
      </c>
      <c r="M98" s="634">
        <f>Rezone!J98</f>
        <v>96</v>
      </c>
      <c r="N98" s="352"/>
      <c r="O98" s="363"/>
      <c r="P98" s="345"/>
      <c r="Q98" s="345"/>
      <c r="R98" s="345"/>
      <c r="S98" s="345"/>
      <c r="T98" s="345"/>
      <c r="U98" s="345"/>
      <c r="V98" s="345"/>
      <c r="W98" s="345"/>
      <c r="X98" s="345"/>
      <c r="Y98" s="345"/>
      <c r="Z98" s="345"/>
      <c r="AA98" s="345"/>
      <c r="AB98" s="345"/>
      <c r="AC98" s="345"/>
      <c r="AD98" s="345"/>
      <c r="AE98" s="345"/>
      <c r="AF98" s="336"/>
      <c r="AG98" s="532">
        <f t="shared" si="98"/>
        <v>43695.958333333103</v>
      </c>
      <c r="AH98" s="251">
        <f>MIN(25%,(BG98+CE98)/(E98-Explore!S98*20))</f>
        <v>0</v>
      </c>
      <c r="AI98" s="187">
        <f t="shared" si="83"/>
        <v>0</v>
      </c>
      <c r="AJ98" s="152">
        <f ca="1">Production!$H98</f>
        <v>3959356</v>
      </c>
      <c r="AK98" s="166">
        <f ca="1">Production!$J98</f>
        <v>270165</v>
      </c>
      <c r="AL98" s="152">
        <f ca="1">ROUND( (1 - MIN(facs_constr_factor*$AH98,facs_constr_max)) * (1+MIN(tech_construction*Techs!AC98,tech_conquerors_crafts*Techs!AS98)) * AU98*(1+race_construction_cost),0)</f>
        <v>1615</v>
      </c>
      <c r="AM98" s="166">
        <f t="shared" si="80"/>
        <v>263</v>
      </c>
      <c r="AN98" s="152">
        <f ca="1">ROUND( (1 - MIN(facs_constr_factor*$AI98,facs_constr_max)) * (1+MIN(tech_construction*Techs!AE98,tech_conquerors_crafts*Techs!AU98)) * AU98*(1+race_construction_cost),0)</f>
        <v>1615</v>
      </c>
      <c r="AO98" s="166">
        <f t="shared" si="84"/>
        <v>263</v>
      </c>
      <c r="AP98" s="170">
        <f t="shared" ca="1" si="111"/>
        <v>0</v>
      </c>
      <c r="AQ98" s="157">
        <f t="shared" si="112"/>
        <v>0</v>
      </c>
      <c r="AR98" s="170">
        <f>MIN(SUM(F97:L97)+SUM(Explore!T86:Z86)+SUM(BV98:CN98),SUM($N98:$AF98))</f>
        <v>0</v>
      </c>
      <c r="AS98" s="170">
        <f>IF(Explore!S98&lt;&gt;0,MAX(0, MIN(20, 20 + SUM(N98:AF98) - SUM(BV98:CN98) - SUM(F97:L97)-SUM(Explore!T86:Z86)-20*Explore!S98)),0)</f>
        <v>0</v>
      </c>
      <c r="AU98" s="152">
        <f t="shared" si="85"/>
        <v>1615</v>
      </c>
      <c r="AV98" s="166">
        <f t="shared" si="86"/>
        <v>262.5</v>
      </c>
      <c r="AW98" s="164"/>
      <c r="AX98" s="293">
        <f>AX97 + IF(Overview!$B$14="Gnome",N89,N86) -BV98</f>
        <v>0</v>
      </c>
      <c r="AY98" s="244">
        <f>AY97 + IF(Overview!$B$14="Gnome",O89,O86) -BW98</f>
        <v>0</v>
      </c>
      <c r="AZ98" s="244">
        <f>AZ97 + IF(Overview!$B$14="Gnome",P89,P86) -BX98</f>
        <v>80</v>
      </c>
      <c r="BA98" s="244">
        <f>BA97 + IF(Overview!$B$14="Gnome",Q89,Q86) -BY98</f>
        <v>200</v>
      </c>
      <c r="BB98" s="244">
        <f>BB97 + IF(Overview!$B$14="Gnome",R89,R86) -BZ98</f>
        <v>0</v>
      </c>
      <c r="BC98" s="206">
        <f>BC97 + IF(Overview!$B$14="Gnome",S89,S86) -CA98</f>
        <v>50</v>
      </c>
      <c r="BD98" s="206">
        <f>BD97 + IF(Overview!$B$14="Gnome",T89,T86) -CB98</f>
        <v>0</v>
      </c>
      <c r="BE98" s="207">
        <f>BE97 + IF(Overview!$B$14="Gnome",U89,U86) -CC98</f>
        <v>0</v>
      </c>
      <c r="BF98" s="207">
        <f>BF97 + IF(Overview!$B$14="Gnome",V89,V86) -CD98</f>
        <v>0</v>
      </c>
      <c r="BG98" s="208">
        <f>BG97 + IF(Overview!$B$14="Gnome",W89,W86) -CE98</f>
        <v>0</v>
      </c>
      <c r="BH98" s="208">
        <f>BH97 + IF(Overview!$B$14="Gnome",X89,X86) -CF98</f>
        <v>0</v>
      </c>
      <c r="BI98" s="208">
        <f>BI97 + IF(Overview!$B$14="Gnome",Y89,Y86) -CG98</f>
        <v>0</v>
      </c>
      <c r="BJ98" s="208">
        <f>BJ97 + IF(Overview!$B$14="Gnome",Z89,Z86) -CH98</f>
        <v>0</v>
      </c>
      <c r="BK98" s="209">
        <f>BK97 + IF(Overview!$B$14="Gnome",AA89,AA86) -CI98</f>
        <v>50</v>
      </c>
      <c r="BL98" s="209">
        <f>BL97 + IF(Overview!$B$14="Gnome",AB89,AB86) -CJ98</f>
        <v>0</v>
      </c>
      <c r="BM98" s="209">
        <f>BM97 + IF(Overview!$B$14="Gnome",AC89,AC86) -CK98</f>
        <v>0</v>
      </c>
      <c r="BN98" s="210">
        <f>BN97 + IF(Overview!$B$14="Gnome",AD89,AD86) -CL98</f>
        <v>0</v>
      </c>
      <c r="BO98" s="210">
        <f>BO97 + IF(Overview!$B$14="Gnome",AE89,AE86) -CM98</f>
        <v>0</v>
      </c>
      <c r="BP98" s="211">
        <f>BP97 + IF(Overview!$B$14="Gnome",AF89,AF86) -CN98</f>
        <v>0</v>
      </c>
      <c r="BR98" s="440"/>
      <c r="BS98" s="156">
        <f t="shared" si="99"/>
        <v>1000</v>
      </c>
      <c r="BT98" s="532">
        <f t="shared" si="100"/>
        <v>43695.958333333103</v>
      </c>
      <c r="BV98" s="352"/>
      <c r="BW98" s="345"/>
      <c r="BX98" s="345"/>
      <c r="BY98" s="345"/>
      <c r="BZ98" s="345"/>
      <c r="CA98" s="345"/>
      <c r="CB98" s="345"/>
      <c r="CC98" s="345"/>
      <c r="CD98" s="345"/>
      <c r="CE98" s="345"/>
      <c r="CF98" s="345"/>
      <c r="CG98" s="345"/>
      <c r="CH98" s="345"/>
      <c r="CI98" s="345"/>
      <c r="CJ98" s="345"/>
      <c r="CK98" s="345"/>
      <c r="CL98" s="345"/>
      <c r="CM98" s="763"/>
      <c r="CN98" s="353"/>
      <c r="CP98" s="245">
        <f>-SUM($O98:$R98)+SUM($BW98:BZ98)+Rezone!L98+IF(home_land=CP$2,CW98) + Explore!T86</f>
        <v>0</v>
      </c>
      <c r="CQ98" s="246">
        <f>-SUM($S98:$T98)+SUM($CA98:$CB98) +Rezone!M98 + IF(home_land=CQ$2,CW98) + Explore!U86</f>
        <v>0</v>
      </c>
      <c r="CR98" s="247">
        <f>-SUM($U98:$V98)+SUM($CC98:$CD98) +Rezone!N98 + IF(home_land=CR$2,CW98) + Explore!V86</f>
        <v>0</v>
      </c>
      <c r="CS98" s="248">
        <f>-SUM($W98:$Z98)+SUM($CE98:$CH98) +Rezone!O98 + IF(home_land=CS$2,CW98) + Explore!W86</f>
        <v>0</v>
      </c>
      <c r="CT98" s="249">
        <f>-SUM($AA98:$AC98)+SUM($CI98:$CK98) +Rezone!P98 + IF(home_land=CT$2,CW98) + Explore!X86</f>
        <v>0</v>
      </c>
      <c r="CU98" s="250">
        <f xml:space="preserve"> - SUM($AD98,$AE98)+SUM($CL98,$CM98) +Rezone!Q98 + IF(home_land=CU$2,CW98)+Explore!Y86</f>
        <v>0</v>
      </c>
      <c r="CV98" s="498">
        <f>-$AF98+$CN98 +Rezone!R98 + IF(home_land=CV$2,CW98) + Explore!Z86</f>
        <v>0</v>
      </c>
      <c r="CW98" s="159">
        <f>IF(Explore!S98=1,25) - N98 + BV98</f>
        <v>0</v>
      </c>
      <c r="CY98" s="152">
        <f t="shared" si="101"/>
        <v>280</v>
      </c>
      <c r="CZ98" s="164">
        <f t="shared" si="102"/>
        <v>150</v>
      </c>
      <c r="DA98" s="170">
        <f t="shared" si="103"/>
        <v>150</v>
      </c>
      <c r="DB98" s="164">
        <f t="shared" si="104"/>
        <v>150</v>
      </c>
      <c r="DC98" s="164">
        <f t="shared" si="105"/>
        <v>150</v>
      </c>
      <c r="DD98" s="170">
        <f t="shared" si="106"/>
        <v>20</v>
      </c>
      <c r="DE98" s="166">
        <f t="shared" si="107"/>
        <v>100</v>
      </c>
      <c r="DF98" s="164">
        <f t="shared" ca="1" si="108"/>
        <v>280</v>
      </c>
      <c r="DG98" s="170">
        <f t="shared" si="109"/>
        <v>0</v>
      </c>
      <c r="DH98" s="170">
        <f t="shared" si="110"/>
        <v>98</v>
      </c>
      <c r="DI98" s="166"/>
    </row>
    <row r="99" spans="1:113" s="173" customFormat="1" ht="13.5" thickBot="1">
      <c r="A99" s="252">
        <f t="shared" si="87"/>
        <v>620</v>
      </c>
      <c r="B99" s="252">
        <f t="shared" si="88"/>
        <v>380</v>
      </c>
      <c r="C99" s="253">
        <f t="shared" si="89"/>
        <v>0</v>
      </c>
      <c r="D99" s="573"/>
      <c r="E99" s="173">
        <f t="shared" si="90"/>
        <v>1000</v>
      </c>
      <c r="F99" s="255">
        <f t="shared" si="91"/>
        <v>0</v>
      </c>
      <c r="G99" s="256">
        <f t="shared" si="92"/>
        <v>100</v>
      </c>
      <c r="H99" s="257">
        <f t="shared" si="93"/>
        <v>150</v>
      </c>
      <c r="I99" s="258">
        <f t="shared" si="94"/>
        <v>150</v>
      </c>
      <c r="J99" s="259">
        <f t="shared" si="95"/>
        <v>100</v>
      </c>
      <c r="K99" s="260">
        <f t="shared" si="96"/>
        <v>20</v>
      </c>
      <c r="L99" s="499">
        <f t="shared" si="97"/>
        <v>100</v>
      </c>
      <c r="M99" s="636">
        <f>Rezone!J99</f>
        <v>97</v>
      </c>
      <c r="N99" s="354"/>
      <c r="O99" s="347"/>
      <c r="P99" s="347"/>
      <c r="Q99" s="347"/>
      <c r="R99" s="347"/>
      <c r="S99" s="539"/>
      <c r="T99" s="347"/>
      <c r="U99" s="347"/>
      <c r="V99" s="347"/>
      <c r="W99" s="347"/>
      <c r="X99" s="347"/>
      <c r="Y99" s="347"/>
      <c r="Z99" s="347"/>
      <c r="AA99" s="347"/>
      <c r="AB99" s="347"/>
      <c r="AC99" s="347"/>
      <c r="AD99" s="347"/>
      <c r="AE99" s="347"/>
      <c r="AF99" s="339"/>
      <c r="AG99" s="573">
        <f t="shared" si="98"/>
        <v>43695.999999999767</v>
      </c>
      <c r="AH99" s="261">
        <f>MIN(25%,(BG99+CE99)/(E99-Explore!S99*20))</f>
        <v>0</v>
      </c>
      <c r="AI99" s="192">
        <f t="shared" si="83"/>
        <v>0</v>
      </c>
      <c r="AJ99" s="175">
        <f ca="1">Production!$H99</f>
        <v>3970007</v>
      </c>
      <c r="AK99" s="179">
        <f ca="1">Production!$J99</f>
        <v>269963</v>
      </c>
      <c r="AL99" s="175">
        <f ca="1">ROUND( (1 - MIN(facs_constr_factor*$AH99,facs_constr_max)) * (1+MIN(tech_construction*Techs!AC99,tech_conquerors_crafts*Techs!AS99)) * AU99*(1+race_construction_cost),0)</f>
        <v>1615</v>
      </c>
      <c r="AM99" s="179">
        <f t="shared" ref="AM99:AM135" si="113">ROUND( (1 - MIN(facs_constr_factor*$AH99,facs_constr_max)) * AV99,0)</f>
        <v>263</v>
      </c>
      <c r="AN99" s="175">
        <f ca="1">ROUND( (1 - MIN(facs_constr_factor*$AI99,facs_constr_max)) * (1+MIN(tech_construction*Techs!AE99,tech_conquerors_crafts*Techs!AU99)) * AU99*(1+race_construction_cost),0)</f>
        <v>1615</v>
      </c>
      <c r="AO99" s="179">
        <f t="shared" si="84"/>
        <v>263</v>
      </c>
      <c r="AP99" s="173">
        <f t="shared" ca="1" si="111"/>
        <v>0</v>
      </c>
      <c r="AQ99" s="178">
        <f t="shared" si="112"/>
        <v>0</v>
      </c>
      <c r="AR99" s="173">
        <f>MIN(SUM(F98:L98)+SUM(Explore!T87:Z87)+SUM(BV99:CN99),SUM($N99:$AF99))</f>
        <v>0</v>
      </c>
      <c r="AS99" s="173">
        <f>IF(Explore!S99&lt;&gt;0,MAX(0, MIN(20, 20 + SUM(N99:AF99) - SUM(BV99:CN99) - SUM(F98:L98)-SUM(Explore!T87:Z87)-20*Explore!S99)),0)</f>
        <v>0</v>
      </c>
      <c r="AU99" s="175">
        <f t="shared" si="85"/>
        <v>1615</v>
      </c>
      <c r="AV99" s="179">
        <f t="shared" si="86"/>
        <v>262.5</v>
      </c>
      <c r="AW99" s="174"/>
      <c r="AX99" s="294">
        <f>AX98 + IF(Overview!$B$14="Gnome",N90,N87) -BV99</f>
        <v>0</v>
      </c>
      <c r="AY99" s="254">
        <f>AY98 + IF(Overview!$B$14="Gnome",O90,O87) -BW99</f>
        <v>0</v>
      </c>
      <c r="AZ99" s="254">
        <f>AZ98 + IF(Overview!$B$14="Gnome",P90,P87) -BX99</f>
        <v>80</v>
      </c>
      <c r="BA99" s="254">
        <f>BA98 + IF(Overview!$B$14="Gnome",Q90,Q87) -BY99</f>
        <v>200</v>
      </c>
      <c r="BB99" s="254">
        <f>BB98 + IF(Overview!$B$14="Gnome",R90,R87) -BZ99</f>
        <v>0</v>
      </c>
      <c r="BC99" s="220">
        <f>BC98 + IF(Overview!$B$14="Gnome",S90,S87) -CA99</f>
        <v>50</v>
      </c>
      <c r="BD99" s="220">
        <f>BD98 + IF(Overview!$B$14="Gnome",T90,T87) -CB99</f>
        <v>0</v>
      </c>
      <c r="BE99" s="221">
        <f>BE98 + IF(Overview!$B$14="Gnome",U90,U87) -CC99</f>
        <v>0</v>
      </c>
      <c r="BF99" s="221">
        <f>BF98 + IF(Overview!$B$14="Gnome",V90,V87) -CD99</f>
        <v>0</v>
      </c>
      <c r="BG99" s="222">
        <f>BG98 + IF(Overview!$B$14="Gnome",W90,W87) -CE99</f>
        <v>0</v>
      </c>
      <c r="BH99" s="222">
        <f>BH98 + IF(Overview!$B$14="Gnome",X90,X87) -CF99</f>
        <v>0</v>
      </c>
      <c r="BI99" s="222">
        <f>BI98 + IF(Overview!$B$14="Gnome",Y90,Y87) -CG99</f>
        <v>0</v>
      </c>
      <c r="BJ99" s="222">
        <f>BJ98 + IF(Overview!$B$14="Gnome",Z90,Z87) -CH99</f>
        <v>0</v>
      </c>
      <c r="BK99" s="223">
        <f>BK98 + IF(Overview!$B$14="Gnome",AA90,AA87) -CI99</f>
        <v>50</v>
      </c>
      <c r="BL99" s="223">
        <f>BL98 + IF(Overview!$B$14="Gnome",AB90,AB87) -CJ99</f>
        <v>0</v>
      </c>
      <c r="BM99" s="223">
        <f>BM98 + IF(Overview!$B$14="Gnome",AC90,AC87) -CK99</f>
        <v>0</v>
      </c>
      <c r="BN99" s="224">
        <f>BN98 + IF(Overview!$B$14="Gnome",AD90,AD87) -CL99</f>
        <v>0</v>
      </c>
      <c r="BO99" s="224">
        <f>BO98 + IF(Overview!$B$14="Gnome",AE90,AE87) -CM99</f>
        <v>0</v>
      </c>
      <c r="BP99" s="225">
        <f>BP98 + IF(Overview!$B$14="Gnome",AF90,AF87) -CN99</f>
        <v>0</v>
      </c>
      <c r="BR99" s="441"/>
      <c r="BS99" s="177">
        <f t="shared" si="99"/>
        <v>1000</v>
      </c>
      <c r="BT99" s="573">
        <f t="shared" si="100"/>
        <v>43695.999999999767</v>
      </c>
      <c r="BV99" s="354"/>
      <c r="BW99" s="347"/>
      <c r="BX99" s="347"/>
      <c r="BY99" s="347"/>
      <c r="BZ99" s="347"/>
      <c r="CA99" s="347"/>
      <c r="CB99" s="347"/>
      <c r="CC99" s="347"/>
      <c r="CD99" s="347"/>
      <c r="CE99" s="347"/>
      <c r="CF99" s="347"/>
      <c r="CG99" s="347"/>
      <c r="CH99" s="347"/>
      <c r="CI99" s="347"/>
      <c r="CJ99" s="347"/>
      <c r="CK99" s="347"/>
      <c r="CL99" s="347"/>
      <c r="CM99" s="765"/>
      <c r="CN99" s="355"/>
      <c r="CP99" s="255">
        <f>-SUM($O99:$R99)+SUM($BW99:BZ99)+Rezone!L99+IF(home_land=CP$2,CW99) + Explore!T87</f>
        <v>0</v>
      </c>
      <c r="CQ99" s="256">
        <f>-SUM($S99:$T99)+SUM($CA99:$CB99) +Rezone!M99 + IF(home_land=CQ$2,CW99) + Explore!U87</f>
        <v>0</v>
      </c>
      <c r="CR99" s="257">
        <f>-SUM($U99:$V99)+SUM($CC99:$CD99) +Rezone!N99 + IF(home_land=CR$2,CW99) + Explore!V87</f>
        <v>0</v>
      </c>
      <c r="CS99" s="258">
        <f>-SUM($W99:$Z99)+SUM($CE99:$CH99) +Rezone!O99 + IF(home_land=CS$2,CW99) + Explore!W87</f>
        <v>0</v>
      </c>
      <c r="CT99" s="259">
        <f>-SUM($AA99:$AC99)+SUM($CI99:$CK99) +Rezone!P99 + IF(home_land=CT$2,CW99) + Explore!X87</f>
        <v>0</v>
      </c>
      <c r="CU99" s="260">
        <f xml:space="preserve"> - SUM($AD99,$AE99)+SUM($CL99,$CM99) +Rezone!Q99 + IF(home_land=CU$2,CW99)+Explore!Y87</f>
        <v>0</v>
      </c>
      <c r="CV99" s="499">
        <f>-$AF99+$CN99 +Rezone!R99 + IF(home_land=CV$2,CW99) + Explore!Z87</f>
        <v>0</v>
      </c>
      <c r="CW99" s="180">
        <f>IF(Explore!S99=1,25) - N99 + BV99</f>
        <v>0</v>
      </c>
      <c r="CY99" s="175">
        <f t="shared" si="101"/>
        <v>280</v>
      </c>
      <c r="CZ99" s="174">
        <f t="shared" si="102"/>
        <v>150</v>
      </c>
      <c r="DA99" s="173">
        <f t="shared" si="103"/>
        <v>150</v>
      </c>
      <c r="DB99" s="174">
        <f t="shared" si="104"/>
        <v>150</v>
      </c>
      <c r="DC99" s="174">
        <f t="shared" si="105"/>
        <v>150</v>
      </c>
      <c r="DD99" s="173">
        <f t="shared" si="106"/>
        <v>20</v>
      </c>
      <c r="DE99" s="179">
        <f t="shared" si="107"/>
        <v>100</v>
      </c>
      <c r="DF99" s="174">
        <f t="shared" ca="1" si="108"/>
        <v>280</v>
      </c>
      <c r="DG99" s="173">
        <f t="shared" si="109"/>
        <v>0</v>
      </c>
      <c r="DH99" s="173">
        <f t="shared" si="110"/>
        <v>99</v>
      </c>
      <c r="DI99" s="179"/>
    </row>
    <row r="100" spans="1:113" s="170" customFormat="1">
      <c r="A100" s="242">
        <f t="shared" si="87"/>
        <v>620</v>
      </c>
      <c r="B100" s="242">
        <f t="shared" si="88"/>
        <v>380</v>
      </c>
      <c r="C100" s="243">
        <f t="shared" si="89"/>
        <v>0</v>
      </c>
      <c r="D100" s="532"/>
      <c r="E100" s="170">
        <f t="shared" si="90"/>
        <v>1000</v>
      </c>
      <c r="F100" s="245">
        <f t="shared" si="91"/>
        <v>0</v>
      </c>
      <c r="G100" s="246">
        <f t="shared" si="92"/>
        <v>100</v>
      </c>
      <c r="H100" s="247">
        <f t="shared" si="93"/>
        <v>150</v>
      </c>
      <c r="I100" s="248">
        <f t="shared" si="94"/>
        <v>150</v>
      </c>
      <c r="J100" s="249">
        <f t="shared" si="95"/>
        <v>100</v>
      </c>
      <c r="K100" s="250">
        <f t="shared" si="96"/>
        <v>20</v>
      </c>
      <c r="L100" s="498">
        <f t="shared" si="97"/>
        <v>100</v>
      </c>
      <c r="M100" s="634">
        <f>Rezone!J100</f>
        <v>98</v>
      </c>
      <c r="N100" s="352"/>
      <c r="O100" s="345"/>
      <c r="P100" s="345"/>
      <c r="Q100" s="345"/>
      <c r="R100" s="345"/>
      <c r="S100" s="348"/>
      <c r="T100" s="345"/>
      <c r="U100" s="345"/>
      <c r="V100" s="345"/>
      <c r="W100" s="345"/>
      <c r="X100" s="345"/>
      <c r="Y100" s="345"/>
      <c r="Z100" s="345"/>
      <c r="AA100" s="345"/>
      <c r="AB100" s="345"/>
      <c r="AC100" s="345"/>
      <c r="AD100" s="345"/>
      <c r="AE100" s="345"/>
      <c r="AF100" s="336"/>
      <c r="AG100" s="532">
        <f t="shared" si="98"/>
        <v>43696.041666666431</v>
      </c>
      <c r="AH100" s="251">
        <f>MIN(25%,(BG100+CE100)/(E100-Explore!S100*20))</f>
        <v>0</v>
      </c>
      <c r="AI100" s="187">
        <f t="shared" si="83"/>
        <v>0</v>
      </c>
      <c r="AJ100" s="152">
        <f ca="1">Production!$H100</f>
        <v>3980658</v>
      </c>
      <c r="AK100" s="166">
        <f ca="1">Production!$J100</f>
        <v>269763</v>
      </c>
      <c r="AL100" s="152">
        <f ca="1">ROUND( (1 - MIN(facs_constr_factor*$AH100,facs_constr_max)) * (1+MIN(tech_construction*Techs!AC100,tech_conquerors_crafts*Techs!AS100)) * AU100*(1+race_construction_cost),0)</f>
        <v>1615</v>
      </c>
      <c r="AM100" s="166">
        <f t="shared" si="113"/>
        <v>263</v>
      </c>
      <c r="AN100" s="152">
        <f ca="1">ROUND( (1 - MIN(facs_constr_factor*$AI100,facs_constr_max)) * (1+MIN(tech_construction*Techs!AE100,tech_conquerors_crafts*Techs!AU100)) * AU100*(1+race_construction_cost),0)</f>
        <v>1615</v>
      </c>
      <c r="AO100" s="166">
        <f t="shared" ref="AO100:AO135" si="114">ROUND( (1 - MIN(facs_constr_factor*$AH100,facs_constr_max)) * AV100,0)</f>
        <v>263</v>
      </c>
      <c r="AP100" s="170">
        <f t="shared" ca="1" si="111"/>
        <v>0</v>
      </c>
      <c r="AQ100" s="157">
        <f t="shared" si="112"/>
        <v>0</v>
      </c>
      <c r="AR100" s="170">
        <f>MIN(SUM(F99:L99)+SUM(Explore!T88:Z88)+SUM(BV100:CN100),SUM($N100:$AF100))</f>
        <v>0</v>
      </c>
      <c r="AS100" s="170">
        <f>IF(Explore!S100&lt;&gt;0,MAX(0, MIN(20, 20 + SUM(N100:AF100) - SUM(BV100:CN100) - SUM(F99:L99)-SUM(Explore!T88:Z88)-20*Explore!S100)),0)</f>
        <v>0</v>
      </c>
      <c r="AU100" s="152">
        <f t="shared" si="85"/>
        <v>1615</v>
      </c>
      <c r="AV100" s="166">
        <f t="shared" si="86"/>
        <v>262.5</v>
      </c>
      <c r="AW100" s="164"/>
      <c r="AX100" s="293">
        <f>AX99 + IF(Overview!$B$14="Gnome",N91,N88) -BV100</f>
        <v>0</v>
      </c>
      <c r="AY100" s="244">
        <f>AY99 + IF(Overview!$B$14="Gnome",O91,O88) -BW100</f>
        <v>0</v>
      </c>
      <c r="AZ100" s="244">
        <f>AZ99 + IF(Overview!$B$14="Gnome",P91,P88) -BX100</f>
        <v>80</v>
      </c>
      <c r="BA100" s="244">
        <f>BA99 + IF(Overview!$B$14="Gnome",Q91,Q88) -BY100</f>
        <v>200</v>
      </c>
      <c r="BB100" s="244">
        <f>BB99 + IF(Overview!$B$14="Gnome",R91,R88) -BZ100</f>
        <v>0</v>
      </c>
      <c r="BC100" s="206">
        <f>BC99 + IF(Overview!$B$14="Gnome",S91,S88) -CA100</f>
        <v>50</v>
      </c>
      <c r="BD100" s="206">
        <f>BD99 + IF(Overview!$B$14="Gnome",T91,T88) -CB100</f>
        <v>0</v>
      </c>
      <c r="BE100" s="207">
        <f>BE99 + IF(Overview!$B$14="Gnome",U91,U88) -CC100</f>
        <v>0</v>
      </c>
      <c r="BF100" s="207">
        <f>BF99 + IF(Overview!$B$14="Gnome",V91,V88) -CD100</f>
        <v>0</v>
      </c>
      <c r="BG100" s="208">
        <f>BG99 + IF(Overview!$B$14="Gnome",W91,W88) -CE100</f>
        <v>0</v>
      </c>
      <c r="BH100" s="208">
        <f>BH99 + IF(Overview!$B$14="Gnome",X91,X88) -CF100</f>
        <v>0</v>
      </c>
      <c r="BI100" s="208">
        <f>BI99 + IF(Overview!$B$14="Gnome",Y91,Y88) -CG100</f>
        <v>0</v>
      </c>
      <c r="BJ100" s="208">
        <f>BJ99 + IF(Overview!$B$14="Gnome",Z91,Z88) -CH100</f>
        <v>0</v>
      </c>
      <c r="BK100" s="209">
        <f>BK99 + IF(Overview!$B$14="Gnome",AA91,AA88) -CI100</f>
        <v>50</v>
      </c>
      <c r="BL100" s="209">
        <f>BL99 + IF(Overview!$B$14="Gnome",AB91,AB88) -CJ100</f>
        <v>0</v>
      </c>
      <c r="BM100" s="209">
        <f>BM99 + IF(Overview!$B$14="Gnome",AC91,AC88) -CK100</f>
        <v>0</v>
      </c>
      <c r="BN100" s="210">
        <f>BN99 + IF(Overview!$B$14="Gnome",AD91,AD88) -CL100</f>
        <v>0</v>
      </c>
      <c r="BO100" s="210">
        <f>BO99 + IF(Overview!$B$14="Gnome",AE91,AE88) -CM100</f>
        <v>0</v>
      </c>
      <c r="BP100" s="211">
        <f>BP99 + IF(Overview!$B$14="Gnome",AF91,AF88) -CN100</f>
        <v>0</v>
      </c>
      <c r="BR100" s="440"/>
      <c r="BS100" s="156">
        <f t="shared" si="99"/>
        <v>1000</v>
      </c>
      <c r="BT100" s="532">
        <f t="shared" si="100"/>
        <v>43696.041666666431</v>
      </c>
      <c r="BV100" s="352"/>
      <c r="BW100" s="345"/>
      <c r="BX100" s="345"/>
      <c r="BY100" s="345"/>
      <c r="BZ100" s="345"/>
      <c r="CA100" s="345"/>
      <c r="CB100" s="345"/>
      <c r="CC100" s="345"/>
      <c r="CD100" s="345"/>
      <c r="CE100" s="345"/>
      <c r="CF100" s="345"/>
      <c r="CG100" s="345"/>
      <c r="CH100" s="345"/>
      <c r="CI100" s="345"/>
      <c r="CJ100" s="345"/>
      <c r="CK100" s="345"/>
      <c r="CL100" s="345"/>
      <c r="CM100" s="763"/>
      <c r="CN100" s="353"/>
      <c r="CP100" s="245">
        <f>-SUM($O100:$R100)+SUM($BW100:BZ100)+Rezone!L100+IF(home_land=CP$2,CW100) + Explore!T88</f>
        <v>0</v>
      </c>
      <c r="CQ100" s="246">
        <f>-SUM($S100:$T100)+SUM($CA100:$CB100) +Rezone!M100 + IF(home_land=CQ$2,CW100) + Explore!U88</f>
        <v>0</v>
      </c>
      <c r="CR100" s="247">
        <f>-SUM($U100:$V100)+SUM($CC100:$CD100) +Rezone!N100 + IF(home_land=CR$2,CW100) + Explore!V88</f>
        <v>0</v>
      </c>
      <c r="CS100" s="248">
        <f>-SUM($W100:$Z100)+SUM($CE100:$CH100) +Rezone!O100 + IF(home_land=CS$2,CW100) + Explore!W88</f>
        <v>0</v>
      </c>
      <c r="CT100" s="249">
        <f>-SUM($AA100:$AC100)+SUM($CI100:$CK100) +Rezone!P100 + IF(home_land=CT$2,CW100) + Explore!X88</f>
        <v>0</v>
      </c>
      <c r="CU100" s="250">
        <f xml:space="preserve"> - SUM($AD100,$AE100)+SUM($CL100,$CM100) +Rezone!Q100 + IF(home_land=CU$2,CW100)+Explore!Y88</f>
        <v>0</v>
      </c>
      <c r="CV100" s="498">
        <f>-$AF100+$CN100 +Rezone!R100 + IF(home_land=CV$2,CW100) + Explore!Z88</f>
        <v>0</v>
      </c>
      <c r="CW100" s="159">
        <f>IF(Explore!S100=1,25) - N100 + BV100</f>
        <v>0</v>
      </c>
      <c r="CY100" s="152">
        <f t="shared" si="101"/>
        <v>280</v>
      </c>
      <c r="CZ100" s="164">
        <f t="shared" si="102"/>
        <v>150</v>
      </c>
      <c r="DA100" s="170">
        <f t="shared" si="103"/>
        <v>150</v>
      </c>
      <c r="DB100" s="164">
        <f t="shared" si="104"/>
        <v>150</v>
      </c>
      <c r="DC100" s="164">
        <f t="shared" si="105"/>
        <v>150</v>
      </c>
      <c r="DD100" s="170">
        <f t="shared" si="106"/>
        <v>20</v>
      </c>
      <c r="DE100" s="166">
        <f t="shared" si="107"/>
        <v>100</v>
      </c>
      <c r="DF100" s="164">
        <f t="shared" ca="1" si="108"/>
        <v>280</v>
      </c>
      <c r="DG100" s="170">
        <f t="shared" si="109"/>
        <v>0</v>
      </c>
      <c r="DH100" s="170">
        <f t="shared" si="110"/>
        <v>100</v>
      </c>
      <c r="DI100" s="166"/>
    </row>
    <row r="101" spans="1:113" s="170" customFormat="1">
      <c r="A101" s="242">
        <f t="shared" si="87"/>
        <v>620</v>
      </c>
      <c r="B101" s="242">
        <f t="shared" si="88"/>
        <v>380</v>
      </c>
      <c r="C101" s="243">
        <f t="shared" si="89"/>
        <v>0</v>
      </c>
      <c r="D101" s="532"/>
      <c r="E101" s="170">
        <f t="shared" si="90"/>
        <v>1000</v>
      </c>
      <c r="F101" s="245">
        <f t="shared" si="91"/>
        <v>0</v>
      </c>
      <c r="G101" s="246">
        <f t="shared" si="92"/>
        <v>100</v>
      </c>
      <c r="H101" s="247">
        <f t="shared" si="93"/>
        <v>150</v>
      </c>
      <c r="I101" s="248">
        <f t="shared" si="94"/>
        <v>150</v>
      </c>
      <c r="J101" s="249">
        <f t="shared" si="95"/>
        <v>100</v>
      </c>
      <c r="K101" s="250">
        <f t="shared" si="96"/>
        <v>20</v>
      </c>
      <c r="L101" s="498">
        <f t="shared" si="97"/>
        <v>100</v>
      </c>
      <c r="M101" s="634">
        <f>Rezone!J101</f>
        <v>99</v>
      </c>
      <c r="N101" s="352"/>
      <c r="O101" s="345"/>
      <c r="P101" s="345"/>
      <c r="Q101" s="345"/>
      <c r="R101" s="345"/>
      <c r="S101" s="348"/>
      <c r="T101" s="345"/>
      <c r="U101" s="345"/>
      <c r="V101" s="345"/>
      <c r="W101" s="345"/>
      <c r="X101" s="345"/>
      <c r="Y101" s="345"/>
      <c r="Z101" s="345"/>
      <c r="AA101" s="345"/>
      <c r="AB101" s="345"/>
      <c r="AC101" s="345"/>
      <c r="AD101" s="345"/>
      <c r="AE101" s="345"/>
      <c r="AF101" s="336"/>
      <c r="AG101" s="532">
        <f t="shared" si="98"/>
        <v>43696.083333333096</v>
      </c>
      <c r="AH101" s="251">
        <f>MIN(25%,(BG101+CE101)/(E101-Explore!S101*20))</f>
        <v>0</v>
      </c>
      <c r="AI101" s="187">
        <f t="shared" si="83"/>
        <v>0</v>
      </c>
      <c r="AJ101" s="152">
        <f ca="1">Production!$H101</f>
        <v>3991309</v>
      </c>
      <c r="AK101" s="166">
        <f ca="1">Production!$J101</f>
        <v>269565</v>
      </c>
      <c r="AL101" s="152">
        <f ca="1">ROUND( (1 - MIN(facs_constr_factor*$AH101,facs_constr_max)) * (1+MIN(tech_construction*Techs!AC101,tech_conquerors_crafts*Techs!AS101)) * AU101*(1+race_construction_cost),0)</f>
        <v>1615</v>
      </c>
      <c r="AM101" s="166">
        <f t="shared" si="113"/>
        <v>263</v>
      </c>
      <c r="AN101" s="152">
        <f ca="1">ROUND( (1 - MIN(facs_constr_factor*$AI101,facs_constr_max)) * (1+MIN(tech_construction*Techs!AE101,tech_conquerors_crafts*Techs!AU101)) * AU101*(1+race_construction_cost),0)</f>
        <v>1615</v>
      </c>
      <c r="AO101" s="166">
        <f t="shared" si="114"/>
        <v>263</v>
      </c>
      <c r="AP101" s="170">
        <f t="shared" ca="1" si="111"/>
        <v>0</v>
      </c>
      <c r="AQ101" s="157">
        <f t="shared" si="112"/>
        <v>0</v>
      </c>
      <c r="AR101" s="170">
        <f>MIN(SUM(F100:L100)+SUM(Explore!T89:Z89)+SUM(BV101:CN101),SUM($N101:$AF101))</f>
        <v>0</v>
      </c>
      <c r="AS101" s="170">
        <f>IF(Explore!S101&lt;&gt;0,MAX(0, MIN(20, 20 + SUM(N101:AF101) - SUM(BV101:CN101) - SUM(F100:L100)-SUM(Explore!T89:Z89)-20*Explore!S101)),0)</f>
        <v>0</v>
      </c>
      <c r="AU101" s="152">
        <f t="shared" si="85"/>
        <v>1615</v>
      </c>
      <c r="AV101" s="166">
        <f t="shared" si="86"/>
        <v>262.5</v>
      </c>
      <c r="AW101" s="164"/>
      <c r="AX101" s="293">
        <f>AX100 + IF(Overview!$B$14="Gnome",N92,N89) -BV101</f>
        <v>0</v>
      </c>
      <c r="AY101" s="244">
        <f>AY100 + IF(Overview!$B$14="Gnome",O92,O89) -BW101</f>
        <v>0</v>
      </c>
      <c r="AZ101" s="244">
        <f>AZ100 + IF(Overview!$B$14="Gnome",P92,P89) -BX101</f>
        <v>80</v>
      </c>
      <c r="BA101" s="244">
        <f>BA100 + IF(Overview!$B$14="Gnome",Q92,Q89) -BY101</f>
        <v>200</v>
      </c>
      <c r="BB101" s="244">
        <f>BB100 + IF(Overview!$B$14="Gnome",R92,R89) -BZ101</f>
        <v>0</v>
      </c>
      <c r="BC101" s="206">
        <f>BC100 + IF(Overview!$B$14="Gnome",S92,S89) -CA101</f>
        <v>50</v>
      </c>
      <c r="BD101" s="206">
        <f>BD100 + IF(Overview!$B$14="Gnome",T92,T89) -CB101</f>
        <v>0</v>
      </c>
      <c r="BE101" s="207">
        <f>BE100 + IF(Overview!$B$14="Gnome",U92,U89) -CC101</f>
        <v>0</v>
      </c>
      <c r="BF101" s="207">
        <f>BF100 + IF(Overview!$B$14="Gnome",V92,V89) -CD101</f>
        <v>0</v>
      </c>
      <c r="BG101" s="208">
        <f>BG100 + IF(Overview!$B$14="Gnome",W92,W89) -CE101</f>
        <v>0</v>
      </c>
      <c r="BH101" s="208">
        <f>BH100 + IF(Overview!$B$14="Gnome",X92,X89) -CF101</f>
        <v>0</v>
      </c>
      <c r="BI101" s="208">
        <f>BI100 + IF(Overview!$B$14="Gnome",Y92,Y89) -CG101</f>
        <v>0</v>
      </c>
      <c r="BJ101" s="208">
        <f>BJ100 + IF(Overview!$B$14="Gnome",Z92,Z89) -CH101</f>
        <v>0</v>
      </c>
      <c r="BK101" s="209">
        <f>BK100 + IF(Overview!$B$14="Gnome",AA92,AA89) -CI101</f>
        <v>50</v>
      </c>
      <c r="BL101" s="209">
        <f>BL100 + IF(Overview!$B$14="Gnome",AB92,AB89) -CJ101</f>
        <v>0</v>
      </c>
      <c r="BM101" s="209">
        <f>BM100 + IF(Overview!$B$14="Gnome",AC92,AC89) -CK101</f>
        <v>0</v>
      </c>
      <c r="BN101" s="210">
        <f>BN100 + IF(Overview!$B$14="Gnome",AD92,AD89) -CL101</f>
        <v>0</v>
      </c>
      <c r="BO101" s="210">
        <f>BO100 + IF(Overview!$B$14="Gnome",AE92,AE89) -CM101</f>
        <v>0</v>
      </c>
      <c r="BP101" s="211">
        <f>BP100 + IF(Overview!$B$14="Gnome",AF92,AF89) -CN101</f>
        <v>0</v>
      </c>
      <c r="BR101" s="440"/>
      <c r="BS101" s="156">
        <f t="shared" si="99"/>
        <v>1000</v>
      </c>
      <c r="BT101" s="532">
        <f t="shared" si="100"/>
        <v>43696.083333333096</v>
      </c>
      <c r="BV101" s="352"/>
      <c r="BW101" s="345"/>
      <c r="BX101" s="345"/>
      <c r="BY101" s="345"/>
      <c r="BZ101" s="345"/>
      <c r="CA101" s="345"/>
      <c r="CB101" s="345"/>
      <c r="CC101" s="345"/>
      <c r="CD101" s="345"/>
      <c r="CE101" s="345"/>
      <c r="CF101" s="345"/>
      <c r="CG101" s="345"/>
      <c r="CH101" s="345"/>
      <c r="CI101" s="345"/>
      <c r="CJ101" s="345"/>
      <c r="CK101" s="345"/>
      <c r="CL101" s="345"/>
      <c r="CM101" s="763"/>
      <c r="CN101" s="353"/>
      <c r="CP101" s="245">
        <f>-SUM($O101:$R101)+SUM($BW101:BZ101)+Rezone!L101+IF(home_land=CP$2,CW101) + Explore!T89</f>
        <v>0</v>
      </c>
      <c r="CQ101" s="246">
        <f>-SUM($S101:$T101)+SUM($CA101:$CB101) +Rezone!M101 + IF(home_land=CQ$2,CW101) + Explore!U89</f>
        <v>0</v>
      </c>
      <c r="CR101" s="247">
        <f>-SUM($U101:$V101)+SUM($CC101:$CD101) +Rezone!N101 + IF(home_land=CR$2,CW101) + Explore!V89</f>
        <v>0</v>
      </c>
      <c r="CS101" s="248">
        <f>-SUM($W101:$Z101)+SUM($CE101:$CH101) +Rezone!O101 + IF(home_land=CS$2,CW101) + Explore!W89</f>
        <v>0</v>
      </c>
      <c r="CT101" s="249">
        <f>-SUM($AA101:$AC101)+SUM($CI101:$CK101) +Rezone!P101 + IF(home_land=CT$2,CW101) + Explore!X89</f>
        <v>0</v>
      </c>
      <c r="CU101" s="250">
        <f xml:space="preserve"> - SUM($AD101,$AE101)+SUM($CL101,$CM101) +Rezone!Q101 + IF(home_land=CU$2,CW101)+Explore!Y89</f>
        <v>0</v>
      </c>
      <c r="CV101" s="498">
        <f>-$AF101+$CN101 +Rezone!R101 + IF(home_land=CV$2,CW101) + Explore!Z89</f>
        <v>0</v>
      </c>
      <c r="CW101" s="159">
        <f>IF(Explore!S101=1,25) - N101 + BV101</f>
        <v>0</v>
      </c>
      <c r="CY101" s="152">
        <f t="shared" si="101"/>
        <v>280</v>
      </c>
      <c r="CZ101" s="164">
        <f t="shared" si="102"/>
        <v>150</v>
      </c>
      <c r="DA101" s="170">
        <f t="shared" si="103"/>
        <v>150</v>
      </c>
      <c r="DB101" s="164">
        <f t="shared" si="104"/>
        <v>150</v>
      </c>
      <c r="DC101" s="164">
        <f t="shared" si="105"/>
        <v>150</v>
      </c>
      <c r="DD101" s="170">
        <f t="shared" si="106"/>
        <v>20</v>
      </c>
      <c r="DE101" s="166">
        <f t="shared" si="107"/>
        <v>100</v>
      </c>
      <c r="DF101" s="164">
        <f t="shared" ca="1" si="108"/>
        <v>280</v>
      </c>
      <c r="DG101" s="170">
        <f t="shared" si="109"/>
        <v>0</v>
      </c>
      <c r="DH101" s="170">
        <f t="shared" si="110"/>
        <v>101</v>
      </c>
      <c r="DI101" s="166"/>
    </row>
    <row r="102" spans="1:113" s="16" customFormat="1">
      <c r="A102" s="36">
        <f t="shared" si="87"/>
        <v>620</v>
      </c>
      <c r="B102" s="36">
        <f t="shared" si="88"/>
        <v>380</v>
      </c>
      <c r="C102" s="83">
        <f t="shared" si="89"/>
        <v>0</v>
      </c>
      <c r="D102" s="574"/>
      <c r="E102" s="16">
        <f t="shared" si="90"/>
        <v>1000</v>
      </c>
      <c r="F102" s="86">
        <f t="shared" si="91"/>
        <v>0</v>
      </c>
      <c r="G102" s="37">
        <f t="shared" si="92"/>
        <v>100</v>
      </c>
      <c r="H102" s="247">
        <f t="shared" si="93"/>
        <v>150</v>
      </c>
      <c r="I102" s="38">
        <f t="shared" si="94"/>
        <v>150</v>
      </c>
      <c r="J102" s="39">
        <f t="shared" si="95"/>
        <v>100</v>
      </c>
      <c r="K102" s="40">
        <f t="shared" si="96"/>
        <v>20</v>
      </c>
      <c r="L102" s="500">
        <f t="shared" si="97"/>
        <v>100</v>
      </c>
      <c r="M102" s="635">
        <f>Rezone!J102</f>
        <v>100</v>
      </c>
      <c r="N102" s="356"/>
      <c r="O102" s="348"/>
      <c r="P102" s="348"/>
      <c r="Q102" s="348"/>
      <c r="R102" s="345"/>
      <c r="S102" s="348"/>
      <c r="T102" s="348"/>
      <c r="U102" s="348"/>
      <c r="V102" s="348"/>
      <c r="W102" s="345"/>
      <c r="X102" s="345"/>
      <c r="Y102" s="348"/>
      <c r="Z102" s="345"/>
      <c r="AA102" s="348"/>
      <c r="AB102" s="348"/>
      <c r="AC102" s="345"/>
      <c r="AD102" s="348"/>
      <c r="AE102" s="348"/>
      <c r="AF102" s="336"/>
      <c r="AG102" s="532">
        <f t="shared" si="98"/>
        <v>43696.12499999976</v>
      </c>
      <c r="AH102" s="91">
        <f>MIN(25%,(BG102+CE102)/(E102-Explore!S102*20))</f>
        <v>0</v>
      </c>
      <c r="AI102" s="59">
        <f t="shared" si="83"/>
        <v>0</v>
      </c>
      <c r="AJ102" s="56">
        <f ca="1">Production!$H102</f>
        <v>4001960</v>
      </c>
      <c r="AK102" s="57">
        <f ca="1">Production!$J102</f>
        <v>269369</v>
      </c>
      <c r="AL102" s="152">
        <f ca="1">ROUND( (1 - MIN(facs_constr_factor*$AH102,facs_constr_max)) * (1+MIN(tech_construction*Techs!AC102,tech_conquerors_crafts*Techs!AS102)) * AU102*(1+race_construction_cost),0)</f>
        <v>1615</v>
      </c>
      <c r="AM102" s="166">
        <f t="shared" si="113"/>
        <v>263</v>
      </c>
      <c r="AN102" s="152">
        <f ca="1">ROUND( (1 - MIN(facs_constr_factor*$AI102,facs_constr_max)) * (1+MIN(tech_construction*Techs!AE102,tech_conquerors_crafts*Techs!AU102)) * AU102*(1+race_construction_cost),0)</f>
        <v>1615</v>
      </c>
      <c r="AO102" s="166">
        <f t="shared" si="114"/>
        <v>263</v>
      </c>
      <c r="AP102" s="16">
        <f t="shared" ca="1" si="111"/>
        <v>0</v>
      </c>
      <c r="AQ102" s="53">
        <f t="shared" si="112"/>
        <v>0</v>
      </c>
      <c r="AR102" s="16">
        <f>MIN(SUM(F101:L101)+SUM(Explore!T90:Z90)+SUM(BV102:CN102),SUM($N102:$AF102))</f>
        <v>0</v>
      </c>
      <c r="AS102" s="16">
        <f>IF(Explore!S102&lt;&gt;0,MAX(0, MIN(20, 20 + SUM(N102:AF102) - SUM(BV102:CN102) - SUM(F101:L101)-SUM(Explore!T90:Z90)-20*Explore!S102)),0)</f>
        <v>0</v>
      </c>
      <c r="AU102" s="152">
        <f t="shared" si="85"/>
        <v>1615</v>
      </c>
      <c r="AV102" s="166">
        <f t="shared" si="86"/>
        <v>262.5</v>
      </c>
      <c r="AW102" s="164"/>
      <c r="AX102" s="295">
        <f>AX101 + IF(Overview!$B$14="Gnome",N93,N90) -BV102</f>
        <v>0</v>
      </c>
      <c r="AY102" s="28">
        <f>AY101 + IF(Overview!$B$14="Gnome",O93,O90) -BW102</f>
        <v>0</v>
      </c>
      <c r="AZ102" s="28">
        <f>AZ101 + IF(Overview!$B$14="Gnome",P93,P90) -BX102</f>
        <v>80</v>
      </c>
      <c r="BA102" s="28">
        <f>BA101 + IF(Overview!$B$14="Gnome",Q93,Q90) -BY102</f>
        <v>200</v>
      </c>
      <c r="BB102" s="28">
        <f>BB101 + IF(Overview!$B$14="Gnome",R93,R90) -BZ102</f>
        <v>0</v>
      </c>
      <c r="BC102" s="29">
        <f>BC101 + IF(Overview!$B$14="Gnome",S93,S90) -CA102</f>
        <v>50</v>
      </c>
      <c r="BD102" s="29">
        <f>BD101 + IF(Overview!$B$14="Gnome",T93,T90) -CB102</f>
        <v>0</v>
      </c>
      <c r="BE102" s="30">
        <f>BE101 + IF(Overview!$B$14="Gnome",U93,U90) -CC102</f>
        <v>0</v>
      </c>
      <c r="BF102" s="30">
        <f>BF101 + IF(Overview!$B$14="Gnome",V93,V90) -CD102</f>
        <v>0</v>
      </c>
      <c r="BG102" s="31">
        <f>BG101 + IF(Overview!$B$14="Gnome",W93,W90) -CE102</f>
        <v>0</v>
      </c>
      <c r="BH102" s="31">
        <f>BH101 + IF(Overview!$B$14="Gnome",X93,X90) -CF102</f>
        <v>0</v>
      </c>
      <c r="BI102" s="31">
        <f>BI101 + IF(Overview!$B$14="Gnome",Y93,Y90) -CG102</f>
        <v>0</v>
      </c>
      <c r="BJ102" s="31">
        <f>BJ101 + IF(Overview!$B$14="Gnome",Z93,Z90) -CH102</f>
        <v>0</v>
      </c>
      <c r="BK102" s="32">
        <f>BK101 + IF(Overview!$B$14="Gnome",AA93,AA90) -CI102</f>
        <v>50</v>
      </c>
      <c r="BL102" s="32">
        <f>BL101 + IF(Overview!$B$14="Gnome",AB93,AB90) -CJ102</f>
        <v>0</v>
      </c>
      <c r="BM102" s="32">
        <f>BM101 + IF(Overview!$B$14="Gnome",AC93,AC90) -CK102</f>
        <v>0</v>
      </c>
      <c r="BN102" s="33">
        <f>BN101 + IF(Overview!$B$14="Gnome",AD93,AD90) -CL102</f>
        <v>0</v>
      </c>
      <c r="BO102" s="33">
        <f>BO101 + IF(Overview!$B$14="Gnome",AE93,AE90) -CM102</f>
        <v>0</v>
      </c>
      <c r="BP102" s="69">
        <f>BP101 + IF(Overview!$B$14="Gnome",AF93,AF90) -CN102</f>
        <v>0</v>
      </c>
      <c r="BR102" s="442"/>
      <c r="BS102" s="156">
        <f t="shared" si="99"/>
        <v>1000</v>
      </c>
      <c r="BT102" s="574">
        <f t="shared" si="100"/>
        <v>43696.12499999976</v>
      </c>
      <c r="BV102" s="356"/>
      <c r="BW102" s="348"/>
      <c r="BX102" s="348"/>
      <c r="BY102" s="348"/>
      <c r="BZ102" s="348"/>
      <c r="CA102" s="348"/>
      <c r="CB102" s="348"/>
      <c r="CC102" s="348"/>
      <c r="CD102" s="348"/>
      <c r="CE102" s="348"/>
      <c r="CF102" s="348"/>
      <c r="CG102" s="348"/>
      <c r="CH102" s="348"/>
      <c r="CI102" s="348"/>
      <c r="CJ102" s="348"/>
      <c r="CK102" s="348"/>
      <c r="CL102" s="348"/>
      <c r="CM102" s="360"/>
      <c r="CN102" s="357"/>
      <c r="CP102" s="86">
        <f>-SUM($O102:$R102)+SUM($BW102:BZ102)+Rezone!L102+IF(home_land=CP$2,CW102) + Explore!T90</f>
        <v>0</v>
      </c>
      <c r="CQ102" s="37">
        <f>-SUM($S102:$T102)+SUM($CA102:$CB102) +Rezone!M102 + IF(home_land=CQ$2,CW102) + Explore!U90</f>
        <v>0</v>
      </c>
      <c r="CR102" s="247">
        <f>-SUM($U102:$V102)+SUM($CC102:$CD102) +Rezone!N102 + IF(home_land=CR$2,CW102) + Explore!V90</f>
        <v>0</v>
      </c>
      <c r="CS102" s="38">
        <f>-SUM($W102:$Z102)+SUM($CE102:$CH102) +Rezone!O102 + IF(home_land=CS$2,CW102) + Explore!W90</f>
        <v>0</v>
      </c>
      <c r="CT102" s="39">
        <f>-SUM($AA102:$AC102)+SUM($CI102:$CK102) +Rezone!P102 + IF(home_land=CT$2,CW102) + Explore!X90</f>
        <v>0</v>
      </c>
      <c r="CU102" s="40">
        <f xml:space="preserve"> - SUM($AD102,$AE102)+SUM($CL102,$CM102) +Rezone!Q102 + IF(home_land=CU$2,CW102)+Explore!Y90</f>
        <v>0</v>
      </c>
      <c r="CV102" s="500">
        <f>-$AF102+$CN102 +Rezone!R102 + IF(home_land=CV$2,CW102) + Explore!Z90</f>
        <v>0</v>
      </c>
      <c r="CW102" s="159">
        <f>IF(Explore!S102=1,25) - N102 + BV102</f>
        <v>0</v>
      </c>
      <c r="CY102" s="152">
        <f t="shared" si="101"/>
        <v>280</v>
      </c>
      <c r="CZ102" s="164">
        <f t="shared" si="102"/>
        <v>150</v>
      </c>
      <c r="DA102" s="16">
        <f t="shared" si="103"/>
        <v>150</v>
      </c>
      <c r="DB102" s="164">
        <f t="shared" si="104"/>
        <v>150</v>
      </c>
      <c r="DC102" s="164">
        <f t="shared" si="105"/>
        <v>150</v>
      </c>
      <c r="DD102" s="16">
        <f t="shared" si="106"/>
        <v>20</v>
      </c>
      <c r="DE102" s="166">
        <f t="shared" si="107"/>
        <v>100</v>
      </c>
      <c r="DF102" s="164">
        <f t="shared" ca="1" si="108"/>
        <v>280</v>
      </c>
      <c r="DG102" s="16">
        <f t="shared" si="109"/>
        <v>0</v>
      </c>
      <c r="DH102" s="16">
        <f t="shared" si="110"/>
        <v>102</v>
      </c>
      <c r="DI102" s="166"/>
    </row>
    <row r="103" spans="1:113" s="16" customFormat="1">
      <c r="A103" s="36">
        <f t="shared" si="87"/>
        <v>620</v>
      </c>
      <c r="B103" s="36">
        <f t="shared" si="88"/>
        <v>380</v>
      </c>
      <c r="C103" s="83">
        <f t="shared" si="89"/>
        <v>0</v>
      </c>
      <c r="D103" s="574"/>
      <c r="E103" s="16">
        <f t="shared" si="90"/>
        <v>1000</v>
      </c>
      <c r="F103" s="86">
        <f t="shared" si="91"/>
        <v>0</v>
      </c>
      <c r="G103" s="37">
        <f t="shared" si="92"/>
        <v>100</v>
      </c>
      <c r="H103" s="247">
        <f t="shared" si="93"/>
        <v>150</v>
      </c>
      <c r="I103" s="38">
        <f t="shared" si="94"/>
        <v>150</v>
      </c>
      <c r="J103" s="39">
        <f t="shared" si="95"/>
        <v>100</v>
      </c>
      <c r="K103" s="40">
        <f t="shared" si="96"/>
        <v>20</v>
      </c>
      <c r="L103" s="500">
        <f t="shared" si="97"/>
        <v>100</v>
      </c>
      <c r="M103" s="635">
        <f>Rezone!J103</f>
        <v>101</v>
      </c>
      <c r="N103" s="356"/>
      <c r="O103" s="348"/>
      <c r="P103" s="348"/>
      <c r="Q103" s="348"/>
      <c r="R103" s="345"/>
      <c r="S103" s="348"/>
      <c r="T103" s="348"/>
      <c r="U103" s="348"/>
      <c r="V103" s="348"/>
      <c r="W103" s="345"/>
      <c r="X103" s="345"/>
      <c r="Y103" s="348"/>
      <c r="Z103" s="345"/>
      <c r="AA103" s="348"/>
      <c r="AB103" s="348"/>
      <c r="AC103" s="345"/>
      <c r="AD103" s="348"/>
      <c r="AE103" s="348"/>
      <c r="AF103" s="336"/>
      <c r="AG103" s="532">
        <f t="shared" si="98"/>
        <v>43696.166666666424</v>
      </c>
      <c r="AH103" s="91">
        <f>MIN(25%,(BG103+CE103)/(E103-Explore!S103*20))</f>
        <v>0</v>
      </c>
      <c r="AI103" s="59">
        <f t="shared" si="83"/>
        <v>0</v>
      </c>
      <c r="AJ103" s="56">
        <f ca="1">Production!$H103</f>
        <v>4012611</v>
      </c>
      <c r="AK103" s="57">
        <f ca="1">Production!$J103</f>
        <v>269175</v>
      </c>
      <c r="AL103" s="152">
        <f ca="1">ROUND( (1 - MIN(facs_constr_factor*$AH103,facs_constr_max)) * (1+MIN(tech_construction*Techs!AC103,tech_conquerors_crafts*Techs!AS103)) * AU103*(1+race_construction_cost),0)</f>
        <v>1615</v>
      </c>
      <c r="AM103" s="166">
        <f t="shared" si="113"/>
        <v>263</v>
      </c>
      <c r="AN103" s="152">
        <f ca="1">ROUND( (1 - MIN(facs_constr_factor*$AI103,facs_constr_max)) * (1+MIN(tech_construction*Techs!AE103,tech_conquerors_crafts*Techs!AU103)) * AU103*(1+race_construction_cost),0)</f>
        <v>1615</v>
      </c>
      <c r="AO103" s="166">
        <f t="shared" si="114"/>
        <v>263</v>
      </c>
      <c r="AP103" s="16">
        <f t="shared" ca="1" si="111"/>
        <v>0</v>
      </c>
      <c r="AQ103" s="53">
        <f t="shared" si="112"/>
        <v>0</v>
      </c>
      <c r="AR103" s="16">
        <f>MIN(SUM(F102:L102)+SUM(Explore!T91:Z91)+SUM(BV103:CN103),SUM($N103:$AF103))</f>
        <v>0</v>
      </c>
      <c r="AS103" s="16">
        <f>IF(Explore!S103&lt;&gt;0,MAX(0, MIN(20, 20 + SUM(N103:AF103) - SUM(BV103:CN103) - SUM(F102:L102)-SUM(Explore!T91:Z91)-20*Explore!S103)),0)</f>
        <v>0</v>
      </c>
      <c r="AU103" s="152">
        <f t="shared" si="85"/>
        <v>1615</v>
      </c>
      <c r="AV103" s="166">
        <f t="shared" si="86"/>
        <v>262.5</v>
      </c>
      <c r="AW103" s="164"/>
      <c r="AX103" s="295">
        <f>AX102 + IF(Overview!$B$14="Gnome",N94,N91) -BV103</f>
        <v>0</v>
      </c>
      <c r="AY103" s="28">
        <f>AY102 + IF(Overview!$B$14="Gnome",O94,O91) -BW103</f>
        <v>0</v>
      </c>
      <c r="AZ103" s="28">
        <f>AZ102 + IF(Overview!$B$14="Gnome",P94,P91) -BX103</f>
        <v>80</v>
      </c>
      <c r="BA103" s="28">
        <f>BA102 + IF(Overview!$B$14="Gnome",Q94,Q91) -BY103</f>
        <v>200</v>
      </c>
      <c r="BB103" s="28">
        <f>BB102 + IF(Overview!$B$14="Gnome",R94,R91) -BZ103</f>
        <v>0</v>
      </c>
      <c r="BC103" s="29">
        <f>BC102 + IF(Overview!$B$14="Gnome",S94,S91) -CA103</f>
        <v>50</v>
      </c>
      <c r="BD103" s="29">
        <f>BD102 + IF(Overview!$B$14="Gnome",T94,T91) -CB103</f>
        <v>0</v>
      </c>
      <c r="BE103" s="30">
        <f>BE102 + IF(Overview!$B$14="Gnome",U94,U91) -CC103</f>
        <v>0</v>
      </c>
      <c r="BF103" s="30">
        <f>BF102 + IF(Overview!$B$14="Gnome",V94,V91) -CD103</f>
        <v>0</v>
      </c>
      <c r="BG103" s="31">
        <f>BG102 + IF(Overview!$B$14="Gnome",W94,W91) -CE103</f>
        <v>0</v>
      </c>
      <c r="BH103" s="31">
        <f>BH102 + IF(Overview!$B$14="Gnome",X94,X91) -CF103</f>
        <v>0</v>
      </c>
      <c r="BI103" s="31">
        <f>BI102 + IF(Overview!$B$14="Gnome",Y94,Y91) -CG103</f>
        <v>0</v>
      </c>
      <c r="BJ103" s="31">
        <f>BJ102 + IF(Overview!$B$14="Gnome",Z94,Z91) -CH103</f>
        <v>0</v>
      </c>
      <c r="BK103" s="32">
        <f>BK102 + IF(Overview!$B$14="Gnome",AA94,AA91) -CI103</f>
        <v>50</v>
      </c>
      <c r="BL103" s="32">
        <f>BL102 + IF(Overview!$B$14="Gnome",AB94,AB91) -CJ103</f>
        <v>0</v>
      </c>
      <c r="BM103" s="32">
        <f>BM102 + IF(Overview!$B$14="Gnome",AC94,AC91) -CK103</f>
        <v>0</v>
      </c>
      <c r="BN103" s="33">
        <f>BN102 + IF(Overview!$B$14="Gnome",AD94,AD91) -CL103</f>
        <v>0</v>
      </c>
      <c r="BO103" s="33">
        <f>BO102 + IF(Overview!$B$14="Gnome",AE94,AE91) -CM103</f>
        <v>0</v>
      </c>
      <c r="BP103" s="69">
        <f>BP102 + IF(Overview!$B$14="Gnome",AF94,AF91) -CN103</f>
        <v>0</v>
      </c>
      <c r="BR103" s="442"/>
      <c r="BS103" s="156">
        <f t="shared" si="99"/>
        <v>1000</v>
      </c>
      <c r="BT103" s="574">
        <f t="shared" si="100"/>
        <v>43696.166666666424</v>
      </c>
      <c r="BV103" s="356"/>
      <c r="BW103" s="348"/>
      <c r="BX103" s="348"/>
      <c r="BY103" s="348"/>
      <c r="BZ103" s="348"/>
      <c r="CA103" s="348"/>
      <c r="CB103" s="348"/>
      <c r="CC103" s="348"/>
      <c r="CD103" s="348"/>
      <c r="CE103" s="348"/>
      <c r="CF103" s="348"/>
      <c r="CG103" s="348"/>
      <c r="CH103" s="348"/>
      <c r="CI103" s="348"/>
      <c r="CJ103" s="348"/>
      <c r="CK103" s="348"/>
      <c r="CL103" s="348"/>
      <c r="CM103" s="360"/>
      <c r="CN103" s="357"/>
      <c r="CP103" s="86">
        <f>-SUM($O103:$R103)+SUM($BW103:BZ103)+Rezone!L103+IF(home_land=CP$2,CW103) + Explore!T91</f>
        <v>0</v>
      </c>
      <c r="CQ103" s="37">
        <f>-SUM($S103:$T103)+SUM($CA103:$CB103) +Rezone!M103 + IF(home_land=CQ$2,CW103) + Explore!U91</f>
        <v>0</v>
      </c>
      <c r="CR103" s="247">
        <f>-SUM($U103:$V103)+SUM($CC103:$CD103) +Rezone!N103 + IF(home_land=CR$2,CW103) + Explore!V91</f>
        <v>0</v>
      </c>
      <c r="CS103" s="38">
        <f>-SUM($W103:$Z103)+SUM($CE103:$CH103) +Rezone!O103 + IF(home_land=CS$2,CW103) + Explore!W91</f>
        <v>0</v>
      </c>
      <c r="CT103" s="39">
        <f>-SUM($AA103:$AC103)+SUM($CI103:$CK103) +Rezone!P103 + IF(home_land=CT$2,CW103) + Explore!X91</f>
        <v>0</v>
      </c>
      <c r="CU103" s="40">
        <f xml:space="preserve"> - SUM($AD103,$AE103)+SUM($CL103,$CM103) +Rezone!Q103 + IF(home_land=CU$2,CW103)+Explore!Y91</f>
        <v>0</v>
      </c>
      <c r="CV103" s="500">
        <f>-$AF103+$CN103 +Rezone!R103 + IF(home_land=CV$2,CW103) + Explore!Z91</f>
        <v>0</v>
      </c>
      <c r="CW103" s="159">
        <f>IF(Explore!S103=1,25) - N103 + BV103</f>
        <v>0</v>
      </c>
      <c r="CY103" s="152">
        <f t="shared" si="101"/>
        <v>280</v>
      </c>
      <c r="CZ103" s="164">
        <f t="shared" si="102"/>
        <v>150</v>
      </c>
      <c r="DA103" s="16">
        <f t="shared" si="103"/>
        <v>150</v>
      </c>
      <c r="DB103" s="164">
        <f t="shared" si="104"/>
        <v>150</v>
      </c>
      <c r="DC103" s="164">
        <f t="shared" si="105"/>
        <v>150</v>
      </c>
      <c r="DD103" s="16">
        <f t="shared" si="106"/>
        <v>20</v>
      </c>
      <c r="DE103" s="166">
        <f t="shared" si="107"/>
        <v>100</v>
      </c>
      <c r="DF103" s="164">
        <f t="shared" ca="1" si="108"/>
        <v>280</v>
      </c>
      <c r="DG103" s="16">
        <f t="shared" si="109"/>
        <v>0</v>
      </c>
      <c r="DH103" s="16">
        <f t="shared" si="110"/>
        <v>103</v>
      </c>
      <c r="DI103" s="166"/>
    </row>
    <row r="104" spans="1:113" s="16" customFormat="1">
      <c r="A104" s="36">
        <f t="shared" si="87"/>
        <v>620</v>
      </c>
      <c r="B104" s="36">
        <f t="shared" si="88"/>
        <v>380</v>
      </c>
      <c r="C104" s="83">
        <f t="shared" si="89"/>
        <v>0</v>
      </c>
      <c r="D104" s="574"/>
      <c r="E104" s="16">
        <f t="shared" si="90"/>
        <v>1000</v>
      </c>
      <c r="F104" s="86">
        <f t="shared" si="91"/>
        <v>0</v>
      </c>
      <c r="G104" s="37">
        <f t="shared" si="92"/>
        <v>100</v>
      </c>
      <c r="H104" s="247">
        <f t="shared" si="93"/>
        <v>150</v>
      </c>
      <c r="I104" s="38">
        <f t="shared" si="94"/>
        <v>150</v>
      </c>
      <c r="J104" s="39">
        <f t="shared" si="95"/>
        <v>100</v>
      </c>
      <c r="K104" s="40">
        <f t="shared" si="96"/>
        <v>20</v>
      </c>
      <c r="L104" s="500">
        <f t="shared" si="97"/>
        <v>100</v>
      </c>
      <c r="M104" s="635">
        <f>Rezone!J104</f>
        <v>102</v>
      </c>
      <c r="N104" s="356"/>
      <c r="O104" s="348"/>
      <c r="P104" s="348"/>
      <c r="Q104" s="348"/>
      <c r="R104" s="345"/>
      <c r="S104" s="348"/>
      <c r="T104" s="348"/>
      <c r="U104" s="348"/>
      <c r="V104" s="348"/>
      <c r="W104" s="345"/>
      <c r="X104" s="345"/>
      <c r="Y104" s="348"/>
      <c r="Z104" s="345"/>
      <c r="AA104" s="348"/>
      <c r="AB104" s="348"/>
      <c r="AC104" s="345"/>
      <c r="AD104" s="348"/>
      <c r="AE104" s="348"/>
      <c r="AF104" s="336"/>
      <c r="AG104" s="532">
        <f t="shared" si="98"/>
        <v>43696.208333333088</v>
      </c>
      <c r="AH104" s="91">
        <f>MIN(25%,(BG104+CE104)/(E104-Explore!S104*20))</f>
        <v>0</v>
      </c>
      <c r="AI104" s="59">
        <f t="shared" si="83"/>
        <v>0</v>
      </c>
      <c r="AJ104" s="56">
        <f ca="1">Production!$H104</f>
        <v>4023262</v>
      </c>
      <c r="AK104" s="57">
        <f ca="1">Production!$J104</f>
        <v>268983</v>
      </c>
      <c r="AL104" s="152">
        <f ca="1">ROUND( (1 - MIN(facs_constr_factor*$AH104,facs_constr_max)) * (1+MIN(tech_construction*Techs!AC104,tech_conquerors_crafts*Techs!AS104)) * AU104*(1+race_construction_cost),0)</f>
        <v>1615</v>
      </c>
      <c r="AM104" s="166">
        <f t="shared" si="113"/>
        <v>263</v>
      </c>
      <c r="AN104" s="152">
        <f ca="1">ROUND( (1 - MIN(facs_constr_factor*$AI104,facs_constr_max)) * (1+MIN(tech_construction*Techs!AE104,tech_conquerors_crafts*Techs!AU104)) * AU104*(1+race_construction_cost),0)</f>
        <v>1615</v>
      </c>
      <c r="AO104" s="166">
        <f t="shared" si="114"/>
        <v>263</v>
      </c>
      <c r="AP104" s="16">
        <f t="shared" ca="1" si="111"/>
        <v>0</v>
      </c>
      <c r="AQ104" s="53">
        <f t="shared" si="112"/>
        <v>0</v>
      </c>
      <c r="AR104" s="16">
        <f>MIN(SUM(F103:L103)+SUM(Explore!T92:Z92)+SUM(BV104:CN104),SUM($N104:$AF104))</f>
        <v>0</v>
      </c>
      <c r="AS104" s="16">
        <f>IF(Explore!S104&lt;&gt;0,MAX(0, MIN(20, 20 + SUM(N104:AF104) - SUM(BV104:CN104) - SUM(F103:L103)-SUM(Explore!T92:Z92)-20*Explore!S104)),0)</f>
        <v>0</v>
      </c>
      <c r="AU104" s="152">
        <f t="shared" si="85"/>
        <v>1615</v>
      </c>
      <c r="AV104" s="166">
        <f t="shared" si="86"/>
        <v>262.5</v>
      </c>
      <c r="AW104" s="164"/>
      <c r="AX104" s="295">
        <f>AX103 + IF(Overview!$B$14="Gnome",N95,N92) -BV104</f>
        <v>0</v>
      </c>
      <c r="AY104" s="28">
        <f>AY103 + IF(Overview!$B$14="Gnome",O95,O92) -BW104</f>
        <v>0</v>
      </c>
      <c r="AZ104" s="28">
        <f>AZ103 + IF(Overview!$B$14="Gnome",P95,P92) -BX104</f>
        <v>80</v>
      </c>
      <c r="BA104" s="28">
        <f>BA103 + IF(Overview!$B$14="Gnome",Q95,Q92) -BY104</f>
        <v>200</v>
      </c>
      <c r="BB104" s="28">
        <f>BB103 + IF(Overview!$B$14="Gnome",R95,R92) -BZ104</f>
        <v>0</v>
      </c>
      <c r="BC104" s="29">
        <f>BC103 + IF(Overview!$B$14="Gnome",S95,S92) -CA104</f>
        <v>50</v>
      </c>
      <c r="BD104" s="29">
        <f>BD103 + IF(Overview!$B$14="Gnome",T95,T92) -CB104</f>
        <v>0</v>
      </c>
      <c r="BE104" s="30">
        <f>BE103 + IF(Overview!$B$14="Gnome",U95,U92) -CC104</f>
        <v>0</v>
      </c>
      <c r="BF104" s="30">
        <f>BF103 + IF(Overview!$B$14="Gnome",V95,V92) -CD104</f>
        <v>0</v>
      </c>
      <c r="BG104" s="31">
        <f>BG103 + IF(Overview!$B$14="Gnome",W95,W92) -CE104</f>
        <v>0</v>
      </c>
      <c r="BH104" s="31">
        <f>BH103 + IF(Overview!$B$14="Gnome",X95,X92) -CF104</f>
        <v>0</v>
      </c>
      <c r="BI104" s="31">
        <f>BI103 + IF(Overview!$B$14="Gnome",Y95,Y92) -CG104</f>
        <v>0</v>
      </c>
      <c r="BJ104" s="31">
        <f>BJ103 + IF(Overview!$B$14="Gnome",Z95,Z92) -CH104</f>
        <v>0</v>
      </c>
      <c r="BK104" s="32">
        <f>BK103 + IF(Overview!$B$14="Gnome",AA95,AA92) -CI104</f>
        <v>50</v>
      </c>
      <c r="BL104" s="32">
        <f>BL103 + IF(Overview!$B$14="Gnome",AB95,AB92) -CJ104</f>
        <v>0</v>
      </c>
      <c r="BM104" s="32">
        <f>BM103 + IF(Overview!$B$14="Gnome",AC95,AC92) -CK104</f>
        <v>0</v>
      </c>
      <c r="BN104" s="33">
        <f>BN103 + IF(Overview!$B$14="Gnome",AD95,AD92) -CL104</f>
        <v>0</v>
      </c>
      <c r="BO104" s="33">
        <f>BO103 + IF(Overview!$B$14="Gnome",AE95,AE92) -CM104</f>
        <v>0</v>
      </c>
      <c r="BP104" s="69">
        <f>BP103 + IF(Overview!$B$14="Gnome",AF95,AF92) -CN104</f>
        <v>0</v>
      </c>
      <c r="BR104" s="442"/>
      <c r="BS104" s="156">
        <f t="shared" si="99"/>
        <v>1000</v>
      </c>
      <c r="BT104" s="574">
        <f t="shared" si="100"/>
        <v>43696.208333333088</v>
      </c>
      <c r="BV104" s="356"/>
      <c r="BW104" s="348"/>
      <c r="BX104" s="348"/>
      <c r="BY104" s="348"/>
      <c r="BZ104" s="348"/>
      <c r="CA104" s="348"/>
      <c r="CB104" s="348"/>
      <c r="CC104" s="348"/>
      <c r="CD104" s="348"/>
      <c r="CE104" s="348"/>
      <c r="CF104" s="348"/>
      <c r="CG104" s="348"/>
      <c r="CH104" s="348"/>
      <c r="CI104" s="348"/>
      <c r="CJ104" s="348"/>
      <c r="CK104" s="348"/>
      <c r="CL104" s="348"/>
      <c r="CM104" s="360"/>
      <c r="CN104" s="357"/>
      <c r="CP104" s="86">
        <f>-SUM($O104:$R104)+SUM($BW104:BZ104)+Rezone!L104+IF(home_land=CP$2,CW104) + Explore!T92</f>
        <v>0</v>
      </c>
      <c r="CQ104" s="37">
        <f>-SUM($S104:$T104)+SUM($CA104:$CB104) +Rezone!M104 + IF(home_land=CQ$2,CW104) + Explore!U92</f>
        <v>0</v>
      </c>
      <c r="CR104" s="247">
        <f>-SUM($U104:$V104)+SUM($CC104:$CD104) +Rezone!N104 + IF(home_land=CR$2,CW104) + Explore!V92</f>
        <v>0</v>
      </c>
      <c r="CS104" s="38">
        <f>-SUM($W104:$Z104)+SUM($CE104:$CH104) +Rezone!O104 + IF(home_land=CS$2,CW104) + Explore!W92</f>
        <v>0</v>
      </c>
      <c r="CT104" s="39">
        <f>-SUM($AA104:$AC104)+SUM($CI104:$CK104) +Rezone!P104 + IF(home_land=CT$2,CW104) + Explore!X92</f>
        <v>0</v>
      </c>
      <c r="CU104" s="40">
        <f xml:space="preserve"> - SUM($AD104,$AE104)+SUM($CL104,$CM104) +Rezone!Q104 + IF(home_land=CU$2,CW104)+Explore!Y92</f>
        <v>0</v>
      </c>
      <c r="CV104" s="500">
        <f>-$AF104+$CN104 +Rezone!R104 + IF(home_land=CV$2,CW104) + Explore!Z92</f>
        <v>0</v>
      </c>
      <c r="CW104" s="159">
        <f>IF(Explore!S104=1,25) - N104 + BV104</f>
        <v>0</v>
      </c>
      <c r="CY104" s="152">
        <f t="shared" si="101"/>
        <v>280</v>
      </c>
      <c r="CZ104" s="164">
        <f t="shared" si="102"/>
        <v>150</v>
      </c>
      <c r="DA104" s="16">
        <f t="shared" si="103"/>
        <v>150</v>
      </c>
      <c r="DB104" s="164">
        <f t="shared" si="104"/>
        <v>150</v>
      </c>
      <c r="DC104" s="164">
        <f t="shared" si="105"/>
        <v>150</v>
      </c>
      <c r="DD104" s="16">
        <f t="shared" si="106"/>
        <v>20</v>
      </c>
      <c r="DE104" s="166">
        <f t="shared" si="107"/>
        <v>100</v>
      </c>
      <c r="DF104" s="164">
        <f t="shared" ca="1" si="108"/>
        <v>280</v>
      </c>
      <c r="DG104" s="16">
        <f t="shared" si="109"/>
        <v>0</v>
      </c>
      <c r="DH104" s="16">
        <f t="shared" si="110"/>
        <v>104</v>
      </c>
      <c r="DI104" s="166"/>
    </row>
    <row r="105" spans="1:113" s="16" customFormat="1">
      <c r="A105" s="36">
        <f t="shared" si="87"/>
        <v>620</v>
      </c>
      <c r="B105" s="36">
        <f t="shared" si="88"/>
        <v>380</v>
      </c>
      <c r="C105" s="83">
        <f t="shared" si="89"/>
        <v>0</v>
      </c>
      <c r="D105" s="574"/>
      <c r="E105" s="16">
        <f t="shared" si="90"/>
        <v>1000</v>
      </c>
      <c r="F105" s="86">
        <f t="shared" si="91"/>
        <v>0</v>
      </c>
      <c r="G105" s="37">
        <f t="shared" si="92"/>
        <v>100</v>
      </c>
      <c r="H105" s="247">
        <f t="shared" si="93"/>
        <v>150</v>
      </c>
      <c r="I105" s="38">
        <f t="shared" si="94"/>
        <v>150</v>
      </c>
      <c r="J105" s="39">
        <f t="shared" si="95"/>
        <v>100</v>
      </c>
      <c r="K105" s="40">
        <f t="shared" si="96"/>
        <v>20</v>
      </c>
      <c r="L105" s="500">
        <f t="shared" si="97"/>
        <v>100</v>
      </c>
      <c r="M105" s="635">
        <f>Rezone!J105</f>
        <v>103</v>
      </c>
      <c r="N105" s="356"/>
      <c r="O105" s="348"/>
      <c r="P105" s="348"/>
      <c r="Q105" s="348"/>
      <c r="R105" s="345"/>
      <c r="S105" s="348"/>
      <c r="T105" s="348"/>
      <c r="U105" s="348"/>
      <c r="V105" s="348"/>
      <c r="W105" s="345"/>
      <c r="X105" s="345"/>
      <c r="Y105" s="348"/>
      <c r="Z105" s="345"/>
      <c r="AA105" s="348"/>
      <c r="AB105" s="348"/>
      <c r="AC105" s="345"/>
      <c r="AD105" s="348"/>
      <c r="AE105" s="348"/>
      <c r="AF105" s="336"/>
      <c r="AG105" s="532">
        <f t="shared" si="98"/>
        <v>43696.249999999753</v>
      </c>
      <c r="AH105" s="91">
        <f>MIN(25%,(BG105+CE105)/(E105-Explore!S105*20))</f>
        <v>0</v>
      </c>
      <c r="AI105" s="59">
        <f t="shared" si="83"/>
        <v>0</v>
      </c>
      <c r="AJ105" s="56">
        <f ca="1">Production!$H105</f>
        <v>4033913</v>
      </c>
      <c r="AK105" s="57">
        <f ca="1">Production!$J105</f>
        <v>268793</v>
      </c>
      <c r="AL105" s="152">
        <f ca="1">ROUND( (1 - MIN(facs_constr_factor*$AH105,facs_constr_max)) * (1+MIN(tech_construction*Techs!AC105,tech_conquerors_crafts*Techs!AS105)) * AU105*(1+race_construction_cost),0)</f>
        <v>1615</v>
      </c>
      <c r="AM105" s="166">
        <f t="shared" si="113"/>
        <v>263</v>
      </c>
      <c r="AN105" s="152">
        <f ca="1">ROUND( (1 - MIN(facs_constr_factor*$AI105,facs_constr_max)) * (1+MIN(tech_construction*Techs!AE105,tech_conquerors_crafts*Techs!AU105)) * AU105*(1+race_construction_cost),0)</f>
        <v>1615</v>
      </c>
      <c r="AO105" s="166">
        <f t="shared" si="114"/>
        <v>263</v>
      </c>
      <c r="AP105" s="16">
        <f t="shared" ca="1" si="111"/>
        <v>0</v>
      </c>
      <c r="AQ105" s="53">
        <f t="shared" si="112"/>
        <v>0</v>
      </c>
      <c r="AR105" s="16">
        <f>MIN(SUM(F104:L104)+SUM(Explore!T93:Z93)+SUM(BV105:CN105),SUM($N105:$AF105))</f>
        <v>0</v>
      </c>
      <c r="AS105" s="16">
        <f>IF(Explore!S105&lt;&gt;0,MAX(0, MIN(20, 20 + SUM(N105:AF105) - SUM(BV105:CN105) - SUM(F104:L104)-SUM(Explore!T93:Z93)-20*Explore!S105)),0)</f>
        <v>0</v>
      </c>
      <c r="AU105" s="152">
        <f t="shared" si="85"/>
        <v>1615</v>
      </c>
      <c r="AV105" s="166">
        <f t="shared" si="86"/>
        <v>262.5</v>
      </c>
      <c r="AW105" s="164"/>
      <c r="AX105" s="295">
        <f>AX104 + IF(Overview!$B$14="Gnome",N96,N93) -BV105</f>
        <v>0</v>
      </c>
      <c r="AY105" s="28">
        <f>AY104 + IF(Overview!$B$14="Gnome",O96,O93) -BW105</f>
        <v>0</v>
      </c>
      <c r="AZ105" s="28">
        <f>AZ104 + IF(Overview!$B$14="Gnome",P96,P93) -BX105</f>
        <v>80</v>
      </c>
      <c r="BA105" s="28">
        <f>BA104 + IF(Overview!$B$14="Gnome",Q96,Q93) -BY105</f>
        <v>200</v>
      </c>
      <c r="BB105" s="28">
        <f>BB104 + IF(Overview!$B$14="Gnome",R96,R93) -BZ105</f>
        <v>0</v>
      </c>
      <c r="BC105" s="29">
        <f>BC104 + IF(Overview!$B$14="Gnome",S96,S93) -CA105</f>
        <v>50</v>
      </c>
      <c r="BD105" s="29">
        <f>BD104 + IF(Overview!$B$14="Gnome",T96,T93) -CB105</f>
        <v>0</v>
      </c>
      <c r="BE105" s="30">
        <f>BE104 + IF(Overview!$B$14="Gnome",U96,U93) -CC105</f>
        <v>0</v>
      </c>
      <c r="BF105" s="30">
        <f>BF104 + IF(Overview!$B$14="Gnome",V96,V93) -CD105</f>
        <v>0</v>
      </c>
      <c r="BG105" s="31">
        <f>BG104 + IF(Overview!$B$14="Gnome",W96,W93) -CE105</f>
        <v>0</v>
      </c>
      <c r="BH105" s="31">
        <f>BH104 + IF(Overview!$B$14="Gnome",X96,X93) -CF105</f>
        <v>0</v>
      </c>
      <c r="BI105" s="31">
        <f>BI104 + IF(Overview!$B$14="Gnome",Y96,Y93) -CG105</f>
        <v>0</v>
      </c>
      <c r="BJ105" s="31">
        <f>BJ104 + IF(Overview!$B$14="Gnome",Z96,Z93) -CH105</f>
        <v>0</v>
      </c>
      <c r="BK105" s="32">
        <f>BK104 + IF(Overview!$B$14="Gnome",AA96,AA93) -CI105</f>
        <v>50</v>
      </c>
      <c r="BL105" s="32">
        <f>BL104 + IF(Overview!$B$14="Gnome",AB96,AB93) -CJ105</f>
        <v>0</v>
      </c>
      <c r="BM105" s="32">
        <f>BM104 + IF(Overview!$B$14="Gnome",AC96,AC93) -CK105</f>
        <v>0</v>
      </c>
      <c r="BN105" s="33">
        <f>BN104 + IF(Overview!$B$14="Gnome",AD96,AD93) -CL105</f>
        <v>0</v>
      </c>
      <c r="BO105" s="33">
        <f>BO104 + IF(Overview!$B$14="Gnome",AE96,AE93) -CM105</f>
        <v>0</v>
      </c>
      <c r="BP105" s="69">
        <f>BP104 + IF(Overview!$B$14="Gnome",AF96,AF93) -CN105</f>
        <v>0</v>
      </c>
      <c r="BR105" s="442"/>
      <c r="BS105" s="156">
        <f t="shared" si="99"/>
        <v>1000</v>
      </c>
      <c r="BT105" s="574">
        <f t="shared" si="100"/>
        <v>43696.249999999753</v>
      </c>
      <c r="BV105" s="356"/>
      <c r="BW105" s="348"/>
      <c r="BX105" s="348"/>
      <c r="BY105" s="348"/>
      <c r="BZ105" s="348"/>
      <c r="CA105" s="348"/>
      <c r="CB105" s="348"/>
      <c r="CC105" s="348"/>
      <c r="CD105" s="348"/>
      <c r="CE105" s="348"/>
      <c r="CF105" s="348"/>
      <c r="CG105" s="348"/>
      <c r="CH105" s="348"/>
      <c r="CI105" s="348"/>
      <c r="CJ105" s="348"/>
      <c r="CK105" s="348"/>
      <c r="CL105" s="348"/>
      <c r="CM105" s="360"/>
      <c r="CN105" s="357"/>
      <c r="CP105" s="86">
        <f>-SUM($O105:$R105)+SUM($BW105:BZ105)+Rezone!L105+IF(home_land=CP$2,CW105) + Explore!T93</f>
        <v>0</v>
      </c>
      <c r="CQ105" s="37">
        <f>-SUM($S105:$T105)+SUM($CA105:$CB105) +Rezone!M105 + IF(home_land=CQ$2,CW105) + Explore!U93</f>
        <v>0</v>
      </c>
      <c r="CR105" s="247">
        <f>-SUM($U105:$V105)+SUM($CC105:$CD105) +Rezone!N105 + IF(home_land=CR$2,CW105) + Explore!V93</f>
        <v>0</v>
      </c>
      <c r="CS105" s="38">
        <f>-SUM($W105:$Z105)+SUM($CE105:$CH105) +Rezone!O105 + IF(home_land=CS$2,CW105) + Explore!W93</f>
        <v>0</v>
      </c>
      <c r="CT105" s="39">
        <f>-SUM($AA105:$AC105)+SUM($CI105:$CK105) +Rezone!P105 + IF(home_land=CT$2,CW105) + Explore!X93</f>
        <v>0</v>
      </c>
      <c r="CU105" s="40">
        <f xml:space="preserve"> - SUM($AD105,$AE105)+SUM($CL105,$CM105) +Rezone!Q105 + IF(home_land=CU$2,CW105)+Explore!Y93</f>
        <v>0</v>
      </c>
      <c r="CV105" s="500">
        <f>-$AF105+$CN105 +Rezone!R105 + IF(home_land=CV$2,CW105) + Explore!Z93</f>
        <v>0</v>
      </c>
      <c r="CW105" s="159">
        <f>IF(Explore!S105=1,25) - N105 + BV105</f>
        <v>0</v>
      </c>
      <c r="CY105" s="152">
        <f t="shared" si="101"/>
        <v>280</v>
      </c>
      <c r="CZ105" s="164">
        <f t="shared" si="102"/>
        <v>150</v>
      </c>
      <c r="DA105" s="16">
        <f t="shared" si="103"/>
        <v>150</v>
      </c>
      <c r="DB105" s="164">
        <f t="shared" si="104"/>
        <v>150</v>
      </c>
      <c r="DC105" s="164">
        <f t="shared" si="105"/>
        <v>150</v>
      </c>
      <c r="DD105" s="16">
        <f t="shared" si="106"/>
        <v>20</v>
      </c>
      <c r="DE105" s="166">
        <f t="shared" si="107"/>
        <v>100</v>
      </c>
      <c r="DF105" s="164">
        <f t="shared" ca="1" si="108"/>
        <v>280</v>
      </c>
      <c r="DG105" s="16">
        <f t="shared" si="109"/>
        <v>0</v>
      </c>
      <c r="DH105" s="16">
        <f t="shared" si="110"/>
        <v>105</v>
      </c>
      <c r="DI105" s="166"/>
    </row>
    <row r="106" spans="1:113" s="16" customFormat="1">
      <c r="A106" s="36">
        <f t="shared" si="87"/>
        <v>620</v>
      </c>
      <c r="B106" s="36">
        <f t="shared" si="88"/>
        <v>380</v>
      </c>
      <c r="C106" s="83">
        <f t="shared" si="89"/>
        <v>0</v>
      </c>
      <c r="D106" s="574"/>
      <c r="E106" s="16">
        <f t="shared" si="90"/>
        <v>1000</v>
      </c>
      <c r="F106" s="86">
        <f t="shared" si="91"/>
        <v>0</v>
      </c>
      <c r="G106" s="37">
        <f t="shared" si="92"/>
        <v>100</v>
      </c>
      <c r="H106" s="247">
        <f t="shared" si="93"/>
        <v>150</v>
      </c>
      <c r="I106" s="38">
        <f t="shared" si="94"/>
        <v>150</v>
      </c>
      <c r="J106" s="39">
        <f t="shared" si="95"/>
        <v>100</v>
      </c>
      <c r="K106" s="40">
        <f t="shared" si="96"/>
        <v>20</v>
      </c>
      <c r="L106" s="500">
        <f t="shared" si="97"/>
        <v>100</v>
      </c>
      <c r="M106" s="635">
        <f>Rezone!J106</f>
        <v>104</v>
      </c>
      <c r="N106" s="356"/>
      <c r="O106" s="348"/>
      <c r="P106" s="348"/>
      <c r="Q106" s="348"/>
      <c r="R106" s="345"/>
      <c r="S106" s="348"/>
      <c r="T106" s="348"/>
      <c r="U106" s="348"/>
      <c r="V106" s="348"/>
      <c r="W106" s="363"/>
      <c r="X106" s="345"/>
      <c r="Y106" s="348"/>
      <c r="Z106" s="345"/>
      <c r="AA106" s="348"/>
      <c r="AB106" s="348"/>
      <c r="AC106" s="345"/>
      <c r="AD106" s="348"/>
      <c r="AE106" s="348"/>
      <c r="AF106" s="336"/>
      <c r="AG106" s="532">
        <f t="shared" si="98"/>
        <v>43696.291666666417</v>
      </c>
      <c r="AH106" s="91">
        <f>MIN(25%,(BG106+CE106)/(E106-Explore!S106*20))</f>
        <v>0</v>
      </c>
      <c r="AI106" s="59">
        <f t="shared" si="83"/>
        <v>0</v>
      </c>
      <c r="AJ106" s="56">
        <f ca="1">Production!$H106</f>
        <v>4044564</v>
      </c>
      <c r="AK106" s="57">
        <f ca="1">Production!$J106</f>
        <v>268605</v>
      </c>
      <c r="AL106" s="152">
        <f ca="1">ROUND( (1 - MIN(facs_constr_factor*$AH106,facs_constr_max)) * (1+MIN(tech_construction*Techs!AC106,tech_conquerors_crafts*Techs!AS106)) * AU106*(1+race_construction_cost),0)</f>
        <v>1615</v>
      </c>
      <c r="AM106" s="166">
        <f t="shared" si="113"/>
        <v>263</v>
      </c>
      <c r="AN106" s="152">
        <f ca="1">ROUND( (1 - MIN(facs_constr_factor*$AI106,facs_constr_max)) * (1+MIN(tech_construction*Techs!AE106,tech_conquerors_crafts*Techs!AU106)) * AU106*(1+race_construction_cost),0)</f>
        <v>1615</v>
      </c>
      <c r="AO106" s="166">
        <f t="shared" si="114"/>
        <v>263</v>
      </c>
      <c r="AP106" s="16">
        <f t="shared" ca="1" si="111"/>
        <v>0</v>
      </c>
      <c r="AQ106" s="53">
        <f t="shared" si="112"/>
        <v>0</v>
      </c>
      <c r="AR106" s="16">
        <f>MIN(SUM(F105:L105)+SUM(Explore!T94:Z94)+SUM(BV106:CN106),SUM($N106:$AF106))</f>
        <v>0</v>
      </c>
      <c r="AS106" s="16">
        <f>IF(Explore!S106&lt;&gt;0,MAX(0, MIN(20, 20 + SUM(N106:AF106) - SUM(BV106:CN106) - SUM(F105:L105)-SUM(Explore!T94:Z94)-20*Explore!S106)),0)</f>
        <v>0</v>
      </c>
      <c r="AU106" s="152">
        <f t="shared" si="85"/>
        <v>1615</v>
      </c>
      <c r="AV106" s="166">
        <f t="shared" si="86"/>
        <v>262.5</v>
      </c>
      <c r="AW106" s="164"/>
      <c r="AX106" s="295">
        <f>AX105 + IF(Overview!$B$14="Gnome",N97,N94) -BV106</f>
        <v>0</v>
      </c>
      <c r="AY106" s="28">
        <f>AY105 + IF(Overview!$B$14="Gnome",O97,O94) -BW106</f>
        <v>0</v>
      </c>
      <c r="AZ106" s="28">
        <f>AZ105 + IF(Overview!$B$14="Gnome",P97,P94) -BX106</f>
        <v>80</v>
      </c>
      <c r="BA106" s="28">
        <f>BA105 + IF(Overview!$B$14="Gnome",Q97,Q94) -BY106</f>
        <v>200</v>
      </c>
      <c r="BB106" s="28">
        <f>BB105 + IF(Overview!$B$14="Gnome",R97,R94) -BZ106</f>
        <v>0</v>
      </c>
      <c r="BC106" s="29">
        <f>BC105 + IF(Overview!$B$14="Gnome",S97,S94) -CA106</f>
        <v>50</v>
      </c>
      <c r="BD106" s="29">
        <f>BD105 + IF(Overview!$B$14="Gnome",T97,T94) -CB106</f>
        <v>0</v>
      </c>
      <c r="BE106" s="30">
        <f>BE105 + IF(Overview!$B$14="Gnome",U97,U94) -CC106</f>
        <v>0</v>
      </c>
      <c r="BF106" s="30">
        <f>BF105 + IF(Overview!$B$14="Gnome",V97,V94) -CD106</f>
        <v>0</v>
      </c>
      <c r="BG106" s="31">
        <f>BG105 + IF(Overview!$B$14="Gnome",W97,W94) -CE106</f>
        <v>0</v>
      </c>
      <c r="BH106" s="31">
        <f>BH105 + IF(Overview!$B$14="Gnome",X97,X94) -CF106</f>
        <v>0</v>
      </c>
      <c r="BI106" s="31">
        <f>BI105 + IF(Overview!$B$14="Gnome",Y97,Y94) -CG106</f>
        <v>0</v>
      </c>
      <c r="BJ106" s="31">
        <f>BJ105 + IF(Overview!$B$14="Gnome",Z97,Z94) -CH106</f>
        <v>0</v>
      </c>
      <c r="BK106" s="32">
        <f>BK105 + IF(Overview!$B$14="Gnome",AA97,AA94) -CI106</f>
        <v>50</v>
      </c>
      <c r="BL106" s="32">
        <f>BL105 + IF(Overview!$B$14="Gnome",AB97,AB94) -CJ106</f>
        <v>0</v>
      </c>
      <c r="BM106" s="32">
        <f>BM105 + IF(Overview!$B$14="Gnome",AC97,AC94) -CK106</f>
        <v>0</v>
      </c>
      <c r="BN106" s="33">
        <f>BN105 + IF(Overview!$B$14="Gnome",AD97,AD94) -CL106</f>
        <v>0</v>
      </c>
      <c r="BO106" s="33">
        <f>BO105 + IF(Overview!$B$14="Gnome",AE97,AE94) -CM106</f>
        <v>0</v>
      </c>
      <c r="BP106" s="69">
        <f>BP105 + IF(Overview!$B$14="Gnome",AF97,AF94) -CN106</f>
        <v>0</v>
      </c>
      <c r="BR106" s="442"/>
      <c r="BS106" s="156">
        <f t="shared" si="99"/>
        <v>1000</v>
      </c>
      <c r="BT106" s="574">
        <f t="shared" si="100"/>
        <v>43696.291666666417</v>
      </c>
      <c r="BV106" s="356"/>
      <c r="BW106" s="348"/>
      <c r="BX106" s="348"/>
      <c r="BY106" s="348"/>
      <c r="BZ106" s="348"/>
      <c r="CA106" s="348"/>
      <c r="CB106" s="348"/>
      <c r="CC106" s="348"/>
      <c r="CD106" s="348"/>
      <c r="CE106" s="348"/>
      <c r="CF106" s="348"/>
      <c r="CG106" s="348"/>
      <c r="CH106" s="348"/>
      <c r="CI106" s="348"/>
      <c r="CJ106" s="348"/>
      <c r="CK106" s="348"/>
      <c r="CL106" s="348"/>
      <c r="CM106" s="360"/>
      <c r="CN106" s="357"/>
      <c r="CP106" s="86">
        <f>-SUM($O106:$R106)+SUM($BW106:BZ106)+Rezone!L106+IF(home_land=CP$2,CW106) + Explore!T94</f>
        <v>0</v>
      </c>
      <c r="CQ106" s="37">
        <f>-SUM($S106:$T106)+SUM($CA106:$CB106) +Rezone!M106 + IF(home_land=CQ$2,CW106) + Explore!U94</f>
        <v>0</v>
      </c>
      <c r="CR106" s="247">
        <f>-SUM($U106:$V106)+SUM($CC106:$CD106) +Rezone!N106 + IF(home_land=CR$2,CW106) + Explore!V94</f>
        <v>0</v>
      </c>
      <c r="CS106" s="38">
        <f>-SUM($W106:$Z106)+SUM($CE106:$CH106) +Rezone!O106 + IF(home_land=CS$2,CW106) + Explore!W94</f>
        <v>0</v>
      </c>
      <c r="CT106" s="39">
        <f>-SUM($AA106:$AC106)+SUM($CI106:$CK106) +Rezone!P106 + IF(home_land=CT$2,CW106) + Explore!X94</f>
        <v>0</v>
      </c>
      <c r="CU106" s="40">
        <f xml:space="preserve"> - SUM($AD106,$AE106)+SUM($CL106,$CM106) +Rezone!Q106 + IF(home_land=CU$2,CW106)+Explore!Y94</f>
        <v>0</v>
      </c>
      <c r="CV106" s="500">
        <f>-$AF106+$CN106 +Rezone!R106 + IF(home_land=CV$2,CW106) + Explore!Z94</f>
        <v>0</v>
      </c>
      <c r="CW106" s="159">
        <f>IF(Explore!S106=1,25) - N106 + BV106</f>
        <v>0</v>
      </c>
      <c r="CY106" s="152">
        <f t="shared" si="101"/>
        <v>280</v>
      </c>
      <c r="CZ106" s="164">
        <f t="shared" si="102"/>
        <v>150</v>
      </c>
      <c r="DA106" s="16">
        <f t="shared" si="103"/>
        <v>150</v>
      </c>
      <c r="DB106" s="164">
        <f t="shared" si="104"/>
        <v>150</v>
      </c>
      <c r="DC106" s="164">
        <f t="shared" si="105"/>
        <v>150</v>
      </c>
      <c r="DD106" s="16">
        <f t="shared" si="106"/>
        <v>20</v>
      </c>
      <c r="DE106" s="166">
        <f t="shared" si="107"/>
        <v>100</v>
      </c>
      <c r="DF106" s="164">
        <f t="shared" ca="1" si="108"/>
        <v>280</v>
      </c>
      <c r="DG106" s="16">
        <f t="shared" si="109"/>
        <v>0</v>
      </c>
      <c r="DH106" s="16">
        <f t="shared" si="110"/>
        <v>106</v>
      </c>
      <c r="DI106" s="166"/>
    </row>
    <row r="107" spans="1:113" s="16" customFormat="1">
      <c r="A107" s="36">
        <f t="shared" si="87"/>
        <v>620</v>
      </c>
      <c r="B107" s="36">
        <f t="shared" si="88"/>
        <v>380</v>
      </c>
      <c r="C107" s="83">
        <f t="shared" si="89"/>
        <v>0</v>
      </c>
      <c r="D107" s="574"/>
      <c r="E107" s="16">
        <f t="shared" si="90"/>
        <v>1000</v>
      </c>
      <c r="F107" s="86">
        <f t="shared" si="91"/>
        <v>0</v>
      </c>
      <c r="G107" s="37">
        <f t="shared" si="92"/>
        <v>100</v>
      </c>
      <c r="H107" s="247">
        <f t="shared" si="93"/>
        <v>150</v>
      </c>
      <c r="I107" s="38">
        <f t="shared" si="94"/>
        <v>150</v>
      </c>
      <c r="J107" s="39">
        <f t="shared" si="95"/>
        <v>100</v>
      </c>
      <c r="K107" s="40">
        <f t="shared" si="96"/>
        <v>20</v>
      </c>
      <c r="L107" s="500">
        <f t="shared" si="97"/>
        <v>100</v>
      </c>
      <c r="M107" s="635">
        <f>Rezone!J107</f>
        <v>105</v>
      </c>
      <c r="N107" s="356"/>
      <c r="O107" s="348"/>
      <c r="P107" s="348"/>
      <c r="Q107" s="376"/>
      <c r="R107" s="345"/>
      <c r="S107" s="348"/>
      <c r="T107" s="348"/>
      <c r="U107" s="348"/>
      <c r="V107" s="348"/>
      <c r="W107" s="345"/>
      <c r="X107" s="345"/>
      <c r="Y107" s="348"/>
      <c r="Z107" s="345"/>
      <c r="AA107" s="348"/>
      <c r="AB107" s="348"/>
      <c r="AC107" s="345"/>
      <c r="AD107" s="348"/>
      <c r="AE107" s="348"/>
      <c r="AF107" s="336"/>
      <c r="AG107" s="532">
        <f t="shared" si="98"/>
        <v>43696.333333333081</v>
      </c>
      <c r="AH107" s="91">
        <f>MIN(25%,(BG107+CE107)/(E107-Explore!S107*20))</f>
        <v>0</v>
      </c>
      <c r="AI107" s="59">
        <f t="shared" si="83"/>
        <v>0</v>
      </c>
      <c r="AJ107" s="56">
        <f ca="1">Production!$H107</f>
        <v>4055215</v>
      </c>
      <c r="AK107" s="57">
        <f ca="1">Production!$J107</f>
        <v>268419</v>
      </c>
      <c r="AL107" s="152">
        <f ca="1">ROUND( (1 - MIN(facs_constr_factor*$AH107,facs_constr_max)) * (1+MIN(tech_construction*Techs!AC107,tech_conquerors_crafts*Techs!AS107)) * AU107*(1+race_construction_cost),0)</f>
        <v>1615</v>
      </c>
      <c r="AM107" s="166">
        <f t="shared" si="113"/>
        <v>263</v>
      </c>
      <c r="AN107" s="152">
        <f ca="1">ROUND( (1 - MIN(facs_constr_factor*$AI107,facs_constr_max)) * (1+MIN(tech_construction*Techs!AE107,tech_conquerors_crafts*Techs!AU107)) * AU107*(1+race_construction_cost),0)</f>
        <v>1615</v>
      </c>
      <c r="AO107" s="166">
        <f t="shared" si="114"/>
        <v>263</v>
      </c>
      <c r="AP107" s="16">
        <f t="shared" ca="1" si="111"/>
        <v>0</v>
      </c>
      <c r="AQ107" s="53">
        <f t="shared" si="112"/>
        <v>0</v>
      </c>
      <c r="AR107" s="16">
        <f>MIN(SUM(F106:L106)+SUM(Explore!T95:Z95)+SUM(BV107:CN107),SUM($N107:$AF107))</f>
        <v>0</v>
      </c>
      <c r="AS107" s="16">
        <f>IF(Explore!S107&lt;&gt;0,MAX(0, MIN(20, 20 + SUM(N107:AF107) - SUM(BV107:CN107) - SUM(F106:L106)-SUM(Explore!T95:Z95)-20*Explore!S107)),0)</f>
        <v>0</v>
      </c>
      <c r="AU107" s="152">
        <f t="shared" si="85"/>
        <v>1615</v>
      </c>
      <c r="AV107" s="166">
        <f t="shared" si="86"/>
        <v>262.5</v>
      </c>
      <c r="AW107" s="164"/>
      <c r="AX107" s="295">
        <f>AX106 + IF(Overview!$B$14="Gnome",N98,N95) -BV107</f>
        <v>0</v>
      </c>
      <c r="AY107" s="28">
        <f>AY106 + IF(Overview!$B$14="Gnome",O98,O95) -BW107</f>
        <v>0</v>
      </c>
      <c r="AZ107" s="28">
        <f>AZ106 + IF(Overview!$B$14="Gnome",P98,P95) -BX107</f>
        <v>80</v>
      </c>
      <c r="BA107" s="28">
        <f>BA106 + IF(Overview!$B$14="Gnome",Q98,Q95) -BY107</f>
        <v>200</v>
      </c>
      <c r="BB107" s="28">
        <f>BB106 + IF(Overview!$B$14="Gnome",R98,R95) -BZ107</f>
        <v>0</v>
      </c>
      <c r="BC107" s="29">
        <f>BC106 + IF(Overview!$B$14="Gnome",S98,S95) -CA107</f>
        <v>50</v>
      </c>
      <c r="BD107" s="29">
        <f>BD106 + IF(Overview!$B$14="Gnome",T98,T95) -CB107</f>
        <v>0</v>
      </c>
      <c r="BE107" s="30">
        <f>BE106 + IF(Overview!$B$14="Gnome",U98,U95) -CC107</f>
        <v>0</v>
      </c>
      <c r="BF107" s="30">
        <f>BF106 + IF(Overview!$B$14="Gnome",V98,V95) -CD107</f>
        <v>0</v>
      </c>
      <c r="BG107" s="31">
        <f>BG106 + IF(Overview!$B$14="Gnome",W98,W95) -CE107</f>
        <v>0</v>
      </c>
      <c r="BH107" s="31">
        <f>BH106 + IF(Overview!$B$14="Gnome",X98,X95) -CF107</f>
        <v>0</v>
      </c>
      <c r="BI107" s="31">
        <f>BI106 + IF(Overview!$B$14="Gnome",Y98,Y95) -CG107</f>
        <v>0</v>
      </c>
      <c r="BJ107" s="31">
        <f>BJ106 + IF(Overview!$B$14="Gnome",Z98,Z95) -CH107</f>
        <v>0</v>
      </c>
      <c r="BK107" s="32">
        <f>BK106 + IF(Overview!$B$14="Gnome",AA98,AA95) -CI107</f>
        <v>50</v>
      </c>
      <c r="BL107" s="32">
        <f>BL106 + IF(Overview!$B$14="Gnome",AB98,AB95) -CJ107</f>
        <v>0</v>
      </c>
      <c r="BM107" s="32">
        <f>BM106 + IF(Overview!$B$14="Gnome",AC98,AC95) -CK107</f>
        <v>0</v>
      </c>
      <c r="BN107" s="33">
        <f>BN106 + IF(Overview!$B$14="Gnome",AD98,AD95) -CL107</f>
        <v>0</v>
      </c>
      <c r="BO107" s="33">
        <f>BO106 + IF(Overview!$B$14="Gnome",AE98,AE95) -CM107</f>
        <v>0</v>
      </c>
      <c r="BP107" s="69">
        <f>BP106 + IF(Overview!$B$14="Gnome",AF98,AF95) -CN107</f>
        <v>0</v>
      </c>
      <c r="BR107" s="442"/>
      <c r="BS107" s="156">
        <f t="shared" si="99"/>
        <v>1000</v>
      </c>
      <c r="BT107" s="574">
        <f t="shared" si="100"/>
        <v>43696.333333333081</v>
      </c>
      <c r="BV107" s="356"/>
      <c r="BW107" s="348"/>
      <c r="BX107" s="348"/>
      <c r="BY107" s="348"/>
      <c r="BZ107" s="348"/>
      <c r="CA107" s="348"/>
      <c r="CB107" s="348"/>
      <c r="CC107" s="348"/>
      <c r="CD107" s="348"/>
      <c r="CE107" s="348"/>
      <c r="CF107" s="348"/>
      <c r="CG107" s="348"/>
      <c r="CH107" s="348"/>
      <c r="CI107" s="348"/>
      <c r="CJ107" s="348"/>
      <c r="CK107" s="348"/>
      <c r="CL107" s="348"/>
      <c r="CM107" s="360"/>
      <c r="CN107" s="357"/>
      <c r="CP107" s="86">
        <f>-SUM($O107:$R107)+SUM($BW107:BZ107)+Rezone!L107+IF(home_land=CP$2,CW107) + Explore!T95</f>
        <v>0</v>
      </c>
      <c r="CQ107" s="37">
        <f>-SUM($S107:$T107)+SUM($CA107:$CB107) +Rezone!M107 + IF(home_land=CQ$2,CW107) + Explore!U95</f>
        <v>0</v>
      </c>
      <c r="CR107" s="247">
        <f>-SUM($U107:$V107)+SUM($CC107:$CD107) +Rezone!N107 + IF(home_land=CR$2,CW107) + Explore!V95</f>
        <v>0</v>
      </c>
      <c r="CS107" s="38">
        <f>-SUM($W107:$Z107)+SUM($CE107:$CH107) +Rezone!O107 + IF(home_land=CS$2,CW107) + Explore!W95</f>
        <v>0</v>
      </c>
      <c r="CT107" s="39">
        <f>-SUM($AA107:$AC107)+SUM($CI107:$CK107) +Rezone!P107 + IF(home_land=CT$2,CW107) + Explore!X95</f>
        <v>0</v>
      </c>
      <c r="CU107" s="40">
        <f xml:space="preserve"> - SUM($AD107,$AE107)+SUM($CL107,$CM107) +Rezone!Q107 + IF(home_land=CU$2,CW107)+Explore!Y95</f>
        <v>0</v>
      </c>
      <c r="CV107" s="500">
        <f>-$AF107+$CN107 +Rezone!R107 + IF(home_land=CV$2,CW107) + Explore!Z95</f>
        <v>0</v>
      </c>
      <c r="CW107" s="159">
        <f>IF(Explore!S107=1,25) - N107 + BV107</f>
        <v>0</v>
      </c>
      <c r="CY107" s="152">
        <f t="shared" si="101"/>
        <v>280</v>
      </c>
      <c r="CZ107" s="164">
        <f t="shared" si="102"/>
        <v>150</v>
      </c>
      <c r="DA107" s="16">
        <f t="shared" si="103"/>
        <v>150</v>
      </c>
      <c r="DB107" s="164">
        <f t="shared" si="104"/>
        <v>150</v>
      </c>
      <c r="DC107" s="164">
        <f t="shared" si="105"/>
        <v>150</v>
      </c>
      <c r="DD107" s="16">
        <f t="shared" si="106"/>
        <v>20</v>
      </c>
      <c r="DE107" s="166">
        <f t="shared" si="107"/>
        <v>100</v>
      </c>
      <c r="DF107" s="164">
        <f t="shared" ca="1" si="108"/>
        <v>280</v>
      </c>
      <c r="DG107" s="16">
        <f t="shared" si="109"/>
        <v>0</v>
      </c>
      <c r="DH107" s="16">
        <f t="shared" si="110"/>
        <v>107</v>
      </c>
      <c r="DI107" s="166"/>
    </row>
    <row r="108" spans="1:113" s="16" customFormat="1">
      <c r="A108" s="36">
        <f t="shared" si="87"/>
        <v>620</v>
      </c>
      <c r="B108" s="36">
        <f t="shared" si="88"/>
        <v>380</v>
      </c>
      <c r="C108" s="83">
        <f t="shared" si="89"/>
        <v>0</v>
      </c>
      <c r="D108" s="574"/>
      <c r="E108" s="16">
        <f t="shared" si="90"/>
        <v>1000</v>
      </c>
      <c r="F108" s="86">
        <f t="shared" si="91"/>
        <v>0</v>
      </c>
      <c r="G108" s="37">
        <f t="shared" si="92"/>
        <v>100</v>
      </c>
      <c r="H108" s="247">
        <f t="shared" si="93"/>
        <v>150</v>
      </c>
      <c r="I108" s="38">
        <f t="shared" si="94"/>
        <v>150</v>
      </c>
      <c r="J108" s="39">
        <f t="shared" si="95"/>
        <v>100</v>
      </c>
      <c r="K108" s="40">
        <f t="shared" si="96"/>
        <v>20</v>
      </c>
      <c r="L108" s="500">
        <f t="shared" si="97"/>
        <v>100</v>
      </c>
      <c r="M108" s="635">
        <f>Rezone!J108</f>
        <v>106</v>
      </c>
      <c r="N108" s="356"/>
      <c r="O108" s="348"/>
      <c r="P108" s="348"/>
      <c r="Q108" s="376"/>
      <c r="R108" s="345"/>
      <c r="S108" s="348"/>
      <c r="T108" s="348"/>
      <c r="U108" s="348"/>
      <c r="V108" s="348"/>
      <c r="W108" s="345"/>
      <c r="X108" s="345"/>
      <c r="Y108" s="348"/>
      <c r="Z108" s="345"/>
      <c r="AA108" s="348"/>
      <c r="AB108" s="348"/>
      <c r="AC108" s="345"/>
      <c r="AD108" s="348"/>
      <c r="AE108" s="348"/>
      <c r="AF108" s="336"/>
      <c r="AG108" s="532">
        <f t="shared" si="98"/>
        <v>43696.374999999745</v>
      </c>
      <c r="AH108" s="91">
        <f>MIN(25%,(BG108+CE108)/(E108-Explore!S108*20))</f>
        <v>0</v>
      </c>
      <c r="AI108" s="59">
        <f t="shared" si="83"/>
        <v>0</v>
      </c>
      <c r="AJ108" s="56">
        <f ca="1">Production!$H108</f>
        <v>4065866</v>
      </c>
      <c r="AK108" s="57">
        <f ca="1">Production!$J108</f>
        <v>268235</v>
      </c>
      <c r="AL108" s="152">
        <f ca="1">ROUND( (1 - MIN(facs_constr_factor*$AH108,facs_constr_max)) * (1+MIN(tech_construction*Techs!AC108,tech_conquerors_crafts*Techs!AS108)) * AU108*(1+race_construction_cost),0)</f>
        <v>1615</v>
      </c>
      <c r="AM108" s="166">
        <f t="shared" si="113"/>
        <v>263</v>
      </c>
      <c r="AN108" s="152">
        <f ca="1">ROUND( (1 - MIN(facs_constr_factor*$AI108,facs_constr_max)) * (1+MIN(tech_construction*Techs!AE108,tech_conquerors_crafts*Techs!AU108)) * AU108*(1+race_construction_cost),0)</f>
        <v>1615</v>
      </c>
      <c r="AO108" s="166">
        <f t="shared" si="114"/>
        <v>263</v>
      </c>
      <c r="AP108" s="16">
        <f t="shared" ca="1" si="111"/>
        <v>0</v>
      </c>
      <c r="AQ108" s="53">
        <f t="shared" si="112"/>
        <v>0</v>
      </c>
      <c r="AR108" s="16">
        <f>MIN(SUM(F107:L107)+SUM(Explore!T96:Z96)+SUM(BV108:CN108),SUM($N108:$AF108))</f>
        <v>0</v>
      </c>
      <c r="AS108" s="16">
        <f>IF(Explore!S108&lt;&gt;0,MAX(0, MIN(20, 20 + SUM(N108:AF108) - SUM(BV108:CN108) - SUM(F107:L107)-SUM(Explore!T96:Z96)-20*Explore!S108)),0)</f>
        <v>0</v>
      </c>
      <c r="AU108" s="152">
        <f t="shared" si="85"/>
        <v>1615</v>
      </c>
      <c r="AV108" s="166">
        <f t="shared" si="86"/>
        <v>262.5</v>
      </c>
      <c r="AW108" s="164"/>
      <c r="AX108" s="295">
        <f>AX107 + IF(Overview!$B$14="Gnome",N99,N96) -BV108</f>
        <v>0</v>
      </c>
      <c r="AY108" s="28">
        <f>AY107 + IF(Overview!$B$14="Gnome",O99,O96) -BW108</f>
        <v>0</v>
      </c>
      <c r="AZ108" s="28">
        <f>AZ107 + IF(Overview!$B$14="Gnome",P99,P96) -BX108</f>
        <v>80</v>
      </c>
      <c r="BA108" s="28">
        <f>BA107 + IF(Overview!$B$14="Gnome",Q99,Q96) -BY108</f>
        <v>200</v>
      </c>
      <c r="BB108" s="28">
        <f>BB107 + IF(Overview!$B$14="Gnome",R99,R96) -BZ108</f>
        <v>0</v>
      </c>
      <c r="BC108" s="29">
        <f>BC107 + IF(Overview!$B$14="Gnome",S99,S96) -CA108</f>
        <v>50</v>
      </c>
      <c r="BD108" s="29">
        <f>BD107 + IF(Overview!$B$14="Gnome",T99,T96) -CB108</f>
        <v>0</v>
      </c>
      <c r="BE108" s="30">
        <f>BE107 + IF(Overview!$B$14="Gnome",U99,U96) -CC108</f>
        <v>0</v>
      </c>
      <c r="BF108" s="30">
        <f>BF107 + IF(Overview!$B$14="Gnome",V99,V96) -CD108</f>
        <v>0</v>
      </c>
      <c r="BG108" s="31">
        <f>BG107 + IF(Overview!$B$14="Gnome",W99,W96) -CE108</f>
        <v>0</v>
      </c>
      <c r="BH108" s="31">
        <f>BH107 + IF(Overview!$B$14="Gnome",X99,X96) -CF108</f>
        <v>0</v>
      </c>
      <c r="BI108" s="31">
        <f>BI107 + IF(Overview!$B$14="Gnome",Y99,Y96) -CG108</f>
        <v>0</v>
      </c>
      <c r="BJ108" s="31">
        <f>BJ107 + IF(Overview!$B$14="Gnome",Z99,Z96) -CH108</f>
        <v>0</v>
      </c>
      <c r="BK108" s="32">
        <f>BK107 + IF(Overview!$B$14="Gnome",AA99,AA96) -CI108</f>
        <v>50</v>
      </c>
      <c r="BL108" s="32">
        <f>BL107 + IF(Overview!$B$14="Gnome",AB99,AB96) -CJ108</f>
        <v>0</v>
      </c>
      <c r="BM108" s="32">
        <f>BM107 + IF(Overview!$B$14="Gnome",AC99,AC96) -CK108</f>
        <v>0</v>
      </c>
      <c r="BN108" s="33">
        <f>BN107 + IF(Overview!$B$14="Gnome",AD99,AD96) -CL108</f>
        <v>0</v>
      </c>
      <c r="BO108" s="33">
        <f>BO107 + IF(Overview!$B$14="Gnome",AE99,AE96) -CM108</f>
        <v>0</v>
      </c>
      <c r="BP108" s="69">
        <f>BP107 + IF(Overview!$B$14="Gnome",AF99,AF96) -CN108</f>
        <v>0</v>
      </c>
      <c r="BR108" s="442"/>
      <c r="BS108" s="156">
        <f t="shared" si="99"/>
        <v>1000</v>
      </c>
      <c r="BT108" s="574">
        <f t="shared" si="100"/>
        <v>43696.374999999745</v>
      </c>
      <c r="BV108" s="356"/>
      <c r="BW108" s="348"/>
      <c r="BX108" s="348"/>
      <c r="BY108" s="348"/>
      <c r="BZ108" s="348"/>
      <c r="CA108" s="348"/>
      <c r="CB108" s="348"/>
      <c r="CC108" s="348"/>
      <c r="CD108" s="348"/>
      <c r="CE108" s="348"/>
      <c r="CF108" s="348"/>
      <c r="CG108" s="348"/>
      <c r="CH108" s="348"/>
      <c r="CI108" s="348"/>
      <c r="CJ108" s="348"/>
      <c r="CK108" s="348"/>
      <c r="CL108" s="348"/>
      <c r="CM108" s="360"/>
      <c r="CN108" s="357"/>
      <c r="CP108" s="86">
        <f>-SUM($O108:$R108)+SUM($BW108:BZ108)+Rezone!L108+IF(home_land=CP$2,CW108) + Explore!T96</f>
        <v>0</v>
      </c>
      <c r="CQ108" s="37">
        <f>-SUM($S108:$T108)+SUM($CA108:$CB108) +Rezone!M108 + IF(home_land=CQ$2,CW108) + Explore!U96</f>
        <v>0</v>
      </c>
      <c r="CR108" s="247">
        <f>-SUM($U108:$V108)+SUM($CC108:$CD108) +Rezone!N108 + IF(home_land=CR$2,CW108) + Explore!V96</f>
        <v>0</v>
      </c>
      <c r="CS108" s="38">
        <f>-SUM($W108:$Z108)+SUM($CE108:$CH108) +Rezone!O108 + IF(home_land=CS$2,CW108) + Explore!W96</f>
        <v>0</v>
      </c>
      <c r="CT108" s="39">
        <f>-SUM($AA108:$AC108)+SUM($CI108:$CK108) +Rezone!P108 + IF(home_land=CT$2,CW108) + Explore!X96</f>
        <v>0</v>
      </c>
      <c r="CU108" s="40">
        <f xml:space="preserve"> - SUM($AD108,$AE108)+SUM($CL108,$CM108) +Rezone!Q108 + IF(home_land=CU$2,CW108)+Explore!Y96</f>
        <v>0</v>
      </c>
      <c r="CV108" s="500">
        <f>-$AF108+$CN108 +Rezone!R108 + IF(home_land=CV$2,CW108) + Explore!Z96</f>
        <v>0</v>
      </c>
      <c r="CW108" s="159">
        <f>IF(Explore!S108=1,25) - N108 + BV108</f>
        <v>0</v>
      </c>
      <c r="CY108" s="152">
        <f t="shared" si="101"/>
        <v>280</v>
      </c>
      <c r="CZ108" s="164">
        <f t="shared" si="102"/>
        <v>150</v>
      </c>
      <c r="DA108" s="16">
        <f t="shared" si="103"/>
        <v>150</v>
      </c>
      <c r="DB108" s="164">
        <f t="shared" si="104"/>
        <v>150</v>
      </c>
      <c r="DC108" s="164">
        <f t="shared" si="105"/>
        <v>150</v>
      </c>
      <c r="DD108" s="16">
        <f t="shared" si="106"/>
        <v>20</v>
      </c>
      <c r="DE108" s="166">
        <f t="shared" si="107"/>
        <v>100</v>
      </c>
      <c r="DF108" s="164">
        <f t="shared" ca="1" si="108"/>
        <v>280</v>
      </c>
      <c r="DG108" s="16">
        <f t="shared" si="109"/>
        <v>0</v>
      </c>
      <c r="DH108" s="16">
        <f t="shared" si="110"/>
        <v>108</v>
      </c>
      <c r="DI108" s="166"/>
    </row>
    <row r="109" spans="1:113" s="16" customFormat="1">
      <c r="A109" s="36">
        <f t="shared" si="87"/>
        <v>620</v>
      </c>
      <c r="B109" s="36">
        <f t="shared" si="88"/>
        <v>380</v>
      </c>
      <c r="C109" s="83">
        <f t="shared" si="89"/>
        <v>0</v>
      </c>
      <c r="D109" s="574"/>
      <c r="E109" s="16">
        <f t="shared" si="90"/>
        <v>1000</v>
      </c>
      <c r="F109" s="86">
        <f t="shared" si="91"/>
        <v>0</v>
      </c>
      <c r="G109" s="37">
        <f t="shared" si="92"/>
        <v>100</v>
      </c>
      <c r="H109" s="247">
        <f t="shared" si="93"/>
        <v>150</v>
      </c>
      <c r="I109" s="38">
        <f t="shared" si="94"/>
        <v>150</v>
      </c>
      <c r="J109" s="39">
        <f t="shared" si="95"/>
        <v>100</v>
      </c>
      <c r="K109" s="40">
        <f t="shared" si="96"/>
        <v>20</v>
      </c>
      <c r="L109" s="500">
        <f t="shared" si="97"/>
        <v>100</v>
      </c>
      <c r="M109" s="635">
        <f>Rezone!J109</f>
        <v>107</v>
      </c>
      <c r="N109" s="356"/>
      <c r="O109" s="348"/>
      <c r="P109" s="348"/>
      <c r="Q109" s="376"/>
      <c r="R109" s="345"/>
      <c r="S109" s="348"/>
      <c r="T109" s="348"/>
      <c r="U109" s="348"/>
      <c r="V109" s="348"/>
      <c r="W109" s="345"/>
      <c r="X109" s="345"/>
      <c r="Y109" s="348"/>
      <c r="Z109" s="345"/>
      <c r="AA109" s="348"/>
      <c r="AB109" s="348"/>
      <c r="AC109" s="345"/>
      <c r="AD109" s="348"/>
      <c r="AE109" s="348"/>
      <c r="AF109" s="336"/>
      <c r="AG109" s="532">
        <f t="shared" si="98"/>
        <v>43696.41666666641</v>
      </c>
      <c r="AH109" s="91">
        <f>MIN(25%,(BG109+CE109)/(E109-Explore!S109*20))</f>
        <v>0</v>
      </c>
      <c r="AI109" s="59">
        <f t="shared" si="83"/>
        <v>0</v>
      </c>
      <c r="AJ109" s="56">
        <f ca="1">Production!$H109</f>
        <v>4076517</v>
      </c>
      <c r="AK109" s="57">
        <f ca="1">Production!$J109</f>
        <v>268053</v>
      </c>
      <c r="AL109" s="152">
        <f ca="1">ROUND( (1 - MIN(facs_constr_factor*$AH109,facs_constr_max)) * (1+MIN(tech_construction*Techs!AC109,tech_conquerors_crafts*Techs!AS109)) * AU109*(1+race_construction_cost),0)</f>
        <v>1615</v>
      </c>
      <c r="AM109" s="166">
        <f t="shared" si="113"/>
        <v>263</v>
      </c>
      <c r="AN109" s="152">
        <f ca="1">ROUND( (1 - MIN(facs_constr_factor*$AI109,facs_constr_max)) * (1+MIN(tech_construction*Techs!AE109,tech_conquerors_crafts*Techs!AU109)) * AU109*(1+race_construction_cost),0)</f>
        <v>1615</v>
      </c>
      <c r="AO109" s="166">
        <f t="shared" si="114"/>
        <v>263</v>
      </c>
      <c r="AP109" s="16">
        <f t="shared" ca="1" si="111"/>
        <v>0</v>
      </c>
      <c r="AQ109" s="53">
        <f t="shared" si="112"/>
        <v>0</v>
      </c>
      <c r="AR109" s="16">
        <f>MIN(SUM(F108:L108)+SUM(Explore!T97:Z97)+SUM(BV109:CN109),SUM($N109:$AF109))</f>
        <v>0</v>
      </c>
      <c r="AS109" s="16">
        <f>IF(Explore!S109&lt;&gt;0,MAX(0, MIN(20, 20 + SUM(N109:AF109) - SUM(BV109:CN109) - SUM(F108:L108)-SUM(Explore!T97:Z97)-20*Explore!S109)),0)</f>
        <v>0</v>
      </c>
      <c r="AU109" s="152">
        <f t="shared" si="85"/>
        <v>1615</v>
      </c>
      <c r="AV109" s="166">
        <f t="shared" si="86"/>
        <v>262.5</v>
      </c>
      <c r="AW109" s="164"/>
      <c r="AX109" s="295">
        <f>AX108 + IF(Overview!$B$14="Gnome",N100,N97) -BV109</f>
        <v>0</v>
      </c>
      <c r="AY109" s="28">
        <f>AY108 + IF(Overview!$B$14="Gnome",O100,O97) -BW109</f>
        <v>0</v>
      </c>
      <c r="AZ109" s="28">
        <f>AZ108 + IF(Overview!$B$14="Gnome",P100,P97) -BX109</f>
        <v>80</v>
      </c>
      <c r="BA109" s="28">
        <f>BA108 + IF(Overview!$B$14="Gnome",Q100,Q97) -BY109</f>
        <v>200</v>
      </c>
      <c r="BB109" s="28">
        <f>BB108 + IF(Overview!$B$14="Gnome",R100,R97) -BZ109</f>
        <v>0</v>
      </c>
      <c r="BC109" s="29">
        <f>BC108 + IF(Overview!$B$14="Gnome",S100,S97) -CA109</f>
        <v>50</v>
      </c>
      <c r="BD109" s="29">
        <f>BD108 + IF(Overview!$B$14="Gnome",T100,T97) -CB109</f>
        <v>0</v>
      </c>
      <c r="BE109" s="30">
        <f>BE108 + IF(Overview!$B$14="Gnome",U100,U97) -CC109</f>
        <v>0</v>
      </c>
      <c r="BF109" s="30">
        <f>BF108 + IF(Overview!$B$14="Gnome",V100,V97) -CD109</f>
        <v>0</v>
      </c>
      <c r="BG109" s="31">
        <f>BG108 + IF(Overview!$B$14="Gnome",W100,W97) -CE109</f>
        <v>0</v>
      </c>
      <c r="BH109" s="31">
        <f>BH108 + IF(Overview!$B$14="Gnome",X100,X97) -CF109</f>
        <v>0</v>
      </c>
      <c r="BI109" s="31">
        <f>BI108 + IF(Overview!$B$14="Gnome",Y100,Y97) -CG109</f>
        <v>0</v>
      </c>
      <c r="BJ109" s="31">
        <f>BJ108 + IF(Overview!$B$14="Gnome",Z100,Z97) -CH109</f>
        <v>0</v>
      </c>
      <c r="BK109" s="32">
        <f>BK108 + IF(Overview!$B$14="Gnome",AA100,AA97) -CI109</f>
        <v>50</v>
      </c>
      <c r="BL109" s="32">
        <f>BL108 + IF(Overview!$B$14="Gnome",AB100,AB97) -CJ109</f>
        <v>0</v>
      </c>
      <c r="BM109" s="32">
        <f>BM108 + IF(Overview!$B$14="Gnome",AC100,AC97) -CK109</f>
        <v>0</v>
      </c>
      <c r="BN109" s="33">
        <f>BN108 + IF(Overview!$B$14="Gnome",AD100,AD97) -CL109</f>
        <v>0</v>
      </c>
      <c r="BO109" s="33">
        <f>BO108 + IF(Overview!$B$14="Gnome",AE100,AE97) -CM109</f>
        <v>0</v>
      </c>
      <c r="BP109" s="69">
        <f>BP108 + IF(Overview!$B$14="Gnome",AF100,AF97) -CN109</f>
        <v>0</v>
      </c>
      <c r="BR109" s="442"/>
      <c r="BS109" s="156">
        <f t="shared" si="99"/>
        <v>1000</v>
      </c>
      <c r="BT109" s="574">
        <f t="shared" si="100"/>
        <v>43696.41666666641</v>
      </c>
      <c r="BV109" s="356"/>
      <c r="BW109" s="348"/>
      <c r="BX109" s="348"/>
      <c r="BY109" s="348"/>
      <c r="BZ109" s="348"/>
      <c r="CA109" s="348"/>
      <c r="CB109" s="348"/>
      <c r="CC109" s="348"/>
      <c r="CD109" s="348"/>
      <c r="CE109" s="348"/>
      <c r="CF109" s="348"/>
      <c r="CG109" s="348"/>
      <c r="CH109" s="348"/>
      <c r="CI109" s="348"/>
      <c r="CJ109" s="348"/>
      <c r="CK109" s="348"/>
      <c r="CL109" s="348"/>
      <c r="CM109" s="360"/>
      <c r="CN109" s="357"/>
      <c r="CP109" s="86">
        <f>-SUM($O109:$R109)+SUM($BW109:BZ109)+Rezone!L109+IF(home_land=CP$2,CW109) + Explore!T97</f>
        <v>0</v>
      </c>
      <c r="CQ109" s="37">
        <f>-SUM($S109:$T109)+SUM($CA109:$CB109) +Rezone!M109 + IF(home_land=CQ$2,CW109) + Explore!U97</f>
        <v>0</v>
      </c>
      <c r="CR109" s="247">
        <f>-SUM($U109:$V109)+SUM($CC109:$CD109) +Rezone!N109 + IF(home_land=CR$2,CW109) + Explore!V97</f>
        <v>0</v>
      </c>
      <c r="CS109" s="38">
        <f>-SUM($W109:$Z109)+SUM($CE109:$CH109) +Rezone!O109 + IF(home_land=CS$2,CW109) + Explore!W97</f>
        <v>0</v>
      </c>
      <c r="CT109" s="39">
        <f>-SUM($AA109:$AC109)+SUM($CI109:$CK109) +Rezone!P109 + IF(home_land=CT$2,CW109) + Explore!X97</f>
        <v>0</v>
      </c>
      <c r="CU109" s="40">
        <f xml:space="preserve"> - SUM($AD109,$AE109)+SUM($CL109,$CM109) +Rezone!Q109 + IF(home_land=CU$2,CW109)+Explore!Y97</f>
        <v>0</v>
      </c>
      <c r="CV109" s="500">
        <f>-$AF109+$CN109 +Rezone!R109 + IF(home_land=CV$2,CW109) + Explore!Z97</f>
        <v>0</v>
      </c>
      <c r="CW109" s="159">
        <f>IF(Explore!S109=1,25) - N109 + BV109</f>
        <v>0</v>
      </c>
      <c r="CY109" s="152">
        <f t="shared" si="101"/>
        <v>280</v>
      </c>
      <c r="CZ109" s="164">
        <f t="shared" si="102"/>
        <v>150</v>
      </c>
      <c r="DA109" s="16">
        <f t="shared" si="103"/>
        <v>150</v>
      </c>
      <c r="DB109" s="164">
        <f t="shared" si="104"/>
        <v>150</v>
      </c>
      <c r="DC109" s="164">
        <f t="shared" si="105"/>
        <v>150</v>
      </c>
      <c r="DD109" s="16">
        <f t="shared" si="106"/>
        <v>20</v>
      </c>
      <c r="DE109" s="166">
        <f t="shared" si="107"/>
        <v>100</v>
      </c>
      <c r="DF109" s="164">
        <f t="shared" ca="1" si="108"/>
        <v>280</v>
      </c>
      <c r="DG109" s="16">
        <f t="shared" si="109"/>
        <v>0</v>
      </c>
      <c r="DH109" s="16">
        <f t="shared" si="110"/>
        <v>109</v>
      </c>
      <c r="DI109" s="166"/>
    </row>
    <row r="110" spans="1:113" s="16" customFormat="1">
      <c r="A110" s="36">
        <f t="shared" si="87"/>
        <v>620</v>
      </c>
      <c r="B110" s="36">
        <f t="shared" si="88"/>
        <v>380</v>
      </c>
      <c r="C110" s="83">
        <f t="shared" si="89"/>
        <v>0</v>
      </c>
      <c r="D110" s="574"/>
      <c r="E110" s="16">
        <f t="shared" si="90"/>
        <v>1000</v>
      </c>
      <c r="F110" s="86">
        <f t="shared" si="91"/>
        <v>0</v>
      </c>
      <c r="G110" s="37">
        <f t="shared" si="92"/>
        <v>100</v>
      </c>
      <c r="H110" s="247">
        <f t="shared" si="93"/>
        <v>150</v>
      </c>
      <c r="I110" s="38">
        <f t="shared" si="94"/>
        <v>150</v>
      </c>
      <c r="J110" s="39">
        <f t="shared" si="95"/>
        <v>100</v>
      </c>
      <c r="K110" s="40">
        <f t="shared" si="96"/>
        <v>20</v>
      </c>
      <c r="L110" s="500">
        <f t="shared" si="97"/>
        <v>100</v>
      </c>
      <c r="M110" s="635">
        <f>Rezone!J110</f>
        <v>108</v>
      </c>
      <c r="N110" s="356"/>
      <c r="O110" s="348"/>
      <c r="P110" s="348"/>
      <c r="Q110" s="376"/>
      <c r="R110" s="345"/>
      <c r="S110" s="348"/>
      <c r="T110" s="348"/>
      <c r="U110" s="348"/>
      <c r="V110" s="348"/>
      <c r="W110" s="345"/>
      <c r="X110" s="345"/>
      <c r="Y110" s="348"/>
      <c r="Z110" s="345"/>
      <c r="AA110" s="348"/>
      <c r="AB110" s="348"/>
      <c r="AC110" s="345"/>
      <c r="AD110" s="348"/>
      <c r="AE110" s="348"/>
      <c r="AF110" s="336"/>
      <c r="AG110" s="532">
        <f t="shared" si="98"/>
        <v>43696.458333333074</v>
      </c>
      <c r="AH110" s="91">
        <f>MIN(25%,(BG110+CE110)/(E110-Explore!S110*20))</f>
        <v>0</v>
      </c>
      <c r="AI110" s="59">
        <f t="shared" si="83"/>
        <v>0</v>
      </c>
      <c r="AJ110" s="56">
        <f ca="1">Production!$H110</f>
        <v>4087168</v>
      </c>
      <c r="AK110" s="57">
        <f ca="1">Production!$J110</f>
        <v>267872</v>
      </c>
      <c r="AL110" s="152">
        <f ca="1">ROUND( (1 - MIN(facs_constr_factor*$AH110,facs_constr_max)) * (1+MIN(tech_construction*Techs!AC110,tech_conquerors_crafts*Techs!AS110)) * AU110*(1+race_construction_cost),0)</f>
        <v>1615</v>
      </c>
      <c r="AM110" s="166">
        <f t="shared" si="113"/>
        <v>263</v>
      </c>
      <c r="AN110" s="152">
        <f ca="1">ROUND( (1 - MIN(facs_constr_factor*$AI110,facs_constr_max)) * (1+MIN(tech_construction*Techs!AE110,tech_conquerors_crafts*Techs!AU110)) * AU110*(1+race_construction_cost),0)</f>
        <v>1615</v>
      </c>
      <c r="AO110" s="166">
        <f t="shared" si="114"/>
        <v>263</v>
      </c>
      <c r="AP110" s="16">
        <f t="shared" ca="1" si="111"/>
        <v>0</v>
      </c>
      <c r="AQ110" s="53">
        <f t="shared" si="112"/>
        <v>0</v>
      </c>
      <c r="AR110" s="16">
        <f>MIN(SUM(F109:L109)+SUM(Explore!T98:Z98)+SUM(BV110:CN110),SUM($N110:$AF110))</f>
        <v>0</v>
      </c>
      <c r="AS110" s="16">
        <f>IF(Explore!S110&lt;&gt;0,MAX(0, MIN(20, 20 + SUM(N110:AF110) - SUM(BV110:CN110) - SUM(F109:L109)-SUM(Explore!T98:Z98)-20*Explore!S110)),0)</f>
        <v>0</v>
      </c>
      <c r="AU110" s="152">
        <f t="shared" si="85"/>
        <v>1615</v>
      </c>
      <c r="AV110" s="166">
        <f t="shared" si="86"/>
        <v>262.5</v>
      </c>
      <c r="AW110" s="164"/>
      <c r="AX110" s="295">
        <f>AX109 + IF(Overview!$B$14="Gnome",N101,N98) -BV110</f>
        <v>0</v>
      </c>
      <c r="AY110" s="28">
        <f>AY109 + IF(Overview!$B$14="Gnome",O101,O98) -BW110</f>
        <v>0</v>
      </c>
      <c r="AZ110" s="28">
        <f>AZ109 + IF(Overview!$B$14="Gnome",P101,P98) -BX110</f>
        <v>80</v>
      </c>
      <c r="BA110" s="28">
        <f>BA109 + IF(Overview!$B$14="Gnome",Q101,Q98) -BY110</f>
        <v>200</v>
      </c>
      <c r="BB110" s="28">
        <f>BB109 + IF(Overview!$B$14="Gnome",R101,R98) -BZ110</f>
        <v>0</v>
      </c>
      <c r="BC110" s="29">
        <f>BC109 + IF(Overview!$B$14="Gnome",S101,S98) -CA110</f>
        <v>50</v>
      </c>
      <c r="BD110" s="29">
        <f>BD109 + IF(Overview!$B$14="Gnome",T101,T98) -CB110</f>
        <v>0</v>
      </c>
      <c r="BE110" s="30">
        <f>BE109 + IF(Overview!$B$14="Gnome",U101,U98) -CC110</f>
        <v>0</v>
      </c>
      <c r="BF110" s="30">
        <f>BF109 + IF(Overview!$B$14="Gnome",V101,V98) -CD110</f>
        <v>0</v>
      </c>
      <c r="BG110" s="31">
        <f>BG109 + IF(Overview!$B$14="Gnome",W101,W98) -CE110</f>
        <v>0</v>
      </c>
      <c r="BH110" s="31">
        <f>BH109 + IF(Overview!$B$14="Gnome",X101,X98) -CF110</f>
        <v>0</v>
      </c>
      <c r="BI110" s="31">
        <f>BI109 + IF(Overview!$B$14="Gnome",Y101,Y98) -CG110</f>
        <v>0</v>
      </c>
      <c r="BJ110" s="31">
        <f>BJ109 + IF(Overview!$B$14="Gnome",Z101,Z98) -CH110</f>
        <v>0</v>
      </c>
      <c r="BK110" s="32">
        <f>BK109 + IF(Overview!$B$14="Gnome",AA101,AA98) -CI110</f>
        <v>50</v>
      </c>
      <c r="BL110" s="32">
        <f>BL109 + IF(Overview!$B$14="Gnome",AB101,AB98) -CJ110</f>
        <v>0</v>
      </c>
      <c r="BM110" s="32">
        <f>BM109 + IF(Overview!$B$14="Gnome",AC101,AC98) -CK110</f>
        <v>0</v>
      </c>
      <c r="BN110" s="33">
        <f>BN109 + IF(Overview!$B$14="Gnome",AD101,AD98) -CL110</f>
        <v>0</v>
      </c>
      <c r="BO110" s="33">
        <f>BO109 + IF(Overview!$B$14="Gnome",AE101,AE98) -CM110</f>
        <v>0</v>
      </c>
      <c r="BP110" s="69">
        <f>BP109 + IF(Overview!$B$14="Gnome",AF101,AF98) -CN110</f>
        <v>0</v>
      </c>
      <c r="BR110" s="442"/>
      <c r="BS110" s="156">
        <f t="shared" si="99"/>
        <v>1000</v>
      </c>
      <c r="BT110" s="574">
        <f t="shared" si="100"/>
        <v>43696.458333333074</v>
      </c>
      <c r="BV110" s="356"/>
      <c r="BW110" s="348"/>
      <c r="BX110" s="348"/>
      <c r="BY110" s="348"/>
      <c r="BZ110" s="348"/>
      <c r="CA110" s="348"/>
      <c r="CB110" s="348"/>
      <c r="CC110" s="348"/>
      <c r="CD110" s="348"/>
      <c r="CE110" s="348"/>
      <c r="CF110" s="348"/>
      <c r="CG110" s="348"/>
      <c r="CH110" s="348"/>
      <c r="CI110" s="348"/>
      <c r="CJ110" s="348"/>
      <c r="CK110" s="348"/>
      <c r="CL110" s="348"/>
      <c r="CM110" s="360"/>
      <c r="CN110" s="357"/>
      <c r="CP110" s="86">
        <f>-SUM($O110:$R110)+SUM($BW110:BZ110)+Rezone!L110+IF(home_land=CP$2,CW110) + Explore!T98</f>
        <v>0</v>
      </c>
      <c r="CQ110" s="37">
        <f>-SUM($S110:$T110)+SUM($CA110:$CB110) +Rezone!M110 + IF(home_land=CQ$2,CW110) + Explore!U98</f>
        <v>0</v>
      </c>
      <c r="CR110" s="247">
        <f>-SUM($U110:$V110)+SUM($CC110:$CD110) +Rezone!N110 + IF(home_land=CR$2,CW110) + Explore!V98</f>
        <v>0</v>
      </c>
      <c r="CS110" s="38">
        <f>-SUM($W110:$Z110)+SUM($CE110:$CH110) +Rezone!O110 + IF(home_land=CS$2,CW110) + Explore!W98</f>
        <v>0</v>
      </c>
      <c r="CT110" s="39">
        <f>-SUM($AA110:$AC110)+SUM($CI110:$CK110) +Rezone!P110 + IF(home_land=CT$2,CW110) + Explore!X98</f>
        <v>0</v>
      </c>
      <c r="CU110" s="40">
        <f xml:space="preserve"> - SUM($AD110,$AE110)+SUM($CL110,$CM110) +Rezone!Q110 + IF(home_land=CU$2,CW110)+Explore!Y98</f>
        <v>0</v>
      </c>
      <c r="CV110" s="500">
        <f>-$AF110+$CN110 +Rezone!R110 + IF(home_land=CV$2,CW110) + Explore!Z98</f>
        <v>0</v>
      </c>
      <c r="CW110" s="159">
        <f>IF(Explore!S110=1,25) - N110 + BV110</f>
        <v>0</v>
      </c>
      <c r="CY110" s="152">
        <f t="shared" si="101"/>
        <v>280</v>
      </c>
      <c r="CZ110" s="164">
        <f t="shared" si="102"/>
        <v>150</v>
      </c>
      <c r="DA110" s="16">
        <f t="shared" si="103"/>
        <v>150</v>
      </c>
      <c r="DB110" s="164">
        <f t="shared" si="104"/>
        <v>150</v>
      </c>
      <c r="DC110" s="164">
        <f t="shared" si="105"/>
        <v>150</v>
      </c>
      <c r="DD110" s="16">
        <f t="shared" si="106"/>
        <v>20</v>
      </c>
      <c r="DE110" s="166">
        <f t="shared" si="107"/>
        <v>100</v>
      </c>
      <c r="DF110" s="164">
        <f t="shared" ca="1" si="108"/>
        <v>280</v>
      </c>
      <c r="DG110" s="16">
        <f t="shared" si="109"/>
        <v>0</v>
      </c>
      <c r="DH110" s="16">
        <f t="shared" si="110"/>
        <v>110</v>
      </c>
      <c r="DI110" s="166"/>
    </row>
    <row r="111" spans="1:113" s="12" customFormat="1">
      <c r="A111" s="783">
        <f t="shared" si="87"/>
        <v>620</v>
      </c>
      <c r="B111" s="783">
        <f t="shared" si="88"/>
        <v>380</v>
      </c>
      <c r="C111" s="784">
        <f t="shared" si="89"/>
        <v>0</v>
      </c>
      <c r="D111" s="679"/>
      <c r="E111" s="12">
        <f t="shared" si="90"/>
        <v>1000</v>
      </c>
      <c r="F111" s="785">
        <f t="shared" si="91"/>
        <v>0</v>
      </c>
      <c r="G111" s="786">
        <f t="shared" si="92"/>
        <v>100</v>
      </c>
      <c r="H111" s="272">
        <f t="shared" si="93"/>
        <v>150</v>
      </c>
      <c r="I111" s="787">
        <f t="shared" si="94"/>
        <v>150</v>
      </c>
      <c r="J111" s="788">
        <f t="shared" si="95"/>
        <v>100</v>
      </c>
      <c r="K111" s="789">
        <f t="shared" si="96"/>
        <v>20</v>
      </c>
      <c r="L111" s="790">
        <f t="shared" si="97"/>
        <v>100</v>
      </c>
      <c r="M111" s="755">
        <f>Rezone!J111</f>
        <v>109</v>
      </c>
      <c r="N111" s="373"/>
      <c r="O111" s="349"/>
      <c r="P111" s="349"/>
      <c r="Q111" s="346"/>
      <c r="R111" s="346"/>
      <c r="S111" s="349"/>
      <c r="T111" s="349"/>
      <c r="U111" s="349"/>
      <c r="V111" s="349"/>
      <c r="W111" s="346"/>
      <c r="X111" s="346"/>
      <c r="Y111" s="349"/>
      <c r="Z111" s="346"/>
      <c r="AA111" s="349"/>
      <c r="AB111" s="349"/>
      <c r="AC111" s="346"/>
      <c r="AD111" s="349"/>
      <c r="AE111" s="349"/>
      <c r="AF111" s="337"/>
      <c r="AG111" s="677">
        <f t="shared" si="98"/>
        <v>43696.499999999738</v>
      </c>
      <c r="AH111" s="306">
        <f>MIN(25%,(BG111+CE111)/(E111-Explore!S111*20))</f>
        <v>0</v>
      </c>
      <c r="AI111" s="58">
        <f t="shared" si="83"/>
        <v>0</v>
      </c>
      <c r="AJ111" s="54">
        <f ca="1">Production!$H111</f>
        <v>4097819</v>
      </c>
      <c r="AK111" s="55">
        <f ca="1">Production!$J111</f>
        <v>267693</v>
      </c>
      <c r="AL111" s="151">
        <f ca="1">ROUND( (1 - MIN(facs_constr_factor*$AH111,facs_constr_max)) * (1+MIN(tech_construction*Techs!AC111,tech_conquerors_crafts*Techs!AS111)) * AU111*(1+race_construction_cost),0)</f>
        <v>1615</v>
      </c>
      <c r="AM111" s="158">
        <f t="shared" si="113"/>
        <v>263</v>
      </c>
      <c r="AN111" s="151">
        <f ca="1">ROUND( (1 - MIN(facs_constr_factor*$AI111,facs_constr_max)) * (1+MIN(tech_construction*Techs!AE111,tech_conquerors_crafts*Techs!AU111)) * AU111*(1+race_construction_cost),0)</f>
        <v>1615</v>
      </c>
      <c r="AO111" s="158">
        <f t="shared" si="114"/>
        <v>263</v>
      </c>
      <c r="AP111" s="12">
        <f t="shared" ca="1" si="111"/>
        <v>0</v>
      </c>
      <c r="AQ111" s="51">
        <f t="shared" si="112"/>
        <v>0</v>
      </c>
      <c r="AR111" s="12">
        <f>MIN(SUM(F110:L110)+SUM(Explore!T99:Z99)+SUM(BV111:CN111),SUM($N111:$AF111))</f>
        <v>0</v>
      </c>
      <c r="AS111" s="12">
        <f>IF(Explore!S111&lt;&gt;0,MAX(0, MIN(20, 20 + SUM(N111:AF111) - SUM(BV111:CN111) - SUM(F110:L110)-SUM(Explore!T99:Z99)-20*Explore!S111)),0)</f>
        <v>0</v>
      </c>
      <c r="AU111" s="151">
        <f t="shared" si="85"/>
        <v>1615</v>
      </c>
      <c r="AV111" s="158">
        <f t="shared" si="86"/>
        <v>262.5</v>
      </c>
      <c r="AW111" s="153"/>
      <c r="AX111" s="791">
        <f>AX110 + IF(Overview!$B$14="Gnome",N102,N99) -BV111</f>
        <v>0</v>
      </c>
      <c r="AY111" s="289">
        <f>AY110 + IF(Overview!$B$14="Gnome",O102,O99) -BW111</f>
        <v>0</v>
      </c>
      <c r="AZ111" s="289">
        <f>AZ110 + IF(Overview!$B$14="Gnome",P102,P99) -BX111</f>
        <v>80</v>
      </c>
      <c r="BA111" s="289">
        <f>BA110 + IF(Overview!$B$14="Gnome",Q102,Q99) -BY111</f>
        <v>200</v>
      </c>
      <c r="BB111" s="289">
        <f>BB110 + IF(Overview!$B$14="Gnome",R102,R99) -BZ111</f>
        <v>0</v>
      </c>
      <c r="BC111" s="18">
        <f>BC110 + IF(Overview!$B$14="Gnome",S102,S99) -CA111</f>
        <v>50</v>
      </c>
      <c r="BD111" s="18">
        <f>BD110 + IF(Overview!$B$14="Gnome",T102,T99) -CB111</f>
        <v>0</v>
      </c>
      <c r="BE111" s="19">
        <f>BE110 + IF(Overview!$B$14="Gnome",U102,U99) -CC111</f>
        <v>0</v>
      </c>
      <c r="BF111" s="19">
        <f>BF110 + IF(Overview!$B$14="Gnome",V102,V99) -CD111</f>
        <v>0</v>
      </c>
      <c r="BG111" s="20">
        <f>BG110 + IF(Overview!$B$14="Gnome",W102,W99) -CE111</f>
        <v>0</v>
      </c>
      <c r="BH111" s="20">
        <f>BH110 + IF(Overview!$B$14="Gnome",X102,X99) -CF111</f>
        <v>0</v>
      </c>
      <c r="BI111" s="20">
        <f>BI110 + IF(Overview!$B$14="Gnome",Y102,Y99) -CG111</f>
        <v>0</v>
      </c>
      <c r="BJ111" s="20">
        <f>BJ110 + IF(Overview!$B$14="Gnome",Z102,Z99) -CH111</f>
        <v>0</v>
      </c>
      <c r="BK111" s="21">
        <f>BK110 + IF(Overview!$B$14="Gnome",AA102,AA99) -CI111</f>
        <v>50</v>
      </c>
      <c r="BL111" s="21">
        <f>BL110 + IF(Overview!$B$14="Gnome",AB102,AB99) -CJ111</f>
        <v>0</v>
      </c>
      <c r="BM111" s="21">
        <f>BM110 + IF(Overview!$B$14="Gnome",AC102,AC99) -CK111</f>
        <v>0</v>
      </c>
      <c r="BN111" s="22">
        <f>BN110 + IF(Overview!$B$14="Gnome",AD102,AD99) -CL111</f>
        <v>0</v>
      </c>
      <c r="BO111" s="22">
        <f>BO110 + IF(Overview!$B$14="Gnome",AE102,AE99) -CM111</f>
        <v>0</v>
      </c>
      <c r="BP111" s="67">
        <f>BP110 + IF(Overview!$B$14="Gnome",AF102,AF99) -CN111</f>
        <v>0</v>
      </c>
      <c r="BR111" s="732"/>
      <c r="BS111" s="184">
        <f t="shared" si="99"/>
        <v>1000</v>
      </c>
      <c r="BT111" s="679">
        <f t="shared" si="100"/>
        <v>43696.499999999738</v>
      </c>
      <c r="BV111" s="373"/>
      <c r="BW111" s="349"/>
      <c r="BX111" s="349"/>
      <c r="BY111" s="349"/>
      <c r="BZ111" s="349"/>
      <c r="CA111" s="349"/>
      <c r="CB111" s="349"/>
      <c r="CC111" s="349"/>
      <c r="CD111" s="349"/>
      <c r="CE111" s="349"/>
      <c r="CF111" s="349"/>
      <c r="CG111" s="349"/>
      <c r="CH111" s="349"/>
      <c r="CI111" s="349"/>
      <c r="CJ111" s="349"/>
      <c r="CK111" s="349"/>
      <c r="CL111" s="349"/>
      <c r="CM111" s="792"/>
      <c r="CN111" s="374"/>
      <c r="CP111" s="785">
        <f>-SUM($O111:$R111)+SUM($BW111:BZ111)+Rezone!L111+IF(home_land=CP$2,CW111) + Explore!T99</f>
        <v>0</v>
      </c>
      <c r="CQ111" s="786">
        <f>-SUM($S111:$T111)+SUM($CA111:$CB111) +Rezone!M111 + IF(home_land=CQ$2,CW111) + Explore!U99</f>
        <v>0</v>
      </c>
      <c r="CR111" s="272">
        <f>-SUM($U111:$V111)+SUM($CC111:$CD111) +Rezone!N111 + IF(home_land=CR$2,CW111) + Explore!V99</f>
        <v>0</v>
      </c>
      <c r="CS111" s="787">
        <f>-SUM($W111:$Z111)+SUM($CE111:$CH111) +Rezone!O111 + IF(home_land=CS$2,CW111) + Explore!W99</f>
        <v>0</v>
      </c>
      <c r="CT111" s="788">
        <f>-SUM($AA111:$AC111)+SUM($CI111:$CK111) +Rezone!P111 + IF(home_land=CT$2,CW111) + Explore!X99</f>
        <v>0</v>
      </c>
      <c r="CU111" s="789">
        <f xml:space="preserve"> - SUM($AD111,$AE111)+SUM($CL111,$CM111) +Rezone!Q111 + IF(home_land=CU$2,CW111)+Explore!Y99</f>
        <v>0</v>
      </c>
      <c r="CV111" s="790">
        <f>-$AF111+$CN111 +Rezone!R111 + IF(home_land=CV$2,CW111) + Explore!Z99</f>
        <v>0</v>
      </c>
      <c r="CW111" s="287">
        <f>IF(Explore!S111=1,25) - N111 + BV111</f>
        <v>0</v>
      </c>
      <c r="CY111" s="151">
        <f t="shared" si="101"/>
        <v>280</v>
      </c>
      <c r="CZ111" s="153">
        <f t="shared" si="102"/>
        <v>150</v>
      </c>
      <c r="DA111" s="12">
        <f t="shared" si="103"/>
        <v>150</v>
      </c>
      <c r="DB111" s="153">
        <f t="shared" si="104"/>
        <v>150</v>
      </c>
      <c r="DC111" s="153">
        <f t="shared" si="105"/>
        <v>150</v>
      </c>
      <c r="DD111" s="12">
        <f t="shared" si="106"/>
        <v>20</v>
      </c>
      <c r="DE111" s="158">
        <f t="shared" si="107"/>
        <v>100</v>
      </c>
      <c r="DF111" s="153">
        <f t="shared" ca="1" si="108"/>
        <v>280</v>
      </c>
      <c r="DG111" s="12">
        <f t="shared" si="109"/>
        <v>0</v>
      </c>
      <c r="DH111" s="12">
        <f t="shared" si="110"/>
        <v>111</v>
      </c>
      <c r="DI111" s="158"/>
    </row>
    <row r="112" spans="1:113" s="16" customFormat="1">
      <c r="A112" s="36">
        <f t="shared" si="87"/>
        <v>620</v>
      </c>
      <c r="B112" s="36">
        <f t="shared" si="88"/>
        <v>380</v>
      </c>
      <c r="C112" s="83">
        <f t="shared" si="89"/>
        <v>0</v>
      </c>
      <c r="D112" s="574"/>
      <c r="E112" s="16">
        <f t="shared" si="90"/>
        <v>1000</v>
      </c>
      <c r="F112" s="86">
        <f t="shared" si="91"/>
        <v>0</v>
      </c>
      <c r="G112" s="37">
        <f t="shared" si="92"/>
        <v>100</v>
      </c>
      <c r="H112" s="247">
        <f t="shared" si="93"/>
        <v>150</v>
      </c>
      <c r="I112" s="38">
        <f t="shared" si="94"/>
        <v>150</v>
      </c>
      <c r="J112" s="39">
        <f t="shared" si="95"/>
        <v>100</v>
      </c>
      <c r="K112" s="40">
        <f t="shared" si="96"/>
        <v>20</v>
      </c>
      <c r="L112" s="500">
        <f t="shared" si="97"/>
        <v>100</v>
      </c>
      <c r="M112" s="635">
        <f>Rezone!J112</f>
        <v>110</v>
      </c>
      <c r="N112" s="356"/>
      <c r="O112" s="348"/>
      <c r="P112" s="348"/>
      <c r="Q112" s="345"/>
      <c r="R112" s="345"/>
      <c r="S112" s="348"/>
      <c r="T112" s="348"/>
      <c r="U112" s="348"/>
      <c r="V112" s="348"/>
      <c r="W112" s="345"/>
      <c r="X112" s="345"/>
      <c r="Y112" s="348"/>
      <c r="Z112" s="345"/>
      <c r="AA112" s="348"/>
      <c r="AB112" s="348"/>
      <c r="AC112" s="345"/>
      <c r="AD112" s="348"/>
      <c r="AE112" s="348"/>
      <c r="AF112" s="336"/>
      <c r="AG112" s="532">
        <f t="shared" si="98"/>
        <v>43696.541666666402</v>
      </c>
      <c r="AH112" s="91">
        <f>MIN(25%,(BG112+CE112)/(E112-Explore!S112*20))</f>
        <v>0</v>
      </c>
      <c r="AI112" s="59">
        <f t="shared" si="83"/>
        <v>0</v>
      </c>
      <c r="AJ112" s="56">
        <f ca="1">Production!$H112</f>
        <v>4108470</v>
      </c>
      <c r="AK112" s="57">
        <f ca="1">Production!$J112</f>
        <v>267516</v>
      </c>
      <c r="AL112" s="152">
        <f ca="1">ROUND( (1 - MIN(facs_constr_factor*$AH112,facs_constr_max)) * (1+MIN(tech_construction*Techs!AC112,tech_conquerors_crafts*Techs!AS112)) * AU112*(1+race_construction_cost),0)</f>
        <v>1615</v>
      </c>
      <c r="AM112" s="166">
        <f t="shared" si="113"/>
        <v>263</v>
      </c>
      <c r="AN112" s="152">
        <f ca="1">ROUND( (1 - MIN(facs_constr_factor*$AI112,facs_constr_max)) * (1+MIN(tech_construction*Techs!AE112,tech_conquerors_crafts*Techs!AU112)) * AU112*(1+race_construction_cost),0)</f>
        <v>1615</v>
      </c>
      <c r="AO112" s="166">
        <f t="shared" si="114"/>
        <v>263</v>
      </c>
      <c r="AP112" s="16">
        <f t="shared" ca="1" si="111"/>
        <v>0</v>
      </c>
      <c r="AQ112" s="53">
        <f t="shared" si="112"/>
        <v>0</v>
      </c>
      <c r="AR112" s="16">
        <f>MIN(SUM(F111:L111)+SUM(Explore!T100:Z100)+SUM(BV112:CN112),SUM($N112:$AF112))</f>
        <v>0</v>
      </c>
      <c r="AS112" s="16">
        <f>IF(Explore!S112&lt;&gt;0,MAX(0, MIN(20, 20 + SUM(N112:AF112) - SUM(BV112:CN112) - SUM(F111:L111)-SUM(Explore!T100:Z100)-20*Explore!S112)),0)</f>
        <v>0</v>
      </c>
      <c r="AU112" s="152">
        <f t="shared" si="85"/>
        <v>1615</v>
      </c>
      <c r="AV112" s="166">
        <f t="shared" si="86"/>
        <v>262.5</v>
      </c>
      <c r="AW112" s="164"/>
      <c r="AX112" s="295">
        <f>AX111 + IF(Overview!$B$14="Gnome",N103,N100) -BV112</f>
        <v>0</v>
      </c>
      <c r="AY112" s="28">
        <f>AY111 + IF(Overview!$B$14="Gnome",O103,O100) -BW112</f>
        <v>0</v>
      </c>
      <c r="AZ112" s="28">
        <f>AZ111 + IF(Overview!$B$14="Gnome",P103,P100) -BX112</f>
        <v>80</v>
      </c>
      <c r="BA112" s="28">
        <f>BA111 + IF(Overview!$B$14="Gnome",Q103,Q100) -BY112</f>
        <v>200</v>
      </c>
      <c r="BB112" s="28">
        <f>BB111 + IF(Overview!$B$14="Gnome",R103,R100) -BZ112</f>
        <v>0</v>
      </c>
      <c r="BC112" s="29">
        <f>BC111 + IF(Overview!$B$14="Gnome",S103,S100) -CA112</f>
        <v>50</v>
      </c>
      <c r="BD112" s="29">
        <f>BD111 + IF(Overview!$B$14="Gnome",T103,T100) -CB112</f>
        <v>0</v>
      </c>
      <c r="BE112" s="30">
        <f>BE111 + IF(Overview!$B$14="Gnome",U103,U100) -CC112</f>
        <v>0</v>
      </c>
      <c r="BF112" s="30">
        <f>BF111 + IF(Overview!$B$14="Gnome",V103,V100) -CD112</f>
        <v>0</v>
      </c>
      <c r="BG112" s="31">
        <f>BG111 + IF(Overview!$B$14="Gnome",W103,W100) -CE112</f>
        <v>0</v>
      </c>
      <c r="BH112" s="31">
        <f>BH111 + IF(Overview!$B$14="Gnome",X103,X100) -CF112</f>
        <v>0</v>
      </c>
      <c r="BI112" s="31">
        <f>BI111 + IF(Overview!$B$14="Gnome",Y103,Y100) -CG112</f>
        <v>0</v>
      </c>
      <c r="BJ112" s="31">
        <f>BJ111 + IF(Overview!$B$14="Gnome",Z103,Z100) -CH112</f>
        <v>0</v>
      </c>
      <c r="BK112" s="32">
        <f>BK111 + IF(Overview!$B$14="Gnome",AA103,AA100) -CI112</f>
        <v>50</v>
      </c>
      <c r="BL112" s="32">
        <f>BL111 + IF(Overview!$B$14="Gnome",AB103,AB100) -CJ112</f>
        <v>0</v>
      </c>
      <c r="BM112" s="32">
        <f>BM111 + IF(Overview!$B$14="Gnome",AC103,AC100) -CK112</f>
        <v>0</v>
      </c>
      <c r="BN112" s="33">
        <f>BN111 + IF(Overview!$B$14="Gnome",AD103,AD100) -CL112</f>
        <v>0</v>
      </c>
      <c r="BO112" s="33">
        <f>BO111 + IF(Overview!$B$14="Gnome",AE103,AE100) -CM112</f>
        <v>0</v>
      </c>
      <c r="BP112" s="69">
        <f>BP111 + IF(Overview!$B$14="Gnome",AF103,AF100) -CN112</f>
        <v>0</v>
      </c>
      <c r="BR112" s="442"/>
      <c r="BS112" s="156">
        <f t="shared" si="99"/>
        <v>1000</v>
      </c>
      <c r="BT112" s="574">
        <f t="shared" si="100"/>
        <v>43696.541666666402</v>
      </c>
      <c r="BV112" s="356"/>
      <c r="BW112" s="348"/>
      <c r="BX112" s="348"/>
      <c r="BY112" s="348"/>
      <c r="BZ112" s="348"/>
      <c r="CA112" s="348"/>
      <c r="CB112" s="348"/>
      <c r="CC112" s="348"/>
      <c r="CD112" s="348"/>
      <c r="CE112" s="348"/>
      <c r="CF112" s="348"/>
      <c r="CG112" s="348"/>
      <c r="CH112" s="348"/>
      <c r="CI112" s="348"/>
      <c r="CJ112" s="348"/>
      <c r="CK112" s="348"/>
      <c r="CL112" s="348"/>
      <c r="CM112" s="360"/>
      <c r="CN112" s="357"/>
      <c r="CP112" s="86">
        <f>-SUM($O112:$R112)+SUM($BW112:BZ112)+Rezone!L112+IF(home_land=CP$2,CW112) + Explore!T100</f>
        <v>0</v>
      </c>
      <c r="CQ112" s="37">
        <f>-SUM($S112:$T112)+SUM($CA112:$CB112) +Rezone!M112 + IF(home_land=CQ$2,CW112) + Explore!U100</f>
        <v>0</v>
      </c>
      <c r="CR112" s="247">
        <f>-SUM($U112:$V112)+SUM($CC112:$CD112) +Rezone!N112 + IF(home_land=CR$2,CW112) + Explore!V100</f>
        <v>0</v>
      </c>
      <c r="CS112" s="38">
        <f>-SUM($W112:$Z112)+SUM($CE112:$CH112) +Rezone!O112 + IF(home_land=CS$2,CW112) + Explore!W100</f>
        <v>0</v>
      </c>
      <c r="CT112" s="39">
        <f>-SUM($AA112:$AC112)+SUM($CI112:$CK112) +Rezone!P112 + IF(home_land=CT$2,CW112) + Explore!X100</f>
        <v>0</v>
      </c>
      <c r="CU112" s="40">
        <f xml:space="preserve"> - SUM($AD112,$AE112)+SUM($CL112,$CM112) +Rezone!Q112 + IF(home_land=CU$2,CW112)+Explore!Y100</f>
        <v>0</v>
      </c>
      <c r="CV112" s="500">
        <f>-$AF112+$CN112 +Rezone!R112 + IF(home_land=CV$2,CW112) + Explore!Z100</f>
        <v>0</v>
      </c>
      <c r="CW112" s="159">
        <f>IF(Explore!S112=1,25) - N112 + BV112</f>
        <v>0</v>
      </c>
      <c r="CY112" s="152">
        <f t="shared" si="101"/>
        <v>280</v>
      </c>
      <c r="CZ112" s="164">
        <f t="shared" si="102"/>
        <v>150</v>
      </c>
      <c r="DA112" s="16">
        <f t="shared" si="103"/>
        <v>150</v>
      </c>
      <c r="DB112" s="164">
        <f t="shared" si="104"/>
        <v>150</v>
      </c>
      <c r="DC112" s="164">
        <f t="shared" si="105"/>
        <v>150</v>
      </c>
      <c r="DD112" s="16">
        <f t="shared" si="106"/>
        <v>20</v>
      </c>
      <c r="DE112" s="166">
        <f t="shared" si="107"/>
        <v>100</v>
      </c>
      <c r="DF112" s="164">
        <f t="shared" ca="1" si="108"/>
        <v>280</v>
      </c>
      <c r="DG112" s="16">
        <f t="shared" si="109"/>
        <v>0</v>
      </c>
      <c r="DH112" s="16">
        <f t="shared" si="110"/>
        <v>112</v>
      </c>
      <c r="DI112" s="166"/>
    </row>
    <row r="113" spans="1:113" s="16" customFormat="1">
      <c r="A113" s="36">
        <f t="shared" si="87"/>
        <v>620</v>
      </c>
      <c r="B113" s="36">
        <f t="shared" si="88"/>
        <v>380</v>
      </c>
      <c r="C113" s="83">
        <f t="shared" si="89"/>
        <v>0</v>
      </c>
      <c r="D113" s="574"/>
      <c r="E113" s="16">
        <f t="shared" si="90"/>
        <v>1000</v>
      </c>
      <c r="F113" s="86">
        <f t="shared" si="91"/>
        <v>0</v>
      </c>
      <c r="G113" s="37">
        <f t="shared" si="92"/>
        <v>100</v>
      </c>
      <c r="H113" s="247">
        <f t="shared" si="93"/>
        <v>150</v>
      </c>
      <c r="I113" s="38">
        <f t="shared" si="94"/>
        <v>150</v>
      </c>
      <c r="J113" s="39">
        <f t="shared" si="95"/>
        <v>100</v>
      </c>
      <c r="K113" s="40">
        <f t="shared" si="96"/>
        <v>20</v>
      </c>
      <c r="L113" s="500">
        <f t="shared" si="97"/>
        <v>100</v>
      </c>
      <c r="M113" s="635">
        <f>Rezone!J113</f>
        <v>111</v>
      </c>
      <c r="N113" s="356"/>
      <c r="O113" s="348"/>
      <c r="P113" s="348"/>
      <c r="Q113" s="345"/>
      <c r="R113" s="345"/>
      <c r="S113" s="348"/>
      <c r="T113" s="348"/>
      <c r="U113" s="348"/>
      <c r="V113" s="348"/>
      <c r="W113" s="345"/>
      <c r="X113" s="345"/>
      <c r="Y113" s="348"/>
      <c r="Z113" s="345"/>
      <c r="AA113" s="348"/>
      <c r="AB113" s="348"/>
      <c r="AC113" s="345"/>
      <c r="AD113" s="348"/>
      <c r="AE113" s="348"/>
      <c r="AF113" s="336"/>
      <c r="AG113" s="532">
        <f t="shared" si="98"/>
        <v>43696.583333333067</v>
      </c>
      <c r="AH113" s="91">
        <f>MIN(25%,(BG113+CE113)/(E113-Explore!S113*20))</f>
        <v>0</v>
      </c>
      <c r="AI113" s="59">
        <f t="shared" si="83"/>
        <v>0</v>
      </c>
      <c r="AJ113" s="56">
        <f ca="1">Production!$H113</f>
        <v>4119121</v>
      </c>
      <c r="AK113" s="57">
        <f ca="1">Production!$J113</f>
        <v>267341</v>
      </c>
      <c r="AL113" s="152">
        <f ca="1">ROUND( (1 - MIN(facs_constr_factor*$AH113,facs_constr_max)) * (1+MIN(tech_construction*Techs!AC113,tech_conquerors_crafts*Techs!AS113)) * AU113*(1+race_construction_cost),0)</f>
        <v>1615</v>
      </c>
      <c r="AM113" s="166">
        <f t="shared" si="113"/>
        <v>263</v>
      </c>
      <c r="AN113" s="152">
        <f ca="1">ROUND( (1 - MIN(facs_constr_factor*$AI113,facs_constr_max)) * (1+MIN(tech_construction*Techs!AE113,tech_conquerors_crafts*Techs!AU113)) * AU113*(1+race_construction_cost),0)</f>
        <v>1615</v>
      </c>
      <c r="AO113" s="166">
        <f t="shared" si="114"/>
        <v>263</v>
      </c>
      <c r="AP113" s="16">
        <f t="shared" ca="1" si="111"/>
        <v>0</v>
      </c>
      <c r="AQ113" s="53">
        <f t="shared" si="112"/>
        <v>0</v>
      </c>
      <c r="AR113" s="16">
        <f>MIN(SUM(F112:L112)+SUM(Explore!T101:Z101)+SUM(BV113:CN113),SUM($N113:$AF113))</f>
        <v>0</v>
      </c>
      <c r="AS113" s="16">
        <f>IF(Explore!S113&lt;&gt;0,MAX(0, MIN(20, 20 + SUM(N113:AF113) - SUM(BV113:CN113) - SUM(F112:L112)-SUM(Explore!T101:Z101)-20*Explore!S113)),0)</f>
        <v>0</v>
      </c>
      <c r="AU113" s="152">
        <f t="shared" si="85"/>
        <v>1615</v>
      </c>
      <c r="AV113" s="166">
        <f t="shared" si="86"/>
        <v>262.5</v>
      </c>
      <c r="AW113" s="164"/>
      <c r="AX113" s="295">
        <f>AX112 + IF(Overview!$B$14="Gnome",N104,N101) -BV113</f>
        <v>0</v>
      </c>
      <c r="AY113" s="28">
        <f>AY112 + IF(Overview!$B$14="Gnome",O104,O101) -BW113</f>
        <v>0</v>
      </c>
      <c r="AZ113" s="28">
        <f>AZ112 + IF(Overview!$B$14="Gnome",P104,P101) -BX113</f>
        <v>80</v>
      </c>
      <c r="BA113" s="28">
        <f>BA112 + IF(Overview!$B$14="Gnome",Q104,Q101) -BY113</f>
        <v>200</v>
      </c>
      <c r="BB113" s="28">
        <f>BB112 + IF(Overview!$B$14="Gnome",R104,R101) -BZ113</f>
        <v>0</v>
      </c>
      <c r="BC113" s="29">
        <f>BC112 + IF(Overview!$B$14="Gnome",S104,S101) -CA113</f>
        <v>50</v>
      </c>
      <c r="BD113" s="29">
        <f>BD112 + IF(Overview!$B$14="Gnome",T104,T101) -CB113</f>
        <v>0</v>
      </c>
      <c r="BE113" s="30">
        <f>BE112 + IF(Overview!$B$14="Gnome",U104,U101) -CC113</f>
        <v>0</v>
      </c>
      <c r="BF113" s="30">
        <f>BF112 + IF(Overview!$B$14="Gnome",V104,V101) -CD113</f>
        <v>0</v>
      </c>
      <c r="BG113" s="31">
        <f>BG112 + IF(Overview!$B$14="Gnome",W104,W101) -CE113</f>
        <v>0</v>
      </c>
      <c r="BH113" s="31">
        <f>BH112 + IF(Overview!$B$14="Gnome",X104,X101) -CF113</f>
        <v>0</v>
      </c>
      <c r="BI113" s="31">
        <f>BI112 + IF(Overview!$B$14="Gnome",Y104,Y101) -CG113</f>
        <v>0</v>
      </c>
      <c r="BJ113" s="31">
        <f>BJ112 + IF(Overview!$B$14="Gnome",Z104,Z101) -CH113</f>
        <v>0</v>
      </c>
      <c r="BK113" s="32">
        <f>BK112 + IF(Overview!$B$14="Gnome",AA104,AA101) -CI113</f>
        <v>50</v>
      </c>
      <c r="BL113" s="32">
        <f>BL112 + IF(Overview!$B$14="Gnome",AB104,AB101) -CJ113</f>
        <v>0</v>
      </c>
      <c r="BM113" s="32">
        <f>BM112 + IF(Overview!$B$14="Gnome",AC104,AC101) -CK113</f>
        <v>0</v>
      </c>
      <c r="BN113" s="33">
        <f>BN112 + IF(Overview!$B$14="Gnome",AD104,AD101) -CL113</f>
        <v>0</v>
      </c>
      <c r="BO113" s="33">
        <f>BO112 + IF(Overview!$B$14="Gnome",AE104,AE101) -CM113</f>
        <v>0</v>
      </c>
      <c r="BP113" s="69">
        <f>BP112 + IF(Overview!$B$14="Gnome",AF104,AF101) -CN113</f>
        <v>0</v>
      </c>
      <c r="BR113" s="442"/>
      <c r="BS113" s="156">
        <f t="shared" si="99"/>
        <v>1000</v>
      </c>
      <c r="BT113" s="574">
        <f t="shared" si="100"/>
        <v>43696.583333333067</v>
      </c>
      <c r="BV113" s="356"/>
      <c r="BW113" s="376"/>
      <c r="BX113" s="348"/>
      <c r="BY113" s="348"/>
      <c r="BZ113" s="348"/>
      <c r="CA113" s="348"/>
      <c r="CB113" s="348"/>
      <c r="CC113" s="348"/>
      <c r="CD113" s="348"/>
      <c r="CE113" s="348"/>
      <c r="CF113" s="348"/>
      <c r="CG113" s="348"/>
      <c r="CH113" s="348"/>
      <c r="CI113" s="348"/>
      <c r="CJ113" s="348"/>
      <c r="CK113" s="348"/>
      <c r="CL113" s="348"/>
      <c r="CM113" s="360"/>
      <c r="CN113" s="357"/>
      <c r="CP113" s="86">
        <f>-SUM($O113:$R113)+SUM($BW113:BZ113)+Rezone!L113+IF(home_land=CP$2,CW113) + Explore!T101</f>
        <v>0</v>
      </c>
      <c r="CQ113" s="37">
        <f>-SUM($S113:$T113)+SUM($CA113:$CB113) +Rezone!M113 + IF(home_land=CQ$2,CW113) + Explore!U101</f>
        <v>0</v>
      </c>
      <c r="CR113" s="247">
        <f>-SUM($U113:$V113)+SUM($CC113:$CD113) +Rezone!N113 + IF(home_land=CR$2,CW113) + Explore!V101</f>
        <v>0</v>
      </c>
      <c r="CS113" s="38">
        <f>-SUM($W113:$Z113)+SUM($CE113:$CH113) +Rezone!O113 + IF(home_land=CS$2,CW113) + Explore!W101</f>
        <v>0</v>
      </c>
      <c r="CT113" s="39">
        <f>-SUM($AA113:$AC113)+SUM($CI113:$CK113) +Rezone!P113 + IF(home_land=CT$2,CW113) + Explore!X101</f>
        <v>0</v>
      </c>
      <c r="CU113" s="40">
        <f xml:space="preserve"> - SUM($AD113,$AE113)+SUM($CL113,$CM113) +Rezone!Q113 + IF(home_land=CU$2,CW113)+Explore!Y101</f>
        <v>0</v>
      </c>
      <c r="CV113" s="500">
        <f>-$AF113+$CN113 +Rezone!R113 + IF(home_land=CV$2,CW113) + Explore!Z101</f>
        <v>0</v>
      </c>
      <c r="CW113" s="159">
        <f>IF(Explore!S113=1,25) - N113 + BV113</f>
        <v>0</v>
      </c>
      <c r="CY113" s="152">
        <f t="shared" si="101"/>
        <v>280</v>
      </c>
      <c r="CZ113" s="164">
        <f t="shared" si="102"/>
        <v>150</v>
      </c>
      <c r="DA113" s="16">
        <f t="shared" si="103"/>
        <v>150</v>
      </c>
      <c r="DB113" s="164">
        <f t="shared" si="104"/>
        <v>150</v>
      </c>
      <c r="DC113" s="164">
        <f t="shared" si="105"/>
        <v>150</v>
      </c>
      <c r="DD113" s="16">
        <f t="shared" si="106"/>
        <v>20</v>
      </c>
      <c r="DE113" s="166">
        <f t="shared" si="107"/>
        <v>100</v>
      </c>
      <c r="DF113" s="164">
        <f t="shared" ca="1" si="108"/>
        <v>280</v>
      </c>
      <c r="DG113" s="16">
        <f t="shared" si="109"/>
        <v>0</v>
      </c>
      <c r="DH113" s="16">
        <f t="shared" si="110"/>
        <v>113</v>
      </c>
      <c r="DI113" s="166"/>
    </row>
    <row r="114" spans="1:113" s="16" customFormat="1">
      <c r="A114" s="36">
        <f t="shared" si="87"/>
        <v>620</v>
      </c>
      <c r="B114" s="36">
        <f t="shared" si="88"/>
        <v>380</v>
      </c>
      <c r="C114" s="83">
        <f t="shared" si="89"/>
        <v>0</v>
      </c>
      <c r="D114" s="574"/>
      <c r="E114" s="16">
        <f t="shared" si="90"/>
        <v>1000</v>
      </c>
      <c r="F114" s="86">
        <f t="shared" si="91"/>
        <v>0</v>
      </c>
      <c r="G114" s="37">
        <f t="shared" si="92"/>
        <v>100</v>
      </c>
      <c r="H114" s="247">
        <f t="shared" si="93"/>
        <v>150</v>
      </c>
      <c r="I114" s="38">
        <f t="shared" si="94"/>
        <v>150</v>
      </c>
      <c r="J114" s="39">
        <f t="shared" si="95"/>
        <v>100</v>
      </c>
      <c r="K114" s="40">
        <f t="shared" si="96"/>
        <v>20</v>
      </c>
      <c r="L114" s="500">
        <f t="shared" si="97"/>
        <v>100</v>
      </c>
      <c r="M114" s="635">
        <f>Rezone!J114</f>
        <v>112</v>
      </c>
      <c r="N114" s="356"/>
      <c r="O114" s="348"/>
      <c r="P114" s="348"/>
      <c r="Q114" s="345"/>
      <c r="R114" s="345"/>
      <c r="S114" s="348"/>
      <c r="T114" s="348"/>
      <c r="U114" s="348"/>
      <c r="V114" s="348"/>
      <c r="W114" s="345"/>
      <c r="X114" s="345"/>
      <c r="Y114" s="348"/>
      <c r="Z114" s="345"/>
      <c r="AA114" s="348"/>
      <c r="AB114" s="348"/>
      <c r="AC114" s="345"/>
      <c r="AD114" s="348"/>
      <c r="AE114" s="348"/>
      <c r="AF114" s="336"/>
      <c r="AG114" s="532">
        <f t="shared" si="98"/>
        <v>43696.624999999731</v>
      </c>
      <c r="AH114" s="91">
        <f>MIN(25%,(BG114+CE114)/(E114-Explore!S114*20))</f>
        <v>0</v>
      </c>
      <c r="AI114" s="59">
        <f t="shared" si="83"/>
        <v>0</v>
      </c>
      <c r="AJ114" s="56">
        <f ca="1">Production!$H114</f>
        <v>4129772</v>
      </c>
      <c r="AK114" s="57">
        <f ca="1">Production!$J114</f>
        <v>267168</v>
      </c>
      <c r="AL114" s="152">
        <f ca="1">ROUND( (1 - MIN(facs_constr_factor*$AH114,facs_constr_max)) * (1+MIN(tech_construction*Techs!AC114,tech_conquerors_crafts*Techs!AS114)) * AU114*(1+race_construction_cost),0)</f>
        <v>1615</v>
      </c>
      <c r="AM114" s="166">
        <f t="shared" si="113"/>
        <v>263</v>
      </c>
      <c r="AN114" s="152">
        <f ca="1">ROUND( (1 - MIN(facs_constr_factor*$AI114,facs_constr_max)) * (1+MIN(tech_construction*Techs!AE114,tech_conquerors_crafts*Techs!AU114)) * AU114*(1+race_construction_cost),0)</f>
        <v>1615</v>
      </c>
      <c r="AO114" s="166">
        <f t="shared" si="114"/>
        <v>263</v>
      </c>
      <c r="AP114" s="16">
        <f t="shared" ca="1" si="111"/>
        <v>0</v>
      </c>
      <c r="AQ114" s="53">
        <f t="shared" si="112"/>
        <v>0</v>
      </c>
      <c r="AR114" s="16">
        <f>MIN(SUM(F113:L113)+SUM(Explore!T102:Z102)+SUM(BV114:CN114),SUM($N114:$AF114))</f>
        <v>0</v>
      </c>
      <c r="AS114" s="16">
        <f>IF(Explore!S114&lt;&gt;0,MAX(0, MIN(20, 20 + SUM(N114:AF114) - SUM(BV114:CN114) - SUM(F113:L113)-SUM(Explore!T102:Z102)-20*Explore!S114)),0)</f>
        <v>0</v>
      </c>
      <c r="AU114" s="152">
        <f t="shared" si="85"/>
        <v>1615</v>
      </c>
      <c r="AV114" s="166">
        <f t="shared" si="86"/>
        <v>262.5</v>
      </c>
      <c r="AW114" s="164"/>
      <c r="AX114" s="295">
        <f>AX113 + IF(Overview!$B$14="Gnome",N105,N102) -BV114</f>
        <v>0</v>
      </c>
      <c r="AY114" s="28">
        <f>AY113 + IF(Overview!$B$14="Gnome",O105,O102) -BW114</f>
        <v>0</v>
      </c>
      <c r="AZ114" s="28">
        <f>AZ113 + IF(Overview!$B$14="Gnome",P105,P102) -BX114</f>
        <v>80</v>
      </c>
      <c r="BA114" s="28">
        <f>BA113 + IF(Overview!$B$14="Gnome",Q105,Q102) -BY114</f>
        <v>200</v>
      </c>
      <c r="BB114" s="28">
        <f>BB113 + IF(Overview!$B$14="Gnome",R105,R102) -BZ114</f>
        <v>0</v>
      </c>
      <c r="BC114" s="29">
        <f>BC113 + IF(Overview!$B$14="Gnome",S105,S102) -CA114</f>
        <v>50</v>
      </c>
      <c r="BD114" s="29">
        <f>BD113 + IF(Overview!$B$14="Gnome",T105,T102) -CB114</f>
        <v>0</v>
      </c>
      <c r="BE114" s="30">
        <f>BE113 + IF(Overview!$B$14="Gnome",U105,U102) -CC114</f>
        <v>0</v>
      </c>
      <c r="BF114" s="30">
        <f>BF113 + IF(Overview!$B$14="Gnome",V105,V102) -CD114</f>
        <v>0</v>
      </c>
      <c r="BG114" s="31">
        <f>BG113 + IF(Overview!$B$14="Gnome",W105,W102) -CE114</f>
        <v>0</v>
      </c>
      <c r="BH114" s="31">
        <f>BH113 + IF(Overview!$B$14="Gnome",X105,X102) -CF114</f>
        <v>0</v>
      </c>
      <c r="BI114" s="31">
        <f>BI113 + IF(Overview!$B$14="Gnome",Y105,Y102) -CG114</f>
        <v>0</v>
      </c>
      <c r="BJ114" s="31">
        <f>BJ113 + IF(Overview!$B$14="Gnome",Z105,Z102) -CH114</f>
        <v>0</v>
      </c>
      <c r="BK114" s="32">
        <f>BK113 + IF(Overview!$B$14="Gnome",AA105,AA102) -CI114</f>
        <v>50</v>
      </c>
      <c r="BL114" s="32">
        <f>BL113 + IF(Overview!$B$14="Gnome",AB105,AB102) -CJ114</f>
        <v>0</v>
      </c>
      <c r="BM114" s="32">
        <f>BM113 + IF(Overview!$B$14="Gnome",AC105,AC102) -CK114</f>
        <v>0</v>
      </c>
      <c r="BN114" s="33">
        <f>BN113 + IF(Overview!$B$14="Gnome",AD105,AD102) -CL114</f>
        <v>0</v>
      </c>
      <c r="BO114" s="33">
        <f>BO113 + IF(Overview!$B$14="Gnome",AE105,AE102) -CM114</f>
        <v>0</v>
      </c>
      <c r="BP114" s="69">
        <f>BP113 + IF(Overview!$B$14="Gnome",AF105,AF102) -CN114</f>
        <v>0</v>
      </c>
      <c r="BR114" s="442"/>
      <c r="BS114" s="156">
        <f t="shared" si="99"/>
        <v>1000</v>
      </c>
      <c r="BT114" s="574">
        <f t="shared" si="100"/>
        <v>43696.624999999731</v>
      </c>
      <c r="BV114" s="356"/>
      <c r="BW114" s="348"/>
      <c r="BX114" s="348"/>
      <c r="BY114" s="348"/>
      <c r="BZ114" s="348"/>
      <c r="CA114" s="348"/>
      <c r="CB114" s="348"/>
      <c r="CC114" s="348"/>
      <c r="CD114" s="348"/>
      <c r="CE114" s="348"/>
      <c r="CF114" s="348"/>
      <c r="CG114" s="348"/>
      <c r="CH114" s="348"/>
      <c r="CI114" s="348"/>
      <c r="CJ114" s="348"/>
      <c r="CK114" s="348"/>
      <c r="CL114" s="348"/>
      <c r="CM114" s="360"/>
      <c r="CN114" s="357"/>
      <c r="CP114" s="86">
        <f>-SUM($O114:$R114)+SUM($BW114:BZ114)+Rezone!L114+IF(home_land=CP$2,CW114) + Explore!T102</f>
        <v>0</v>
      </c>
      <c r="CQ114" s="37">
        <f>-SUM($S114:$T114)+SUM($CA114:$CB114) +Rezone!M114 + IF(home_land=CQ$2,CW114) + Explore!U102</f>
        <v>0</v>
      </c>
      <c r="CR114" s="247">
        <f>-SUM($U114:$V114)+SUM($CC114:$CD114) +Rezone!N114 + IF(home_land=CR$2,CW114) + Explore!V102</f>
        <v>0</v>
      </c>
      <c r="CS114" s="38">
        <f>-SUM($W114:$Z114)+SUM($CE114:$CH114) +Rezone!O114 + IF(home_land=CS$2,CW114) + Explore!W102</f>
        <v>0</v>
      </c>
      <c r="CT114" s="39">
        <f>-SUM($AA114:$AC114)+SUM($CI114:$CK114) +Rezone!P114 + IF(home_land=CT$2,CW114) + Explore!X102</f>
        <v>0</v>
      </c>
      <c r="CU114" s="40">
        <f xml:space="preserve"> - SUM($AD114,$AE114)+SUM($CL114,$CM114) +Rezone!Q114 + IF(home_land=CU$2,CW114)+Explore!Y102</f>
        <v>0</v>
      </c>
      <c r="CV114" s="500">
        <f>-$AF114+$CN114 +Rezone!R114 + IF(home_land=CV$2,CW114) + Explore!Z102</f>
        <v>0</v>
      </c>
      <c r="CW114" s="159">
        <f>IF(Explore!S114=1,25) - N114 + BV114</f>
        <v>0</v>
      </c>
      <c r="CY114" s="152">
        <f t="shared" si="101"/>
        <v>280</v>
      </c>
      <c r="CZ114" s="164">
        <f t="shared" si="102"/>
        <v>150</v>
      </c>
      <c r="DA114" s="16">
        <f t="shared" si="103"/>
        <v>150</v>
      </c>
      <c r="DB114" s="164">
        <f t="shared" si="104"/>
        <v>150</v>
      </c>
      <c r="DC114" s="164">
        <f t="shared" si="105"/>
        <v>150</v>
      </c>
      <c r="DD114" s="16">
        <f t="shared" si="106"/>
        <v>20</v>
      </c>
      <c r="DE114" s="166">
        <f t="shared" si="107"/>
        <v>100</v>
      </c>
      <c r="DF114" s="164">
        <f t="shared" ca="1" si="108"/>
        <v>280</v>
      </c>
      <c r="DG114" s="16">
        <f t="shared" si="109"/>
        <v>0</v>
      </c>
      <c r="DH114" s="16">
        <f t="shared" si="110"/>
        <v>114</v>
      </c>
      <c r="DI114" s="166"/>
    </row>
    <row r="115" spans="1:113" s="16" customFormat="1">
      <c r="A115" s="36">
        <f t="shared" si="87"/>
        <v>620</v>
      </c>
      <c r="B115" s="36">
        <f t="shared" si="88"/>
        <v>380</v>
      </c>
      <c r="C115" s="83">
        <f t="shared" si="89"/>
        <v>0</v>
      </c>
      <c r="D115" s="574"/>
      <c r="E115" s="16">
        <f t="shared" si="90"/>
        <v>1000</v>
      </c>
      <c r="F115" s="86">
        <f t="shared" si="91"/>
        <v>0</v>
      </c>
      <c r="G115" s="37">
        <f t="shared" si="92"/>
        <v>100</v>
      </c>
      <c r="H115" s="247">
        <f t="shared" si="93"/>
        <v>150</v>
      </c>
      <c r="I115" s="38">
        <f t="shared" si="94"/>
        <v>150</v>
      </c>
      <c r="J115" s="39">
        <f t="shared" si="95"/>
        <v>100</v>
      </c>
      <c r="K115" s="40">
        <f t="shared" si="96"/>
        <v>20</v>
      </c>
      <c r="L115" s="500">
        <f t="shared" si="97"/>
        <v>100</v>
      </c>
      <c r="M115" s="635">
        <f>Rezone!J115</f>
        <v>113</v>
      </c>
      <c r="N115" s="356"/>
      <c r="O115" s="348"/>
      <c r="P115" s="348"/>
      <c r="Q115" s="345"/>
      <c r="R115" s="345"/>
      <c r="S115" s="348"/>
      <c r="T115" s="348"/>
      <c r="U115" s="348"/>
      <c r="V115" s="348"/>
      <c r="W115" s="345"/>
      <c r="X115" s="345"/>
      <c r="Y115" s="348"/>
      <c r="Z115" s="345"/>
      <c r="AA115" s="348"/>
      <c r="AB115" s="348"/>
      <c r="AC115" s="345"/>
      <c r="AD115" s="348"/>
      <c r="AE115" s="348"/>
      <c r="AF115" s="336"/>
      <c r="AG115" s="532">
        <f t="shared" si="98"/>
        <v>43696.666666666395</v>
      </c>
      <c r="AH115" s="91">
        <f>MIN(25%,(BG115+CE115)/(E115-Explore!S115*20))</f>
        <v>0</v>
      </c>
      <c r="AI115" s="59">
        <f t="shared" si="83"/>
        <v>0</v>
      </c>
      <c r="AJ115" s="56">
        <f ca="1">Production!$H115</f>
        <v>4140423</v>
      </c>
      <c r="AK115" s="57">
        <f ca="1">Production!$J115</f>
        <v>266996</v>
      </c>
      <c r="AL115" s="152">
        <f ca="1">ROUND( (1 - MIN(facs_constr_factor*$AH115,facs_constr_max)) * (1+MIN(tech_construction*Techs!AC115,tech_conquerors_crafts*Techs!AS115)) * AU115*(1+race_construction_cost),0)</f>
        <v>1615</v>
      </c>
      <c r="AM115" s="166">
        <f t="shared" si="113"/>
        <v>263</v>
      </c>
      <c r="AN115" s="152">
        <f ca="1">ROUND( (1 - MIN(facs_constr_factor*$AI115,facs_constr_max)) * (1+MIN(tech_construction*Techs!AE115,tech_conquerors_crafts*Techs!AU115)) * AU115*(1+race_construction_cost),0)</f>
        <v>1615</v>
      </c>
      <c r="AO115" s="166">
        <f t="shared" si="114"/>
        <v>263</v>
      </c>
      <c r="AP115" s="16">
        <f t="shared" ca="1" si="111"/>
        <v>0</v>
      </c>
      <c r="AQ115" s="53">
        <f t="shared" si="112"/>
        <v>0</v>
      </c>
      <c r="AR115" s="16">
        <f>MIN(SUM(F114:L114)+SUM(Explore!T103:Z103)+SUM(BV115:CN115),SUM($N115:$AF115))</f>
        <v>0</v>
      </c>
      <c r="AS115" s="16">
        <f>IF(Explore!S115&lt;&gt;0,MAX(0, MIN(20, 20 + SUM(N115:AF115) - SUM(BV115:CN115) - SUM(F114:L114)-SUM(Explore!T103:Z103)-20*Explore!S115)),0)</f>
        <v>0</v>
      </c>
      <c r="AU115" s="152">
        <f t="shared" si="85"/>
        <v>1615</v>
      </c>
      <c r="AV115" s="166">
        <f t="shared" si="86"/>
        <v>262.5</v>
      </c>
      <c r="AW115" s="164"/>
      <c r="AX115" s="295">
        <f>AX114 + IF(Overview!$B$14="Gnome",N106,N103) -BV115</f>
        <v>0</v>
      </c>
      <c r="AY115" s="28">
        <f>AY114 + IF(Overview!$B$14="Gnome",O106,O103) -BW115</f>
        <v>0</v>
      </c>
      <c r="AZ115" s="28">
        <f>AZ114 + IF(Overview!$B$14="Gnome",P106,P103) -BX115</f>
        <v>80</v>
      </c>
      <c r="BA115" s="28">
        <f>BA114 + IF(Overview!$B$14="Gnome",Q106,Q103) -BY115</f>
        <v>200</v>
      </c>
      <c r="BB115" s="28">
        <f>BB114 + IF(Overview!$B$14="Gnome",R106,R103) -BZ115</f>
        <v>0</v>
      </c>
      <c r="BC115" s="29">
        <f>BC114 + IF(Overview!$B$14="Gnome",S106,S103) -CA115</f>
        <v>50</v>
      </c>
      <c r="BD115" s="29">
        <f>BD114 + IF(Overview!$B$14="Gnome",T106,T103) -CB115</f>
        <v>0</v>
      </c>
      <c r="BE115" s="30">
        <f>BE114 + IF(Overview!$B$14="Gnome",U106,U103) -CC115</f>
        <v>0</v>
      </c>
      <c r="BF115" s="30">
        <f>BF114 + IF(Overview!$B$14="Gnome",V106,V103) -CD115</f>
        <v>0</v>
      </c>
      <c r="BG115" s="31">
        <f>BG114 + IF(Overview!$B$14="Gnome",W106,W103) -CE115</f>
        <v>0</v>
      </c>
      <c r="BH115" s="31">
        <f>BH114 + IF(Overview!$B$14="Gnome",X106,X103) -CF115</f>
        <v>0</v>
      </c>
      <c r="BI115" s="31">
        <f>BI114 + IF(Overview!$B$14="Gnome",Y106,Y103) -CG115</f>
        <v>0</v>
      </c>
      <c r="BJ115" s="31">
        <f>BJ114 + IF(Overview!$B$14="Gnome",Z106,Z103) -CH115</f>
        <v>0</v>
      </c>
      <c r="BK115" s="32">
        <f>BK114 + IF(Overview!$B$14="Gnome",AA106,AA103) -CI115</f>
        <v>50</v>
      </c>
      <c r="BL115" s="32">
        <f>BL114 + IF(Overview!$B$14="Gnome",AB106,AB103) -CJ115</f>
        <v>0</v>
      </c>
      <c r="BM115" s="32">
        <f>BM114 + IF(Overview!$B$14="Gnome",AC106,AC103) -CK115</f>
        <v>0</v>
      </c>
      <c r="BN115" s="33">
        <f>BN114 + IF(Overview!$B$14="Gnome",AD106,AD103) -CL115</f>
        <v>0</v>
      </c>
      <c r="BO115" s="33">
        <f>BO114 + IF(Overview!$B$14="Gnome",AE106,AE103) -CM115</f>
        <v>0</v>
      </c>
      <c r="BP115" s="69">
        <f>BP114 + IF(Overview!$B$14="Gnome",AF106,AF103) -CN115</f>
        <v>0</v>
      </c>
      <c r="BR115" s="442"/>
      <c r="BS115" s="156">
        <f t="shared" si="99"/>
        <v>1000</v>
      </c>
      <c r="BT115" s="574">
        <f t="shared" si="100"/>
        <v>43696.666666666395</v>
      </c>
      <c r="BV115" s="356"/>
      <c r="BW115" s="348"/>
      <c r="BX115" s="348"/>
      <c r="BY115" s="348"/>
      <c r="BZ115" s="348"/>
      <c r="CA115" s="348"/>
      <c r="CB115" s="348"/>
      <c r="CC115" s="348"/>
      <c r="CD115" s="348"/>
      <c r="CE115" s="348"/>
      <c r="CF115" s="348"/>
      <c r="CG115" s="348"/>
      <c r="CH115" s="348"/>
      <c r="CI115" s="348"/>
      <c r="CJ115" s="348"/>
      <c r="CK115" s="348"/>
      <c r="CL115" s="348"/>
      <c r="CM115" s="360"/>
      <c r="CN115" s="357"/>
      <c r="CP115" s="86">
        <f>-SUM($O115:$R115)+SUM($BW115:BZ115)+Rezone!L115+IF(home_land=CP$2,CW115) + Explore!T103</f>
        <v>0</v>
      </c>
      <c r="CQ115" s="37">
        <f>-SUM($S115:$T115)+SUM($CA115:$CB115) +Rezone!M115 + IF(home_land=CQ$2,CW115) + Explore!U103</f>
        <v>0</v>
      </c>
      <c r="CR115" s="247">
        <f>-SUM($U115:$V115)+SUM($CC115:$CD115) +Rezone!N115 + IF(home_land=CR$2,CW115) + Explore!V103</f>
        <v>0</v>
      </c>
      <c r="CS115" s="38">
        <f>-SUM($W115:$Z115)+SUM($CE115:$CH115) +Rezone!O115 + IF(home_land=CS$2,CW115) + Explore!W103</f>
        <v>0</v>
      </c>
      <c r="CT115" s="39">
        <f>-SUM($AA115:$AC115)+SUM($CI115:$CK115) +Rezone!P115 + IF(home_land=CT$2,CW115) + Explore!X103</f>
        <v>0</v>
      </c>
      <c r="CU115" s="40">
        <f xml:space="preserve"> - SUM($AD115,$AE115)+SUM($CL115,$CM115) +Rezone!Q115 + IF(home_land=CU$2,CW115)+Explore!Y103</f>
        <v>0</v>
      </c>
      <c r="CV115" s="500">
        <f>-$AF115+$CN115 +Rezone!R115 + IF(home_land=CV$2,CW115) + Explore!Z103</f>
        <v>0</v>
      </c>
      <c r="CW115" s="159">
        <f>IF(Explore!S115=1,25) - N115 + BV115</f>
        <v>0</v>
      </c>
      <c r="CY115" s="152">
        <f t="shared" si="101"/>
        <v>280</v>
      </c>
      <c r="CZ115" s="164">
        <f t="shared" si="102"/>
        <v>150</v>
      </c>
      <c r="DA115" s="16">
        <f t="shared" si="103"/>
        <v>150</v>
      </c>
      <c r="DB115" s="164">
        <f t="shared" si="104"/>
        <v>150</v>
      </c>
      <c r="DC115" s="164">
        <f t="shared" si="105"/>
        <v>150</v>
      </c>
      <c r="DD115" s="16">
        <f t="shared" si="106"/>
        <v>20</v>
      </c>
      <c r="DE115" s="166">
        <f t="shared" si="107"/>
        <v>100</v>
      </c>
      <c r="DF115" s="164">
        <f t="shared" ca="1" si="108"/>
        <v>280</v>
      </c>
      <c r="DG115" s="16">
        <f t="shared" si="109"/>
        <v>0</v>
      </c>
      <c r="DH115" s="16">
        <f t="shared" si="110"/>
        <v>115</v>
      </c>
      <c r="DI115" s="166"/>
    </row>
    <row r="116" spans="1:113" s="16" customFormat="1">
      <c r="A116" s="36">
        <f t="shared" si="87"/>
        <v>620</v>
      </c>
      <c r="B116" s="36">
        <f t="shared" si="88"/>
        <v>380</v>
      </c>
      <c r="C116" s="83">
        <f t="shared" si="89"/>
        <v>0</v>
      </c>
      <c r="D116" s="574"/>
      <c r="E116" s="16">
        <f t="shared" si="90"/>
        <v>1000</v>
      </c>
      <c r="F116" s="86">
        <f t="shared" si="91"/>
        <v>0</v>
      </c>
      <c r="G116" s="37">
        <f t="shared" si="92"/>
        <v>100</v>
      </c>
      <c r="H116" s="247">
        <f t="shared" si="93"/>
        <v>150</v>
      </c>
      <c r="I116" s="38">
        <f t="shared" si="94"/>
        <v>150</v>
      </c>
      <c r="J116" s="39">
        <f t="shared" si="95"/>
        <v>100</v>
      </c>
      <c r="K116" s="40">
        <f t="shared" si="96"/>
        <v>20</v>
      </c>
      <c r="L116" s="500">
        <f t="shared" si="97"/>
        <v>100</v>
      </c>
      <c r="M116" s="635">
        <f>Rezone!J116</f>
        <v>114</v>
      </c>
      <c r="N116" s="356"/>
      <c r="O116" s="348"/>
      <c r="P116" s="348"/>
      <c r="Q116" s="345"/>
      <c r="R116" s="345"/>
      <c r="S116" s="348"/>
      <c r="T116" s="348"/>
      <c r="U116" s="348"/>
      <c r="V116" s="348"/>
      <c r="W116" s="345"/>
      <c r="X116" s="345"/>
      <c r="Y116" s="348"/>
      <c r="Z116" s="345"/>
      <c r="AA116" s="348"/>
      <c r="AB116" s="348"/>
      <c r="AC116" s="345"/>
      <c r="AD116" s="348"/>
      <c r="AE116" s="348"/>
      <c r="AF116" s="336"/>
      <c r="AG116" s="532">
        <f t="shared" si="98"/>
        <v>43696.708333333059</v>
      </c>
      <c r="AH116" s="91">
        <f>MIN(25%,(BG116+CE116)/(E116-Explore!S116*20))</f>
        <v>0</v>
      </c>
      <c r="AI116" s="59">
        <f t="shared" si="83"/>
        <v>0</v>
      </c>
      <c r="AJ116" s="56">
        <f ca="1">Production!$H116</f>
        <v>4151074</v>
      </c>
      <c r="AK116" s="57">
        <f ca="1">Production!$J116</f>
        <v>266826</v>
      </c>
      <c r="AL116" s="152">
        <f ca="1">ROUND( (1 - MIN(facs_constr_factor*$AH116,facs_constr_max)) * (1+MIN(tech_construction*Techs!AC116,tech_conquerors_crafts*Techs!AS116)) * AU116*(1+race_construction_cost),0)</f>
        <v>1615</v>
      </c>
      <c r="AM116" s="166">
        <f t="shared" si="113"/>
        <v>263</v>
      </c>
      <c r="AN116" s="152">
        <f ca="1">ROUND( (1 - MIN(facs_constr_factor*$AI116,facs_constr_max)) * (1+MIN(tech_construction*Techs!AE116,tech_conquerors_crafts*Techs!AU116)) * AU116*(1+race_construction_cost),0)</f>
        <v>1615</v>
      </c>
      <c r="AO116" s="166">
        <f t="shared" si="114"/>
        <v>263</v>
      </c>
      <c r="AP116" s="16">
        <f t="shared" ca="1" si="111"/>
        <v>0</v>
      </c>
      <c r="AQ116" s="53">
        <f t="shared" si="112"/>
        <v>0</v>
      </c>
      <c r="AR116" s="16">
        <f>MIN(SUM(F115:L115)+SUM(Explore!T104:Z104)+SUM(BV116:CN116),SUM($N116:$AF116))</f>
        <v>0</v>
      </c>
      <c r="AS116" s="16">
        <f>IF(Explore!S116&lt;&gt;0,MAX(0, MIN(20, 20 + SUM(N116:AF116) - SUM(BV116:CN116) - SUM(F115:L115)-SUM(Explore!T104:Z104)-20*Explore!S116)),0)</f>
        <v>0</v>
      </c>
      <c r="AU116" s="152">
        <f t="shared" si="85"/>
        <v>1615</v>
      </c>
      <c r="AV116" s="166">
        <f t="shared" si="86"/>
        <v>262.5</v>
      </c>
      <c r="AW116" s="164"/>
      <c r="AX116" s="295">
        <f>AX115 + IF(Overview!$B$14="Gnome",N107,N104) -BV116</f>
        <v>0</v>
      </c>
      <c r="AY116" s="28">
        <f>AY115 + IF(Overview!$B$14="Gnome",O107,O104) -BW116</f>
        <v>0</v>
      </c>
      <c r="AZ116" s="28">
        <f>AZ115 + IF(Overview!$B$14="Gnome",P107,P104) -BX116</f>
        <v>80</v>
      </c>
      <c r="BA116" s="28">
        <f>BA115 + IF(Overview!$B$14="Gnome",Q107,Q104) -BY116</f>
        <v>200</v>
      </c>
      <c r="BB116" s="28">
        <f>BB115 + IF(Overview!$B$14="Gnome",R107,R104) -BZ116</f>
        <v>0</v>
      </c>
      <c r="BC116" s="29">
        <f>BC115 + IF(Overview!$B$14="Gnome",S107,S104) -CA116</f>
        <v>50</v>
      </c>
      <c r="BD116" s="29">
        <f>BD115 + IF(Overview!$B$14="Gnome",T107,T104) -CB116</f>
        <v>0</v>
      </c>
      <c r="BE116" s="30">
        <f>BE115 + IF(Overview!$B$14="Gnome",U107,U104) -CC116</f>
        <v>0</v>
      </c>
      <c r="BF116" s="30">
        <f>BF115 + IF(Overview!$B$14="Gnome",V107,V104) -CD116</f>
        <v>0</v>
      </c>
      <c r="BG116" s="31">
        <f>BG115 + IF(Overview!$B$14="Gnome",W107,W104) -CE116</f>
        <v>0</v>
      </c>
      <c r="BH116" s="31">
        <f>BH115 + IF(Overview!$B$14="Gnome",X107,X104) -CF116</f>
        <v>0</v>
      </c>
      <c r="BI116" s="31">
        <f>BI115 + IF(Overview!$B$14="Gnome",Y107,Y104) -CG116</f>
        <v>0</v>
      </c>
      <c r="BJ116" s="31">
        <f>BJ115 + IF(Overview!$B$14="Gnome",Z107,Z104) -CH116</f>
        <v>0</v>
      </c>
      <c r="BK116" s="32">
        <f>BK115 + IF(Overview!$B$14="Gnome",AA107,AA104) -CI116</f>
        <v>50</v>
      </c>
      <c r="BL116" s="32">
        <f>BL115 + IF(Overview!$B$14="Gnome",AB107,AB104) -CJ116</f>
        <v>0</v>
      </c>
      <c r="BM116" s="32">
        <f>BM115 + IF(Overview!$B$14="Gnome",AC107,AC104) -CK116</f>
        <v>0</v>
      </c>
      <c r="BN116" s="33">
        <f>BN115 + IF(Overview!$B$14="Gnome",AD107,AD104) -CL116</f>
        <v>0</v>
      </c>
      <c r="BO116" s="33">
        <f>BO115 + IF(Overview!$B$14="Gnome",AE107,AE104) -CM116</f>
        <v>0</v>
      </c>
      <c r="BP116" s="69">
        <f>BP115 + IF(Overview!$B$14="Gnome",AF107,AF104) -CN116</f>
        <v>0</v>
      </c>
      <c r="BR116" s="442"/>
      <c r="BS116" s="156">
        <f t="shared" si="99"/>
        <v>1000</v>
      </c>
      <c r="BT116" s="574">
        <f t="shared" si="100"/>
        <v>43696.708333333059</v>
      </c>
      <c r="BV116" s="356"/>
      <c r="BW116" s="348"/>
      <c r="BX116" s="348"/>
      <c r="BY116" s="348"/>
      <c r="BZ116" s="348"/>
      <c r="CA116" s="348"/>
      <c r="CB116" s="348"/>
      <c r="CC116" s="348"/>
      <c r="CD116" s="348"/>
      <c r="CE116" s="348"/>
      <c r="CF116" s="348"/>
      <c r="CG116" s="348"/>
      <c r="CH116" s="348"/>
      <c r="CI116" s="348"/>
      <c r="CJ116" s="348"/>
      <c r="CK116" s="348"/>
      <c r="CL116" s="348"/>
      <c r="CM116" s="360"/>
      <c r="CN116" s="357"/>
      <c r="CP116" s="86">
        <f>-SUM($O116:$R116)+SUM($BW116:BZ116)+Rezone!L116+IF(home_land=CP$2,CW116) + Explore!T104</f>
        <v>0</v>
      </c>
      <c r="CQ116" s="37">
        <f>-SUM($S116:$T116)+SUM($CA116:$CB116) +Rezone!M116 + IF(home_land=CQ$2,CW116) + Explore!U104</f>
        <v>0</v>
      </c>
      <c r="CR116" s="247">
        <f>-SUM($U116:$V116)+SUM($CC116:$CD116) +Rezone!N116 + IF(home_land=CR$2,CW116) + Explore!V104</f>
        <v>0</v>
      </c>
      <c r="CS116" s="38">
        <f>-SUM($W116:$Z116)+SUM($CE116:$CH116) +Rezone!O116 + IF(home_land=CS$2,CW116) + Explore!W104</f>
        <v>0</v>
      </c>
      <c r="CT116" s="39">
        <f>-SUM($AA116:$AC116)+SUM($CI116:$CK116) +Rezone!P116 + IF(home_land=CT$2,CW116) + Explore!X104</f>
        <v>0</v>
      </c>
      <c r="CU116" s="40">
        <f xml:space="preserve"> - SUM($AD116,$AE116)+SUM($CL116,$CM116) +Rezone!Q116 + IF(home_land=CU$2,CW116)+Explore!Y104</f>
        <v>0</v>
      </c>
      <c r="CV116" s="500">
        <f>-$AF116+$CN116 +Rezone!R116 + IF(home_land=CV$2,CW116) + Explore!Z104</f>
        <v>0</v>
      </c>
      <c r="CW116" s="159">
        <f>IF(Explore!S116=1,25) - N116 + BV116</f>
        <v>0</v>
      </c>
      <c r="CY116" s="152">
        <f t="shared" si="101"/>
        <v>280</v>
      </c>
      <c r="CZ116" s="164">
        <f t="shared" si="102"/>
        <v>150</v>
      </c>
      <c r="DA116" s="16">
        <f t="shared" si="103"/>
        <v>150</v>
      </c>
      <c r="DB116" s="164">
        <f t="shared" si="104"/>
        <v>150</v>
      </c>
      <c r="DC116" s="164">
        <f t="shared" si="105"/>
        <v>150</v>
      </c>
      <c r="DD116" s="16">
        <f t="shared" si="106"/>
        <v>20</v>
      </c>
      <c r="DE116" s="166">
        <f t="shared" si="107"/>
        <v>100</v>
      </c>
      <c r="DF116" s="164">
        <f t="shared" ca="1" si="108"/>
        <v>280</v>
      </c>
      <c r="DG116" s="16">
        <f t="shared" si="109"/>
        <v>0</v>
      </c>
      <c r="DH116" s="16">
        <f t="shared" si="110"/>
        <v>116</v>
      </c>
      <c r="DI116" s="166"/>
    </row>
    <row r="117" spans="1:113" s="16" customFormat="1">
      <c r="A117" s="36">
        <f t="shared" si="87"/>
        <v>620</v>
      </c>
      <c r="B117" s="36">
        <f t="shared" si="88"/>
        <v>380</v>
      </c>
      <c r="C117" s="83">
        <f t="shared" si="89"/>
        <v>0</v>
      </c>
      <c r="D117" s="574"/>
      <c r="E117" s="16">
        <f t="shared" si="90"/>
        <v>1000</v>
      </c>
      <c r="F117" s="86">
        <f t="shared" si="91"/>
        <v>0</v>
      </c>
      <c r="G117" s="37">
        <f t="shared" si="92"/>
        <v>100</v>
      </c>
      <c r="H117" s="247">
        <f t="shared" si="93"/>
        <v>150</v>
      </c>
      <c r="I117" s="38">
        <f t="shared" si="94"/>
        <v>150</v>
      </c>
      <c r="J117" s="39">
        <f t="shared" si="95"/>
        <v>100</v>
      </c>
      <c r="K117" s="40">
        <f t="shared" si="96"/>
        <v>20</v>
      </c>
      <c r="L117" s="500">
        <f t="shared" si="97"/>
        <v>100</v>
      </c>
      <c r="M117" s="635">
        <f>Rezone!J117</f>
        <v>115</v>
      </c>
      <c r="N117" s="356"/>
      <c r="O117" s="348"/>
      <c r="P117" s="348"/>
      <c r="Q117" s="345"/>
      <c r="R117" s="345"/>
      <c r="S117" s="348"/>
      <c r="T117" s="348"/>
      <c r="U117" s="348"/>
      <c r="V117" s="348"/>
      <c r="W117" s="345"/>
      <c r="X117" s="345"/>
      <c r="Y117" s="348"/>
      <c r="Z117" s="345"/>
      <c r="AA117" s="348"/>
      <c r="AB117" s="348"/>
      <c r="AC117" s="345"/>
      <c r="AD117" s="348"/>
      <c r="AE117" s="348"/>
      <c r="AF117" s="336"/>
      <c r="AG117" s="532">
        <f t="shared" si="98"/>
        <v>43696.749999999724</v>
      </c>
      <c r="AH117" s="91">
        <f>MIN(25%,(BG117+CE117)/(E117-Explore!S117*20))</f>
        <v>0</v>
      </c>
      <c r="AI117" s="59">
        <f t="shared" si="83"/>
        <v>0</v>
      </c>
      <c r="AJ117" s="56">
        <f ca="1">Production!$H117</f>
        <v>4161725</v>
      </c>
      <c r="AK117" s="57">
        <f ca="1">Production!$J117</f>
        <v>266658</v>
      </c>
      <c r="AL117" s="152">
        <f ca="1">ROUND( (1 - MIN(facs_constr_factor*$AH117,facs_constr_max)) * (1+MIN(tech_construction*Techs!AC117,tech_conquerors_crafts*Techs!AS117)) * AU117*(1+race_construction_cost),0)</f>
        <v>1615</v>
      </c>
      <c r="AM117" s="166">
        <f t="shared" si="113"/>
        <v>263</v>
      </c>
      <c r="AN117" s="152">
        <f ca="1">ROUND( (1 - MIN(facs_constr_factor*$AI117,facs_constr_max)) * (1+MIN(tech_construction*Techs!AE117,tech_conquerors_crafts*Techs!AU117)) * AU117*(1+race_construction_cost),0)</f>
        <v>1615</v>
      </c>
      <c r="AO117" s="166">
        <f t="shared" si="114"/>
        <v>263</v>
      </c>
      <c r="AP117" s="16">
        <f t="shared" ca="1" si="111"/>
        <v>0</v>
      </c>
      <c r="AQ117" s="53">
        <f t="shared" si="112"/>
        <v>0</v>
      </c>
      <c r="AR117" s="16">
        <f>MIN(SUM(F116:L116)+SUM(Explore!T105:Z105)+SUM(BV117:CN117),SUM($N117:$AF117))</f>
        <v>0</v>
      </c>
      <c r="AS117" s="16">
        <f>IF(Explore!S117&lt;&gt;0,MAX(0, MIN(20, 20 + SUM(N117:AF117) - SUM(BV117:CN117) - SUM(F116:L116)-SUM(Explore!T105:Z105)-20*Explore!S117)),0)</f>
        <v>0</v>
      </c>
      <c r="AU117" s="152">
        <f t="shared" si="85"/>
        <v>1615</v>
      </c>
      <c r="AV117" s="166">
        <f t="shared" si="86"/>
        <v>262.5</v>
      </c>
      <c r="AW117" s="164"/>
      <c r="AX117" s="295">
        <f>AX116 + IF(Overview!$B$14="Gnome",N108,N105) -BV117</f>
        <v>0</v>
      </c>
      <c r="AY117" s="28">
        <f>AY116 + IF(Overview!$B$14="Gnome",O108,O105) -BW117</f>
        <v>0</v>
      </c>
      <c r="AZ117" s="28">
        <f>AZ116 + IF(Overview!$B$14="Gnome",P108,P105) -BX117</f>
        <v>80</v>
      </c>
      <c r="BA117" s="28">
        <f>BA116 + IF(Overview!$B$14="Gnome",Q108,Q105) -BY117</f>
        <v>200</v>
      </c>
      <c r="BB117" s="28">
        <f>BB116 + IF(Overview!$B$14="Gnome",R108,R105) -BZ117</f>
        <v>0</v>
      </c>
      <c r="BC117" s="29">
        <f>BC116 + IF(Overview!$B$14="Gnome",S108,S105) -CA117</f>
        <v>50</v>
      </c>
      <c r="BD117" s="29">
        <f>BD116 + IF(Overview!$B$14="Gnome",T108,T105) -CB117</f>
        <v>0</v>
      </c>
      <c r="BE117" s="30">
        <f>BE116 + IF(Overview!$B$14="Gnome",U108,U105) -CC117</f>
        <v>0</v>
      </c>
      <c r="BF117" s="30">
        <f>BF116 + IF(Overview!$B$14="Gnome",V108,V105) -CD117</f>
        <v>0</v>
      </c>
      <c r="BG117" s="31">
        <f>BG116 + IF(Overview!$B$14="Gnome",W108,W105) -CE117</f>
        <v>0</v>
      </c>
      <c r="BH117" s="31">
        <f>BH116 + IF(Overview!$B$14="Gnome",X108,X105) -CF117</f>
        <v>0</v>
      </c>
      <c r="BI117" s="31">
        <f>BI116 + IF(Overview!$B$14="Gnome",Y108,Y105) -CG117</f>
        <v>0</v>
      </c>
      <c r="BJ117" s="31">
        <f>BJ116 + IF(Overview!$B$14="Gnome",Z108,Z105) -CH117</f>
        <v>0</v>
      </c>
      <c r="BK117" s="32">
        <f>BK116 + IF(Overview!$B$14="Gnome",AA108,AA105) -CI117</f>
        <v>50</v>
      </c>
      <c r="BL117" s="32">
        <f>BL116 + IF(Overview!$B$14="Gnome",AB108,AB105) -CJ117</f>
        <v>0</v>
      </c>
      <c r="BM117" s="32">
        <f>BM116 + IF(Overview!$B$14="Gnome",AC108,AC105) -CK117</f>
        <v>0</v>
      </c>
      <c r="BN117" s="33">
        <f>BN116 + IF(Overview!$B$14="Gnome",AD108,AD105) -CL117</f>
        <v>0</v>
      </c>
      <c r="BO117" s="33">
        <f>BO116 + IF(Overview!$B$14="Gnome",AE108,AE105) -CM117</f>
        <v>0</v>
      </c>
      <c r="BP117" s="69">
        <f>BP116 + IF(Overview!$B$14="Gnome",AF108,AF105) -CN117</f>
        <v>0</v>
      </c>
      <c r="BR117" s="442"/>
      <c r="BS117" s="156">
        <f t="shared" si="99"/>
        <v>1000</v>
      </c>
      <c r="BT117" s="574">
        <f t="shared" si="100"/>
        <v>43696.749999999724</v>
      </c>
      <c r="BV117" s="356"/>
      <c r="BW117" s="348"/>
      <c r="BX117" s="348"/>
      <c r="BY117" s="348"/>
      <c r="BZ117" s="348"/>
      <c r="CA117" s="348"/>
      <c r="CB117" s="348"/>
      <c r="CC117" s="348"/>
      <c r="CD117" s="348"/>
      <c r="CE117" s="348"/>
      <c r="CF117" s="348"/>
      <c r="CG117" s="348"/>
      <c r="CH117" s="348"/>
      <c r="CI117" s="348"/>
      <c r="CJ117" s="348"/>
      <c r="CK117" s="348"/>
      <c r="CL117" s="348"/>
      <c r="CM117" s="360"/>
      <c r="CN117" s="357"/>
      <c r="CP117" s="86">
        <f>-SUM($O117:$R117)+SUM($BW117:BZ117)+Rezone!L117+IF(home_land=CP$2,CW117) + Explore!T105</f>
        <v>0</v>
      </c>
      <c r="CQ117" s="37">
        <f>-SUM($S117:$T117)+SUM($CA117:$CB117) +Rezone!M117 + IF(home_land=CQ$2,CW117) + Explore!U105</f>
        <v>0</v>
      </c>
      <c r="CR117" s="247">
        <f>-SUM($U117:$V117)+SUM($CC117:$CD117) +Rezone!N117 + IF(home_land=CR$2,CW117) + Explore!V105</f>
        <v>0</v>
      </c>
      <c r="CS117" s="38">
        <f>-SUM($W117:$Z117)+SUM($CE117:$CH117) +Rezone!O117 + IF(home_land=CS$2,CW117) + Explore!W105</f>
        <v>0</v>
      </c>
      <c r="CT117" s="39">
        <f>-SUM($AA117:$AC117)+SUM($CI117:$CK117) +Rezone!P117 + IF(home_land=CT$2,CW117) + Explore!X105</f>
        <v>0</v>
      </c>
      <c r="CU117" s="40">
        <f xml:space="preserve"> - SUM($AD117,$AE117)+SUM($CL117,$CM117) +Rezone!Q117 + IF(home_land=CU$2,CW117)+Explore!Y105</f>
        <v>0</v>
      </c>
      <c r="CV117" s="500">
        <f>-$AF117+$CN117 +Rezone!R117 + IF(home_land=CV$2,CW117) + Explore!Z105</f>
        <v>0</v>
      </c>
      <c r="CW117" s="159">
        <f>IF(Explore!S117=1,25) - N117 + BV117</f>
        <v>0</v>
      </c>
      <c r="CY117" s="152">
        <f t="shared" si="101"/>
        <v>280</v>
      </c>
      <c r="CZ117" s="164">
        <f t="shared" si="102"/>
        <v>150</v>
      </c>
      <c r="DA117" s="16">
        <f t="shared" si="103"/>
        <v>150</v>
      </c>
      <c r="DB117" s="164">
        <f t="shared" si="104"/>
        <v>150</v>
      </c>
      <c r="DC117" s="164">
        <f t="shared" si="105"/>
        <v>150</v>
      </c>
      <c r="DD117" s="16">
        <f t="shared" si="106"/>
        <v>20</v>
      </c>
      <c r="DE117" s="166">
        <f t="shared" si="107"/>
        <v>100</v>
      </c>
      <c r="DF117" s="164">
        <f t="shared" ca="1" si="108"/>
        <v>280</v>
      </c>
      <c r="DG117" s="16">
        <f t="shared" si="109"/>
        <v>0</v>
      </c>
      <c r="DH117" s="16">
        <f t="shared" si="110"/>
        <v>117</v>
      </c>
      <c r="DI117" s="166"/>
    </row>
    <row r="118" spans="1:113" s="16" customFormat="1">
      <c r="A118" s="36">
        <f t="shared" si="87"/>
        <v>620</v>
      </c>
      <c r="B118" s="36">
        <f t="shared" si="88"/>
        <v>380</v>
      </c>
      <c r="C118" s="83">
        <f t="shared" si="89"/>
        <v>0</v>
      </c>
      <c r="D118" s="574"/>
      <c r="E118" s="16">
        <f t="shared" si="90"/>
        <v>1000</v>
      </c>
      <c r="F118" s="86">
        <f t="shared" si="91"/>
        <v>0</v>
      </c>
      <c r="G118" s="37">
        <f t="shared" si="92"/>
        <v>100</v>
      </c>
      <c r="H118" s="247">
        <f t="shared" si="93"/>
        <v>150</v>
      </c>
      <c r="I118" s="38">
        <f t="shared" si="94"/>
        <v>150</v>
      </c>
      <c r="J118" s="39">
        <f t="shared" si="95"/>
        <v>100</v>
      </c>
      <c r="K118" s="40">
        <f t="shared" si="96"/>
        <v>20</v>
      </c>
      <c r="L118" s="500">
        <f t="shared" si="97"/>
        <v>100</v>
      </c>
      <c r="M118" s="635">
        <f>Rezone!J118</f>
        <v>116</v>
      </c>
      <c r="N118" s="356"/>
      <c r="O118" s="348"/>
      <c r="P118" s="348"/>
      <c r="Q118" s="345"/>
      <c r="R118" s="345"/>
      <c r="S118" s="360"/>
      <c r="T118" s="348"/>
      <c r="U118" s="348"/>
      <c r="V118" s="348"/>
      <c r="W118" s="345"/>
      <c r="X118" s="345"/>
      <c r="Y118" s="348"/>
      <c r="Z118" s="345"/>
      <c r="AA118" s="348"/>
      <c r="AB118" s="348"/>
      <c r="AC118" s="345"/>
      <c r="AD118" s="348"/>
      <c r="AE118" s="348"/>
      <c r="AF118" s="336"/>
      <c r="AG118" s="532">
        <f t="shared" si="98"/>
        <v>43696.791666666388</v>
      </c>
      <c r="AH118" s="91">
        <f>MIN(25%,(BG118+CE118)/(E118-Explore!S118*20))</f>
        <v>0</v>
      </c>
      <c r="AI118" s="59">
        <f t="shared" si="83"/>
        <v>0</v>
      </c>
      <c r="AJ118" s="56">
        <f ca="1">Production!$H118</f>
        <v>4172376</v>
      </c>
      <c r="AK118" s="57">
        <f ca="1">Production!$J118</f>
        <v>266491</v>
      </c>
      <c r="AL118" s="152">
        <f ca="1">ROUND( (1 - MIN(facs_constr_factor*$AH118,facs_constr_max)) * (1+MIN(tech_construction*Techs!AC118,tech_conquerors_crafts*Techs!AS118)) * AU118*(1+race_construction_cost),0)</f>
        <v>1615</v>
      </c>
      <c r="AM118" s="166">
        <f t="shared" si="113"/>
        <v>263</v>
      </c>
      <c r="AN118" s="152">
        <f ca="1">ROUND( (1 - MIN(facs_constr_factor*$AI118,facs_constr_max)) * (1+MIN(tech_construction*Techs!AE118,tech_conquerors_crafts*Techs!AU118)) * AU118*(1+race_construction_cost),0)</f>
        <v>1615</v>
      </c>
      <c r="AO118" s="166">
        <f t="shared" si="114"/>
        <v>263</v>
      </c>
      <c r="AP118" s="16">
        <f t="shared" ca="1" si="111"/>
        <v>0</v>
      </c>
      <c r="AQ118" s="53">
        <f t="shared" si="112"/>
        <v>0</v>
      </c>
      <c r="AR118" s="16">
        <f>MIN(SUM(F117:L117)+SUM(Explore!T106:Z106)+SUM(BV118:CN118),SUM($N118:$AF118))</f>
        <v>0</v>
      </c>
      <c r="AS118" s="16">
        <f>IF(Explore!S118&lt;&gt;0,MAX(0, MIN(20, 20 + SUM(N118:AF118) - SUM(BV118:CN118) - SUM(F117:L117)-SUM(Explore!T106:Z106)-20*Explore!S118)),0)</f>
        <v>0</v>
      </c>
      <c r="AU118" s="152">
        <f t="shared" si="85"/>
        <v>1615</v>
      </c>
      <c r="AV118" s="166">
        <f t="shared" si="86"/>
        <v>262.5</v>
      </c>
      <c r="AW118" s="164"/>
      <c r="AX118" s="295">
        <f>AX117 + IF(Overview!$B$14="Gnome",N109,N106) -BV118</f>
        <v>0</v>
      </c>
      <c r="AY118" s="28">
        <f>AY117 + IF(Overview!$B$14="Gnome",O109,O106) -BW118</f>
        <v>0</v>
      </c>
      <c r="AZ118" s="28">
        <f>AZ117 + IF(Overview!$B$14="Gnome",P109,P106) -BX118</f>
        <v>80</v>
      </c>
      <c r="BA118" s="28">
        <f>BA117 + IF(Overview!$B$14="Gnome",Q109,Q106) -BY118</f>
        <v>200</v>
      </c>
      <c r="BB118" s="28">
        <f>BB117 + IF(Overview!$B$14="Gnome",R109,R106) -BZ118</f>
        <v>0</v>
      </c>
      <c r="BC118" s="29">
        <f>BC117 + IF(Overview!$B$14="Gnome",S109,S106) -CA118</f>
        <v>50</v>
      </c>
      <c r="BD118" s="29">
        <f>BD117 + IF(Overview!$B$14="Gnome",T109,T106) -CB118</f>
        <v>0</v>
      </c>
      <c r="BE118" s="30">
        <f>BE117 + IF(Overview!$B$14="Gnome",U109,U106) -CC118</f>
        <v>0</v>
      </c>
      <c r="BF118" s="30">
        <f>BF117 + IF(Overview!$B$14="Gnome",V109,V106) -CD118</f>
        <v>0</v>
      </c>
      <c r="BG118" s="31">
        <f>BG117 + IF(Overview!$B$14="Gnome",W109,W106) -CE118</f>
        <v>0</v>
      </c>
      <c r="BH118" s="31">
        <f>BH117 + IF(Overview!$B$14="Gnome",X109,X106) -CF118</f>
        <v>0</v>
      </c>
      <c r="BI118" s="31">
        <f>BI117 + IF(Overview!$B$14="Gnome",Y109,Y106) -CG118</f>
        <v>0</v>
      </c>
      <c r="BJ118" s="31">
        <f>BJ117 + IF(Overview!$B$14="Gnome",Z109,Z106) -CH118</f>
        <v>0</v>
      </c>
      <c r="BK118" s="32">
        <f>BK117 + IF(Overview!$B$14="Gnome",AA109,AA106) -CI118</f>
        <v>50</v>
      </c>
      <c r="BL118" s="32">
        <f>BL117 + IF(Overview!$B$14="Gnome",AB109,AB106) -CJ118</f>
        <v>0</v>
      </c>
      <c r="BM118" s="32">
        <f>BM117 + IF(Overview!$B$14="Gnome",AC109,AC106) -CK118</f>
        <v>0</v>
      </c>
      <c r="BN118" s="33">
        <f>BN117 + IF(Overview!$B$14="Gnome",AD109,AD106) -CL118</f>
        <v>0</v>
      </c>
      <c r="BO118" s="33">
        <f>BO117 + IF(Overview!$B$14="Gnome",AE109,AE106) -CM118</f>
        <v>0</v>
      </c>
      <c r="BP118" s="69">
        <f>BP117 + IF(Overview!$B$14="Gnome",AF109,AF106) -CN118</f>
        <v>0</v>
      </c>
      <c r="BR118" s="442"/>
      <c r="BS118" s="156">
        <f t="shared" si="99"/>
        <v>1000</v>
      </c>
      <c r="BT118" s="574">
        <f t="shared" si="100"/>
        <v>43696.791666666388</v>
      </c>
      <c r="BV118" s="356"/>
      <c r="BW118" s="348"/>
      <c r="BX118" s="348"/>
      <c r="BY118" s="348"/>
      <c r="BZ118" s="348"/>
      <c r="CA118" s="348"/>
      <c r="CB118" s="348"/>
      <c r="CC118" s="348"/>
      <c r="CD118" s="348"/>
      <c r="CE118" s="348"/>
      <c r="CF118" s="348"/>
      <c r="CG118" s="348"/>
      <c r="CH118" s="348"/>
      <c r="CI118" s="348"/>
      <c r="CJ118" s="348"/>
      <c r="CK118" s="348"/>
      <c r="CL118" s="348"/>
      <c r="CM118" s="360"/>
      <c r="CN118" s="357"/>
      <c r="CP118" s="86">
        <f>-SUM($O118:$R118)+SUM($BW118:BZ118)+Rezone!L118+IF(home_land=CP$2,CW118) + Explore!T106</f>
        <v>0</v>
      </c>
      <c r="CQ118" s="37">
        <f>-SUM($S118:$T118)+SUM($CA118:$CB118) +Rezone!M118 + IF(home_land=CQ$2,CW118) + Explore!U106</f>
        <v>0</v>
      </c>
      <c r="CR118" s="247">
        <f>-SUM($U118:$V118)+SUM($CC118:$CD118) +Rezone!N118 + IF(home_land=CR$2,CW118) + Explore!V106</f>
        <v>0</v>
      </c>
      <c r="CS118" s="38">
        <f>-SUM($W118:$Z118)+SUM($CE118:$CH118) +Rezone!O118 + IF(home_land=CS$2,CW118) + Explore!W106</f>
        <v>0</v>
      </c>
      <c r="CT118" s="39">
        <f>-SUM($AA118:$AC118)+SUM($CI118:$CK118) +Rezone!P118 + IF(home_land=CT$2,CW118) + Explore!X106</f>
        <v>0</v>
      </c>
      <c r="CU118" s="40">
        <f xml:space="preserve"> - SUM($AD118,$AE118)+SUM($CL118,$CM118) +Rezone!Q118 + IF(home_land=CU$2,CW118)+Explore!Y106</f>
        <v>0</v>
      </c>
      <c r="CV118" s="500">
        <f>-$AF118+$CN118 +Rezone!R118 + IF(home_land=CV$2,CW118) + Explore!Z106</f>
        <v>0</v>
      </c>
      <c r="CW118" s="159">
        <f>IF(Explore!S118=1,25) - N118 + BV118</f>
        <v>0</v>
      </c>
      <c r="CY118" s="152">
        <f t="shared" si="101"/>
        <v>280</v>
      </c>
      <c r="CZ118" s="164">
        <f t="shared" si="102"/>
        <v>150</v>
      </c>
      <c r="DA118" s="16">
        <f t="shared" si="103"/>
        <v>150</v>
      </c>
      <c r="DB118" s="164">
        <f t="shared" si="104"/>
        <v>150</v>
      </c>
      <c r="DC118" s="164">
        <f t="shared" si="105"/>
        <v>150</v>
      </c>
      <c r="DD118" s="16">
        <f t="shared" si="106"/>
        <v>20</v>
      </c>
      <c r="DE118" s="166">
        <f t="shared" si="107"/>
        <v>100</v>
      </c>
      <c r="DF118" s="164">
        <f t="shared" ca="1" si="108"/>
        <v>280</v>
      </c>
      <c r="DG118" s="16">
        <f t="shared" si="109"/>
        <v>0</v>
      </c>
      <c r="DH118" s="16">
        <f t="shared" si="110"/>
        <v>118</v>
      </c>
      <c r="DI118" s="166"/>
    </row>
    <row r="119" spans="1:113" s="16" customFormat="1">
      <c r="A119" s="36">
        <f t="shared" si="87"/>
        <v>620</v>
      </c>
      <c r="B119" s="36">
        <f t="shared" si="88"/>
        <v>380</v>
      </c>
      <c r="C119" s="83">
        <f t="shared" si="89"/>
        <v>0</v>
      </c>
      <c r="D119" s="574"/>
      <c r="E119" s="16">
        <f t="shared" si="90"/>
        <v>1000</v>
      </c>
      <c r="F119" s="86">
        <f t="shared" si="91"/>
        <v>0</v>
      </c>
      <c r="G119" s="37">
        <f t="shared" si="92"/>
        <v>100</v>
      </c>
      <c r="H119" s="247">
        <f t="shared" si="93"/>
        <v>150</v>
      </c>
      <c r="I119" s="38">
        <f t="shared" si="94"/>
        <v>150</v>
      </c>
      <c r="J119" s="39">
        <f t="shared" si="95"/>
        <v>100</v>
      </c>
      <c r="K119" s="40">
        <f t="shared" si="96"/>
        <v>20</v>
      </c>
      <c r="L119" s="500">
        <f t="shared" si="97"/>
        <v>100</v>
      </c>
      <c r="M119" s="635">
        <f>Rezone!J119</f>
        <v>117</v>
      </c>
      <c r="N119" s="356"/>
      <c r="O119" s="348"/>
      <c r="P119" s="348"/>
      <c r="Q119" s="345"/>
      <c r="R119" s="345"/>
      <c r="S119" s="360"/>
      <c r="T119" s="348"/>
      <c r="U119" s="348"/>
      <c r="V119" s="348"/>
      <c r="W119" s="345"/>
      <c r="X119" s="345"/>
      <c r="Y119" s="348"/>
      <c r="Z119" s="345"/>
      <c r="AA119" s="348"/>
      <c r="AB119" s="348"/>
      <c r="AC119" s="345"/>
      <c r="AD119" s="348"/>
      <c r="AE119" s="348"/>
      <c r="AF119" s="336"/>
      <c r="AG119" s="532">
        <f t="shared" si="98"/>
        <v>43696.833333333052</v>
      </c>
      <c r="AH119" s="91">
        <f>MIN(25%,(BG119+CE119)/(E119-Explore!S119*20))</f>
        <v>0</v>
      </c>
      <c r="AI119" s="59">
        <f t="shared" si="83"/>
        <v>0</v>
      </c>
      <c r="AJ119" s="56">
        <f ca="1">Production!$H119</f>
        <v>4183027</v>
      </c>
      <c r="AK119" s="57">
        <f ca="1">Production!$J119</f>
        <v>266326</v>
      </c>
      <c r="AL119" s="152">
        <f ca="1">ROUND( (1 - MIN(facs_constr_factor*$AH119,facs_constr_max)) * (1+MIN(tech_construction*Techs!AC119,tech_conquerors_crafts*Techs!AS119)) * AU119*(1+race_construction_cost),0)</f>
        <v>1615</v>
      </c>
      <c r="AM119" s="166">
        <f t="shared" si="113"/>
        <v>263</v>
      </c>
      <c r="AN119" s="152">
        <f ca="1">ROUND( (1 - MIN(facs_constr_factor*$AI119,facs_constr_max)) * (1+MIN(tech_construction*Techs!AE119,tech_conquerors_crafts*Techs!AU119)) * AU119*(1+race_construction_cost),0)</f>
        <v>1615</v>
      </c>
      <c r="AO119" s="166">
        <f t="shared" si="114"/>
        <v>263</v>
      </c>
      <c r="AP119" s="16">
        <f t="shared" ca="1" si="111"/>
        <v>0</v>
      </c>
      <c r="AQ119" s="53">
        <f t="shared" si="112"/>
        <v>0</v>
      </c>
      <c r="AR119" s="16">
        <f>MIN(SUM(F118:L118)+SUM(Explore!T107:Z107)+SUM(BV119:CN119),SUM($N119:$AF119))</f>
        <v>0</v>
      </c>
      <c r="AS119" s="16">
        <f>IF(Explore!S119&lt;&gt;0,MAX(0, MIN(20, 20 + SUM(N119:AF119) - SUM(BV119:CN119) - SUM(F118:L118)-SUM(Explore!T107:Z107)-20*Explore!S119)),0)</f>
        <v>0</v>
      </c>
      <c r="AU119" s="152">
        <f t="shared" si="85"/>
        <v>1615</v>
      </c>
      <c r="AV119" s="166">
        <f t="shared" si="86"/>
        <v>262.5</v>
      </c>
      <c r="AW119" s="164"/>
      <c r="AX119" s="295">
        <f>AX118 + IF(Overview!$B$14="Gnome",N110,N107) -BV119</f>
        <v>0</v>
      </c>
      <c r="AY119" s="28">
        <f>AY118 + IF(Overview!$B$14="Gnome",O110,O107) -BW119</f>
        <v>0</v>
      </c>
      <c r="AZ119" s="28">
        <f>AZ118 + IF(Overview!$B$14="Gnome",P110,P107) -BX119</f>
        <v>80</v>
      </c>
      <c r="BA119" s="28">
        <f>BA118 + IF(Overview!$B$14="Gnome",Q110,Q107) -BY119</f>
        <v>200</v>
      </c>
      <c r="BB119" s="28">
        <f>BB118 + IF(Overview!$B$14="Gnome",R110,R107) -BZ119</f>
        <v>0</v>
      </c>
      <c r="BC119" s="29">
        <f>BC118 + IF(Overview!$B$14="Gnome",S110,S107) -CA119</f>
        <v>50</v>
      </c>
      <c r="BD119" s="29">
        <f>BD118 + IF(Overview!$B$14="Gnome",T110,T107) -CB119</f>
        <v>0</v>
      </c>
      <c r="BE119" s="30">
        <f>BE118 + IF(Overview!$B$14="Gnome",U110,U107) -CC119</f>
        <v>0</v>
      </c>
      <c r="BF119" s="30">
        <f>BF118 + IF(Overview!$B$14="Gnome",V110,V107) -CD119</f>
        <v>0</v>
      </c>
      <c r="BG119" s="31">
        <f>BG118 + IF(Overview!$B$14="Gnome",W110,W107) -CE119</f>
        <v>0</v>
      </c>
      <c r="BH119" s="31">
        <f>BH118 + IF(Overview!$B$14="Gnome",X110,X107) -CF119</f>
        <v>0</v>
      </c>
      <c r="BI119" s="31">
        <f>BI118 + IF(Overview!$B$14="Gnome",Y110,Y107) -CG119</f>
        <v>0</v>
      </c>
      <c r="BJ119" s="31">
        <f>BJ118 + IF(Overview!$B$14="Gnome",Z110,Z107) -CH119</f>
        <v>0</v>
      </c>
      <c r="BK119" s="32">
        <f>BK118 + IF(Overview!$B$14="Gnome",AA110,AA107) -CI119</f>
        <v>50</v>
      </c>
      <c r="BL119" s="32">
        <f>BL118 + IF(Overview!$B$14="Gnome",AB110,AB107) -CJ119</f>
        <v>0</v>
      </c>
      <c r="BM119" s="32">
        <f>BM118 + IF(Overview!$B$14="Gnome",AC110,AC107) -CK119</f>
        <v>0</v>
      </c>
      <c r="BN119" s="33">
        <f>BN118 + IF(Overview!$B$14="Gnome",AD110,AD107) -CL119</f>
        <v>0</v>
      </c>
      <c r="BO119" s="33">
        <f>BO118 + IF(Overview!$B$14="Gnome",AE110,AE107) -CM119</f>
        <v>0</v>
      </c>
      <c r="BP119" s="69">
        <f>BP118 + IF(Overview!$B$14="Gnome",AF110,AF107) -CN119</f>
        <v>0</v>
      </c>
      <c r="BR119" s="442"/>
      <c r="BS119" s="156">
        <f t="shared" si="99"/>
        <v>1000</v>
      </c>
      <c r="BT119" s="574">
        <f t="shared" si="100"/>
        <v>43696.833333333052</v>
      </c>
      <c r="BV119" s="356"/>
      <c r="BW119" s="348"/>
      <c r="BX119" s="348"/>
      <c r="BY119" s="348"/>
      <c r="BZ119" s="348"/>
      <c r="CA119" s="348"/>
      <c r="CB119" s="348"/>
      <c r="CC119" s="348"/>
      <c r="CD119" s="348"/>
      <c r="CE119" s="348"/>
      <c r="CF119" s="348"/>
      <c r="CG119" s="348"/>
      <c r="CH119" s="348"/>
      <c r="CI119" s="348"/>
      <c r="CJ119" s="348"/>
      <c r="CK119" s="348"/>
      <c r="CL119" s="348"/>
      <c r="CM119" s="360"/>
      <c r="CN119" s="357"/>
      <c r="CP119" s="86">
        <f>-SUM($O119:$R119)+SUM($BW119:BZ119)+Rezone!L119+IF(home_land=CP$2,CW119) + Explore!T107</f>
        <v>0</v>
      </c>
      <c r="CQ119" s="37">
        <f>-SUM($S119:$T119)+SUM($CA119:$CB119) +Rezone!M119 + IF(home_land=CQ$2,CW119) + Explore!U107</f>
        <v>0</v>
      </c>
      <c r="CR119" s="247">
        <f>-SUM($U119:$V119)+SUM($CC119:$CD119) +Rezone!N119 + IF(home_land=CR$2,CW119) + Explore!V107</f>
        <v>0</v>
      </c>
      <c r="CS119" s="38">
        <f>-SUM($W119:$Z119)+SUM($CE119:$CH119) +Rezone!O119 + IF(home_land=CS$2,CW119) + Explore!W107</f>
        <v>0</v>
      </c>
      <c r="CT119" s="39">
        <f>-SUM($AA119:$AC119)+SUM($CI119:$CK119) +Rezone!P119 + IF(home_land=CT$2,CW119) + Explore!X107</f>
        <v>0</v>
      </c>
      <c r="CU119" s="40">
        <f xml:space="preserve"> - SUM($AD119,$AE119)+SUM($CL119,$CM119) +Rezone!Q119 + IF(home_land=CU$2,CW119)+Explore!Y107</f>
        <v>0</v>
      </c>
      <c r="CV119" s="500">
        <f>-$AF119+$CN119 +Rezone!R119 + IF(home_land=CV$2,CW119) + Explore!Z107</f>
        <v>0</v>
      </c>
      <c r="CW119" s="159">
        <f>IF(Explore!S119=1,25) - N119 + BV119</f>
        <v>0</v>
      </c>
      <c r="CY119" s="152">
        <f t="shared" si="101"/>
        <v>280</v>
      </c>
      <c r="CZ119" s="164">
        <f t="shared" si="102"/>
        <v>150</v>
      </c>
      <c r="DA119" s="16">
        <f t="shared" si="103"/>
        <v>150</v>
      </c>
      <c r="DB119" s="164">
        <f t="shared" si="104"/>
        <v>150</v>
      </c>
      <c r="DC119" s="164">
        <f t="shared" si="105"/>
        <v>150</v>
      </c>
      <c r="DD119" s="16">
        <f t="shared" si="106"/>
        <v>20</v>
      </c>
      <c r="DE119" s="166">
        <f t="shared" si="107"/>
        <v>100</v>
      </c>
      <c r="DF119" s="164">
        <f t="shared" ca="1" si="108"/>
        <v>280</v>
      </c>
      <c r="DG119" s="16">
        <f t="shared" si="109"/>
        <v>0</v>
      </c>
      <c r="DH119" s="16">
        <f t="shared" si="110"/>
        <v>119</v>
      </c>
      <c r="DI119" s="166"/>
    </row>
    <row r="120" spans="1:113" s="16" customFormat="1">
      <c r="A120" s="36">
        <f t="shared" si="87"/>
        <v>620</v>
      </c>
      <c r="B120" s="36">
        <f t="shared" si="88"/>
        <v>380</v>
      </c>
      <c r="C120" s="83">
        <f t="shared" si="89"/>
        <v>0</v>
      </c>
      <c r="D120" s="574"/>
      <c r="E120" s="16">
        <f t="shared" si="90"/>
        <v>1000</v>
      </c>
      <c r="F120" s="86">
        <f t="shared" si="91"/>
        <v>0</v>
      </c>
      <c r="G120" s="37">
        <f t="shared" si="92"/>
        <v>100</v>
      </c>
      <c r="H120" s="247">
        <f t="shared" si="93"/>
        <v>150</v>
      </c>
      <c r="I120" s="38">
        <f t="shared" si="94"/>
        <v>150</v>
      </c>
      <c r="J120" s="39">
        <f t="shared" si="95"/>
        <v>100</v>
      </c>
      <c r="K120" s="40">
        <f t="shared" si="96"/>
        <v>20</v>
      </c>
      <c r="L120" s="500">
        <f t="shared" si="97"/>
        <v>100</v>
      </c>
      <c r="M120" s="635">
        <f>Rezone!J120</f>
        <v>118</v>
      </c>
      <c r="N120" s="356"/>
      <c r="O120" s="348"/>
      <c r="P120" s="348"/>
      <c r="Q120" s="345"/>
      <c r="R120" s="345"/>
      <c r="S120" s="360"/>
      <c r="T120" s="348"/>
      <c r="U120" s="348"/>
      <c r="V120" s="348"/>
      <c r="W120" s="345"/>
      <c r="X120" s="345"/>
      <c r="Y120" s="348"/>
      <c r="Z120" s="345"/>
      <c r="AA120" s="348"/>
      <c r="AB120" s="348"/>
      <c r="AC120" s="345"/>
      <c r="AD120" s="348"/>
      <c r="AE120" s="348"/>
      <c r="AF120" s="336"/>
      <c r="AG120" s="532">
        <f t="shared" si="98"/>
        <v>43696.874999999716</v>
      </c>
      <c r="AH120" s="91">
        <f>MIN(25%,(BG120+CE120)/(E120-Explore!S120*20))</f>
        <v>0</v>
      </c>
      <c r="AI120" s="59">
        <f t="shared" si="83"/>
        <v>0</v>
      </c>
      <c r="AJ120" s="56">
        <f ca="1">Production!$H120</f>
        <v>4193678</v>
      </c>
      <c r="AK120" s="57">
        <f ca="1">Production!$J120</f>
        <v>266163</v>
      </c>
      <c r="AL120" s="152">
        <f ca="1">ROUND( (1 - MIN(facs_constr_factor*$AH120,facs_constr_max)) * (1+MIN(tech_construction*Techs!AC120,tech_conquerors_crafts*Techs!AS120)) * AU120*(1+race_construction_cost),0)</f>
        <v>1615</v>
      </c>
      <c r="AM120" s="166">
        <f t="shared" si="113"/>
        <v>263</v>
      </c>
      <c r="AN120" s="152">
        <f ca="1">ROUND( (1 - MIN(facs_constr_factor*$AI120,facs_constr_max)) * (1+MIN(tech_construction*Techs!AE120,tech_conquerors_crafts*Techs!AU120)) * AU120*(1+race_construction_cost),0)</f>
        <v>1615</v>
      </c>
      <c r="AO120" s="166">
        <f t="shared" si="114"/>
        <v>263</v>
      </c>
      <c r="AP120" s="16">
        <f t="shared" ca="1" si="111"/>
        <v>0</v>
      </c>
      <c r="AQ120" s="53">
        <f t="shared" si="112"/>
        <v>0</v>
      </c>
      <c r="AR120" s="16">
        <f>MIN(SUM(F119:L119)+SUM(Explore!T108:Z108)+SUM(BV120:CN120),SUM($N120:$AF120))</f>
        <v>0</v>
      </c>
      <c r="AS120" s="16">
        <f>IF(Explore!S120&lt;&gt;0,MAX(0, MIN(20, 20 + SUM(N120:AF120) - SUM(BV120:CN120) - SUM(F119:L119)-SUM(Explore!T108:Z108)-20*Explore!S120)),0)</f>
        <v>0</v>
      </c>
      <c r="AU120" s="152">
        <f t="shared" si="85"/>
        <v>1615</v>
      </c>
      <c r="AV120" s="166">
        <f t="shared" si="86"/>
        <v>262.5</v>
      </c>
      <c r="AW120" s="164"/>
      <c r="AX120" s="295">
        <f>AX119 + IF(Overview!$B$14="Gnome",N111,N108) -BV120</f>
        <v>0</v>
      </c>
      <c r="AY120" s="28">
        <f>AY119 + IF(Overview!$B$14="Gnome",O111,O108) -BW120</f>
        <v>0</v>
      </c>
      <c r="AZ120" s="28">
        <f>AZ119 + IF(Overview!$B$14="Gnome",P111,P108) -BX120</f>
        <v>80</v>
      </c>
      <c r="BA120" s="28">
        <f>BA119 + IF(Overview!$B$14="Gnome",Q111,Q108) -BY120</f>
        <v>200</v>
      </c>
      <c r="BB120" s="28">
        <f>BB119 + IF(Overview!$B$14="Gnome",R111,R108) -BZ120</f>
        <v>0</v>
      </c>
      <c r="BC120" s="29">
        <f>BC119 + IF(Overview!$B$14="Gnome",S111,S108) -CA120</f>
        <v>50</v>
      </c>
      <c r="BD120" s="29">
        <f>BD119 + IF(Overview!$B$14="Gnome",T111,T108) -CB120</f>
        <v>0</v>
      </c>
      <c r="BE120" s="30">
        <f>BE119 + IF(Overview!$B$14="Gnome",U111,U108) -CC120</f>
        <v>0</v>
      </c>
      <c r="BF120" s="30">
        <f>BF119 + IF(Overview!$B$14="Gnome",V111,V108) -CD120</f>
        <v>0</v>
      </c>
      <c r="BG120" s="31">
        <f>BG119 + IF(Overview!$B$14="Gnome",W111,W108) -CE120</f>
        <v>0</v>
      </c>
      <c r="BH120" s="31">
        <f>BH119 + IF(Overview!$B$14="Gnome",X111,X108) -CF120</f>
        <v>0</v>
      </c>
      <c r="BI120" s="31">
        <f>BI119 + IF(Overview!$B$14="Gnome",Y111,Y108) -CG120</f>
        <v>0</v>
      </c>
      <c r="BJ120" s="31">
        <f>BJ119 + IF(Overview!$B$14="Gnome",Z111,Z108) -CH120</f>
        <v>0</v>
      </c>
      <c r="BK120" s="32">
        <f>BK119 + IF(Overview!$B$14="Gnome",AA111,AA108) -CI120</f>
        <v>50</v>
      </c>
      <c r="BL120" s="32">
        <f>BL119 + IF(Overview!$B$14="Gnome",AB111,AB108) -CJ120</f>
        <v>0</v>
      </c>
      <c r="BM120" s="32">
        <f>BM119 + IF(Overview!$B$14="Gnome",AC111,AC108) -CK120</f>
        <v>0</v>
      </c>
      <c r="BN120" s="33">
        <f>BN119 + IF(Overview!$B$14="Gnome",AD111,AD108) -CL120</f>
        <v>0</v>
      </c>
      <c r="BO120" s="33">
        <f>BO119 + IF(Overview!$B$14="Gnome",AE111,AE108) -CM120</f>
        <v>0</v>
      </c>
      <c r="BP120" s="69">
        <f>BP119 + IF(Overview!$B$14="Gnome",AF111,AF108) -CN120</f>
        <v>0</v>
      </c>
      <c r="BR120" s="442"/>
      <c r="BS120" s="156">
        <f t="shared" si="99"/>
        <v>1000</v>
      </c>
      <c r="BT120" s="574">
        <f t="shared" si="100"/>
        <v>43696.874999999716</v>
      </c>
      <c r="BV120" s="356"/>
      <c r="BW120" s="348"/>
      <c r="BX120" s="348"/>
      <c r="BY120" s="348"/>
      <c r="BZ120" s="348"/>
      <c r="CA120" s="348"/>
      <c r="CB120" s="348"/>
      <c r="CC120" s="348"/>
      <c r="CD120" s="348"/>
      <c r="CE120" s="348"/>
      <c r="CF120" s="348"/>
      <c r="CG120" s="348"/>
      <c r="CH120" s="348"/>
      <c r="CI120" s="348"/>
      <c r="CJ120" s="348"/>
      <c r="CK120" s="348"/>
      <c r="CL120" s="348"/>
      <c r="CM120" s="360"/>
      <c r="CN120" s="357"/>
      <c r="CP120" s="86">
        <f>-SUM($O120:$R120)+SUM($BW120:BZ120)+Rezone!L120+IF(home_land=CP$2,CW120) + Explore!T108</f>
        <v>0</v>
      </c>
      <c r="CQ120" s="37">
        <f>-SUM($S120:$T120)+SUM($CA120:$CB120) +Rezone!M120 + IF(home_land=CQ$2,CW120) + Explore!U108</f>
        <v>0</v>
      </c>
      <c r="CR120" s="247">
        <f>-SUM($U120:$V120)+SUM($CC120:$CD120) +Rezone!N120 + IF(home_land=CR$2,CW120) + Explore!V108</f>
        <v>0</v>
      </c>
      <c r="CS120" s="38">
        <f>-SUM($W120:$Z120)+SUM($CE120:$CH120) +Rezone!O120 + IF(home_land=CS$2,CW120) + Explore!W108</f>
        <v>0</v>
      </c>
      <c r="CT120" s="39">
        <f>-SUM($AA120:$AC120)+SUM($CI120:$CK120) +Rezone!P120 + IF(home_land=CT$2,CW120) + Explore!X108</f>
        <v>0</v>
      </c>
      <c r="CU120" s="40">
        <f xml:space="preserve"> - SUM($AD120,$AE120)+SUM($CL120,$CM120) +Rezone!Q120 + IF(home_land=CU$2,CW120)+Explore!Y108</f>
        <v>0</v>
      </c>
      <c r="CV120" s="500">
        <f>-$AF120+$CN120 +Rezone!R120 + IF(home_land=CV$2,CW120) + Explore!Z108</f>
        <v>0</v>
      </c>
      <c r="CW120" s="159">
        <f>IF(Explore!S120=1,25) - N120 + BV120</f>
        <v>0</v>
      </c>
      <c r="CY120" s="152">
        <f t="shared" si="101"/>
        <v>280</v>
      </c>
      <c r="CZ120" s="164">
        <f t="shared" si="102"/>
        <v>150</v>
      </c>
      <c r="DA120" s="16">
        <f t="shared" si="103"/>
        <v>150</v>
      </c>
      <c r="DB120" s="164">
        <f t="shared" si="104"/>
        <v>150</v>
      </c>
      <c r="DC120" s="164">
        <f t="shared" si="105"/>
        <v>150</v>
      </c>
      <c r="DD120" s="16">
        <f t="shared" si="106"/>
        <v>20</v>
      </c>
      <c r="DE120" s="166">
        <f t="shared" si="107"/>
        <v>100</v>
      </c>
      <c r="DF120" s="164">
        <f t="shared" ca="1" si="108"/>
        <v>280</v>
      </c>
      <c r="DG120" s="16">
        <f t="shared" si="109"/>
        <v>0</v>
      </c>
      <c r="DH120" s="16">
        <f t="shared" si="110"/>
        <v>120</v>
      </c>
      <c r="DI120" s="166"/>
    </row>
    <row r="121" spans="1:113" s="16" customFormat="1">
      <c r="A121" s="36">
        <f t="shared" si="87"/>
        <v>620</v>
      </c>
      <c r="B121" s="36">
        <f t="shared" si="88"/>
        <v>380</v>
      </c>
      <c r="C121" s="83">
        <f t="shared" si="89"/>
        <v>0</v>
      </c>
      <c r="D121" s="574"/>
      <c r="E121" s="16">
        <f t="shared" si="90"/>
        <v>1000</v>
      </c>
      <c r="F121" s="86">
        <f t="shared" si="91"/>
        <v>0</v>
      </c>
      <c r="G121" s="37">
        <f t="shared" si="92"/>
        <v>100</v>
      </c>
      <c r="H121" s="247">
        <f t="shared" si="93"/>
        <v>150</v>
      </c>
      <c r="I121" s="38">
        <f t="shared" si="94"/>
        <v>150</v>
      </c>
      <c r="J121" s="39">
        <f t="shared" si="95"/>
        <v>100</v>
      </c>
      <c r="K121" s="40">
        <f t="shared" si="96"/>
        <v>20</v>
      </c>
      <c r="L121" s="500">
        <f t="shared" si="97"/>
        <v>100</v>
      </c>
      <c r="M121" s="635">
        <f>Rezone!J121</f>
        <v>119</v>
      </c>
      <c r="N121" s="356"/>
      <c r="O121" s="348"/>
      <c r="P121" s="348"/>
      <c r="Q121" s="345"/>
      <c r="R121" s="345"/>
      <c r="S121" s="360"/>
      <c r="T121" s="348"/>
      <c r="U121" s="348"/>
      <c r="V121" s="348"/>
      <c r="W121" s="345"/>
      <c r="X121" s="345"/>
      <c r="Y121" s="348"/>
      <c r="Z121" s="345"/>
      <c r="AA121" s="348"/>
      <c r="AB121" s="348"/>
      <c r="AC121" s="345"/>
      <c r="AD121" s="348"/>
      <c r="AE121" s="348"/>
      <c r="AF121" s="336"/>
      <c r="AG121" s="532">
        <f t="shared" si="98"/>
        <v>43696.91666666638</v>
      </c>
      <c r="AH121" s="91">
        <f>MIN(25%,(BG121+CE121)/(E121-Explore!S121*20))</f>
        <v>0</v>
      </c>
      <c r="AI121" s="59">
        <f t="shared" si="83"/>
        <v>0</v>
      </c>
      <c r="AJ121" s="56">
        <f ca="1">Production!$H121</f>
        <v>4204329</v>
      </c>
      <c r="AK121" s="57">
        <f ca="1">Production!$J121</f>
        <v>266001</v>
      </c>
      <c r="AL121" s="152">
        <f ca="1">ROUND( (1 - MIN(facs_constr_factor*$AH121,facs_constr_max)) * (1+MIN(tech_construction*Techs!AC121,tech_conquerors_crafts*Techs!AS121)) * AU121*(1+race_construction_cost),0)</f>
        <v>1615</v>
      </c>
      <c r="AM121" s="166">
        <f t="shared" si="113"/>
        <v>263</v>
      </c>
      <c r="AN121" s="152">
        <f ca="1">ROUND( (1 - MIN(facs_constr_factor*$AI121,facs_constr_max)) * (1+MIN(tech_construction*Techs!AE121,tech_conquerors_crafts*Techs!AU121)) * AU121*(1+race_construction_cost),0)</f>
        <v>1615</v>
      </c>
      <c r="AO121" s="166">
        <f t="shared" si="114"/>
        <v>263</v>
      </c>
      <c r="AP121" s="16">
        <f t="shared" ca="1" si="111"/>
        <v>0</v>
      </c>
      <c r="AQ121" s="53">
        <f t="shared" si="112"/>
        <v>0</v>
      </c>
      <c r="AR121" s="16">
        <f>MIN(SUM(F120:L120)+SUM(Explore!T109:Z109)+SUM(BV121:CN121),SUM($N121:$AF121))</f>
        <v>0</v>
      </c>
      <c r="AS121" s="16">
        <f>IF(Explore!S121&lt;&gt;0,MAX(0, MIN(20, 20 + SUM(N121:AF121) - SUM(BV121:CN121) - SUM(F120:L120)-SUM(Explore!T109:Z109)-20*Explore!S121)),0)</f>
        <v>0</v>
      </c>
      <c r="AU121" s="152">
        <f t="shared" si="85"/>
        <v>1615</v>
      </c>
      <c r="AV121" s="166">
        <f t="shared" si="86"/>
        <v>262.5</v>
      </c>
      <c r="AW121" s="164"/>
      <c r="AX121" s="295">
        <f>AX120 + IF(Overview!$B$14="Gnome",N112,N109) -BV121</f>
        <v>0</v>
      </c>
      <c r="AY121" s="28">
        <f>AY120 + IF(Overview!$B$14="Gnome",O112,O109) -BW121</f>
        <v>0</v>
      </c>
      <c r="AZ121" s="28">
        <f>AZ120 + IF(Overview!$B$14="Gnome",P112,P109) -BX121</f>
        <v>80</v>
      </c>
      <c r="BA121" s="28">
        <f>BA120 + IF(Overview!$B$14="Gnome",Q112,Q109) -BY121</f>
        <v>200</v>
      </c>
      <c r="BB121" s="28">
        <f>BB120 + IF(Overview!$B$14="Gnome",R112,R109) -BZ121</f>
        <v>0</v>
      </c>
      <c r="BC121" s="29">
        <f>BC120 + IF(Overview!$B$14="Gnome",S112,S109) -CA121</f>
        <v>50</v>
      </c>
      <c r="BD121" s="29">
        <f>BD120 + IF(Overview!$B$14="Gnome",T112,T109) -CB121</f>
        <v>0</v>
      </c>
      <c r="BE121" s="30">
        <f>BE120 + IF(Overview!$B$14="Gnome",U112,U109) -CC121</f>
        <v>0</v>
      </c>
      <c r="BF121" s="30">
        <f>BF120 + IF(Overview!$B$14="Gnome",V112,V109) -CD121</f>
        <v>0</v>
      </c>
      <c r="BG121" s="31">
        <f>BG120 + IF(Overview!$B$14="Gnome",W112,W109) -CE121</f>
        <v>0</v>
      </c>
      <c r="BH121" s="31">
        <f>BH120 + IF(Overview!$B$14="Gnome",X112,X109) -CF121</f>
        <v>0</v>
      </c>
      <c r="BI121" s="31">
        <f>BI120 + IF(Overview!$B$14="Gnome",Y112,Y109) -CG121</f>
        <v>0</v>
      </c>
      <c r="BJ121" s="31">
        <f>BJ120 + IF(Overview!$B$14="Gnome",Z112,Z109) -CH121</f>
        <v>0</v>
      </c>
      <c r="BK121" s="32">
        <f>BK120 + IF(Overview!$B$14="Gnome",AA112,AA109) -CI121</f>
        <v>50</v>
      </c>
      <c r="BL121" s="32">
        <f>BL120 + IF(Overview!$B$14="Gnome",AB112,AB109) -CJ121</f>
        <v>0</v>
      </c>
      <c r="BM121" s="32">
        <f>BM120 + IF(Overview!$B$14="Gnome",AC112,AC109) -CK121</f>
        <v>0</v>
      </c>
      <c r="BN121" s="33">
        <f>BN120 + IF(Overview!$B$14="Gnome",AD112,AD109) -CL121</f>
        <v>0</v>
      </c>
      <c r="BO121" s="33">
        <f>BO120 + IF(Overview!$B$14="Gnome",AE112,AE109) -CM121</f>
        <v>0</v>
      </c>
      <c r="BP121" s="69">
        <f>BP120 + IF(Overview!$B$14="Gnome",AF112,AF109) -CN121</f>
        <v>0</v>
      </c>
      <c r="BR121" s="442"/>
      <c r="BS121" s="156">
        <f t="shared" si="99"/>
        <v>1000</v>
      </c>
      <c r="BT121" s="574">
        <f t="shared" si="100"/>
        <v>43696.91666666638</v>
      </c>
      <c r="BV121" s="356"/>
      <c r="BW121" s="348"/>
      <c r="BX121" s="348"/>
      <c r="BY121" s="348"/>
      <c r="BZ121" s="348"/>
      <c r="CA121" s="348"/>
      <c r="CB121" s="348"/>
      <c r="CC121" s="348"/>
      <c r="CD121" s="348"/>
      <c r="CE121" s="348"/>
      <c r="CF121" s="348"/>
      <c r="CG121" s="348"/>
      <c r="CH121" s="348"/>
      <c r="CI121" s="348"/>
      <c r="CJ121" s="348"/>
      <c r="CK121" s="348"/>
      <c r="CL121" s="348"/>
      <c r="CM121" s="360"/>
      <c r="CN121" s="357"/>
      <c r="CP121" s="86">
        <f>-SUM($O121:$R121)+SUM($BW121:BZ121)+Rezone!L121+IF(home_land=CP$2,CW121) + Explore!T109</f>
        <v>0</v>
      </c>
      <c r="CQ121" s="37">
        <f>-SUM($S121:$T121)+SUM($CA121:$CB121) +Rezone!M121 + IF(home_land=CQ$2,CW121) + Explore!U109</f>
        <v>0</v>
      </c>
      <c r="CR121" s="247">
        <f>-SUM($U121:$V121)+SUM($CC121:$CD121) +Rezone!N121 + IF(home_land=CR$2,CW121) + Explore!V109</f>
        <v>0</v>
      </c>
      <c r="CS121" s="38">
        <f>-SUM($W121:$Z121)+SUM($CE121:$CH121) +Rezone!O121 + IF(home_land=CS$2,CW121) + Explore!W109</f>
        <v>0</v>
      </c>
      <c r="CT121" s="39">
        <f>-SUM($AA121:$AC121)+SUM($CI121:$CK121) +Rezone!P121 + IF(home_land=CT$2,CW121) + Explore!X109</f>
        <v>0</v>
      </c>
      <c r="CU121" s="40">
        <f xml:space="preserve"> - SUM($AD121,$AE121)+SUM($CL121,$CM121) +Rezone!Q121 + IF(home_land=CU$2,CW121)+Explore!Y109</f>
        <v>0</v>
      </c>
      <c r="CV121" s="500">
        <f>-$AF121+$CN121 +Rezone!R121 + IF(home_land=CV$2,CW121) + Explore!Z109</f>
        <v>0</v>
      </c>
      <c r="CW121" s="159">
        <f>IF(Explore!S121=1,25) - N121 + BV121</f>
        <v>0</v>
      </c>
      <c r="CY121" s="152">
        <f t="shared" si="101"/>
        <v>280</v>
      </c>
      <c r="CZ121" s="164">
        <f t="shared" si="102"/>
        <v>150</v>
      </c>
      <c r="DA121" s="16">
        <f t="shared" si="103"/>
        <v>150</v>
      </c>
      <c r="DB121" s="164">
        <f t="shared" si="104"/>
        <v>150</v>
      </c>
      <c r="DC121" s="164">
        <f t="shared" si="105"/>
        <v>150</v>
      </c>
      <c r="DD121" s="16">
        <f t="shared" si="106"/>
        <v>20</v>
      </c>
      <c r="DE121" s="166">
        <f t="shared" si="107"/>
        <v>100</v>
      </c>
      <c r="DF121" s="164">
        <f t="shared" ca="1" si="108"/>
        <v>280</v>
      </c>
      <c r="DG121" s="16">
        <f t="shared" si="109"/>
        <v>0</v>
      </c>
      <c r="DH121" s="16">
        <f t="shared" si="110"/>
        <v>121</v>
      </c>
      <c r="DI121" s="166"/>
    </row>
    <row r="122" spans="1:113" s="16" customFormat="1" ht="13.5" thickBot="1">
      <c r="A122" s="36">
        <f t="shared" si="87"/>
        <v>620</v>
      </c>
      <c r="B122" s="36">
        <f t="shared" si="88"/>
        <v>380</v>
      </c>
      <c r="C122" s="83">
        <f t="shared" si="89"/>
        <v>0</v>
      </c>
      <c r="D122" s="574"/>
      <c r="E122" s="16">
        <f t="shared" si="90"/>
        <v>1000</v>
      </c>
      <c r="F122" s="86">
        <f t="shared" si="91"/>
        <v>0</v>
      </c>
      <c r="G122" s="37">
        <f t="shared" si="92"/>
        <v>100</v>
      </c>
      <c r="H122" s="247">
        <f t="shared" si="93"/>
        <v>150</v>
      </c>
      <c r="I122" s="38">
        <f t="shared" si="94"/>
        <v>150</v>
      </c>
      <c r="J122" s="39">
        <f t="shared" si="95"/>
        <v>100</v>
      </c>
      <c r="K122" s="40">
        <f t="shared" si="96"/>
        <v>20</v>
      </c>
      <c r="L122" s="500">
        <f t="shared" si="97"/>
        <v>100</v>
      </c>
      <c r="M122" s="635">
        <f>Rezone!J122</f>
        <v>120</v>
      </c>
      <c r="N122" s="356"/>
      <c r="O122" s="348"/>
      <c r="P122" s="348"/>
      <c r="Q122" s="345"/>
      <c r="R122" s="345"/>
      <c r="S122" s="360"/>
      <c r="T122" s="348"/>
      <c r="U122" s="348"/>
      <c r="V122" s="348"/>
      <c r="W122" s="345"/>
      <c r="X122" s="345"/>
      <c r="Y122" s="348"/>
      <c r="Z122" s="345"/>
      <c r="AA122" s="348"/>
      <c r="AB122" s="348"/>
      <c r="AC122" s="345"/>
      <c r="AD122" s="348"/>
      <c r="AE122" s="348"/>
      <c r="AF122" s="336"/>
      <c r="AG122" s="532">
        <f t="shared" si="98"/>
        <v>43696.958333333045</v>
      </c>
      <c r="AH122" s="91">
        <f>MIN(25%,(BG122+CE122)/(E122-Explore!S122*20))</f>
        <v>0</v>
      </c>
      <c r="AI122" s="59">
        <f t="shared" si="83"/>
        <v>0</v>
      </c>
      <c r="AJ122" s="56">
        <f ca="1">Production!$H122</f>
        <v>4214980</v>
      </c>
      <c r="AK122" s="57">
        <f ca="1">Production!$J122</f>
        <v>265841</v>
      </c>
      <c r="AL122" s="152">
        <f ca="1">ROUND( (1 - MIN(facs_constr_factor*$AH122,facs_constr_max)) * (1+MIN(tech_construction*Techs!AC122,tech_conquerors_crafts*Techs!AS122)) * AU122*(1+race_construction_cost),0)</f>
        <v>1615</v>
      </c>
      <c r="AM122" s="166">
        <f t="shared" si="113"/>
        <v>263</v>
      </c>
      <c r="AN122" s="152">
        <f ca="1">ROUND( (1 - MIN(facs_constr_factor*$AI122,facs_constr_max)) * (1+MIN(tech_construction*Techs!AE122,tech_conquerors_crafts*Techs!AU122)) * AU122*(1+race_construction_cost),0)</f>
        <v>1615</v>
      </c>
      <c r="AO122" s="166">
        <f t="shared" si="114"/>
        <v>263</v>
      </c>
      <c r="AP122" s="16">
        <f t="shared" ca="1" si="111"/>
        <v>0</v>
      </c>
      <c r="AQ122" s="53">
        <f t="shared" si="112"/>
        <v>0</v>
      </c>
      <c r="AR122" s="16">
        <f>MIN(SUM(F121:L121)+SUM(Explore!T110:Z110)+SUM(BV122:CN122),SUM($N122:$AF122))</f>
        <v>0</v>
      </c>
      <c r="AS122" s="16">
        <f>IF(Explore!S122&lt;&gt;0,MAX(0, MIN(20, 20 + SUM(N122:AF122) - SUM(BV122:CN122) - SUM(F121:L121)-SUM(Explore!T110:Z110)-20*Explore!S122)),0)</f>
        <v>0</v>
      </c>
      <c r="AU122" s="152">
        <f t="shared" si="85"/>
        <v>1615</v>
      </c>
      <c r="AV122" s="166">
        <f t="shared" si="86"/>
        <v>262.5</v>
      </c>
      <c r="AW122" s="164"/>
      <c r="AX122" s="295">
        <f>AX121 + IF(Overview!$B$14="Gnome",N113,N110) -BV122</f>
        <v>0</v>
      </c>
      <c r="AY122" s="28">
        <f>AY121 + IF(Overview!$B$14="Gnome",O113,O110) -BW122</f>
        <v>0</v>
      </c>
      <c r="AZ122" s="28">
        <f>AZ121 + IF(Overview!$B$14="Gnome",P113,P110) -BX122</f>
        <v>80</v>
      </c>
      <c r="BA122" s="28">
        <f>BA121 + IF(Overview!$B$14="Gnome",Q113,Q110) -BY122</f>
        <v>200</v>
      </c>
      <c r="BB122" s="28">
        <f>BB121 + IF(Overview!$B$14="Gnome",R113,R110) -BZ122</f>
        <v>0</v>
      </c>
      <c r="BC122" s="29">
        <f>BC121 + IF(Overview!$B$14="Gnome",S113,S110) -CA122</f>
        <v>50</v>
      </c>
      <c r="BD122" s="29">
        <f>BD121 + IF(Overview!$B$14="Gnome",T113,T110) -CB122</f>
        <v>0</v>
      </c>
      <c r="BE122" s="30">
        <f>BE121 + IF(Overview!$B$14="Gnome",U113,U110) -CC122</f>
        <v>0</v>
      </c>
      <c r="BF122" s="30">
        <f>BF121 + IF(Overview!$B$14="Gnome",V113,V110) -CD122</f>
        <v>0</v>
      </c>
      <c r="BG122" s="31">
        <f>BG121 + IF(Overview!$B$14="Gnome",W113,W110) -CE122</f>
        <v>0</v>
      </c>
      <c r="BH122" s="31">
        <f>BH121 + IF(Overview!$B$14="Gnome",X113,X110) -CF122</f>
        <v>0</v>
      </c>
      <c r="BI122" s="31">
        <f>BI121 + IF(Overview!$B$14="Gnome",Y113,Y110) -CG122</f>
        <v>0</v>
      </c>
      <c r="BJ122" s="31">
        <f>BJ121 + IF(Overview!$B$14="Gnome",Z113,Z110) -CH122</f>
        <v>0</v>
      </c>
      <c r="BK122" s="32">
        <f>BK121 + IF(Overview!$B$14="Gnome",AA113,AA110) -CI122</f>
        <v>50</v>
      </c>
      <c r="BL122" s="32">
        <f>BL121 + IF(Overview!$B$14="Gnome",AB113,AB110) -CJ122</f>
        <v>0</v>
      </c>
      <c r="BM122" s="32">
        <f>BM121 + IF(Overview!$B$14="Gnome",AC113,AC110) -CK122</f>
        <v>0</v>
      </c>
      <c r="BN122" s="33">
        <f>BN121 + IF(Overview!$B$14="Gnome",AD113,AD110) -CL122</f>
        <v>0</v>
      </c>
      <c r="BO122" s="33">
        <f>BO121 + IF(Overview!$B$14="Gnome",AE113,AE110) -CM122</f>
        <v>0</v>
      </c>
      <c r="BP122" s="69">
        <f>BP121 + IF(Overview!$B$14="Gnome",AF113,AF110) -CN122</f>
        <v>0</v>
      </c>
      <c r="BR122" s="442"/>
      <c r="BS122" s="156">
        <f t="shared" si="99"/>
        <v>1000</v>
      </c>
      <c r="BT122" s="574">
        <f t="shared" si="100"/>
        <v>43696.958333333045</v>
      </c>
      <c r="BV122" s="356"/>
      <c r="BW122" s="348"/>
      <c r="BX122" s="348"/>
      <c r="BY122" s="348"/>
      <c r="BZ122" s="348"/>
      <c r="CA122" s="348"/>
      <c r="CB122" s="348"/>
      <c r="CC122" s="348"/>
      <c r="CD122" s="348"/>
      <c r="CE122" s="348"/>
      <c r="CF122" s="348"/>
      <c r="CG122" s="348"/>
      <c r="CH122" s="348"/>
      <c r="CI122" s="348"/>
      <c r="CJ122" s="348"/>
      <c r="CK122" s="348"/>
      <c r="CL122" s="348"/>
      <c r="CM122" s="360"/>
      <c r="CN122" s="357"/>
      <c r="CP122" s="86">
        <f>-SUM($O122:$R122)+SUM($BW122:BZ122)+Rezone!L122+IF(home_land=CP$2,CW122) + Explore!T110</f>
        <v>0</v>
      </c>
      <c r="CQ122" s="37">
        <f>-SUM($S122:$T122)+SUM($CA122:$CB122) +Rezone!M122 + IF(home_land=CQ$2,CW122) + Explore!U110</f>
        <v>0</v>
      </c>
      <c r="CR122" s="247">
        <f>-SUM($U122:$V122)+SUM($CC122:$CD122) +Rezone!N122 + IF(home_land=CR$2,CW122) + Explore!V110</f>
        <v>0</v>
      </c>
      <c r="CS122" s="38">
        <f>-SUM($W122:$Z122)+SUM($CE122:$CH122) +Rezone!O122 + IF(home_land=CS$2,CW122) + Explore!W110</f>
        <v>0</v>
      </c>
      <c r="CT122" s="39">
        <f>-SUM($AA122:$AC122)+SUM($CI122:$CK122) +Rezone!P122 + IF(home_land=CT$2,CW122) + Explore!X110</f>
        <v>0</v>
      </c>
      <c r="CU122" s="40">
        <f xml:space="preserve"> - SUM($AD122,$AE122)+SUM($CL122,$CM122) +Rezone!Q122 + IF(home_land=CU$2,CW122)+Explore!Y110</f>
        <v>0</v>
      </c>
      <c r="CV122" s="500">
        <f>-$AF122+$CN122 +Rezone!R122 + IF(home_land=CV$2,CW122) + Explore!Z110</f>
        <v>0</v>
      </c>
      <c r="CW122" s="159">
        <f>IF(Explore!S122=1,25) - N122 + BV122</f>
        <v>0</v>
      </c>
      <c r="CY122" s="152">
        <f t="shared" si="101"/>
        <v>280</v>
      </c>
      <c r="CZ122" s="164">
        <f t="shared" si="102"/>
        <v>150</v>
      </c>
      <c r="DA122" s="16">
        <f t="shared" si="103"/>
        <v>150</v>
      </c>
      <c r="DB122" s="164">
        <f t="shared" si="104"/>
        <v>150</v>
      </c>
      <c r="DC122" s="164">
        <f t="shared" si="105"/>
        <v>150</v>
      </c>
      <c r="DD122" s="16">
        <f t="shared" si="106"/>
        <v>20</v>
      </c>
      <c r="DE122" s="166">
        <f t="shared" si="107"/>
        <v>100</v>
      </c>
      <c r="DF122" s="164">
        <f t="shared" ca="1" si="108"/>
        <v>280</v>
      </c>
      <c r="DG122" s="16">
        <f t="shared" si="109"/>
        <v>0</v>
      </c>
      <c r="DH122" s="16">
        <f t="shared" si="110"/>
        <v>122</v>
      </c>
      <c r="DI122" s="166"/>
    </row>
    <row r="123" spans="1:113" s="111" customFormat="1" ht="14.25" thickTop="1" thickBot="1">
      <c r="A123" s="125">
        <f t="shared" si="87"/>
        <v>620</v>
      </c>
      <c r="B123" s="125">
        <f t="shared" si="88"/>
        <v>380</v>
      </c>
      <c r="C123" s="126">
        <f t="shared" si="89"/>
        <v>0</v>
      </c>
      <c r="D123" s="575"/>
      <c r="E123" s="111">
        <f t="shared" si="90"/>
        <v>1000</v>
      </c>
      <c r="F123" s="127">
        <f t="shared" si="91"/>
        <v>0</v>
      </c>
      <c r="G123" s="128">
        <f t="shared" si="92"/>
        <v>100</v>
      </c>
      <c r="H123" s="276">
        <f t="shared" si="93"/>
        <v>150</v>
      </c>
      <c r="I123" s="129">
        <f t="shared" si="94"/>
        <v>150</v>
      </c>
      <c r="J123" s="130">
        <f t="shared" si="95"/>
        <v>100</v>
      </c>
      <c r="K123" s="131">
        <f t="shared" si="96"/>
        <v>20</v>
      </c>
      <c r="L123" s="501">
        <f t="shared" si="97"/>
        <v>100</v>
      </c>
      <c r="M123" s="637">
        <f>Rezone!J123</f>
        <v>121</v>
      </c>
      <c r="N123" s="358"/>
      <c r="O123" s="350"/>
      <c r="P123" s="350"/>
      <c r="Q123" s="351"/>
      <c r="R123" s="351"/>
      <c r="S123" s="362"/>
      <c r="T123" s="350"/>
      <c r="U123" s="350"/>
      <c r="V123" s="350"/>
      <c r="W123" s="351"/>
      <c r="X123" s="351"/>
      <c r="Y123" s="350"/>
      <c r="Z123" s="351"/>
      <c r="AA123" s="350"/>
      <c r="AB123" s="350"/>
      <c r="AC123" s="351"/>
      <c r="AD123" s="350"/>
      <c r="AE123" s="350"/>
      <c r="AF123" s="342"/>
      <c r="AG123" s="782">
        <f t="shared" si="98"/>
        <v>43696.999999999709</v>
      </c>
      <c r="AH123" s="133">
        <f>MIN(25%,(BG123+CE123)/(E123-Explore!S123*20))</f>
        <v>0</v>
      </c>
      <c r="AI123" s="136">
        <f t="shared" si="83"/>
        <v>0</v>
      </c>
      <c r="AJ123" s="110">
        <f ca="1">Production!$H123</f>
        <v>4225631</v>
      </c>
      <c r="AK123" s="109">
        <f ca="1">Production!$J123</f>
        <v>265683</v>
      </c>
      <c r="AL123" s="273">
        <f ca="1">ROUND( (1 - MIN(facs_constr_factor*$AH123,facs_constr_max)) * (1+MIN(tech_construction*Techs!AC123,tech_conquerors_crafts*Techs!AS123)) * AU123*(1+race_construction_cost),0)</f>
        <v>1615</v>
      </c>
      <c r="AM123" s="274">
        <f t="shared" si="113"/>
        <v>263</v>
      </c>
      <c r="AN123" s="273">
        <f ca="1">ROUND( (1 - MIN(facs_constr_factor*$AI123,facs_constr_max)) * (1+MIN(tech_construction*Techs!AE123,tech_conquerors_crafts*Techs!AU123)) * AU123*(1+race_construction_cost),0)</f>
        <v>1615</v>
      </c>
      <c r="AO123" s="274">
        <f t="shared" si="114"/>
        <v>263</v>
      </c>
      <c r="AP123" s="111">
        <f t="shared" ca="1" si="111"/>
        <v>0</v>
      </c>
      <c r="AQ123" s="115">
        <f t="shared" si="112"/>
        <v>0</v>
      </c>
      <c r="AR123" s="111">
        <f>MIN(SUM(F122:L122)+SUM(Explore!T111:Z111)+SUM(BV123:CN123),SUM($N123:$AF123))</f>
        <v>0</v>
      </c>
      <c r="AS123" s="111">
        <f>IF(Explore!S123&lt;&gt;0,MAX(0, MIN(20, 20 + SUM(N123:AF123) - SUM(BV123:CN123) - SUM(F122:L122)-SUM(Explore!T111:Z111)-20*Explore!S123)),0)</f>
        <v>0</v>
      </c>
      <c r="AU123" s="273">
        <f t="shared" si="85"/>
        <v>1615</v>
      </c>
      <c r="AV123" s="274">
        <f t="shared" si="86"/>
        <v>262.5</v>
      </c>
      <c r="AW123" s="277"/>
      <c r="AX123" s="296">
        <f>AX122 + IF(Overview!$B$14="Gnome",N114,N111) -BV123</f>
        <v>0</v>
      </c>
      <c r="AY123" s="132">
        <f>AY122 + IF(Overview!$B$14="Gnome",O114,O111) -BW123</f>
        <v>0</v>
      </c>
      <c r="AZ123" s="132">
        <f>AZ122 + IF(Overview!$B$14="Gnome",P114,P111) -BX123</f>
        <v>80</v>
      </c>
      <c r="BA123" s="132">
        <f>BA122 + IF(Overview!$B$14="Gnome",Q114,Q111) -BY123</f>
        <v>200</v>
      </c>
      <c r="BB123" s="132">
        <f>BB122 + IF(Overview!$B$14="Gnome",R114,R111) -BZ123</f>
        <v>0</v>
      </c>
      <c r="BC123" s="119">
        <f>BC122 + IF(Overview!$B$14="Gnome",S114,S111) -CA123</f>
        <v>50</v>
      </c>
      <c r="BD123" s="119">
        <f>BD122 + IF(Overview!$B$14="Gnome",T114,T111) -CB123</f>
        <v>0</v>
      </c>
      <c r="BE123" s="120">
        <f>BE122 + IF(Overview!$B$14="Gnome",U114,U111) -CC123</f>
        <v>0</v>
      </c>
      <c r="BF123" s="120">
        <f>BF122 + IF(Overview!$B$14="Gnome",V114,V111) -CD123</f>
        <v>0</v>
      </c>
      <c r="BG123" s="121">
        <f>BG122 + IF(Overview!$B$14="Gnome",W114,W111) -CE123</f>
        <v>0</v>
      </c>
      <c r="BH123" s="121">
        <f>BH122 + IF(Overview!$B$14="Gnome",X114,X111) -CF123</f>
        <v>0</v>
      </c>
      <c r="BI123" s="121">
        <f>BI122 + IF(Overview!$B$14="Gnome",Y114,Y111) -CG123</f>
        <v>0</v>
      </c>
      <c r="BJ123" s="121">
        <f>BJ122 + IF(Overview!$B$14="Gnome",Z114,Z111) -CH123</f>
        <v>0</v>
      </c>
      <c r="BK123" s="122">
        <f>BK122 + IF(Overview!$B$14="Gnome",AA114,AA111) -CI123</f>
        <v>50</v>
      </c>
      <c r="BL123" s="122">
        <f>BL122 + IF(Overview!$B$14="Gnome",AB114,AB111) -CJ123</f>
        <v>0</v>
      </c>
      <c r="BM123" s="122">
        <f>BM122 + IF(Overview!$B$14="Gnome",AC114,AC111) -CK123</f>
        <v>0</v>
      </c>
      <c r="BN123" s="123">
        <f>BN122 + IF(Overview!$B$14="Gnome",AD114,AD111) -CL123</f>
        <v>0</v>
      </c>
      <c r="BO123" s="123">
        <f>BO122 + IF(Overview!$B$14="Gnome",AE114,AE111) -CM123</f>
        <v>0</v>
      </c>
      <c r="BP123" s="124">
        <f>BP122 + IF(Overview!$B$14="Gnome",AF114,AF111) -CN123</f>
        <v>0</v>
      </c>
      <c r="BR123" s="443"/>
      <c r="BS123" s="275">
        <f t="shared" si="99"/>
        <v>1000</v>
      </c>
      <c r="BT123" s="575">
        <f t="shared" si="100"/>
        <v>43696.999999999709</v>
      </c>
      <c r="BV123" s="358"/>
      <c r="BW123" s="350"/>
      <c r="BX123" s="350"/>
      <c r="BY123" s="350"/>
      <c r="BZ123" s="350"/>
      <c r="CA123" s="350"/>
      <c r="CB123" s="350"/>
      <c r="CC123" s="350"/>
      <c r="CD123" s="350"/>
      <c r="CE123" s="350"/>
      <c r="CF123" s="350"/>
      <c r="CG123" s="350"/>
      <c r="CH123" s="350"/>
      <c r="CI123" s="350"/>
      <c r="CJ123" s="350"/>
      <c r="CK123" s="350"/>
      <c r="CL123" s="350"/>
      <c r="CM123" s="362"/>
      <c r="CN123" s="359"/>
      <c r="CP123" s="127">
        <f>-SUM($O123:$R123)+SUM($BW123:BZ123)+Rezone!L123+IF(home_land=CP$2,CW123) + Explore!T111</f>
        <v>0</v>
      </c>
      <c r="CQ123" s="128">
        <f>-SUM($S123:$T123)+SUM($CA123:$CB123) +Rezone!M123 + IF(home_land=CQ$2,CW123) + Explore!U111</f>
        <v>0</v>
      </c>
      <c r="CR123" s="276">
        <f>-SUM($U123:$V123)+SUM($CC123:$CD123) +Rezone!N123 + IF(home_land=CR$2,CW123) + Explore!V111</f>
        <v>0</v>
      </c>
      <c r="CS123" s="129">
        <f>-SUM($W123:$Z123)+SUM($CE123:$CH123) +Rezone!O123 + IF(home_land=CS$2,CW123) + Explore!W111</f>
        <v>0</v>
      </c>
      <c r="CT123" s="130">
        <f>-SUM($AA123:$AC123)+SUM($CI123:$CK123) +Rezone!P123 + IF(home_land=CT$2,CW123) + Explore!X111</f>
        <v>0</v>
      </c>
      <c r="CU123" s="131">
        <f xml:space="preserve"> - SUM($AD123,$AE123)+SUM($CL123,$CM123) +Rezone!Q123 + IF(home_land=CU$2,CW123)+Explore!Y111</f>
        <v>0</v>
      </c>
      <c r="CV123" s="501">
        <f>-$AF123+$CN123 +Rezone!R123 + IF(home_land=CV$2,CW123) + Explore!Z111</f>
        <v>0</v>
      </c>
      <c r="CW123" s="290">
        <f>IF(Explore!S123=1,25) - N123 + BV123</f>
        <v>0</v>
      </c>
      <c r="CY123" s="273">
        <f t="shared" si="101"/>
        <v>280</v>
      </c>
      <c r="CZ123" s="277">
        <f t="shared" si="102"/>
        <v>150</v>
      </c>
      <c r="DA123" s="111">
        <f t="shared" si="103"/>
        <v>150</v>
      </c>
      <c r="DB123" s="277">
        <f t="shared" si="104"/>
        <v>150</v>
      </c>
      <c r="DC123" s="277">
        <f t="shared" si="105"/>
        <v>150</v>
      </c>
      <c r="DD123" s="111">
        <f t="shared" si="106"/>
        <v>20</v>
      </c>
      <c r="DE123" s="274">
        <f t="shared" si="107"/>
        <v>100</v>
      </c>
      <c r="DF123" s="277">
        <f t="shared" ca="1" si="108"/>
        <v>280</v>
      </c>
      <c r="DG123" s="111">
        <f t="shared" si="109"/>
        <v>0</v>
      </c>
      <c r="DH123" s="111">
        <f t="shared" si="110"/>
        <v>123</v>
      </c>
      <c r="DI123" s="274"/>
    </row>
    <row r="124" spans="1:113" s="16" customFormat="1" ht="13.5" thickTop="1">
      <c r="A124" s="36">
        <f t="shared" si="87"/>
        <v>620</v>
      </c>
      <c r="B124" s="36">
        <f t="shared" si="88"/>
        <v>380</v>
      </c>
      <c r="C124" s="83">
        <f t="shared" si="89"/>
        <v>0</v>
      </c>
      <c r="D124" s="574"/>
      <c r="E124" s="16">
        <f t="shared" si="90"/>
        <v>1000</v>
      </c>
      <c r="F124" s="86">
        <f t="shared" si="91"/>
        <v>0</v>
      </c>
      <c r="G124" s="37">
        <f t="shared" si="92"/>
        <v>100</v>
      </c>
      <c r="H124" s="247">
        <f t="shared" si="93"/>
        <v>150</v>
      </c>
      <c r="I124" s="38">
        <f t="shared" si="94"/>
        <v>150</v>
      </c>
      <c r="J124" s="39">
        <f t="shared" si="95"/>
        <v>100</v>
      </c>
      <c r="K124" s="40">
        <f t="shared" si="96"/>
        <v>20</v>
      </c>
      <c r="L124" s="500">
        <f t="shared" si="97"/>
        <v>100</v>
      </c>
      <c r="M124" s="635">
        <f>Rezone!J124</f>
        <v>122</v>
      </c>
      <c r="N124" s="356"/>
      <c r="O124" s="348"/>
      <c r="P124" s="348"/>
      <c r="Q124" s="348"/>
      <c r="R124" s="345"/>
      <c r="S124" s="348"/>
      <c r="T124" s="345"/>
      <c r="U124" s="348"/>
      <c r="V124" s="348"/>
      <c r="W124" s="345"/>
      <c r="X124" s="345"/>
      <c r="Y124" s="348"/>
      <c r="Z124" s="345"/>
      <c r="AA124" s="348"/>
      <c r="AB124" s="348"/>
      <c r="AC124" s="345"/>
      <c r="AD124" s="348"/>
      <c r="AE124" s="348"/>
      <c r="AF124" s="336"/>
      <c r="AG124" s="532">
        <f t="shared" si="98"/>
        <v>43697.041666666373</v>
      </c>
      <c r="AH124" s="91">
        <f>MIN(25%,(BG124+CE124)/(E124-Explore!S124*20))</f>
        <v>0</v>
      </c>
      <c r="AI124" s="59">
        <f t="shared" si="83"/>
        <v>0</v>
      </c>
      <c r="AJ124" s="56">
        <f ca="1">Production!$H124</f>
        <v>4236282</v>
      </c>
      <c r="AK124" s="57">
        <f ca="1">Production!$J124</f>
        <v>265526</v>
      </c>
      <c r="AL124" s="152">
        <f ca="1">ROUND( (1 - MIN(facs_constr_factor*$AH124,facs_constr_max)) * (1+MIN(tech_construction*Techs!AC124,tech_conquerors_crafts*Techs!AS124)) * AU124*(1+race_construction_cost),0)</f>
        <v>1615</v>
      </c>
      <c r="AM124" s="166">
        <f t="shared" si="113"/>
        <v>263</v>
      </c>
      <c r="AN124" s="152">
        <f ca="1">ROUND( (1 - MIN(facs_constr_factor*$AI124,facs_constr_max)) * (1+MIN(tech_construction*Techs!AE124,tech_conquerors_crafts*Techs!AU124)) * AU124*(1+race_construction_cost),0)</f>
        <v>1615</v>
      </c>
      <c r="AO124" s="166">
        <f t="shared" si="114"/>
        <v>263</v>
      </c>
      <c r="AP124" s="16">
        <f t="shared" ca="1" si="111"/>
        <v>0</v>
      </c>
      <c r="AQ124" s="53">
        <f t="shared" si="112"/>
        <v>0</v>
      </c>
      <c r="AR124" s="16">
        <f>MIN(SUM(F123:L123)+SUM(Explore!T112:Z112)+SUM(BV124:CN124),SUM($N124:$AF124))</f>
        <v>0</v>
      </c>
      <c r="AS124" s="16">
        <f>IF(Explore!S124&lt;&gt;0,MAX(0, MIN(20, 20 + SUM(N124:AF124) - SUM(BV124:CN124) - SUM(F123:L123)-SUM(Explore!T112:Z112)-20*Explore!S124)),0)</f>
        <v>0</v>
      </c>
      <c r="AU124" s="152">
        <f t="shared" si="85"/>
        <v>1615</v>
      </c>
      <c r="AV124" s="166">
        <f t="shared" si="86"/>
        <v>262.5</v>
      </c>
      <c r="AW124" s="164"/>
      <c r="AX124" s="295">
        <f>AX123 + IF(Overview!$B$14="Gnome",N115,N112) -BV124</f>
        <v>0</v>
      </c>
      <c r="AY124" s="28">
        <f>AY123 + IF(Overview!$B$14="Gnome",O115,O112) -BW124</f>
        <v>0</v>
      </c>
      <c r="AZ124" s="28">
        <f>AZ123 + IF(Overview!$B$14="Gnome",P115,P112) -BX124</f>
        <v>80</v>
      </c>
      <c r="BA124" s="28">
        <f>BA123 + IF(Overview!$B$14="Gnome",Q115,Q112) -BY124</f>
        <v>200</v>
      </c>
      <c r="BB124" s="28">
        <f>BB123 + IF(Overview!$B$14="Gnome",R115,R112) -BZ124</f>
        <v>0</v>
      </c>
      <c r="BC124" s="29">
        <f>BC123 + IF(Overview!$B$14="Gnome",S115,S112) -CA124</f>
        <v>50</v>
      </c>
      <c r="BD124" s="29">
        <f>BD123 + IF(Overview!$B$14="Gnome",T115,T112) -CB124</f>
        <v>0</v>
      </c>
      <c r="BE124" s="30">
        <f>BE123 + IF(Overview!$B$14="Gnome",U115,U112) -CC124</f>
        <v>0</v>
      </c>
      <c r="BF124" s="30">
        <f>BF123 + IF(Overview!$B$14="Gnome",V115,V112) -CD124</f>
        <v>0</v>
      </c>
      <c r="BG124" s="31">
        <f>BG123 + IF(Overview!$B$14="Gnome",W115,W112) -CE124</f>
        <v>0</v>
      </c>
      <c r="BH124" s="31">
        <f>BH123 + IF(Overview!$B$14="Gnome",X115,X112) -CF124</f>
        <v>0</v>
      </c>
      <c r="BI124" s="31">
        <f>BI123 + IF(Overview!$B$14="Gnome",Y115,Y112) -CG124</f>
        <v>0</v>
      </c>
      <c r="BJ124" s="31">
        <f>BJ123 + IF(Overview!$B$14="Gnome",Z115,Z112) -CH124</f>
        <v>0</v>
      </c>
      <c r="BK124" s="32">
        <f>BK123 + IF(Overview!$B$14="Gnome",AA115,AA112) -CI124</f>
        <v>50</v>
      </c>
      <c r="BL124" s="32">
        <f>BL123 + IF(Overview!$B$14="Gnome",AB115,AB112) -CJ124</f>
        <v>0</v>
      </c>
      <c r="BM124" s="32">
        <f>BM123 + IF(Overview!$B$14="Gnome",AC115,AC112) -CK124</f>
        <v>0</v>
      </c>
      <c r="BN124" s="33">
        <f>BN123 + IF(Overview!$B$14="Gnome",AD115,AD112) -CL124</f>
        <v>0</v>
      </c>
      <c r="BO124" s="33">
        <f>BO123 + IF(Overview!$B$14="Gnome",AE115,AE112) -CM124</f>
        <v>0</v>
      </c>
      <c r="BP124" s="69">
        <f>BP123 + IF(Overview!$B$14="Gnome",AF115,AF112) -CN124</f>
        <v>0</v>
      </c>
      <c r="BR124" s="442"/>
      <c r="BS124" s="156">
        <f t="shared" si="99"/>
        <v>1000</v>
      </c>
      <c r="BT124" s="574">
        <f t="shared" si="100"/>
        <v>43697.041666666373</v>
      </c>
      <c r="BV124" s="356"/>
      <c r="BW124" s="348"/>
      <c r="BX124" s="348"/>
      <c r="BY124" s="348"/>
      <c r="BZ124" s="348"/>
      <c r="CA124" s="348"/>
      <c r="CB124" s="348"/>
      <c r="CC124" s="348"/>
      <c r="CD124" s="348"/>
      <c r="CE124" s="348"/>
      <c r="CF124" s="348"/>
      <c r="CG124" s="348"/>
      <c r="CH124" s="348"/>
      <c r="CI124" s="348"/>
      <c r="CJ124" s="348"/>
      <c r="CK124" s="348"/>
      <c r="CL124" s="348"/>
      <c r="CM124" s="360"/>
      <c r="CN124" s="357"/>
      <c r="CP124" s="86">
        <f>-SUM($O124:$R124)+SUM($BW124:BZ124)+Rezone!L124+IF(home_land=CP$2,CW124) + Explore!T112</f>
        <v>0</v>
      </c>
      <c r="CQ124" s="37">
        <f>-SUM($S124:$T124)+SUM($CA124:$CB124) +Rezone!M124 + IF(home_land=CQ$2,CW124) + Explore!U112</f>
        <v>0</v>
      </c>
      <c r="CR124" s="247">
        <f>-SUM($U124:$V124)+SUM($CC124:$CD124) +Rezone!N124 + IF(home_land=CR$2,CW124) + Explore!V112</f>
        <v>0</v>
      </c>
      <c r="CS124" s="38">
        <f>-SUM($W124:$Z124)+SUM($CE124:$CH124) +Rezone!O124 + IF(home_land=CS$2,CW124) + Explore!W112</f>
        <v>0</v>
      </c>
      <c r="CT124" s="39">
        <f>-SUM($AA124:$AC124)+SUM($CI124:$CK124) +Rezone!P124 + IF(home_land=CT$2,CW124) + Explore!X112</f>
        <v>0</v>
      </c>
      <c r="CU124" s="40">
        <f xml:space="preserve"> - SUM($AD124,$AE124)+SUM($CL124,$CM124) +Rezone!Q124 + IF(home_land=CU$2,CW124)+Explore!Y112</f>
        <v>0</v>
      </c>
      <c r="CV124" s="500">
        <f>-$AF124+$CN124 +Rezone!R124 + IF(home_land=CV$2,CW124) + Explore!Z112</f>
        <v>0</v>
      </c>
      <c r="CW124" s="159">
        <f>IF(Explore!S124=1,25) - N124 + BV124</f>
        <v>0</v>
      </c>
      <c r="CY124" s="152">
        <f t="shared" si="101"/>
        <v>280</v>
      </c>
      <c r="CZ124" s="164">
        <f t="shared" si="102"/>
        <v>150</v>
      </c>
      <c r="DA124" s="16">
        <f t="shared" si="103"/>
        <v>150</v>
      </c>
      <c r="DB124" s="164">
        <f t="shared" si="104"/>
        <v>150</v>
      </c>
      <c r="DC124" s="164">
        <f t="shared" si="105"/>
        <v>150</v>
      </c>
      <c r="DD124" s="16">
        <f t="shared" si="106"/>
        <v>20</v>
      </c>
      <c r="DE124" s="166">
        <f t="shared" si="107"/>
        <v>100</v>
      </c>
      <c r="DF124" s="164">
        <f t="shared" ca="1" si="108"/>
        <v>280</v>
      </c>
      <c r="DG124" s="16">
        <f t="shared" si="109"/>
        <v>0</v>
      </c>
      <c r="DH124" s="16">
        <f t="shared" si="110"/>
        <v>124</v>
      </c>
      <c r="DI124" s="166"/>
    </row>
    <row r="125" spans="1:113" s="16" customFormat="1">
      <c r="A125" s="36">
        <f t="shared" si="87"/>
        <v>620</v>
      </c>
      <c r="B125" s="36">
        <f t="shared" si="88"/>
        <v>380</v>
      </c>
      <c r="C125" s="83">
        <f t="shared" si="89"/>
        <v>0</v>
      </c>
      <c r="D125" s="574"/>
      <c r="E125" s="16">
        <f t="shared" si="90"/>
        <v>1000</v>
      </c>
      <c r="F125" s="86">
        <f t="shared" si="91"/>
        <v>0</v>
      </c>
      <c r="G125" s="37">
        <f t="shared" si="92"/>
        <v>100</v>
      </c>
      <c r="H125" s="247">
        <f t="shared" si="93"/>
        <v>150</v>
      </c>
      <c r="I125" s="38">
        <f t="shared" si="94"/>
        <v>150</v>
      </c>
      <c r="J125" s="39">
        <f t="shared" si="95"/>
        <v>100</v>
      </c>
      <c r="K125" s="40">
        <f t="shared" si="96"/>
        <v>20</v>
      </c>
      <c r="L125" s="500">
        <f t="shared" si="97"/>
        <v>100</v>
      </c>
      <c r="M125" s="635">
        <f>Rezone!J125</f>
        <v>123</v>
      </c>
      <c r="N125" s="356"/>
      <c r="O125" s="348"/>
      <c r="P125" s="348"/>
      <c r="Q125" s="348"/>
      <c r="R125" s="345"/>
      <c r="S125" s="348"/>
      <c r="T125" s="345"/>
      <c r="U125" s="348"/>
      <c r="V125" s="348"/>
      <c r="W125" s="345"/>
      <c r="X125" s="345"/>
      <c r="Y125" s="348"/>
      <c r="Z125" s="345"/>
      <c r="AA125" s="348"/>
      <c r="AB125" s="348"/>
      <c r="AC125" s="345"/>
      <c r="AD125" s="348"/>
      <c r="AE125" s="348"/>
      <c r="AF125" s="336"/>
      <c r="AG125" s="532">
        <f t="shared" si="98"/>
        <v>43697.083333333037</v>
      </c>
      <c r="AH125" s="91">
        <f>MIN(25%,(BG125+CE125)/(E125-Explore!S125*20))</f>
        <v>0</v>
      </c>
      <c r="AI125" s="59">
        <f t="shared" si="83"/>
        <v>0</v>
      </c>
      <c r="AJ125" s="56">
        <f ca="1">Production!$H125</f>
        <v>4246933</v>
      </c>
      <c r="AK125" s="57">
        <f ca="1">Production!$J125</f>
        <v>265371</v>
      </c>
      <c r="AL125" s="152">
        <f ca="1">ROUND( (1 - MIN(facs_constr_factor*$AH125,facs_constr_max)) * (1+MIN(tech_construction*Techs!AC125,tech_conquerors_crafts*Techs!AS125)) * AU125*(1+race_construction_cost),0)</f>
        <v>1615</v>
      </c>
      <c r="AM125" s="166">
        <f t="shared" si="113"/>
        <v>263</v>
      </c>
      <c r="AN125" s="152">
        <f ca="1">ROUND( (1 - MIN(facs_constr_factor*$AI125,facs_constr_max)) * (1+MIN(tech_construction*Techs!AE125,tech_conquerors_crafts*Techs!AU125)) * AU125*(1+race_construction_cost),0)</f>
        <v>1615</v>
      </c>
      <c r="AO125" s="166">
        <f t="shared" si="114"/>
        <v>263</v>
      </c>
      <c r="AP125" s="16">
        <f t="shared" ca="1" si="111"/>
        <v>0</v>
      </c>
      <c r="AQ125" s="53">
        <f t="shared" si="112"/>
        <v>0</v>
      </c>
      <c r="AR125" s="16">
        <f>MIN(SUM(F124:L124)+SUM(Explore!T113:Z113)+SUM(BV125:CN125),SUM($N125:$AF125))</f>
        <v>0</v>
      </c>
      <c r="AS125" s="16">
        <f>IF(Explore!S125&lt;&gt;0,MAX(0, MIN(20, 20 + SUM(N125:AF125) - SUM(BV125:CN125) - SUM(F124:L124)-SUM(Explore!T113:Z113)-20*Explore!S125)),0)</f>
        <v>0</v>
      </c>
      <c r="AU125" s="152">
        <f t="shared" si="85"/>
        <v>1615</v>
      </c>
      <c r="AV125" s="166">
        <f t="shared" si="86"/>
        <v>262.5</v>
      </c>
      <c r="AW125" s="164"/>
      <c r="AX125" s="295">
        <f>AX124 + IF(Overview!$B$14="Gnome",N116,N113) -BV125</f>
        <v>0</v>
      </c>
      <c r="AY125" s="28">
        <f>AY124 + IF(Overview!$B$14="Gnome",O116,O113) -BW125</f>
        <v>0</v>
      </c>
      <c r="AZ125" s="28">
        <f>AZ124 + IF(Overview!$B$14="Gnome",P116,P113) -BX125</f>
        <v>80</v>
      </c>
      <c r="BA125" s="28">
        <f>BA124 + IF(Overview!$B$14="Gnome",Q116,Q113) -BY125</f>
        <v>200</v>
      </c>
      <c r="BB125" s="28">
        <f>BB124 + IF(Overview!$B$14="Gnome",R116,R113) -BZ125</f>
        <v>0</v>
      </c>
      <c r="BC125" s="29">
        <f>BC124 + IF(Overview!$B$14="Gnome",S116,S113) -CA125</f>
        <v>50</v>
      </c>
      <c r="BD125" s="29">
        <f>BD124 + IF(Overview!$B$14="Gnome",T116,T113) -CB125</f>
        <v>0</v>
      </c>
      <c r="BE125" s="30">
        <f>BE124 + IF(Overview!$B$14="Gnome",U116,U113) -CC125</f>
        <v>0</v>
      </c>
      <c r="BF125" s="30">
        <f>BF124 + IF(Overview!$B$14="Gnome",V116,V113) -CD125</f>
        <v>0</v>
      </c>
      <c r="BG125" s="31">
        <f>BG124 + IF(Overview!$B$14="Gnome",W116,W113) -CE125</f>
        <v>0</v>
      </c>
      <c r="BH125" s="31">
        <f>BH124 + IF(Overview!$B$14="Gnome",X116,X113) -CF125</f>
        <v>0</v>
      </c>
      <c r="BI125" s="31">
        <f>BI124 + IF(Overview!$B$14="Gnome",Y116,Y113) -CG125</f>
        <v>0</v>
      </c>
      <c r="BJ125" s="31">
        <f>BJ124 + IF(Overview!$B$14="Gnome",Z116,Z113) -CH125</f>
        <v>0</v>
      </c>
      <c r="BK125" s="32">
        <f>BK124 + IF(Overview!$B$14="Gnome",AA116,AA113) -CI125</f>
        <v>50</v>
      </c>
      <c r="BL125" s="32">
        <f>BL124 + IF(Overview!$B$14="Gnome",AB116,AB113) -CJ125</f>
        <v>0</v>
      </c>
      <c r="BM125" s="32">
        <f>BM124 + IF(Overview!$B$14="Gnome",AC116,AC113) -CK125</f>
        <v>0</v>
      </c>
      <c r="BN125" s="33">
        <f>BN124 + IF(Overview!$B$14="Gnome",AD116,AD113) -CL125</f>
        <v>0</v>
      </c>
      <c r="BO125" s="33">
        <f>BO124 + IF(Overview!$B$14="Gnome",AE116,AE113) -CM125</f>
        <v>0</v>
      </c>
      <c r="BP125" s="69">
        <f>BP124 + IF(Overview!$B$14="Gnome",AF116,AF113) -CN125</f>
        <v>0</v>
      </c>
      <c r="BR125" s="442"/>
      <c r="BS125" s="156">
        <f t="shared" si="99"/>
        <v>1000</v>
      </c>
      <c r="BT125" s="574">
        <f t="shared" si="100"/>
        <v>43697.083333333037</v>
      </c>
      <c r="BV125" s="356"/>
      <c r="BW125" s="348"/>
      <c r="BX125" s="348"/>
      <c r="BY125" s="348"/>
      <c r="BZ125" s="348"/>
      <c r="CA125" s="348"/>
      <c r="CB125" s="348"/>
      <c r="CC125" s="348"/>
      <c r="CD125" s="348"/>
      <c r="CE125" s="348"/>
      <c r="CF125" s="348"/>
      <c r="CG125" s="348"/>
      <c r="CH125" s="348"/>
      <c r="CI125" s="348"/>
      <c r="CJ125" s="348"/>
      <c r="CK125" s="348"/>
      <c r="CL125" s="348"/>
      <c r="CM125" s="360"/>
      <c r="CN125" s="357"/>
      <c r="CP125" s="86">
        <f>-SUM($O125:$R125)+SUM($BW125:BZ125)+Rezone!L125+IF(home_land=CP$2,CW125) + Explore!T113</f>
        <v>0</v>
      </c>
      <c r="CQ125" s="37">
        <f>-SUM($S125:$T125)+SUM($CA125:$CB125) +Rezone!M125 + IF(home_land=CQ$2,CW125) + Explore!U113</f>
        <v>0</v>
      </c>
      <c r="CR125" s="247">
        <f>-SUM($U125:$V125)+SUM($CC125:$CD125) +Rezone!N125 + IF(home_land=CR$2,CW125) + Explore!V113</f>
        <v>0</v>
      </c>
      <c r="CS125" s="38">
        <f>-SUM($W125:$Z125)+SUM($CE125:$CH125) +Rezone!O125 + IF(home_land=CS$2,CW125) + Explore!W113</f>
        <v>0</v>
      </c>
      <c r="CT125" s="39">
        <f>-SUM($AA125:$AC125)+SUM($CI125:$CK125) +Rezone!P125 + IF(home_land=CT$2,CW125) + Explore!X113</f>
        <v>0</v>
      </c>
      <c r="CU125" s="40">
        <f xml:space="preserve"> - SUM($AD125,$AE125)+SUM($CL125,$CM125) +Rezone!Q125 + IF(home_land=CU$2,CW125)+Explore!Y113</f>
        <v>0</v>
      </c>
      <c r="CV125" s="500">
        <f>-$AF125+$CN125 +Rezone!R125 + IF(home_land=CV$2,CW125) + Explore!Z113</f>
        <v>0</v>
      </c>
      <c r="CW125" s="159">
        <f>IF(Explore!S125=1,25) - N125 + BV125</f>
        <v>0</v>
      </c>
      <c r="CY125" s="152">
        <f t="shared" si="101"/>
        <v>280</v>
      </c>
      <c r="CZ125" s="164">
        <f t="shared" si="102"/>
        <v>150</v>
      </c>
      <c r="DA125" s="16">
        <f t="shared" si="103"/>
        <v>150</v>
      </c>
      <c r="DB125" s="164">
        <f t="shared" si="104"/>
        <v>150</v>
      </c>
      <c r="DC125" s="164">
        <f t="shared" si="105"/>
        <v>150</v>
      </c>
      <c r="DD125" s="16">
        <f t="shared" si="106"/>
        <v>20</v>
      </c>
      <c r="DE125" s="166">
        <f t="shared" si="107"/>
        <v>100</v>
      </c>
      <c r="DF125" s="164">
        <f t="shared" ca="1" si="108"/>
        <v>280</v>
      </c>
      <c r="DG125" s="16">
        <f t="shared" si="109"/>
        <v>0</v>
      </c>
      <c r="DH125" s="16">
        <f t="shared" si="110"/>
        <v>125</v>
      </c>
      <c r="DI125" s="166"/>
    </row>
    <row r="126" spans="1:113" s="16" customFormat="1">
      <c r="A126" s="36">
        <f t="shared" si="87"/>
        <v>620</v>
      </c>
      <c r="B126" s="36">
        <f t="shared" si="88"/>
        <v>380</v>
      </c>
      <c r="C126" s="83">
        <f t="shared" si="89"/>
        <v>0</v>
      </c>
      <c r="D126" s="574"/>
      <c r="E126" s="16">
        <f t="shared" si="90"/>
        <v>1000</v>
      </c>
      <c r="F126" s="86">
        <f t="shared" si="91"/>
        <v>0</v>
      </c>
      <c r="G126" s="37">
        <f t="shared" si="92"/>
        <v>100</v>
      </c>
      <c r="H126" s="247">
        <f t="shared" si="93"/>
        <v>150</v>
      </c>
      <c r="I126" s="38">
        <f t="shared" si="94"/>
        <v>150</v>
      </c>
      <c r="J126" s="39">
        <f t="shared" si="95"/>
        <v>100</v>
      </c>
      <c r="K126" s="40">
        <f t="shared" si="96"/>
        <v>20</v>
      </c>
      <c r="L126" s="500">
        <f t="shared" si="97"/>
        <v>100</v>
      </c>
      <c r="M126" s="635">
        <f>Rezone!J126</f>
        <v>124</v>
      </c>
      <c r="N126" s="356"/>
      <c r="O126" s="348"/>
      <c r="P126" s="348"/>
      <c r="Q126" s="348"/>
      <c r="R126" s="345"/>
      <c r="S126" s="348"/>
      <c r="T126" s="345"/>
      <c r="U126" s="348"/>
      <c r="V126" s="348"/>
      <c r="W126" s="345"/>
      <c r="X126" s="345"/>
      <c r="Y126" s="348"/>
      <c r="Z126" s="345"/>
      <c r="AA126" s="348"/>
      <c r="AB126" s="348"/>
      <c r="AC126" s="345"/>
      <c r="AD126" s="348"/>
      <c r="AE126" s="348"/>
      <c r="AF126" s="336"/>
      <c r="AG126" s="532">
        <f t="shared" si="98"/>
        <v>43697.124999999702</v>
      </c>
      <c r="AH126" s="91">
        <f>MIN(25%,(BG126+CE126)/(E126-Explore!S126*20))</f>
        <v>0</v>
      </c>
      <c r="AI126" s="59">
        <f t="shared" si="83"/>
        <v>0</v>
      </c>
      <c r="AJ126" s="56">
        <f ca="1">Production!$H126</f>
        <v>4257584</v>
      </c>
      <c r="AK126" s="57">
        <f ca="1">Production!$J126</f>
        <v>265217</v>
      </c>
      <c r="AL126" s="152">
        <f ca="1">ROUND( (1 - MIN(facs_constr_factor*$AH126,facs_constr_max)) * (1+MIN(tech_construction*Techs!AC126,tech_conquerors_crafts*Techs!AS126)) * AU126*(1+race_construction_cost),0)</f>
        <v>1615</v>
      </c>
      <c r="AM126" s="166">
        <f t="shared" si="113"/>
        <v>263</v>
      </c>
      <c r="AN126" s="152">
        <f ca="1">ROUND( (1 - MIN(facs_constr_factor*$AI126,facs_constr_max)) * (1+MIN(tech_construction*Techs!AE126,tech_conquerors_crafts*Techs!AU126)) * AU126*(1+race_construction_cost),0)</f>
        <v>1615</v>
      </c>
      <c r="AO126" s="166">
        <f t="shared" si="114"/>
        <v>263</v>
      </c>
      <c r="AP126" s="16">
        <f t="shared" ca="1" si="111"/>
        <v>0</v>
      </c>
      <c r="AQ126" s="53">
        <f t="shared" si="112"/>
        <v>0</v>
      </c>
      <c r="AR126" s="16">
        <f>MIN(SUM(F125:L125)+SUM(Explore!T114:Z114)+SUM(BV126:CN126),SUM($N126:$AF126))</f>
        <v>0</v>
      </c>
      <c r="AS126" s="16">
        <f>IF(Explore!S126&lt;&gt;0,MAX(0, MIN(20, 20 + SUM(N126:AF126) - SUM(BV126:CN126) - SUM(F125:L125)-SUM(Explore!T114:Z114)-20*Explore!S126)),0)</f>
        <v>0</v>
      </c>
      <c r="AU126" s="152">
        <f t="shared" si="85"/>
        <v>1615</v>
      </c>
      <c r="AV126" s="166">
        <f t="shared" si="86"/>
        <v>262.5</v>
      </c>
      <c r="AW126" s="164"/>
      <c r="AX126" s="295">
        <f>AX125 + IF(Overview!$B$14="Gnome",N117,N114) -BV126</f>
        <v>0</v>
      </c>
      <c r="AY126" s="28">
        <f>AY125 + IF(Overview!$B$14="Gnome",O117,O114) -BW126</f>
        <v>0</v>
      </c>
      <c r="AZ126" s="28">
        <f>AZ125 + IF(Overview!$B$14="Gnome",P117,P114) -BX126</f>
        <v>80</v>
      </c>
      <c r="BA126" s="28">
        <f>BA125 + IF(Overview!$B$14="Gnome",Q117,Q114) -BY126</f>
        <v>200</v>
      </c>
      <c r="BB126" s="28">
        <f>BB125 + IF(Overview!$B$14="Gnome",R117,R114) -BZ126</f>
        <v>0</v>
      </c>
      <c r="BC126" s="29">
        <f>BC125 + IF(Overview!$B$14="Gnome",S117,S114) -CA126</f>
        <v>50</v>
      </c>
      <c r="BD126" s="29">
        <f>BD125 + IF(Overview!$B$14="Gnome",T117,T114) -CB126</f>
        <v>0</v>
      </c>
      <c r="BE126" s="30">
        <f>BE125 + IF(Overview!$B$14="Gnome",U117,U114) -CC126</f>
        <v>0</v>
      </c>
      <c r="BF126" s="30">
        <f>BF125 + IF(Overview!$B$14="Gnome",V117,V114) -CD126</f>
        <v>0</v>
      </c>
      <c r="BG126" s="31">
        <f>BG125 + IF(Overview!$B$14="Gnome",W117,W114) -CE126</f>
        <v>0</v>
      </c>
      <c r="BH126" s="31">
        <f>BH125 + IF(Overview!$B$14="Gnome",X117,X114) -CF126</f>
        <v>0</v>
      </c>
      <c r="BI126" s="31">
        <f>BI125 + IF(Overview!$B$14="Gnome",Y117,Y114) -CG126</f>
        <v>0</v>
      </c>
      <c r="BJ126" s="31">
        <f>BJ125 + IF(Overview!$B$14="Gnome",Z117,Z114) -CH126</f>
        <v>0</v>
      </c>
      <c r="BK126" s="32">
        <f>BK125 + IF(Overview!$B$14="Gnome",AA117,AA114) -CI126</f>
        <v>50</v>
      </c>
      <c r="BL126" s="32">
        <f>BL125 + IF(Overview!$B$14="Gnome",AB117,AB114) -CJ126</f>
        <v>0</v>
      </c>
      <c r="BM126" s="32">
        <f>BM125 + IF(Overview!$B$14="Gnome",AC117,AC114) -CK126</f>
        <v>0</v>
      </c>
      <c r="BN126" s="33">
        <f>BN125 + IF(Overview!$B$14="Gnome",AD117,AD114) -CL126</f>
        <v>0</v>
      </c>
      <c r="BO126" s="33">
        <f>BO125 + IF(Overview!$B$14="Gnome",AE117,AE114) -CM126</f>
        <v>0</v>
      </c>
      <c r="BP126" s="69">
        <f>BP125 + IF(Overview!$B$14="Gnome",AF117,AF114) -CN126</f>
        <v>0</v>
      </c>
      <c r="BR126" s="442"/>
      <c r="BS126" s="156">
        <f t="shared" si="99"/>
        <v>1000</v>
      </c>
      <c r="BT126" s="574">
        <f t="shared" si="100"/>
        <v>43697.124999999702</v>
      </c>
      <c r="BV126" s="356"/>
      <c r="BW126" s="348"/>
      <c r="BX126" s="348"/>
      <c r="BY126" s="348"/>
      <c r="BZ126" s="348"/>
      <c r="CA126" s="348"/>
      <c r="CB126" s="348"/>
      <c r="CC126" s="348"/>
      <c r="CD126" s="348"/>
      <c r="CE126" s="348"/>
      <c r="CF126" s="348"/>
      <c r="CG126" s="348"/>
      <c r="CH126" s="348"/>
      <c r="CI126" s="348"/>
      <c r="CJ126" s="348"/>
      <c r="CK126" s="348"/>
      <c r="CL126" s="348"/>
      <c r="CM126" s="360"/>
      <c r="CN126" s="357"/>
      <c r="CP126" s="86">
        <f>-SUM($O126:$R126)+SUM($BW126:BZ126)+Rezone!L126+IF(home_land=CP$2,CW126) + Explore!T114</f>
        <v>0</v>
      </c>
      <c r="CQ126" s="37">
        <f>-SUM($S126:$T126)+SUM($CA126:$CB126) +Rezone!M126 + IF(home_land=CQ$2,CW126) + Explore!U114</f>
        <v>0</v>
      </c>
      <c r="CR126" s="247">
        <f>-SUM($U126:$V126)+SUM($CC126:$CD126) +Rezone!N126 + IF(home_land=CR$2,CW126) + Explore!V114</f>
        <v>0</v>
      </c>
      <c r="CS126" s="38">
        <f>-SUM($W126:$Z126)+SUM($CE126:$CH126) +Rezone!O126 + IF(home_land=CS$2,CW126) + Explore!W114</f>
        <v>0</v>
      </c>
      <c r="CT126" s="39">
        <f>-SUM($AA126:$AC126)+SUM($CI126:$CK126) +Rezone!P126 + IF(home_land=CT$2,CW126) + Explore!X114</f>
        <v>0</v>
      </c>
      <c r="CU126" s="40">
        <f xml:space="preserve"> - SUM($AD126,$AE126)+SUM($CL126,$CM126) +Rezone!Q126 + IF(home_land=CU$2,CW126)+Explore!Y114</f>
        <v>0</v>
      </c>
      <c r="CV126" s="500">
        <f>-$AF126+$CN126 +Rezone!R126 + IF(home_land=CV$2,CW126) + Explore!Z114</f>
        <v>0</v>
      </c>
      <c r="CW126" s="159">
        <f>IF(Explore!S126=1,25) - N126 + BV126</f>
        <v>0</v>
      </c>
      <c r="CY126" s="152">
        <f t="shared" si="101"/>
        <v>280</v>
      </c>
      <c r="CZ126" s="164">
        <f t="shared" si="102"/>
        <v>150</v>
      </c>
      <c r="DA126" s="16">
        <f t="shared" si="103"/>
        <v>150</v>
      </c>
      <c r="DB126" s="164">
        <f t="shared" si="104"/>
        <v>150</v>
      </c>
      <c r="DC126" s="164">
        <f t="shared" si="105"/>
        <v>150</v>
      </c>
      <c r="DD126" s="16">
        <f t="shared" si="106"/>
        <v>20</v>
      </c>
      <c r="DE126" s="166">
        <f t="shared" si="107"/>
        <v>100</v>
      </c>
      <c r="DF126" s="164">
        <f t="shared" ca="1" si="108"/>
        <v>280</v>
      </c>
      <c r="DG126" s="16">
        <f t="shared" si="109"/>
        <v>0</v>
      </c>
      <c r="DH126" s="16">
        <f t="shared" si="110"/>
        <v>126</v>
      </c>
      <c r="DI126" s="166"/>
    </row>
    <row r="127" spans="1:113" s="16" customFormat="1">
      <c r="A127" s="36">
        <f t="shared" si="87"/>
        <v>620</v>
      </c>
      <c r="B127" s="36">
        <f t="shared" si="88"/>
        <v>380</v>
      </c>
      <c r="C127" s="83">
        <f t="shared" si="89"/>
        <v>0</v>
      </c>
      <c r="D127" s="574"/>
      <c r="E127" s="16">
        <f t="shared" si="90"/>
        <v>1000</v>
      </c>
      <c r="F127" s="86">
        <f t="shared" si="91"/>
        <v>0</v>
      </c>
      <c r="G127" s="37">
        <f t="shared" si="92"/>
        <v>100</v>
      </c>
      <c r="H127" s="247">
        <f t="shared" si="93"/>
        <v>150</v>
      </c>
      <c r="I127" s="38">
        <f t="shared" si="94"/>
        <v>150</v>
      </c>
      <c r="J127" s="39">
        <f t="shared" si="95"/>
        <v>100</v>
      </c>
      <c r="K127" s="40">
        <f t="shared" si="96"/>
        <v>20</v>
      </c>
      <c r="L127" s="500">
        <f t="shared" si="97"/>
        <v>100</v>
      </c>
      <c r="M127" s="635">
        <f>Rezone!J127</f>
        <v>125</v>
      </c>
      <c r="N127" s="356"/>
      <c r="O127" s="348"/>
      <c r="P127" s="348"/>
      <c r="Q127" s="348"/>
      <c r="R127" s="345"/>
      <c r="S127" s="348"/>
      <c r="T127" s="345"/>
      <c r="U127" s="348"/>
      <c r="V127" s="348"/>
      <c r="W127" s="345"/>
      <c r="X127" s="345"/>
      <c r="Y127" s="348"/>
      <c r="Z127" s="345"/>
      <c r="AA127" s="348"/>
      <c r="AB127" s="348"/>
      <c r="AC127" s="345"/>
      <c r="AD127" s="348"/>
      <c r="AE127" s="348"/>
      <c r="AF127" s="336"/>
      <c r="AG127" s="532">
        <f t="shared" si="98"/>
        <v>43697.166666666366</v>
      </c>
      <c r="AH127" s="91">
        <f>MIN(25%,(BG127+CE127)/(E127-Explore!S127*20))</f>
        <v>0</v>
      </c>
      <c r="AI127" s="59">
        <f t="shared" si="83"/>
        <v>0</v>
      </c>
      <c r="AJ127" s="56">
        <f ca="1">Production!$H127</f>
        <v>4268235</v>
      </c>
      <c r="AK127" s="57">
        <f ca="1">Production!$J127</f>
        <v>265065</v>
      </c>
      <c r="AL127" s="152">
        <f ca="1">ROUND( (1 - MIN(facs_constr_factor*$AH127,facs_constr_max)) * (1+MIN(tech_construction*Techs!AC127,tech_conquerors_crafts*Techs!AS127)) * AU127*(1+race_construction_cost),0)</f>
        <v>1615</v>
      </c>
      <c r="AM127" s="166">
        <f t="shared" si="113"/>
        <v>263</v>
      </c>
      <c r="AN127" s="152">
        <f ca="1">ROUND( (1 - MIN(facs_constr_factor*$AI127,facs_constr_max)) * (1+MIN(tech_construction*Techs!AE127,tech_conquerors_crafts*Techs!AU127)) * AU127*(1+race_construction_cost),0)</f>
        <v>1615</v>
      </c>
      <c r="AO127" s="166">
        <f t="shared" si="114"/>
        <v>263</v>
      </c>
      <c r="AP127" s="16">
        <f t="shared" ca="1" si="111"/>
        <v>0</v>
      </c>
      <c r="AQ127" s="53">
        <f t="shared" si="112"/>
        <v>0</v>
      </c>
      <c r="AR127" s="16">
        <f>MIN(SUM(F126:L126)+SUM(Explore!T115:Z115)+SUM(BV127:CN127),SUM($N127:$AF127))</f>
        <v>0</v>
      </c>
      <c r="AS127" s="16">
        <f>IF(Explore!S127&lt;&gt;0,MAX(0, MIN(20, 20 + SUM(N127:AF127) - SUM(BV127:CN127) - SUM(F126:L126)-SUM(Explore!T115:Z115)-20*Explore!S127)),0)</f>
        <v>0</v>
      </c>
      <c r="AU127" s="152">
        <f t="shared" si="85"/>
        <v>1615</v>
      </c>
      <c r="AV127" s="166">
        <f t="shared" si="86"/>
        <v>262.5</v>
      </c>
      <c r="AW127" s="164"/>
      <c r="AX127" s="295">
        <f>AX126 + IF(Overview!$B$14="Gnome",N118,N115) -BV127</f>
        <v>0</v>
      </c>
      <c r="AY127" s="28">
        <f>AY126 + IF(Overview!$B$14="Gnome",O118,O115) -BW127</f>
        <v>0</v>
      </c>
      <c r="AZ127" s="28">
        <f>AZ126 + IF(Overview!$B$14="Gnome",P118,P115) -BX127</f>
        <v>80</v>
      </c>
      <c r="BA127" s="28">
        <f>BA126 + IF(Overview!$B$14="Gnome",Q118,Q115) -BY127</f>
        <v>200</v>
      </c>
      <c r="BB127" s="28">
        <f>BB126 + IF(Overview!$B$14="Gnome",R118,R115) -BZ127</f>
        <v>0</v>
      </c>
      <c r="BC127" s="29">
        <f>BC126 + IF(Overview!$B$14="Gnome",S118,S115) -CA127</f>
        <v>50</v>
      </c>
      <c r="BD127" s="29">
        <f>BD126 + IF(Overview!$B$14="Gnome",T118,T115) -CB127</f>
        <v>0</v>
      </c>
      <c r="BE127" s="30">
        <f>BE126 + IF(Overview!$B$14="Gnome",U118,U115) -CC127</f>
        <v>0</v>
      </c>
      <c r="BF127" s="30">
        <f>BF126 + IF(Overview!$B$14="Gnome",V118,V115) -CD127</f>
        <v>0</v>
      </c>
      <c r="BG127" s="31">
        <f>BG126 + IF(Overview!$B$14="Gnome",W118,W115) -CE127</f>
        <v>0</v>
      </c>
      <c r="BH127" s="31">
        <f>BH126 + IF(Overview!$B$14="Gnome",X118,X115) -CF127</f>
        <v>0</v>
      </c>
      <c r="BI127" s="31">
        <f>BI126 + IF(Overview!$B$14="Gnome",Y118,Y115) -CG127</f>
        <v>0</v>
      </c>
      <c r="BJ127" s="31">
        <f>BJ126 + IF(Overview!$B$14="Gnome",Z118,Z115) -CH127</f>
        <v>0</v>
      </c>
      <c r="BK127" s="32">
        <f>BK126 + IF(Overview!$B$14="Gnome",AA118,AA115) -CI127</f>
        <v>50</v>
      </c>
      <c r="BL127" s="32">
        <f>BL126 + IF(Overview!$B$14="Gnome",AB118,AB115) -CJ127</f>
        <v>0</v>
      </c>
      <c r="BM127" s="32">
        <f>BM126 + IF(Overview!$B$14="Gnome",AC118,AC115) -CK127</f>
        <v>0</v>
      </c>
      <c r="BN127" s="33">
        <f>BN126 + IF(Overview!$B$14="Gnome",AD118,AD115) -CL127</f>
        <v>0</v>
      </c>
      <c r="BO127" s="33">
        <f>BO126 + IF(Overview!$B$14="Gnome",AE118,AE115) -CM127</f>
        <v>0</v>
      </c>
      <c r="BP127" s="69">
        <f>BP126 + IF(Overview!$B$14="Gnome",AF118,AF115) -CN127</f>
        <v>0</v>
      </c>
      <c r="BR127" s="442"/>
      <c r="BS127" s="156">
        <f t="shared" si="99"/>
        <v>1000</v>
      </c>
      <c r="BT127" s="574">
        <f t="shared" si="100"/>
        <v>43697.166666666366</v>
      </c>
      <c r="BV127" s="356"/>
      <c r="BW127" s="348"/>
      <c r="BX127" s="348"/>
      <c r="BY127" s="348"/>
      <c r="BZ127" s="348"/>
      <c r="CA127" s="348"/>
      <c r="CB127" s="348"/>
      <c r="CC127" s="348"/>
      <c r="CD127" s="348"/>
      <c r="CE127" s="348"/>
      <c r="CF127" s="348"/>
      <c r="CG127" s="348"/>
      <c r="CH127" s="348"/>
      <c r="CI127" s="348"/>
      <c r="CJ127" s="348"/>
      <c r="CK127" s="348"/>
      <c r="CL127" s="348"/>
      <c r="CM127" s="360"/>
      <c r="CN127" s="357"/>
      <c r="CP127" s="86">
        <f>-SUM($O127:$R127)+SUM($BW127:BZ127)+Rezone!L127+IF(home_land=CP$2,CW127) + Explore!T115</f>
        <v>0</v>
      </c>
      <c r="CQ127" s="37">
        <f>-SUM($S127:$T127)+SUM($CA127:$CB127) +Rezone!M127 + IF(home_land=CQ$2,CW127) + Explore!U115</f>
        <v>0</v>
      </c>
      <c r="CR127" s="247">
        <f>-SUM($U127:$V127)+SUM($CC127:$CD127) +Rezone!N127 + IF(home_land=CR$2,CW127) + Explore!V115</f>
        <v>0</v>
      </c>
      <c r="CS127" s="38">
        <f>-SUM($W127:$Z127)+SUM($CE127:$CH127) +Rezone!O127 + IF(home_land=CS$2,CW127) + Explore!W115</f>
        <v>0</v>
      </c>
      <c r="CT127" s="39">
        <f>-SUM($AA127:$AC127)+SUM($CI127:$CK127) +Rezone!P127 + IF(home_land=CT$2,CW127) + Explore!X115</f>
        <v>0</v>
      </c>
      <c r="CU127" s="40">
        <f xml:space="preserve"> - SUM($AD127,$AE127)+SUM($CL127,$CM127) +Rezone!Q127 + IF(home_land=CU$2,CW127)+Explore!Y115</f>
        <v>0</v>
      </c>
      <c r="CV127" s="500">
        <f>-$AF127+$CN127 +Rezone!R127 + IF(home_land=CV$2,CW127) + Explore!Z115</f>
        <v>0</v>
      </c>
      <c r="CW127" s="159">
        <f>IF(Explore!S127=1,25) - N127 + BV127</f>
        <v>0</v>
      </c>
      <c r="CY127" s="152">
        <f t="shared" si="101"/>
        <v>280</v>
      </c>
      <c r="CZ127" s="164">
        <f t="shared" si="102"/>
        <v>150</v>
      </c>
      <c r="DA127" s="16">
        <f t="shared" si="103"/>
        <v>150</v>
      </c>
      <c r="DB127" s="164">
        <f t="shared" si="104"/>
        <v>150</v>
      </c>
      <c r="DC127" s="164">
        <f t="shared" si="105"/>
        <v>150</v>
      </c>
      <c r="DD127" s="16">
        <f t="shared" si="106"/>
        <v>20</v>
      </c>
      <c r="DE127" s="166">
        <f t="shared" si="107"/>
        <v>100</v>
      </c>
      <c r="DF127" s="164">
        <f t="shared" ca="1" si="108"/>
        <v>280</v>
      </c>
      <c r="DG127" s="16">
        <f t="shared" si="109"/>
        <v>0</v>
      </c>
      <c r="DH127" s="16">
        <f t="shared" si="110"/>
        <v>127</v>
      </c>
      <c r="DI127" s="166"/>
    </row>
    <row r="128" spans="1:113" s="16" customFormat="1">
      <c r="A128" s="36">
        <f t="shared" si="87"/>
        <v>620</v>
      </c>
      <c r="B128" s="36">
        <f t="shared" si="88"/>
        <v>380</v>
      </c>
      <c r="C128" s="83">
        <f t="shared" si="89"/>
        <v>0</v>
      </c>
      <c r="D128" s="574"/>
      <c r="E128" s="16">
        <f t="shared" si="90"/>
        <v>1000</v>
      </c>
      <c r="F128" s="86">
        <f t="shared" si="91"/>
        <v>0</v>
      </c>
      <c r="G128" s="37">
        <f t="shared" si="92"/>
        <v>100</v>
      </c>
      <c r="H128" s="247">
        <f t="shared" si="93"/>
        <v>150</v>
      </c>
      <c r="I128" s="38">
        <f t="shared" si="94"/>
        <v>150</v>
      </c>
      <c r="J128" s="39">
        <f t="shared" si="95"/>
        <v>100</v>
      </c>
      <c r="K128" s="40">
        <f t="shared" si="96"/>
        <v>20</v>
      </c>
      <c r="L128" s="500">
        <f t="shared" si="97"/>
        <v>100</v>
      </c>
      <c r="M128" s="635">
        <f>Rezone!J128</f>
        <v>126</v>
      </c>
      <c r="N128" s="356"/>
      <c r="O128" s="348"/>
      <c r="P128" s="348"/>
      <c r="Q128" s="348"/>
      <c r="R128" s="345"/>
      <c r="S128" s="348"/>
      <c r="T128" s="345"/>
      <c r="U128" s="348"/>
      <c r="V128" s="348"/>
      <c r="W128" s="345"/>
      <c r="X128" s="345"/>
      <c r="Y128" s="348"/>
      <c r="Z128" s="345"/>
      <c r="AA128" s="348"/>
      <c r="AB128" s="348"/>
      <c r="AC128" s="345"/>
      <c r="AD128" s="348"/>
      <c r="AE128" s="348"/>
      <c r="AF128" s="336"/>
      <c r="AG128" s="532">
        <f t="shared" si="98"/>
        <v>43697.20833333303</v>
      </c>
      <c r="AH128" s="91">
        <f>MIN(25%,(BG128+CE128)/(E128-Explore!S128*20))</f>
        <v>0</v>
      </c>
      <c r="AI128" s="59">
        <f t="shared" si="83"/>
        <v>0</v>
      </c>
      <c r="AJ128" s="56">
        <f ca="1">Production!$H128</f>
        <v>4278886</v>
      </c>
      <c r="AK128" s="57">
        <f ca="1">Production!$J128</f>
        <v>264914</v>
      </c>
      <c r="AL128" s="152">
        <f ca="1">ROUND( (1 - MIN(facs_constr_factor*$AH128,facs_constr_max)) * (1+MIN(tech_construction*Techs!AC128,tech_conquerors_crafts*Techs!AS128)) * AU128*(1+race_construction_cost),0)</f>
        <v>1615</v>
      </c>
      <c r="AM128" s="166">
        <f t="shared" si="113"/>
        <v>263</v>
      </c>
      <c r="AN128" s="152">
        <f ca="1">ROUND( (1 - MIN(facs_constr_factor*$AI128,facs_constr_max)) * (1+MIN(tech_construction*Techs!AE128,tech_conquerors_crafts*Techs!AU128)) * AU128*(1+race_construction_cost),0)</f>
        <v>1615</v>
      </c>
      <c r="AO128" s="166">
        <f t="shared" si="114"/>
        <v>263</v>
      </c>
      <c r="AP128" s="16">
        <f t="shared" ca="1" si="111"/>
        <v>0</v>
      </c>
      <c r="AQ128" s="53">
        <f t="shared" si="112"/>
        <v>0</v>
      </c>
      <c r="AR128" s="16">
        <f>MIN(SUM(F127:L127)+SUM(Explore!T116:Z116)+SUM(BV128:CN128),SUM($N128:$AF128))</f>
        <v>0</v>
      </c>
      <c r="AS128" s="16">
        <f>IF(Explore!S128&lt;&gt;0,MAX(0, MIN(20, 20 + SUM(N128:AF128) - SUM(BV128:CN128) - SUM(F127:L127)-SUM(Explore!T116:Z116)-20*Explore!S128)),0)</f>
        <v>0</v>
      </c>
      <c r="AU128" s="152">
        <f t="shared" si="85"/>
        <v>1615</v>
      </c>
      <c r="AV128" s="166">
        <f t="shared" si="86"/>
        <v>262.5</v>
      </c>
      <c r="AW128" s="164"/>
      <c r="AX128" s="295">
        <f>AX127 + IF(Overview!$B$14="Gnome",N119,N116) -BV128</f>
        <v>0</v>
      </c>
      <c r="AY128" s="28">
        <f>AY127 + IF(Overview!$B$14="Gnome",O119,O116) -BW128</f>
        <v>0</v>
      </c>
      <c r="AZ128" s="28">
        <f>AZ127 + IF(Overview!$B$14="Gnome",P119,P116) -BX128</f>
        <v>80</v>
      </c>
      <c r="BA128" s="28">
        <f>BA127 + IF(Overview!$B$14="Gnome",Q119,Q116) -BY128</f>
        <v>200</v>
      </c>
      <c r="BB128" s="28">
        <f>BB127 + IF(Overview!$B$14="Gnome",R119,R116) -BZ128</f>
        <v>0</v>
      </c>
      <c r="BC128" s="29">
        <f>BC127 + IF(Overview!$B$14="Gnome",S119,S116) -CA128</f>
        <v>50</v>
      </c>
      <c r="BD128" s="29">
        <f>BD127 + IF(Overview!$B$14="Gnome",T119,T116) -CB128</f>
        <v>0</v>
      </c>
      <c r="BE128" s="30">
        <f>BE127 + IF(Overview!$B$14="Gnome",U119,U116) -CC128</f>
        <v>0</v>
      </c>
      <c r="BF128" s="30">
        <f>BF127 + IF(Overview!$B$14="Gnome",V119,V116) -CD128</f>
        <v>0</v>
      </c>
      <c r="BG128" s="31">
        <f>BG127 + IF(Overview!$B$14="Gnome",W119,W116) -CE128</f>
        <v>0</v>
      </c>
      <c r="BH128" s="31">
        <f>BH127 + IF(Overview!$B$14="Gnome",X119,X116) -CF128</f>
        <v>0</v>
      </c>
      <c r="BI128" s="31">
        <f>BI127 + IF(Overview!$B$14="Gnome",Y119,Y116) -CG128</f>
        <v>0</v>
      </c>
      <c r="BJ128" s="31">
        <f>BJ127 + IF(Overview!$B$14="Gnome",Z119,Z116) -CH128</f>
        <v>0</v>
      </c>
      <c r="BK128" s="32">
        <f>BK127 + IF(Overview!$B$14="Gnome",AA119,AA116) -CI128</f>
        <v>50</v>
      </c>
      <c r="BL128" s="32">
        <f>BL127 + IF(Overview!$B$14="Gnome",AB119,AB116) -CJ128</f>
        <v>0</v>
      </c>
      <c r="BM128" s="32">
        <f>BM127 + IF(Overview!$B$14="Gnome",AC119,AC116) -CK128</f>
        <v>0</v>
      </c>
      <c r="BN128" s="33">
        <f>BN127 + IF(Overview!$B$14="Gnome",AD119,AD116) -CL128</f>
        <v>0</v>
      </c>
      <c r="BO128" s="33">
        <f>BO127 + IF(Overview!$B$14="Gnome",AE119,AE116) -CM128</f>
        <v>0</v>
      </c>
      <c r="BP128" s="69">
        <f>BP127 + IF(Overview!$B$14="Gnome",AF119,AF116) -CN128</f>
        <v>0</v>
      </c>
      <c r="BR128" s="442"/>
      <c r="BS128" s="156">
        <f t="shared" si="99"/>
        <v>1000</v>
      </c>
      <c r="BT128" s="574">
        <f t="shared" si="100"/>
        <v>43697.20833333303</v>
      </c>
      <c r="BV128" s="356"/>
      <c r="BW128" s="348"/>
      <c r="BX128" s="348"/>
      <c r="BY128" s="348"/>
      <c r="BZ128" s="348"/>
      <c r="CA128" s="348"/>
      <c r="CB128" s="348"/>
      <c r="CC128" s="348"/>
      <c r="CD128" s="348"/>
      <c r="CE128" s="348"/>
      <c r="CF128" s="348"/>
      <c r="CG128" s="348"/>
      <c r="CH128" s="348"/>
      <c r="CI128" s="348"/>
      <c r="CJ128" s="348"/>
      <c r="CK128" s="348"/>
      <c r="CL128" s="348"/>
      <c r="CM128" s="360"/>
      <c r="CN128" s="357"/>
      <c r="CP128" s="86">
        <f>-SUM($O128:$R128)+SUM($BW128:BZ128)+Rezone!L128+IF(home_land=CP$2,CW128) + Explore!T116</f>
        <v>0</v>
      </c>
      <c r="CQ128" s="37">
        <f>-SUM($S128:$T128)+SUM($CA128:$CB128) +Rezone!M128 + IF(home_land=CQ$2,CW128) + Explore!U116</f>
        <v>0</v>
      </c>
      <c r="CR128" s="247">
        <f>-SUM($U128:$V128)+SUM($CC128:$CD128) +Rezone!N128 + IF(home_land=CR$2,CW128) + Explore!V116</f>
        <v>0</v>
      </c>
      <c r="CS128" s="38">
        <f>-SUM($W128:$Z128)+SUM($CE128:$CH128) +Rezone!O128 + IF(home_land=CS$2,CW128) + Explore!W116</f>
        <v>0</v>
      </c>
      <c r="CT128" s="39">
        <f>-SUM($AA128:$AC128)+SUM($CI128:$CK128) +Rezone!P128 + IF(home_land=CT$2,CW128) + Explore!X116</f>
        <v>0</v>
      </c>
      <c r="CU128" s="40">
        <f xml:space="preserve"> - SUM($AD128,$AE128)+SUM($CL128,$CM128) +Rezone!Q128 + IF(home_land=CU$2,CW128)+Explore!Y116</f>
        <v>0</v>
      </c>
      <c r="CV128" s="500">
        <f>-$AF128+$CN128 +Rezone!R128 + IF(home_land=CV$2,CW128) + Explore!Z116</f>
        <v>0</v>
      </c>
      <c r="CW128" s="159">
        <f>IF(Explore!S128=1,25) - N128 + BV128</f>
        <v>0</v>
      </c>
      <c r="CY128" s="152">
        <f t="shared" si="101"/>
        <v>280</v>
      </c>
      <c r="CZ128" s="164">
        <f t="shared" si="102"/>
        <v>150</v>
      </c>
      <c r="DA128" s="16">
        <f t="shared" si="103"/>
        <v>150</v>
      </c>
      <c r="DB128" s="164">
        <f t="shared" si="104"/>
        <v>150</v>
      </c>
      <c r="DC128" s="164">
        <f t="shared" si="105"/>
        <v>150</v>
      </c>
      <c r="DD128" s="16">
        <f t="shared" si="106"/>
        <v>20</v>
      </c>
      <c r="DE128" s="166">
        <f t="shared" si="107"/>
        <v>100</v>
      </c>
      <c r="DF128" s="164">
        <f t="shared" ca="1" si="108"/>
        <v>280</v>
      </c>
      <c r="DG128" s="16">
        <f t="shared" si="109"/>
        <v>0</v>
      </c>
      <c r="DH128" s="16">
        <f t="shared" si="110"/>
        <v>128</v>
      </c>
      <c r="DI128" s="166"/>
    </row>
    <row r="129" spans="1:113" s="16" customFormat="1">
      <c r="A129" s="36">
        <f t="shared" si="87"/>
        <v>620</v>
      </c>
      <c r="B129" s="36">
        <f t="shared" si="88"/>
        <v>380</v>
      </c>
      <c r="C129" s="83">
        <f t="shared" si="89"/>
        <v>0</v>
      </c>
      <c r="D129" s="574"/>
      <c r="E129" s="16">
        <f t="shared" si="90"/>
        <v>1000</v>
      </c>
      <c r="F129" s="86">
        <f t="shared" si="91"/>
        <v>0</v>
      </c>
      <c r="G129" s="37">
        <f t="shared" si="92"/>
        <v>100</v>
      </c>
      <c r="H129" s="247">
        <f t="shared" si="93"/>
        <v>150</v>
      </c>
      <c r="I129" s="38">
        <f t="shared" si="94"/>
        <v>150</v>
      </c>
      <c r="J129" s="39">
        <f t="shared" si="95"/>
        <v>100</v>
      </c>
      <c r="K129" s="40">
        <f t="shared" si="96"/>
        <v>20</v>
      </c>
      <c r="L129" s="500">
        <f t="shared" si="97"/>
        <v>100</v>
      </c>
      <c r="M129" s="635">
        <f>Rezone!J129</f>
        <v>127</v>
      </c>
      <c r="N129" s="356"/>
      <c r="O129" s="348"/>
      <c r="P129" s="348"/>
      <c r="Q129" s="348"/>
      <c r="R129" s="345"/>
      <c r="S129" s="348"/>
      <c r="T129" s="345"/>
      <c r="U129" s="348"/>
      <c r="V129" s="348"/>
      <c r="W129" s="345"/>
      <c r="X129" s="345"/>
      <c r="Y129" s="348"/>
      <c r="Z129" s="345"/>
      <c r="AA129" s="348"/>
      <c r="AB129" s="348"/>
      <c r="AC129" s="345"/>
      <c r="AD129" s="348"/>
      <c r="AE129" s="348"/>
      <c r="AF129" s="336"/>
      <c r="AG129" s="532">
        <f t="shared" si="98"/>
        <v>43697.249999999694</v>
      </c>
      <c r="AH129" s="91">
        <f>MIN(25%,(BG129+CE129)/(E129-Explore!S129*20))</f>
        <v>0</v>
      </c>
      <c r="AI129" s="59">
        <f t="shared" si="83"/>
        <v>0</v>
      </c>
      <c r="AJ129" s="56">
        <f ca="1">Production!$H129</f>
        <v>4289537</v>
      </c>
      <c r="AK129" s="57">
        <f ca="1">Production!$J129</f>
        <v>264765</v>
      </c>
      <c r="AL129" s="152">
        <f ca="1">ROUND( (1 - MIN(facs_constr_factor*$AH129,facs_constr_max)) * (1+MIN(tech_construction*Techs!AC129,tech_conquerors_crafts*Techs!AS129)) * AU129*(1+race_construction_cost),0)</f>
        <v>1615</v>
      </c>
      <c r="AM129" s="166">
        <f t="shared" si="113"/>
        <v>263</v>
      </c>
      <c r="AN129" s="152">
        <f ca="1">ROUND( (1 - MIN(facs_constr_factor*$AI129,facs_constr_max)) * (1+MIN(tech_construction*Techs!AE129,tech_conquerors_crafts*Techs!AU129)) * AU129*(1+race_construction_cost),0)</f>
        <v>1615</v>
      </c>
      <c r="AO129" s="166">
        <f t="shared" si="114"/>
        <v>263</v>
      </c>
      <c r="AP129" s="16">
        <f t="shared" ca="1" si="111"/>
        <v>0</v>
      </c>
      <c r="AQ129" s="53">
        <f t="shared" si="112"/>
        <v>0</v>
      </c>
      <c r="AR129" s="16">
        <f>MIN(SUM(F128:L128)+SUM(Explore!T117:Z117)+SUM(BV129:CN129),SUM($N129:$AF129))</f>
        <v>0</v>
      </c>
      <c r="AS129" s="16">
        <f>IF(Explore!S129&lt;&gt;0,MAX(0, MIN(20, 20 + SUM(N129:AF129) - SUM(BV129:CN129) - SUM(F128:L128)-SUM(Explore!T117:Z117)-20*Explore!S129)),0)</f>
        <v>0</v>
      </c>
      <c r="AU129" s="152">
        <f t="shared" si="85"/>
        <v>1615</v>
      </c>
      <c r="AV129" s="166">
        <f t="shared" si="86"/>
        <v>262.5</v>
      </c>
      <c r="AW129" s="164"/>
      <c r="AX129" s="295">
        <f>AX128 + IF(Overview!$B$14="Gnome",N120,N117) -BV129</f>
        <v>0</v>
      </c>
      <c r="AY129" s="28">
        <f>AY128 + IF(Overview!$B$14="Gnome",O120,O117) -BW129</f>
        <v>0</v>
      </c>
      <c r="AZ129" s="28">
        <f>AZ128 + IF(Overview!$B$14="Gnome",P120,P117) -BX129</f>
        <v>80</v>
      </c>
      <c r="BA129" s="28">
        <f>BA128 + IF(Overview!$B$14="Gnome",Q120,Q117) -BY129</f>
        <v>200</v>
      </c>
      <c r="BB129" s="28">
        <f>BB128 + IF(Overview!$B$14="Gnome",R120,R117) -BZ129</f>
        <v>0</v>
      </c>
      <c r="BC129" s="29">
        <f>BC128 + IF(Overview!$B$14="Gnome",S120,S117) -CA129</f>
        <v>50</v>
      </c>
      <c r="BD129" s="29">
        <f>BD128 + IF(Overview!$B$14="Gnome",T120,T117) -CB129</f>
        <v>0</v>
      </c>
      <c r="BE129" s="30">
        <f>BE128 + IF(Overview!$B$14="Gnome",U120,U117) -CC129</f>
        <v>0</v>
      </c>
      <c r="BF129" s="30">
        <f>BF128 + IF(Overview!$B$14="Gnome",V120,V117) -CD129</f>
        <v>0</v>
      </c>
      <c r="BG129" s="31">
        <f>BG128 + IF(Overview!$B$14="Gnome",W120,W117) -CE129</f>
        <v>0</v>
      </c>
      <c r="BH129" s="31">
        <f>BH128 + IF(Overview!$B$14="Gnome",X120,X117) -CF129</f>
        <v>0</v>
      </c>
      <c r="BI129" s="31">
        <f>BI128 + IF(Overview!$B$14="Gnome",Y120,Y117) -CG129</f>
        <v>0</v>
      </c>
      <c r="BJ129" s="31">
        <f>BJ128 + IF(Overview!$B$14="Gnome",Z120,Z117) -CH129</f>
        <v>0</v>
      </c>
      <c r="BK129" s="32">
        <f>BK128 + IF(Overview!$B$14="Gnome",AA120,AA117) -CI129</f>
        <v>50</v>
      </c>
      <c r="BL129" s="32">
        <f>BL128 + IF(Overview!$B$14="Gnome",AB120,AB117) -CJ129</f>
        <v>0</v>
      </c>
      <c r="BM129" s="32">
        <f>BM128 + IF(Overview!$B$14="Gnome",AC120,AC117) -CK129</f>
        <v>0</v>
      </c>
      <c r="BN129" s="33">
        <f>BN128 + IF(Overview!$B$14="Gnome",AD120,AD117) -CL129</f>
        <v>0</v>
      </c>
      <c r="BO129" s="33">
        <f>BO128 + IF(Overview!$B$14="Gnome",AE120,AE117) -CM129</f>
        <v>0</v>
      </c>
      <c r="BP129" s="69">
        <f>BP128 + IF(Overview!$B$14="Gnome",AF120,AF117) -CN129</f>
        <v>0</v>
      </c>
      <c r="BR129" s="442"/>
      <c r="BS129" s="156">
        <f t="shared" si="99"/>
        <v>1000</v>
      </c>
      <c r="BT129" s="574">
        <f t="shared" si="100"/>
        <v>43697.249999999694</v>
      </c>
      <c r="BV129" s="356"/>
      <c r="BW129" s="348"/>
      <c r="BX129" s="348"/>
      <c r="BY129" s="348"/>
      <c r="BZ129" s="348"/>
      <c r="CA129" s="348"/>
      <c r="CB129" s="348"/>
      <c r="CC129" s="348"/>
      <c r="CD129" s="348"/>
      <c r="CE129" s="348"/>
      <c r="CF129" s="348"/>
      <c r="CG129" s="348"/>
      <c r="CH129" s="348"/>
      <c r="CI129" s="348"/>
      <c r="CJ129" s="348"/>
      <c r="CK129" s="348"/>
      <c r="CL129" s="348"/>
      <c r="CM129" s="360"/>
      <c r="CN129" s="357"/>
      <c r="CP129" s="86">
        <f>-SUM($O129:$R129)+SUM($BW129:BZ129)+Rezone!L129+IF(home_land=CP$2,CW129) + Explore!T117</f>
        <v>0</v>
      </c>
      <c r="CQ129" s="37">
        <f>-SUM($S129:$T129)+SUM($CA129:$CB129) +Rezone!M129 + IF(home_land=CQ$2,CW129) + Explore!U117</f>
        <v>0</v>
      </c>
      <c r="CR129" s="247">
        <f>-SUM($U129:$V129)+SUM($CC129:$CD129) +Rezone!N129 + IF(home_land=CR$2,CW129) + Explore!V117</f>
        <v>0</v>
      </c>
      <c r="CS129" s="38">
        <f>-SUM($W129:$Z129)+SUM($CE129:$CH129) +Rezone!O129 + IF(home_land=CS$2,CW129) + Explore!W117</f>
        <v>0</v>
      </c>
      <c r="CT129" s="39">
        <f>-SUM($AA129:$AC129)+SUM($CI129:$CK129) +Rezone!P129 + IF(home_land=CT$2,CW129) + Explore!X117</f>
        <v>0</v>
      </c>
      <c r="CU129" s="40">
        <f xml:space="preserve"> - SUM($AD129,$AE129)+SUM($CL129,$CM129) +Rezone!Q129 + IF(home_land=CU$2,CW129)+Explore!Y117</f>
        <v>0</v>
      </c>
      <c r="CV129" s="500">
        <f>-$AF129+$CN129 +Rezone!R129 + IF(home_land=CV$2,CW129) + Explore!Z117</f>
        <v>0</v>
      </c>
      <c r="CW129" s="159">
        <f>IF(Explore!S129=1,25) - N129 + BV129</f>
        <v>0</v>
      </c>
      <c r="CY129" s="152">
        <f t="shared" si="101"/>
        <v>280</v>
      </c>
      <c r="CZ129" s="164">
        <f t="shared" si="102"/>
        <v>150</v>
      </c>
      <c r="DA129" s="16">
        <f t="shared" si="103"/>
        <v>150</v>
      </c>
      <c r="DB129" s="164">
        <f t="shared" si="104"/>
        <v>150</v>
      </c>
      <c r="DC129" s="164">
        <f t="shared" si="105"/>
        <v>150</v>
      </c>
      <c r="DD129" s="16">
        <f t="shared" si="106"/>
        <v>20</v>
      </c>
      <c r="DE129" s="166">
        <f t="shared" si="107"/>
        <v>100</v>
      </c>
      <c r="DF129" s="164">
        <f t="shared" ca="1" si="108"/>
        <v>280</v>
      </c>
      <c r="DG129" s="16">
        <f t="shared" si="109"/>
        <v>0</v>
      </c>
      <c r="DH129" s="16">
        <f t="shared" si="110"/>
        <v>129</v>
      </c>
      <c r="DI129" s="166"/>
    </row>
    <row r="130" spans="1:113" s="16" customFormat="1">
      <c r="A130" s="36">
        <f t="shared" si="87"/>
        <v>620</v>
      </c>
      <c r="B130" s="36">
        <f t="shared" si="88"/>
        <v>380</v>
      </c>
      <c r="C130" s="83">
        <f t="shared" si="89"/>
        <v>0</v>
      </c>
      <c r="D130" s="574"/>
      <c r="E130" s="16">
        <f t="shared" si="90"/>
        <v>1000</v>
      </c>
      <c r="F130" s="86">
        <f t="shared" si="91"/>
        <v>0</v>
      </c>
      <c r="G130" s="37">
        <f t="shared" si="92"/>
        <v>100</v>
      </c>
      <c r="H130" s="247">
        <f t="shared" si="93"/>
        <v>150</v>
      </c>
      <c r="I130" s="38">
        <f t="shared" si="94"/>
        <v>150</v>
      </c>
      <c r="J130" s="39">
        <f t="shared" si="95"/>
        <v>100</v>
      </c>
      <c r="K130" s="40">
        <f t="shared" si="96"/>
        <v>20</v>
      </c>
      <c r="L130" s="500">
        <f t="shared" si="97"/>
        <v>100</v>
      </c>
      <c r="M130" s="635">
        <f>Rezone!J130</f>
        <v>128</v>
      </c>
      <c r="N130" s="356"/>
      <c r="O130" s="348"/>
      <c r="P130" s="348"/>
      <c r="Q130" s="348"/>
      <c r="R130" s="345"/>
      <c r="S130" s="348"/>
      <c r="T130" s="345"/>
      <c r="U130" s="348"/>
      <c r="V130" s="348"/>
      <c r="W130" s="345"/>
      <c r="X130" s="345"/>
      <c r="Y130" s="348"/>
      <c r="Z130" s="345"/>
      <c r="AA130" s="348"/>
      <c r="AB130" s="348"/>
      <c r="AC130" s="345"/>
      <c r="AD130" s="348"/>
      <c r="AE130" s="348"/>
      <c r="AF130" s="336"/>
      <c r="AG130" s="532">
        <f t="shared" si="98"/>
        <v>43697.291666666359</v>
      </c>
      <c r="AH130" s="91">
        <f>MIN(25%,(BG130+CE130)/(E130-Explore!S130*20))</f>
        <v>0</v>
      </c>
      <c r="AI130" s="59">
        <f t="shared" si="83"/>
        <v>0</v>
      </c>
      <c r="AJ130" s="56">
        <f ca="1">Production!$H130</f>
        <v>4300188</v>
      </c>
      <c r="AK130" s="57">
        <f ca="1">Production!$J130</f>
        <v>264617</v>
      </c>
      <c r="AL130" s="152">
        <f ca="1">ROUND( (1 - MIN(facs_constr_factor*$AH130,facs_constr_max)) * (1+MIN(tech_construction*Techs!AC130,tech_conquerors_crafts*Techs!AS130)) * AU130*(1+race_construction_cost),0)</f>
        <v>1615</v>
      </c>
      <c r="AM130" s="166">
        <f t="shared" si="113"/>
        <v>263</v>
      </c>
      <c r="AN130" s="152">
        <f ca="1">ROUND( (1 - MIN(facs_constr_factor*$AI130,facs_constr_max)) * (1+MIN(tech_construction*Techs!AE130,tech_conquerors_crafts*Techs!AU130)) * AU130*(1+race_construction_cost),0)</f>
        <v>1615</v>
      </c>
      <c r="AO130" s="166">
        <f t="shared" si="114"/>
        <v>263</v>
      </c>
      <c r="AP130" s="16">
        <f t="shared" ca="1" si="111"/>
        <v>0</v>
      </c>
      <c r="AQ130" s="53">
        <f t="shared" si="112"/>
        <v>0</v>
      </c>
      <c r="AR130" s="16">
        <f>MIN(SUM(F129:L129)+SUM(Explore!T118:Z118)+SUM(BV130:CN130),SUM($N130:$AF130))</f>
        <v>0</v>
      </c>
      <c r="AS130" s="16">
        <f>IF(Explore!S130&lt;&gt;0,MAX(0, MIN(20, 20 + SUM(N130:AF130) - SUM(BV130:CN130) - SUM(F129:L129)-SUM(Explore!T118:Z118)-20*Explore!S130)),0)</f>
        <v>0</v>
      </c>
      <c r="AU130" s="152">
        <f t="shared" si="85"/>
        <v>1615</v>
      </c>
      <c r="AV130" s="166">
        <f t="shared" si="86"/>
        <v>262.5</v>
      </c>
      <c r="AW130" s="164"/>
      <c r="AX130" s="295">
        <f>AX129 + IF(Overview!$B$14="Gnome",N121,N118) -BV130</f>
        <v>0</v>
      </c>
      <c r="AY130" s="28">
        <f>AY129 + IF(Overview!$B$14="Gnome",O121,O118) -BW130</f>
        <v>0</v>
      </c>
      <c r="AZ130" s="28">
        <f>AZ129 + IF(Overview!$B$14="Gnome",P121,P118) -BX130</f>
        <v>80</v>
      </c>
      <c r="BA130" s="28">
        <f>BA129 + IF(Overview!$B$14="Gnome",Q121,Q118) -BY130</f>
        <v>200</v>
      </c>
      <c r="BB130" s="28">
        <f>BB129 + IF(Overview!$B$14="Gnome",R121,R118) -BZ130</f>
        <v>0</v>
      </c>
      <c r="BC130" s="29">
        <f>BC129 + IF(Overview!$B$14="Gnome",S121,S118) -CA130</f>
        <v>50</v>
      </c>
      <c r="BD130" s="29">
        <f>BD129 + IF(Overview!$B$14="Gnome",T121,T118) -CB130</f>
        <v>0</v>
      </c>
      <c r="BE130" s="30">
        <f>BE129 + IF(Overview!$B$14="Gnome",U121,U118) -CC130</f>
        <v>0</v>
      </c>
      <c r="BF130" s="30">
        <f>BF129 + IF(Overview!$B$14="Gnome",V121,V118) -CD130</f>
        <v>0</v>
      </c>
      <c r="BG130" s="31">
        <f>BG129 + IF(Overview!$B$14="Gnome",W121,W118) -CE130</f>
        <v>0</v>
      </c>
      <c r="BH130" s="31">
        <f>BH129 + IF(Overview!$B$14="Gnome",X121,X118) -CF130</f>
        <v>0</v>
      </c>
      <c r="BI130" s="31">
        <f>BI129 + IF(Overview!$B$14="Gnome",Y121,Y118) -CG130</f>
        <v>0</v>
      </c>
      <c r="BJ130" s="31">
        <f>BJ129 + IF(Overview!$B$14="Gnome",Z121,Z118) -CH130</f>
        <v>0</v>
      </c>
      <c r="BK130" s="32">
        <f>BK129 + IF(Overview!$B$14="Gnome",AA121,AA118) -CI130</f>
        <v>50</v>
      </c>
      <c r="BL130" s="32">
        <f>BL129 + IF(Overview!$B$14="Gnome",AB121,AB118) -CJ130</f>
        <v>0</v>
      </c>
      <c r="BM130" s="32">
        <f>BM129 + IF(Overview!$B$14="Gnome",AC121,AC118) -CK130</f>
        <v>0</v>
      </c>
      <c r="BN130" s="33">
        <f>BN129 + IF(Overview!$B$14="Gnome",AD121,AD118) -CL130</f>
        <v>0</v>
      </c>
      <c r="BO130" s="33">
        <f>BO129 + IF(Overview!$B$14="Gnome",AE121,AE118) -CM130</f>
        <v>0</v>
      </c>
      <c r="BP130" s="69">
        <f>BP129 + IF(Overview!$B$14="Gnome",AF121,AF118) -CN130</f>
        <v>0</v>
      </c>
      <c r="BR130" s="442"/>
      <c r="BS130" s="156">
        <f t="shared" si="99"/>
        <v>1000</v>
      </c>
      <c r="BT130" s="574">
        <f t="shared" si="100"/>
        <v>43697.291666666359</v>
      </c>
      <c r="BV130" s="356"/>
      <c r="BW130" s="348"/>
      <c r="BX130" s="348"/>
      <c r="BY130" s="348"/>
      <c r="BZ130" s="348"/>
      <c r="CA130" s="348"/>
      <c r="CB130" s="348"/>
      <c r="CC130" s="348"/>
      <c r="CD130" s="348"/>
      <c r="CE130" s="348"/>
      <c r="CF130" s="348"/>
      <c r="CG130" s="348"/>
      <c r="CH130" s="348"/>
      <c r="CI130" s="348"/>
      <c r="CJ130" s="348"/>
      <c r="CK130" s="348"/>
      <c r="CL130" s="348"/>
      <c r="CM130" s="360"/>
      <c r="CN130" s="357"/>
      <c r="CP130" s="86">
        <f>-SUM($O130:$R130)+SUM($BW130:BZ130)+Rezone!L130+IF(home_land=CP$2,CW130) + Explore!T118</f>
        <v>0</v>
      </c>
      <c r="CQ130" s="37">
        <f>-SUM($S130:$T130)+SUM($CA130:$CB130) +Rezone!M130 + IF(home_land=CQ$2,CW130) + Explore!U118</f>
        <v>0</v>
      </c>
      <c r="CR130" s="247">
        <f>-SUM($U130:$V130)+SUM($CC130:$CD130) +Rezone!N130 + IF(home_land=CR$2,CW130) + Explore!V118</f>
        <v>0</v>
      </c>
      <c r="CS130" s="38">
        <f>-SUM($W130:$Z130)+SUM($CE130:$CH130) +Rezone!O130 + IF(home_land=CS$2,CW130) + Explore!W118</f>
        <v>0</v>
      </c>
      <c r="CT130" s="39">
        <f>-SUM($AA130:$AC130)+SUM($CI130:$CK130) +Rezone!P130 + IF(home_land=CT$2,CW130) + Explore!X118</f>
        <v>0</v>
      </c>
      <c r="CU130" s="40">
        <f xml:space="preserve"> - SUM($AD130,$AE130)+SUM($CL130,$CM130) +Rezone!Q130 + IF(home_land=CU$2,CW130)+Explore!Y118</f>
        <v>0</v>
      </c>
      <c r="CV130" s="500">
        <f>-$AF130+$CN130 +Rezone!R130 + IF(home_land=CV$2,CW130) + Explore!Z118</f>
        <v>0</v>
      </c>
      <c r="CW130" s="159">
        <f>IF(Explore!S130=1,25) - N130 + BV130</f>
        <v>0</v>
      </c>
      <c r="CY130" s="152">
        <f t="shared" si="101"/>
        <v>280</v>
      </c>
      <c r="CZ130" s="164">
        <f t="shared" si="102"/>
        <v>150</v>
      </c>
      <c r="DA130" s="16">
        <f t="shared" si="103"/>
        <v>150</v>
      </c>
      <c r="DB130" s="164">
        <f t="shared" si="104"/>
        <v>150</v>
      </c>
      <c r="DC130" s="164">
        <f t="shared" si="105"/>
        <v>150</v>
      </c>
      <c r="DD130" s="16">
        <f t="shared" si="106"/>
        <v>20</v>
      </c>
      <c r="DE130" s="166">
        <f t="shared" si="107"/>
        <v>100</v>
      </c>
      <c r="DF130" s="164">
        <f t="shared" ca="1" si="108"/>
        <v>280</v>
      </c>
      <c r="DG130" s="16">
        <f t="shared" si="109"/>
        <v>0</v>
      </c>
      <c r="DH130" s="16">
        <f t="shared" si="110"/>
        <v>130</v>
      </c>
      <c r="DI130" s="166"/>
    </row>
    <row r="131" spans="1:113" s="16" customFormat="1">
      <c r="A131" s="36">
        <f t="shared" si="87"/>
        <v>620</v>
      </c>
      <c r="B131" s="36">
        <f t="shared" si="88"/>
        <v>380</v>
      </c>
      <c r="C131" s="83">
        <f t="shared" si="89"/>
        <v>0</v>
      </c>
      <c r="D131" s="574"/>
      <c r="E131" s="16">
        <f t="shared" si="90"/>
        <v>1000</v>
      </c>
      <c r="F131" s="86">
        <f t="shared" si="91"/>
        <v>0</v>
      </c>
      <c r="G131" s="37">
        <f t="shared" si="92"/>
        <v>100</v>
      </c>
      <c r="H131" s="247">
        <f t="shared" si="93"/>
        <v>150</v>
      </c>
      <c r="I131" s="38">
        <f t="shared" si="94"/>
        <v>150</v>
      </c>
      <c r="J131" s="39">
        <f t="shared" si="95"/>
        <v>100</v>
      </c>
      <c r="K131" s="40">
        <f t="shared" si="96"/>
        <v>20</v>
      </c>
      <c r="L131" s="500">
        <f t="shared" si="97"/>
        <v>100</v>
      </c>
      <c r="M131" s="635">
        <f>Rezone!J131</f>
        <v>129</v>
      </c>
      <c r="N131" s="356"/>
      <c r="O131" s="348"/>
      <c r="P131" s="348"/>
      <c r="Q131" s="348"/>
      <c r="R131" s="345"/>
      <c r="S131" s="348"/>
      <c r="T131" s="345"/>
      <c r="U131" s="348"/>
      <c r="V131" s="348"/>
      <c r="W131" s="345"/>
      <c r="X131" s="345"/>
      <c r="Y131" s="348"/>
      <c r="Z131" s="345"/>
      <c r="AA131" s="348"/>
      <c r="AB131" s="348"/>
      <c r="AC131" s="345"/>
      <c r="AD131" s="348"/>
      <c r="AE131" s="348"/>
      <c r="AF131" s="336"/>
      <c r="AG131" s="532">
        <f t="shared" si="98"/>
        <v>43697.333333333023</v>
      </c>
      <c r="AH131" s="91">
        <f>MIN(25%,(BG131+CE131)/(E131-Explore!S131*20))</f>
        <v>0</v>
      </c>
      <c r="AI131" s="59">
        <f t="shared" si="83"/>
        <v>0</v>
      </c>
      <c r="AJ131" s="56">
        <f ca="1">Production!$H131</f>
        <v>4310839</v>
      </c>
      <c r="AK131" s="57">
        <f ca="1">Production!$J131</f>
        <v>264471</v>
      </c>
      <c r="AL131" s="152">
        <f ca="1">ROUND( (1 - MIN(facs_constr_factor*$AH131,facs_constr_max)) * (1+MIN(tech_construction*Techs!AC131,tech_conquerors_crafts*Techs!AS131)) * AU131*(1+race_construction_cost),0)</f>
        <v>1615</v>
      </c>
      <c r="AM131" s="166">
        <f t="shared" si="113"/>
        <v>263</v>
      </c>
      <c r="AN131" s="152">
        <f ca="1">ROUND( (1 - MIN(facs_constr_factor*$AI131,facs_constr_max)) * (1+MIN(tech_construction*Techs!AE131,tech_conquerors_crafts*Techs!AU131)) * AU131*(1+race_construction_cost),0)</f>
        <v>1615</v>
      </c>
      <c r="AO131" s="166">
        <f t="shared" si="114"/>
        <v>263</v>
      </c>
      <c r="AP131" s="16">
        <f t="shared" ca="1" si="111"/>
        <v>0</v>
      </c>
      <c r="AQ131" s="53">
        <f t="shared" si="112"/>
        <v>0</v>
      </c>
      <c r="AR131" s="16">
        <f>MIN(SUM(F130:L130)+SUM(Explore!T119:Z119)+SUM(BV131:CN131),SUM($N131:$AF131))</f>
        <v>0</v>
      </c>
      <c r="AS131" s="16">
        <f>IF(Explore!S131&lt;&gt;0,MAX(0, MIN(20, 20 + SUM(N131:AF131) - SUM(BV131:CN131) - SUM(F130:L130)-SUM(Explore!T119:Z119)-20*Explore!S131)),0)</f>
        <v>0</v>
      </c>
      <c r="AU131" s="152">
        <f t="shared" si="85"/>
        <v>1615</v>
      </c>
      <c r="AV131" s="166">
        <f t="shared" si="86"/>
        <v>262.5</v>
      </c>
      <c r="AW131" s="164"/>
      <c r="AX131" s="295">
        <f>AX130 + IF(Overview!$B$14="Gnome",N122,N119) -BV131</f>
        <v>0</v>
      </c>
      <c r="AY131" s="28">
        <f>AY130 + IF(Overview!$B$14="Gnome",O122,O119) -BW131</f>
        <v>0</v>
      </c>
      <c r="AZ131" s="28">
        <f>AZ130 + IF(Overview!$B$14="Gnome",P122,P119) -BX131</f>
        <v>80</v>
      </c>
      <c r="BA131" s="28">
        <f>BA130 + IF(Overview!$B$14="Gnome",Q122,Q119) -BY131</f>
        <v>200</v>
      </c>
      <c r="BB131" s="28">
        <f>BB130 + IF(Overview!$B$14="Gnome",R122,R119) -BZ131</f>
        <v>0</v>
      </c>
      <c r="BC131" s="29">
        <f>BC130 + IF(Overview!$B$14="Gnome",S122,S119) -CA131</f>
        <v>50</v>
      </c>
      <c r="BD131" s="29">
        <f>BD130 + IF(Overview!$B$14="Gnome",T122,T119) -CB131</f>
        <v>0</v>
      </c>
      <c r="BE131" s="30">
        <f>BE130 + IF(Overview!$B$14="Gnome",U122,U119) -CC131</f>
        <v>0</v>
      </c>
      <c r="BF131" s="30">
        <f>BF130 + IF(Overview!$B$14="Gnome",V122,V119) -CD131</f>
        <v>0</v>
      </c>
      <c r="BG131" s="31">
        <f>BG130 + IF(Overview!$B$14="Gnome",W122,W119) -CE131</f>
        <v>0</v>
      </c>
      <c r="BH131" s="31">
        <f>BH130 + IF(Overview!$B$14="Gnome",X122,X119) -CF131</f>
        <v>0</v>
      </c>
      <c r="BI131" s="31">
        <f>BI130 + IF(Overview!$B$14="Gnome",Y122,Y119) -CG131</f>
        <v>0</v>
      </c>
      <c r="BJ131" s="31">
        <f>BJ130 + IF(Overview!$B$14="Gnome",Z122,Z119) -CH131</f>
        <v>0</v>
      </c>
      <c r="BK131" s="32">
        <f>BK130 + IF(Overview!$B$14="Gnome",AA122,AA119) -CI131</f>
        <v>50</v>
      </c>
      <c r="BL131" s="32">
        <f>BL130 + IF(Overview!$B$14="Gnome",AB122,AB119) -CJ131</f>
        <v>0</v>
      </c>
      <c r="BM131" s="32">
        <f>BM130 + IF(Overview!$B$14="Gnome",AC122,AC119) -CK131</f>
        <v>0</v>
      </c>
      <c r="BN131" s="33">
        <f>BN130 + IF(Overview!$B$14="Gnome",AD122,AD119) -CL131</f>
        <v>0</v>
      </c>
      <c r="BO131" s="33">
        <f>BO130 + IF(Overview!$B$14="Gnome",AE122,AE119) -CM131</f>
        <v>0</v>
      </c>
      <c r="BP131" s="69">
        <f>BP130 + IF(Overview!$B$14="Gnome",AF122,AF119) -CN131</f>
        <v>0</v>
      </c>
      <c r="BR131" s="442"/>
      <c r="BS131" s="156">
        <f t="shared" si="99"/>
        <v>1000</v>
      </c>
      <c r="BT131" s="574">
        <f t="shared" si="100"/>
        <v>43697.333333333023</v>
      </c>
      <c r="BV131" s="356"/>
      <c r="BW131" s="348"/>
      <c r="BX131" s="348"/>
      <c r="BY131" s="348"/>
      <c r="BZ131" s="348"/>
      <c r="CA131" s="348"/>
      <c r="CB131" s="348"/>
      <c r="CC131" s="348"/>
      <c r="CD131" s="348"/>
      <c r="CE131" s="348"/>
      <c r="CF131" s="348"/>
      <c r="CG131" s="348"/>
      <c r="CH131" s="348"/>
      <c r="CI131" s="348"/>
      <c r="CJ131" s="348"/>
      <c r="CK131" s="348"/>
      <c r="CL131" s="348"/>
      <c r="CM131" s="360"/>
      <c r="CN131" s="357"/>
      <c r="CP131" s="86">
        <f>-SUM($O131:$R131)+SUM($BW131:BZ131)+Rezone!L131+IF(home_land=CP$2,CW131) + Explore!T119</f>
        <v>0</v>
      </c>
      <c r="CQ131" s="37">
        <f>-SUM($S131:$T131)+SUM($CA131:$CB131) +Rezone!M131 + IF(home_land=CQ$2,CW131) + Explore!U119</f>
        <v>0</v>
      </c>
      <c r="CR131" s="247">
        <f>-SUM($U131:$V131)+SUM($CC131:$CD131) +Rezone!N131 + IF(home_land=CR$2,CW131) + Explore!V119</f>
        <v>0</v>
      </c>
      <c r="CS131" s="38">
        <f>-SUM($W131:$Z131)+SUM($CE131:$CH131) +Rezone!O131 + IF(home_land=CS$2,CW131) + Explore!W119</f>
        <v>0</v>
      </c>
      <c r="CT131" s="39">
        <f>-SUM($AA131:$AC131)+SUM($CI131:$CK131) +Rezone!P131 + IF(home_land=CT$2,CW131) + Explore!X119</f>
        <v>0</v>
      </c>
      <c r="CU131" s="40">
        <f xml:space="preserve"> - SUM($AD131,$AE131)+SUM($CL131,$CM131) +Rezone!Q131 + IF(home_land=CU$2,CW131)+Explore!Y119</f>
        <v>0</v>
      </c>
      <c r="CV131" s="500">
        <f>-$AF131+$CN131 +Rezone!R131 + IF(home_land=CV$2,CW131) + Explore!Z119</f>
        <v>0</v>
      </c>
      <c r="CW131" s="159">
        <f>IF(Explore!S131=1,25) - N131 + BV131</f>
        <v>0</v>
      </c>
      <c r="CY131" s="152">
        <f t="shared" si="101"/>
        <v>280</v>
      </c>
      <c r="CZ131" s="164">
        <f t="shared" si="102"/>
        <v>150</v>
      </c>
      <c r="DA131" s="16">
        <f t="shared" si="103"/>
        <v>150</v>
      </c>
      <c r="DB131" s="164">
        <f t="shared" si="104"/>
        <v>150</v>
      </c>
      <c r="DC131" s="164">
        <f t="shared" si="105"/>
        <v>150</v>
      </c>
      <c r="DD131" s="16">
        <f t="shared" si="106"/>
        <v>20</v>
      </c>
      <c r="DE131" s="166">
        <f t="shared" si="107"/>
        <v>100</v>
      </c>
      <c r="DF131" s="164">
        <f t="shared" ca="1" si="108"/>
        <v>280</v>
      </c>
      <c r="DG131" s="16">
        <f t="shared" si="109"/>
        <v>0</v>
      </c>
      <c r="DH131" s="16">
        <f t="shared" si="110"/>
        <v>131</v>
      </c>
      <c r="DI131" s="166"/>
    </row>
    <row r="132" spans="1:113" s="16" customFormat="1">
      <c r="A132" s="36">
        <f t="shared" si="87"/>
        <v>620</v>
      </c>
      <c r="B132" s="36">
        <f t="shared" si="88"/>
        <v>380</v>
      </c>
      <c r="C132" s="83">
        <f t="shared" si="89"/>
        <v>0</v>
      </c>
      <c r="D132" s="574"/>
      <c r="E132" s="16">
        <f t="shared" si="90"/>
        <v>1000</v>
      </c>
      <c r="F132" s="86">
        <f t="shared" si="91"/>
        <v>0</v>
      </c>
      <c r="G132" s="37">
        <f t="shared" si="92"/>
        <v>100</v>
      </c>
      <c r="H132" s="247">
        <f t="shared" si="93"/>
        <v>150</v>
      </c>
      <c r="I132" s="38">
        <f t="shared" si="94"/>
        <v>150</v>
      </c>
      <c r="J132" s="39">
        <f t="shared" si="95"/>
        <v>100</v>
      </c>
      <c r="K132" s="40">
        <f t="shared" si="96"/>
        <v>20</v>
      </c>
      <c r="L132" s="500">
        <f t="shared" si="97"/>
        <v>100</v>
      </c>
      <c r="M132" s="635">
        <f>Rezone!J132</f>
        <v>130</v>
      </c>
      <c r="N132" s="356"/>
      <c r="O132" s="348"/>
      <c r="P132" s="348"/>
      <c r="Q132" s="348"/>
      <c r="R132" s="345"/>
      <c r="S132" s="348"/>
      <c r="T132" s="345"/>
      <c r="U132" s="348"/>
      <c r="V132" s="348"/>
      <c r="W132" s="345"/>
      <c r="X132" s="345"/>
      <c r="Y132" s="348"/>
      <c r="Z132" s="345"/>
      <c r="AA132" s="348"/>
      <c r="AB132" s="348"/>
      <c r="AC132" s="345"/>
      <c r="AD132" s="348"/>
      <c r="AE132" s="348"/>
      <c r="AF132" s="336"/>
      <c r="AG132" s="532">
        <f t="shared" si="98"/>
        <v>43697.374999999687</v>
      </c>
      <c r="AH132" s="91">
        <f>MIN(25%,(BG132+CE132)/(E132-Explore!S132*20))</f>
        <v>0</v>
      </c>
      <c r="AI132" s="59">
        <f>MIN(25%,(BG132+CE132)/E132)</f>
        <v>0</v>
      </c>
      <c r="AJ132" s="56">
        <f ca="1">Production!$H132</f>
        <v>4321490</v>
      </c>
      <c r="AK132" s="57">
        <f ca="1">Production!$J132</f>
        <v>264326</v>
      </c>
      <c r="AL132" s="152">
        <f ca="1">ROUND( (1 - MIN(facs_constr_factor*$AH132,facs_constr_max)) * (1+MIN(tech_construction*Techs!AC132,tech_conquerors_crafts*Techs!AS132)) * AU132*(1+race_construction_cost),0)</f>
        <v>1615</v>
      </c>
      <c r="AM132" s="166">
        <f t="shared" si="113"/>
        <v>263</v>
      </c>
      <c r="AN132" s="152">
        <f ca="1">ROUND( (1 - MIN(facs_constr_factor*$AI132,facs_constr_max)) * (1+MIN(tech_construction*Techs!AE132,tech_conquerors_crafts*Techs!AU132)) * AU132*(1+race_construction_cost),0)</f>
        <v>1615</v>
      </c>
      <c r="AO132" s="166">
        <f t="shared" si="114"/>
        <v>263</v>
      </c>
      <c r="AP132" s="16">
        <f t="shared" ca="1" si="111"/>
        <v>0</v>
      </c>
      <c r="AQ132" s="53">
        <f t="shared" si="112"/>
        <v>0</v>
      </c>
      <c r="AR132" s="16">
        <f>MIN(SUM(F131:L131)+SUM(Explore!T120:Z120)+SUM(BV132:CN132),SUM($N132:$AF132))</f>
        <v>0</v>
      </c>
      <c r="AS132" s="16">
        <f>IF(Explore!S132&lt;&gt;0,MAX(0, MIN(20, 20 + SUM(N132:AF132) - SUM(BV132:CN132) - SUM(F131:L131)-SUM(Explore!T120:Z120)-20*Explore!S132)),0)</f>
        <v>0</v>
      </c>
      <c r="AU132" s="152">
        <f>(MAX($B132,250,0.75*E132)-250) * 1.53 + 850</f>
        <v>1615</v>
      </c>
      <c r="AV132" s="166">
        <f>(MAX($B132,250,0.75*E132)-250) * 0.35+87.5</f>
        <v>262.5</v>
      </c>
      <c r="AW132" s="164"/>
      <c r="AX132" s="295">
        <f>AX131 + IF(Overview!$B$14="Gnome",N123,N120) -BV132</f>
        <v>0</v>
      </c>
      <c r="AY132" s="28">
        <f>AY131 + IF(Overview!$B$14="Gnome",O123,O120) -BW132</f>
        <v>0</v>
      </c>
      <c r="AZ132" s="28">
        <f>AZ131 + IF(Overview!$B$14="Gnome",P123,P120) -BX132</f>
        <v>80</v>
      </c>
      <c r="BA132" s="28">
        <f>BA131 + IF(Overview!$B$14="Gnome",Q123,Q120) -BY132</f>
        <v>200</v>
      </c>
      <c r="BB132" s="28">
        <f>BB131 + IF(Overview!$B$14="Gnome",R123,R120) -BZ132</f>
        <v>0</v>
      </c>
      <c r="BC132" s="29">
        <f>BC131 + IF(Overview!$B$14="Gnome",S123,S120) -CA132</f>
        <v>50</v>
      </c>
      <c r="BD132" s="29">
        <f>BD131 + IF(Overview!$B$14="Gnome",T123,T120) -CB132</f>
        <v>0</v>
      </c>
      <c r="BE132" s="30">
        <f>BE131 + IF(Overview!$B$14="Gnome",U123,U120) -CC132</f>
        <v>0</v>
      </c>
      <c r="BF132" s="30">
        <f>BF131 + IF(Overview!$B$14="Gnome",V123,V120) -CD132</f>
        <v>0</v>
      </c>
      <c r="BG132" s="31">
        <f>BG131 + IF(Overview!$B$14="Gnome",W123,W120) -CE132</f>
        <v>0</v>
      </c>
      <c r="BH132" s="31">
        <f>BH131 + IF(Overview!$B$14="Gnome",X123,X120) -CF132</f>
        <v>0</v>
      </c>
      <c r="BI132" s="31">
        <f>BI131 + IF(Overview!$B$14="Gnome",Y123,Y120) -CG132</f>
        <v>0</v>
      </c>
      <c r="BJ132" s="31">
        <f>BJ131 + IF(Overview!$B$14="Gnome",Z123,Z120) -CH132</f>
        <v>0</v>
      </c>
      <c r="BK132" s="32">
        <f>BK131 + IF(Overview!$B$14="Gnome",AA123,AA120) -CI132</f>
        <v>50</v>
      </c>
      <c r="BL132" s="32">
        <f>BL131 + IF(Overview!$B$14="Gnome",AB123,AB120) -CJ132</f>
        <v>0</v>
      </c>
      <c r="BM132" s="32">
        <f>BM131 + IF(Overview!$B$14="Gnome",AC123,AC120) -CK132</f>
        <v>0</v>
      </c>
      <c r="BN132" s="33">
        <f>BN131 + IF(Overview!$B$14="Gnome",AD123,AD120) -CL132</f>
        <v>0</v>
      </c>
      <c r="BO132" s="33">
        <f>BO131 + IF(Overview!$B$14="Gnome",AE123,AE120) -CM132</f>
        <v>0</v>
      </c>
      <c r="BP132" s="69">
        <f>BP131 + IF(Overview!$B$14="Gnome",AF123,AF120) -CN132</f>
        <v>0</v>
      </c>
      <c r="BR132" s="442"/>
      <c r="BS132" s="156">
        <f t="shared" si="99"/>
        <v>1000</v>
      </c>
      <c r="BT132" s="574">
        <f t="shared" si="100"/>
        <v>43697.374999999687</v>
      </c>
      <c r="BV132" s="356"/>
      <c r="BW132" s="348"/>
      <c r="BX132" s="348"/>
      <c r="BY132" s="348"/>
      <c r="BZ132" s="348"/>
      <c r="CA132" s="348"/>
      <c r="CB132" s="348"/>
      <c r="CC132" s="348"/>
      <c r="CD132" s="348"/>
      <c r="CE132" s="348"/>
      <c r="CF132" s="348"/>
      <c r="CG132" s="348"/>
      <c r="CH132" s="348"/>
      <c r="CI132" s="348"/>
      <c r="CJ132" s="348"/>
      <c r="CK132" s="348"/>
      <c r="CL132" s="348"/>
      <c r="CM132" s="360"/>
      <c r="CN132" s="357"/>
      <c r="CP132" s="86">
        <f>-SUM($O132:$R132)+SUM($BW132:BZ132)+Rezone!L132+IF(home_land=CP$2,CW132) + Explore!T120</f>
        <v>0</v>
      </c>
      <c r="CQ132" s="37">
        <f>-SUM($S132:$T132)+SUM($CA132:$CB132) +Rezone!M132 + IF(home_land=CQ$2,CW132) + Explore!U120</f>
        <v>0</v>
      </c>
      <c r="CR132" s="247">
        <f>-SUM($U132:$V132)+SUM($CC132:$CD132) +Rezone!N132 + IF(home_land=CR$2,CW132) + Explore!V120</f>
        <v>0</v>
      </c>
      <c r="CS132" s="38">
        <f>-SUM($W132:$Z132)+SUM($CE132:$CH132) +Rezone!O132 + IF(home_land=CS$2,CW132) + Explore!W120</f>
        <v>0</v>
      </c>
      <c r="CT132" s="39">
        <f>-SUM($AA132:$AC132)+SUM($CI132:$CK132) +Rezone!P132 + IF(home_land=CT$2,CW132) + Explore!X120</f>
        <v>0</v>
      </c>
      <c r="CU132" s="40">
        <f xml:space="preserve"> - SUM($AD132,$AE132)+SUM($CL132,$CM132) +Rezone!Q132 + IF(home_land=CU$2,CW132)+Explore!Y120</f>
        <v>0</v>
      </c>
      <c r="CV132" s="500">
        <f>-$AF132+$CN132 +Rezone!R132 + IF(home_land=CV$2,CW132) + Explore!Z120</f>
        <v>0</v>
      </c>
      <c r="CW132" s="159">
        <f>IF(Explore!S132=1,25) - N132 + BV132</f>
        <v>0</v>
      </c>
      <c r="CY132" s="152">
        <f t="shared" si="101"/>
        <v>280</v>
      </c>
      <c r="CZ132" s="164">
        <f t="shared" si="102"/>
        <v>150</v>
      </c>
      <c r="DA132" s="16">
        <f t="shared" si="103"/>
        <v>150</v>
      </c>
      <c r="DB132" s="164">
        <f t="shared" si="104"/>
        <v>150</v>
      </c>
      <c r="DC132" s="164">
        <f t="shared" si="105"/>
        <v>150</v>
      </c>
      <c r="DD132" s="16">
        <f t="shared" si="106"/>
        <v>20</v>
      </c>
      <c r="DE132" s="166">
        <f t="shared" si="107"/>
        <v>100</v>
      </c>
      <c r="DF132" s="164">
        <f t="shared" ca="1" si="108"/>
        <v>280</v>
      </c>
      <c r="DG132" s="16">
        <f t="shared" si="109"/>
        <v>0</v>
      </c>
      <c r="DH132" s="16">
        <f t="shared" si="110"/>
        <v>132</v>
      </c>
      <c r="DI132" s="166"/>
    </row>
    <row r="133" spans="1:113" s="16" customFormat="1">
      <c r="A133" s="36">
        <f t="shared" si="87"/>
        <v>620</v>
      </c>
      <c r="B133" s="36">
        <f t="shared" si="88"/>
        <v>380</v>
      </c>
      <c r="C133" s="83">
        <f t="shared" si="89"/>
        <v>0</v>
      </c>
      <c r="D133" s="574"/>
      <c r="E133" s="16">
        <f t="shared" si="90"/>
        <v>1000</v>
      </c>
      <c r="F133" s="86">
        <f t="shared" si="91"/>
        <v>0</v>
      </c>
      <c r="G133" s="37">
        <f t="shared" si="92"/>
        <v>100</v>
      </c>
      <c r="H133" s="247">
        <f t="shared" si="93"/>
        <v>150</v>
      </c>
      <c r="I133" s="38">
        <f t="shared" si="94"/>
        <v>150</v>
      </c>
      <c r="J133" s="39">
        <f t="shared" si="95"/>
        <v>100</v>
      </c>
      <c r="K133" s="40">
        <f t="shared" si="96"/>
        <v>20</v>
      </c>
      <c r="L133" s="500">
        <f t="shared" si="97"/>
        <v>100</v>
      </c>
      <c r="M133" s="635">
        <f>Rezone!J133</f>
        <v>131</v>
      </c>
      <c r="N133" s="356"/>
      <c r="O133" s="348"/>
      <c r="P133" s="348"/>
      <c r="Q133" s="348"/>
      <c r="R133" s="345"/>
      <c r="S133" s="348"/>
      <c r="T133" s="345"/>
      <c r="U133" s="348"/>
      <c r="V133" s="348"/>
      <c r="W133" s="345"/>
      <c r="X133" s="345"/>
      <c r="Y133" s="348"/>
      <c r="Z133" s="345"/>
      <c r="AA133" s="348"/>
      <c r="AB133" s="348"/>
      <c r="AC133" s="345"/>
      <c r="AD133" s="348"/>
      <c r="AE133" s="348"/>
      <c r="AF133" s="336"/>
      <c r="AG133" s="532">
        <f t="shared" si="98"/>
        <v>43697.416666666351</v>
      </c>
      <c r="AH133" s="91">
        <f>MIN(25%,(BG133+CE133)/(E133-Explore!S133*20))</f>
        <v>0</v>
      </c>
      <c r="AI133" s="59">
        <f>MIN(25%,(BG133+CE133)/E133)</f>
        <v>0</v>
      </c>
      <c r="AJ133" s="56">
        <f ca="1">Production!$H133</f>
        <v>4332141</v>
      </c>
      <c r="AK133" s="57">
        <f ca="1">Production!$J133</f>
        <v>264183</v>
      </c>
      <c r="AL133" s="152">
        <f ca="1">ROUND( (1 - MIN(facs_constr_factor*$AH133,facs_constr_max)) * (1+MIN(tech_construction*Techs!AC133,tech_conquerors_crafts*Techs!AS133)) * AU133*(1+race_construction_cost),0)</f>
        <v>1615</v>
      </c>
      <c r="AM133" s="166">
        <f t="shared" si="113"/>
        <v>263</v>
      </c>
      <c r="AN133" s="152">
        <f ca="1">ROUND( (1 - MIN(facs_constr_factor*$AI133,facs_constr_max)) * (1+MIN(tech_construction*Techs!AE133,tech_conquerors_crafts*Techs!AU133)) * AU133*(1+race_construction_cost),0)</f>
        <v>1615</v>
      </c>
      <c r="AO133" s="166">
        <f t="shared" si="114"/>
        <v>263</v>
      </c>
      <c r="AP133" s="16">
        <f t="shared" ca="1" si="111"/>
        <v>0</v>
      </c>
      <c r="AQ133" s="53">
        <f t="shared" si="112"/>
        <v>0</v>
      </c>
      <c r="AR133" s="16">
        <f>MIN(SUM(F132:L132)+SUM(Explore!T121:Z121)+SUM(BV133:CN133),SUM($N133:$AF133))</f>
        <v>0</v>
      </c>
      <c r="AS133" s="16">
        <f>IF(Explore!S133&lt;&gt;0,MAX(0, MIN(20, 20 + SUM(N133:AF133) - SUM(BV133:CN133) - SUM(F132:L132)-SUM(Explore!T121:Z121)-20*Explore!S133)),0)</f>
        <v>0</v>
      </c>
      <c r="AU133" s="152">
        <f>(MAX($B133,250,0.75*E133)-250) * 1.53 + 850</f>
        <v>1615</v>
      </c>
      <c r="AV133" s="166">
        <f>(MAX($B133,250,0.75*E133)-250) * 0.35+87.5</f>
        <v>262.5</v>
      </c>
      <c r="AW133" s="164"/>
      <c r="AX133" s="295">
        <f>AX132 + IF(Overview!$B$14="Gnome",N124,N121) -BV133</f>
        <v>0</v>
      </c>
      <c r="AY133" s="28">
        <f>AY132 + IF(Overview!$B$14="Gnome",O124,O121) -BW133</f>
        <v>0</v>
      </c>
      <c r="AZ133" s="28">
        <f>AZ132 + IF(Overview!$B$14="Gnome",P124,P121) -BX133</f>
        <v>80</v>
      </c>
      <c r="BA133" s="28">
        <f>BA132 + IF(Overview!$B$14="Gnome",Q124,Q121) -BY133</f>
        <v>200</v>
      </c>
      <c r="BB133" s="28">
        <f>BB132 + IF(Overview!$B$14="Gnome",R124,R121) -BZ133</f>
        <v>0</v>
      </c>
      <c r="BC133" s="29">
        <f>BC132 + IF(Overview!$B$14="Gnome",S124,S121) -CA133</f>
        <v>50</v>
      </c>
      <c r="BD133" s="29">
        <f>BD132 + IF(Overview!$B$14="Gnome",T124,T121) -CB133</f>
        <v>0</v>
      </c>
      <c r="BE133" s="30">
        <f>BE132 + IF(Overview!$B$14="Gnome",U124,U121) -CC133</f>
        <v>0</v>
      </c>
      <c r="BF133" s="30">
        <f>BF132 + IF(Overview!$B$14="Gnome",V124,V121) -CD133</f>
        <v>0</v>
      </c>
      <c r="BG133" s="31">
        <f>BG132 + IF(Overview!$B$14="Gnome",W124,W121) -CE133</f>
        <v>0</v>
      </c>
      <c r="BH133" s="31">
        <f>BH132 + IF(Overview!$B$14="Gnome",X124,X121) -CF133</f>
        <v>0</v>
      </c>
      <c r="BI133" s="31">
        <f>BI132 + IF(Overview!$B$14="Gnome",Y124,Y121) -CG133</f>
        <v>0</v>
      </c>
      <c r="BJ133" s="31">
        <f>BJ132 + IF(Overview!$B$14="Gnome",Z124,Z121) -CH133</f>
        <v>0</v>
      </c>
      <c r="BK133" s="32">
        <f>BK132 + IF(Overview!$B$14="Gnome",AA124,AA121) -CI133</f>
        <v>50</v>
      </c>
      <c r="BL133" s="32">
        <f>BL132 + IF(Overview!$B$14="Gnome",AB124,AB121) -CJ133</f>
        <v>0</v>
      </c>
      <c r="BM133" s="32">
        <f>BM132 + IF(Overview!$B$14="Gnome",AC124,AC121) -CK133</f>
        <v>0</v>
      </c>
      <c r="BN133" s="33">
        <f>BN132 + IF(Overview!$B$14="Gnome",AD124,AD121) -CL133</f>
        <v>0</v>
      </c>
      <c r="BO133" s="33">
        <f>BO132 + IF(Overview!$B$14="Gnome",AE124,AE121) -CM133</f>
        <v>0</v>
      </c>
      <c r="BP133" s="69">
        <f>BP132 + IF(Overview!$B$14="Gnome",AF124,AF121) -CN133</f>
        <v>0</v>
      </c>
      <c r="BR133" s="442"/>
      <c r="BS133" s="156">
        <f t="shared" si="99"/>
        <v>1000</v>
      </c>
      <c r="BT133" s="574">
        <f t="shared" si="100"/>
        <v>43697.416666666351</v>
      </c>
      <c r="BV133" s="356"/>
      <c r="BW133" s="348"/>
      <c r="BX133" s="348"/>
      <c r="BY133" s="348"/>
      <c r="BZ133" s="348"/>
      <c r="CA133" s="348"/>
      <c r="CB133" s="348"/>
      <c r="CC133" s="348"/>
      <c r="CD133" s="348"/>
      <c r="CE133" s="348"/>
      <c r="CF133" s="348"/>
      <c r="CG133" s="348"/>
      <c r="CH133" s="348"/>
      <c r="CI133" s="348"/>
      <c r="CJ133" s="348"/>
      <c r="CK133" s="348"/>
      <c r="CL133" s="348"/>
      <c r="CM133" s="360"/>
      <c r="CN133" s="357"/>
      <c r="CP133" s="86">
        <f>-SUM($O133:$R133)+SUM($BW133:BZ133)+Rezone!L133+IF(home_land=CP$2,CW133) + Explore!T121</f>
        <v>0</v>
      </c>
      <c r="CQ133" s="37">
        <f>-SUM($S133:$T133)+SUM($CA133:$CB133) +Rezone!M133 + IF(home_land=CQ$2,CW133) + Explore!U121</f>
        <v>0</v>
      </c>
      <c r="CR133" s="247">
        <f>-SUM($U133:$V133)+SUM($CC133:$CD133) +Rezone!N133 + IF(home_land=CR$2,CW133) + Explore!V121</f>
        <v>0</v>
      </c>
      <c r="CS133" s="38">
        <f>-SUM($W133:$Z133)+SUM($CE133:$CH133) +Rezone!O133 + IF(home_land=CS$2,CW133) + Explore!W121</f>
        <v>0</v>
      </c>
      <c r="CT133" s="39">
        <f>-SUM($AA133:$AC133)+SUM($CI133:$CK133) +Rezone!P133 + IF(home_land=CT$2,CW133) + Explore!X121</f>
        <v>0</v>
      </c>
      <c r="CU133" s="40">
        <f xml:space="preserve"> - SUM($AD133,$AE133)+SUM($CL133,$CM133) +Rezone!Q133 + IF(home_land=CU$2,CW133)+Explore!Y121</f>
        <v>0</v>
      </c>
      <c r="CV133" s="500">
        <f>-$AF133+$CN133 +Rezone!R133 + IF(home_land=CV$2,CW133) + Explore!Z121</f>
        <v>0</v>
      </c>
      <c r="CW133" s="159">
        <f>IF(Explore!S133=1,25) - N133 + BV133</f>
        <v>0</v>
      </c>
      <c r="CY133" s="152">
        <f t="shared" si="101"/>
        <v>280</v>
      </c>
      <c r="CZ133" s="164">
        <f t="shared" si="102"/>
        <v>150</v>
      </c>
      <c r="DA133" s="16">
        <f t="shared" si="103"/>
        <v>150</v>
      </c>
      <c r="DB133" s="164">
        <f t="shared" si="104"/>
        <v>150</v>
      </c>
      <c r="DC133" s="164">
        <f t="shared" si="105"/>
        <v>150</v>
      </c>
      <c r="DD133" s="16">
        <f t="shared" si="106"/>
        <v>20</v>
      </c>
      <c r="DE133" s="166">
        <f t="shared" si="107"/>
        <v>100</v>
      </c>
      <c r="DF133" s="164">
        <f t="shared" ca="1" si="108"/>
        <v>280</v>
      </c>
      <c r="DG133" s="16">
        <f t="shared" si="109"/>
        <v>0</v>
      </c>
      <c r="DH133" s="16">
        <f t="shared" si="110"/>
        <v>133</v>
      </c>
      <c r="DI133" s="166"/>
    </row>
    <row r="134" spans="1:113" s="16" customFormat="1">
      <c r="A134" s="36">
        <f t="shared" si="87"/>
        <v>620</v>
      </c>
      <c r="B134" s="36">
        <f t="shared" si="88"/>
        <v>380</v>
      </c>
      <c r="C134" s="83">
        <f t="shared" si="89"/>
        <v>0</v>
      </c>
      <c r="D134" s="574"/>
      <c r="E134" s="16">
        <f t="shared" si="90"/>
        <v>1000</v>
      </c>
      <c r="F134" s="86">
        <f t="shared" si="91"/>
        <v>0</v>
      </c>
      <c r="G134" s="37">
        <f t="shared" si="92"/>
        <v>100</v>
      </c>
      <c r="H134" s="247">
        <f t="shared" si="93"/>
        <v>150</v>
      </c>
      <c r="I134" s="38">
        <f t="shared" si="94"/>
        <v>150</v>
      </c>
      <c r="J134" s="39">
        <f t="shared" si="95"/>
        <v>100</v>
      </c>
      <c r="K134" s="40">
        <f t="shared" si="96"/>
        <v>20</v>
      </c>
      <c r="L134" s="500">
        <f t="shared" si="97"/>
        <v>100</v>
      </c>
      <c r="M134" s="635">
        <f>Rezone!J134</f>
        <v>132</v>
      </c>
      <c r="N134" s="356"/>
      <c r="O134" s="348"/>
      <c r="P134" s="348"/>
      <c r="Q134" s="348"/>
      <c r="R134" s="345"/>
      <c r="S134" s="348"/>
      <c r="T134" s="348"/>
      <c r="U134" s="348"/>
      <c r="V134" s="348"/>
      <c r="W134" s="345"/>
      <c r="X134" s="345"/>
      <c r="Y134" s="348"/>
      <c r="Z134" s="345"/>
      <c r="AA134" s="348"/>
      <c r="AB134" s="348"/>
      <c r="AC134" s="345"/>
      <c r="AD134" s="348"/>
      <c r="AE134" s="348"/>
      <c r="AF134" s="336"/>
      <c r="AG134" s="532">
        <f t="shared" si="98"/>
        <v>43697.458333333016</v>
      </c>
      <c r="AH134" s="91">
        <f>MIN(25%,(BG134+CE134)/(E134-Explore!S134*20))</f>
        <v>0</v>
      </c>
      <c r="AI134" s="59">
        <f>MIN(25%,(BG134+CE134)/E134)</f>
        <v>0</v>
      </c>
      <c r="AJ134" s="56">
        <f ca="1">Production!$H134</f>
        <v>4342792</v>
      </c>
      <c r="AK134" s="57">
        <f ca="1">Production!$J134</f>
        <v>264041</v>
      </c>
      <c r="AL134" s="152">
        <f ca="1">ROUND( (1 - MIN(facs_constr_factor*$AH134,facs_constr_max)) * (1+MIN(tech_construction*Techs!AC134,tech_conquerors_crafts*Techs!AS134)) * AU134*(1+race_construction_cost),0)</f>
        <v>1615</v>
      </c>
      <c r="AM134" s="166">
        <f t="shared" si="113"/>
        <v>263</v>
      </c>
      <c r="AN134" s="152">
        <f ca="1">ROUND( (1 - MIN(facs_constr_factor*$AI134,facs_constr_max)) * (1+MIN(tech_construction*Techs!AE134,tech_conquerors_crafts*Techs!AU134)) * AU134*(1+race_construction_cost),0)</f>
        <v>1615</v>
      </c>
      <c r="AO134" s="166">
        <f t="shared" si="114"/>
        <v>263</v>
      </c>
      <c r="AP134" s="16">
        <f t="shared" ca="1" si="111"/>
        <v>0</v>
      </c>
      <c r="AQ134" s="53">
        <f t="shared" si="112"/>
        <v>0</v>
      </c>
      <c r="AR134" s="16">
        <f>MIN(SUM(F133:L133)+SUM(Explore!T122:Z122)+SUM(BV134:CN134),SUM($N134:$AF134))</f>
        <v>0</v>
      </c>
      <c r="AS134" s="16">
        <f>IF(Explore!S134&lt;&gt;0,MAX(0, MIN(20, 20 + SUM(N134:AF134) - SUM(BV134:CN134) - SUM(F133:L133)-SUM(Explore!T122:Z122)-20*Explore!S134)),0)</f>
        <v>0</v>
      </c>
      <c r="AU134" s="152">
        <f>(MAX($B134,250,0.75*E134)-250) * 1.53 + 850</f>
        <v>1615</v>
      </c>
      <c r="AV134" s="166">
        <f>(MAX($B134,250,0.75*E134)-250) * 0.35+87.5</f>
        <v>262.5</v>
      </c>
      <c r="AW134" s="164"/>
      <c r="AX134" s="295">
        <f>AX133 + IF(Overview!$B$14="Gnome",N125,N122) -BV134</f>
        <v>0</v>
      </c>
      <c r="AY134" s="28">
        <f>AY133 + IF(Overview!$B$14="Gnome",O125,O122) -BW134</f>
        <v>0</v>
      </c>
      <c r="AZ134" s="28">
        <f>AZ133 + IF(Overview!$B$14="Gnome",P125,P122) -BX134</f>
        <v>80</v>
      </c>
      <c r="BA134" s="28">
        <f>BA133 + IF(Overview!$B$14="Gnome",Q125,Q122) -BY134</f>
        <v>200</v>
      </c>
      <c r="BB134" s="28">
        <f>BB133 + IF(Overview!$B$14="Gnome",R125,R122) -BZ134</f>
        <v>0</v>
      </c>
      <c r="BC134" s="29">
        <f>BC133 + IF(Overview!$B$14="Gnome",S125,S122) -CA134</f>
        <v>50</v>
      </c>
      <c r="BD134" s="29">
        <f>BD133 + IF(Overview!$B$14="Gnome",T125,T122) -CB134</f>
        <v>0</v>
      </c>
      <c r="BE134" s="30">
        <f>BE133 + IF(Overview!$B$14="Gnome",U125,U122) -CC134</f>
        <v>0</v>
      </c>
      <c r="BF134" s="30">
        <f>BF133 + IF(Overview!$B$14="Gnome",V125,V122) -CD134</f>
        <v>0</v>
      </c>
      <c r="BG134" s="31">
        <f>BG133 + IF(Overview!$B$14="Gnome",W125,W122) -CE134</f>
        <v>0</v>
      </c>
      <c r="BH134" s="31">
        <f>BH133 + IF(Overview!$B$14="Gnome",X125,X122) -CF134</f>
        <v>0</v>
      </c>
      <c r="BI134" s="31">
        <f>BI133 + IF(Overview!$B$14="Gnome",Y125,Y122) -CG134</f>
        <v>0</v>
      </c>
      <c r="BJ134" s="31">
        <f>BJ133 + IF(Overview!$B$14="Gnome",Z125,Z122) -CH134</f>
        <v>0</v>
      </c>
      <c r="BK134" s="32">
        <f>BK133 + IF(Overview!$B$14="Gnome",AA125,AA122) -CI134</f>
        <v>50</v>
      </c>
      <c r="BL134" s="32">
        <f>BL133 + IF(Overview!$B$14="Gnome",AB125,AB122) -CJ134</f>
        <v>0</v>
      </c>
      <c r="BM134" s="32">
        <f>BM133 + IF(Overview!$B$14="Gnome",AC125,AC122) -CK134</f>
        <v>0</v>
      </c>
      <c r="BN134" s="33">
        <f>BN133 + IF(Overview!$B$14="Gnome",AD125,AD122) -CL134</f>
        <v>0</v>
      </c>
      <c r="BO134" s="33">
        <f>BO133 + IF(Overview!$B$14="Gnome",AE125,AE122) -CM134</f>
        <v>0</v>
      </c>
      <c r="BP134" s="69">
        <f>BP133 + IF(Overview!$B$14="Gnome",AF125,AF122) -CN134</f>
        <v>0</v>
      </c>
      <c r="BR134" s="442"/>
      <c r="BS134" s="156">
        <f t="shared" si="99"/>
        <v>1000</v>
      </c>
      <c r="BT134" s="574">
        <f t="shared" si="100"/>
        <v>43697.458333333016</v>
      </c>
      <c r="BV134" s="356"/>
      <c r="BW134" s="348"/>
      <c r="BX134" s="348"/>
      <c r="BY134" s="348"/>
      <c r="BZ134" s="348"/>
      <c r="CA134" s="348"/>
      <c r="CB134" s="348"/>
      <c r="CC134" s="348"/>
      <c r="CD134" s="348"/>
      <c r="CE134" s="348"/>
      <c r="CF134" s="348"/>
      <c r="CG134" s="348"/>
      <c r="CH134" s="348"/>
      <c r="CI134" s="348"/>
      <c r="CJ134" s="348"/>
      <c r="CK134" s="348"/>
      <c r="CL134" s="348"/>
      <c r="CM134" s="360"/>
      <c r="CN134" s="357"/>
      <c r="CP134" s="86">
        <f>-SUM($O134:$R134)+SUM($BW134:BZ134)+Rezone!L134+IF(home_land=CP$2,CW134) + Explore!T122</f>
        <v>0</v>
      </c>
      <c r="CQ134" s="37">
        <f>-SUM($S134:$T134)+SUM($CA134:$CB134) +Rezone!M134 + IF(home_land=CQ$2,CW134) + Explore!U122</f>
        <v>0</v>
      </c>
      <c r="CR134" s="247">
        <f>-SUM($U134:$V134)+SUM($CC134:$CD134) +Rezone!N134 + IF(home_land=CR$2,CW134) + Explore!V122</f>
        <v>0</v>
      </c>
      <c r="CS134" s="38">
        <f>-SUM($W134:$Z134)+SUM($CE134:$CH134) +Rezone!O134 + IF(home_land=CS$2,CW134) + Explore!W122</f>
        <v>0</v>
      </c>
      <c r="CT134" s="39">
        <f>-SUM($AA134:$AC134)+SUM($CI134:$CK134) +Rezone!P134 + IF(home_land=CT$2,CW134) + Explore!X122</f>
        <v>0</v>
      </c>
      <c r="CU134" s="40">
        <f xml:space="preserve"> - SUM($AD134,$AE134)+SUM($CL134,$CM134) +Rezone!Q134 + IF(home_land=CU$2,CW134)+Explore!Y122</f>
        <v>0</v>
      </c>
      <c r="CV134" s="500">
        <f>-$AF134+$CN134 +Rezone!R134 + IF(home_land=CV$2,CW134) + Explore!Z122</f>
        <v>0</v>
      </c>
      <c r="CW134" s="159">
        <f>IF(Explore!S134=1,25) - N134 + BV134</f>
        <v>0</v>
      </c>
      <c r="CY134" s="152">
        <f t="shared" si="101"/>
        <v>280</v>
      </c>
      <c r="CZ134" s="164">
        <f t="shared" si="102"/>
        <v>150</v>
      </c>
      <c r="DA134" s="16">
        <f t="shared" si="103"/>
        <v>150</v>
      </c>
      <c r="DB134" s="164">
        <f t="shared" si="104"/>
        <v>150</v>
      </c>
      <c r="DC134" s="164">
        <f t="shared" si="105"/>
        <v>150</v>
      </c>
      <c r="DD134" s="16">
        <f t="shared" si="106"/>
        <v>20</v>
      </c>
      <c r="DE134" s="166">
        <f t="shared" si="107"/>
        <v>100</v>
      </c>
      <c r="DF134" s="164">
        <f t="shared" ca="1" si="108"/>
        <v>280</v>
      </c>
      <c r="DG134" s="16">
        <f t="shared" si="109"/>
        <v>0</v>
      </c>
      <c r="DH134" s="16">
        <f t="shared" si="110"/>
        <v>134</v>
      </c>
      <c r="DI134" s="166"/>
    </row>
    <row r="135" spans="1:113" s="12" customFormat="1">
      <c r="A135" s="783">
        <f t="shared" si="87"/>
        <v>620</v>
      </c>
      <c r="B135" s="783">
        <f t="shared" si="88"/>
        <v>380</v>
      </c>
      <c r="C135" s="784">
        <f t="shared" si="89"/>
        <v>0</v>
      </c>
      <c r="D135" s="679"/>
      <c r="E135" s="12">
        <f t="shared" si="90"/>
        <v>1000</v>
      </c>
      <c r="F135" s="785">
        <f t="shared" si="91"/>
        <v>0</v>
      </c>
      <c r="G135" s="786">
        <f t="shared" si="92"/>
        <v>100</v>
      </c>
      <c r="H135" s="272">
        <f t="shared" si="93"/>
        <v>150</v>
      </c>
      <c r="I135" s="787">
        <f t="shared" si="94"/>
        <v>150</v>
      </c>
      <c r="J135" s="788">
        <f t="shared" si="95"/>
        <v>100</v>
      </c>
      <c r="K135" s="789">
        <f t="shared" si="96"/>
        <v>20</v>
      </c>
      <c r="L135" s="790">
        <f t="shared" si="97"/>
        <v>100</v>
      </c>
      <c r="M135" s="755">
        <f>Rezone!J135</f>
        <v>133</v>
      </c>
      <c r="N135" s="371"/>
      <c r="O135" s="349"/>
      <c r="P135" s="349"/>
      <c r="Q135" s="349"/>
      <c r="R135" s="346"/>
      <c r="S135" s="349"/>
      <c r="T135" s="349"/>
      <c r="U135" s="349"/>
      <c r="V135" s="349"/>
      <c r="W135" s="346"/>
      <c r="X135" s="346"/>
      <c r="Y135" s="349"/>
      <c r="Z135" s="346"/>
      <c r="AA135" s="346"/>
      <c r="AB135" s="346"/>
      <c r="AC135" s="346"/>
      <c r="AD135" s="346"/>
      <c r="AE135" s="346"/>
      <c r="AF135" s="337"/>
      <c r="AG135" s="677">
        <f t="shared" si="98"/>
        <v>43697.49999999968</v>
      </c>
      <c r="AH135" s="306">
        <f>MIN(25%,(BG135+CE135)/(E135-Explore!S135*20))</f>
        <v>0</v>
      </c>
      <c r="AI135" s="58">
        <f>MIN(25%,(BG135+CE135)/E135)</f>
        <v>0</v>
      </c>
      <c r="AJ135" s="54">
        <f ca="1">Production!$H135</f>
        <v>4353443</v>
      </c>
      <c r="AK135" s="55">
        <f ca="1">Production!$J135</f>
        <v>263901</v>
      </c>
      <c r="AL135" s="151">
        <f ca="1">ROUND( (1 - MIN(facs_constr_factor*$AH135,facs_constr_max)) * (1+MIN(tech_construction*Techs!AC135,tech_conquerors_crafts*Techs!AS135)) * AU135*(1+race_construction_cost),0)</f>
        <v>1615</v>
      </c>
      <c r="AM135" s="158">
        <f t="shared" si="113"/>
        <v>263</v>
      </c>
      <c r="AN135" s="151">
        <f ca="1">ROUND( (1 - MIN(facs_constr_factor*$AI135,facs_constr_max)) * (1+MIN(tech_construction*Techs!AE135,tech_conquerors_crafts*Techs!AU135)) * AU135*(1+race_construction_cost),0)</f>
        <v>1615</v>
      </c>
      <c r="AO135" s="158">
        <f t="shared" si="114"/>
        <v>263</v>
      </c>
      <c r="AP135" s="12">
        <f t="shared" ca="1" si="111"/>
        <v>0</v>
      </c>
      <c r="AQ135" s="51">
        <f t="shared" si="112"/>
        <v>0</v>
      </c>
      <c r="AR135" s="12">
        <f>MIN(SUM(F134:L134)+SUM(Explore!T123:Z123)+SUM(BV135:CN135),SUM($N135:$AF135))</f>
        <v>0</v>
      </c>
      <c r="AS135" s="12">
        <f>IF(Explore!S135&lt;&gt;0,MAX(0, MIN(20, 20 + SUM(N135:AF135) - SUM(BV135:CN135) - SUM(F134:L134)-SUM(Explore!T123:Z123)-20*Explore!S135)),0)</f>
        <v>0</v>
      </c>
      <c r="AU135" s="151">
        <f>(MAX($B135,250,0.75*E135)-250) * 1.53 + 850</f>
        <v>1615</v>
      </c>
      <c r="AV135" s="158">
        <f>(MAX($B135,250,0.75*E135)-250) * 0.35+87.5</f>
        <v>262.5</v>
      </c>
      <c r="AW135" s="153"/>
      <c r="AX135" s="791">
        <f>AX134 + IF(Overview!$B$14="Gnome",N126,N123) -BV135</f>
        <v>0</v>
      </c>
      <c r="AY135" s="289">
        <f>AY134 + IF(Overview!$B$14="Gnome",O126,O123) -BW135</f>
        <v>0</v>
      </c>
      <c r="AZ135" s="289">
        <f>AZ134 + IF(Overview!$B$14="Gnome",P126,P123) -BX135</f>
        <v>80</v>
      </c>
      <c r="BA135" s="289">
        <f>BA134 + IF(Overview!$B$14="Gnome",Q126,Q123) -BY135</f>
        <v>200</v>
      </c>
      <c r="BB135" s="289">
        <f>BB134 + IF(Overview!$B$14="Gnome",R126,R123) -BZ135</f>
        <v>0</v>
      </c>
      <c r="BC135" s="18">
        <f>BC134 + IF(Overview!$B$14="Gnome",S126,S123) -CA135</f>
        <v>50</v>
      </c>
      <c r="BD135" s="18">
        <f>BD134 + IF(Overview!$B$14="Gnome",T126,T123) -CB135</f>
        <v>0</v>
      </c>
      <c r="BE135" s="19">
        <f>BE134 + IF(Overview!$B$14="Gnome",U126,U123) -CC135</f>
        <v>0</v>
      </c>
      <c r="BF135" s="19">
        <f>BF134 + IF(Overview!$B$14="Gnome",V126,V123) -CD135</f>
        <v>0</v>
      </c>
      <c r="BG135" s="20">
        <f>BG134 + IF(Overview!$B$14="Gnome",W126,W123) -CE135</f>
        <v>0</v>
      </c>
      <c r="BH135" s="20">
        <f>BH134 + IF(Overview!$B$14="Gnome",X126,X123) -CF135</f>
        <v>0</v>
      </c>
      <c r="BI135" s="20">
        <f>BI134 + IF(Overview!$B$14="Gnome",Y126,Y123) -CG135</f>
        <v>0</v>
      </c>
      <c r="BJ135" s="20">
        <f>BJ134 + IF(Overview!$B$14="Gnome",Z126,Z123) -CH135</f>
        <v>0</v>
      </c>
      <c r="BK135" s="21">
        <f>BK134 + IF(Overview!$B$14="Gnome",AA126,AA123) -CI135</f>
        <v>50</v>
      </c>
      <c r="BL135" s="21">
        <f>BL134 + IF(Overview!$B$14="Gnome",AB126,AB123) -CJ135</f>
        <v>0</v>
      </c>
      <c r="BM135" s="21">
        <f>BM134 + IF(Overview!$B$14="Gnome",AC126,AC123) -CK135</f>
        <v>0</v>
      </c>
      <c r="BN135" s="22">
        <f>BN134 + IF(Overview!$B$14="Gnome",AD126,AD123) -CL135</f>
        <v>0</v>
      </c>
      <c r="BO135" s="22">
        <f>BO134 + IF(Overview!$B$14="Gnome",AE126,AE123) -CM135</f>
        <v>0</v>
      </c>
      <c r="BP135" s="67">
        <f>BP134 + IF(Overview!$B$14="Gnome",AF126,AF123) -CN135</f>
        <v>0</v>
      </c>
      <c r="BR135" s="732"/>
      <c r="BS135" s="184">
        <f t="shared" si="99"/>
        <v>1000</v>
      </c>
      <c r="BT135" s="679">
        <f t="shared" si="100"/>
        <v>43697.49999999968</v>
      </c>
      <c r="BV135" s="373"/>
      <c r="BW135" s="349"/>
      <c r="BX135" s="349"/>
      <c r="BY135" s="349"/>
      <c r="BZ135" s="349"/>
      <c r="CA135" s="349"/>
      <c r="CB135" s="349"/>
      <c r="CC135" s="349"/>
      <c r="CD135" s="349"/>
      <c r="CE135" s="349"/>
      <c r="CF135" s="349"/>
      <c r="CG135" s="349"/>
      <c r="CH135" s="349"/>
      <c r="CI135" s="349"/>
      <c r="CJ135" s="349"/>
      <c r="CK135" s="349"/>
      <c r="CL135" s="349"/>
      <c r="CM135" s="792"/>
      <c r="CN135" s="374"/>
      <c r="CP135" s="785">
        <f>-SUM($O135:$R135)+SUM($BW135:BZ135)+Rezone!L135+IF(home_land=CP$2,CW135) + Explore!T123</f>
        <v>0</v>
      </c>
      <c r="CQ135" s="786">
        <f>-SUM($S135:$T135)+SUM($CA135:$CB135) +Rezone!M135 + IF(home_land=CQ$2,CW135) + Explore!U123</f>
        <v>0</v>
      </c>
      <c r="CR135" s="272">
        <f>-SUM($U135:$V135)+SUM($CC135:$CD135) +Rezone!N135 + IF(home_land=CR$2,CW135) + Explore!V123</f>
        <v>0</v>
      </c>
      <c r="CS135" s="787">
        <f>-SUM($W135:$Z135)+SUM($CE135:$CH135) +Rezone!O135 + IF(home_land=CS$2,CW135) + Explore!W123</f>
        <v>0</v>
      </c>
      <c r="CT135" s="788">
        <f>-SUM($AA135:$AC135)+SUM($CI135:$CK135) +Rezone!P135 + IF(home_land=CT$2,CW135) + Explore!X123</f>
        <v>0</v>
      </c>
      <c r="CU135" s="789">
        <f xml:space="preserve"> - SUM($AD135,$AE135)+SUM($CL135,$CM135) +Rezone!Q135 + IF(home_land=CU$2,CW135)+Explore!Y123</f>
        <v>0</v>
      </c>
      <c r="CV135" s="790">
        <f>-$AF135+$CN135 +Rezone!R135 + IF(home_land=CV$2,CW135) + Explore!Z123</f>
        <v>0</v>
      </c>
      <c r="CW135" s="287">
        <f>IF(Explore!S135=1,25) - N135 + BV135</f>
        <v>0</v>
      </c>
      <c r="CY135" s="151">
        <f t="shared" si="101"/>
        <v>280</v>
      </c>
      <c r="CZ135" s="153">
        <f t="shared" si="102"/>
        <v>150</v>
      </c>
      <c r="DA135" s="12">
        <f t="shared" si="103"/>
        <v>150</v>
      </c>
      <c r="DB135" s="153">
        <f t="shared" si="104"/>
        <v>150</v>
      </c>
      <c r="DC135" s="153">
        <f t="shared" si="105"/>
        <v>150</v>
      </c>
      <c r="DD135" s="12">
        <f t="shared" si="106"/>
        <v>20</v>
      </c>
      <c r="DE135" s="158">
        <f t="shared" si="107"/>
        <v>100</v>
      </c>
      <c r="DF135" s="153">
        <f t="shared" ca="1" si="108"/>
        <v>280</v>
      </c>
      <c r="DG135" s="12">
        <f t="shared" si="109"/>
        <v>0</v>
      </c>
      <c r="DH135" s="12">
        <f t="shared" si="110"/>
        <v>135</v>
      </c>
      <c r="DI135" s="158"/>
    </row>
    <row r="1268" spans="1:2">
      <c r="A1268" s="1463" t="s">
        <v>332</v>
      </c>
      <c r="B1268" s="1406"/>
    </row>
    <row r="1269" spans="1:2">
      <c r="A1269" s="672">
        <f ca="1">Overview!E17</f>
        <v>1185</v>
      </c>
      <c r="B1269" s="672"/>
    </row>
  </sheetData>
  <mergeCells count="12">
    <mergeCell ref="AN1:AO1"/>
    <mergeCell ref="CY1:DC1"/>
    <mergeCell ref="DF1:DG1"/>
    <mergeCell ref="A1268:B1268"/>
    <mergeCell ref="N1:P1"/>
    <mergeCell ref="BV1:BW1"/>
    <mergeCell ref="CP1:CQ1"/>
    <mergeCell ref="F1:G1"/>
    <mergeCell ref="AJ1:AK1"/>
    <mergeCell ref="AX1:AZ1"/>
    <mergeCell ref="AP1:AQ1"/>
    <mergeCell ref="AL1:AM1"/>
  </mergeCells>
  <phoneticPr fontId="0" type="noConversion"/>
  <conditionalFormatting sqref="M1270:M65536 M136:M1267">
    <cfRule type="expression" dxfId="91" priority="5" stopIfTrue="1">
      <formula>XFA136&lt;0</formula>
    </cfRule>
  </conditionalFormatting>
  <conditionalFormatting sqref="A136:D1267 A1270:D65536 F1270:J65536 F136:J1267">
    <cfRule type="expression" dxfId="90" priority="6" stopIfTrue="1">
      <formula>XEW136&lt;0</formula>
    </cfRule>
  </conditionalFormatting>
  <conditionalFormatting sqref="E1270:E65536 E136:E1267">
    <cfRule type="expression" dxfId="89" priority="7" stopIfTrue="1">
      <formula>XEV136&lt;0</formula>
    </cfRule>
  </conditionalFormatting>
  <conditionalFormatting sqref="DJ1270:IV52022 N1270:AF52051 DI1270:DI52048 N136:AF1267 BU1270:DH52051 BU136:IV1267">
    <cfRule type="expression" dxfId="88" priority="8" stopIfTrue="1">
      <formula>ROW()-2=#REF!</formula>
    </cfRule>
  </conditionalFormatting>
  <conditionalFormatting sqref="A1268:AF1269 BU1268:IV1269">
    <cfRule type="expression" dxfId="87" priority="9" stopIfTrue="1">
      <formula>$A$1269&gt;144</formula>
    </cfRule>
  </conditionalFormatting>
  <conditionalFormatting sqref="BU3:IV135 N3:AF135">
    <cfRule type="expression" dxfId="86" priority="10" stopIfTrue="1">
      <formula>ROW()-3=$A$1269</formula>
    </cfRule>
  </conditionalFormatting>
  <conditionalFormatting sqref="BU3:CM135">
    <cfRule type="expression" dxfId="85" priority="11" stopIfTrue="1">
      <formula>ROW()-2=#REF!</formula>
    </cfRule>
  </conditionalFormatting>
  <conditionalFormatting sqref="A3:M135">
    <cfRule type="expression" dxfId="84" priority="12" stopIfTrue="1">
      <formula>OR(A3&lt;0,ROW()-3=$A$1269)</formula>
    </cfRule>
  </conditionalFormatting>
  <conditionalFormatting sqref="A2:AM2 A1:AL1 BA1:IV1 AT1:AX1 AP1 AP2:IV2">
    <cfRule type="expression" dxfId="83" priority="13" stopIfTrue="1">
      <formula>$A$1269&lt;0</formula>
    </cfRule>
  </conditionalFormatting>
  <conditionalFormatting sqref="AG3:AM65536 AP3:BT65536">
    <cfRule type="expression" dxfId="82" priority="14" stopIfTrue="1">
      <formula>ROW()-3=$A$1269</formula>
    </cfRule>
  </conditionalFormatting>
  <conditionalFormatting sqref="AN2:AO2 AN1">
    <cfRule type="expression" dxfId="81" priority="3" stopIfTrue="1">
      <formula>$A$1269&lt;0</formula>
    </cfRule>
  </conditionalFormatting>
  <conditionalFormatting sqref="AN3:AO65536">
    <cfRule type="expression" dxfId="80" priority="4" stopIfTrue="1">
      <formula>ROW()-3=$A$1269</formula>
    </cfRule>
  </conditionalFormatting>
  <conditionalFormatting sqref="K1270:L65536 K136:L1267">
    <cfRule type="expression" dxfId="79" priority="27" stopIfTrue="1">
      <formula>A136&lt;0</formula>
    </cfRule>
  </conditionalFormatting>
  <conditionalFormatting sqref="AS1">
    <cfRule type="expression" dxfId="78" priority="2" stopIfTrue="1">
      <formula>$A$1269&lt;0</formula>
    </cfRule>
  </conditionalFormatting>
  <conditionalFormatting sqref="AR1">
    <cfRule type="expression" dxfId="77" priority="1" stopIfTrue="1">
      <formula>$A$1269&lt;0</formula>
    </cfRule>
  </conditionalFormatting>
  <pageMargins left="0.75" right="0.75" top="1" bottom="1" header="0.5" footer="0.5"/>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sheetPr codeName="Sheet5"/>
  <dimension ref="A1:AI1269"/>
  <sheetViews>
    <sheetView zoomScale="85" workbookViewId="0">
      <pane ySplit="2" topLeftCell="A3" activePane="bottomLeft" state="frozenSplit"/>
      <selection activeCell="A3" sqref="A3"/>
      <selection pane="bottomLeft" activeCell="AE3" sqref="AE3"/>
    </sheetView>
  </sheetViews>
  <sheetFormatPr defaultColWidth="3.42578125" defaultRowHeight="12.75"/>
  <cols>
    <col min="1" max="1" width="5.140625" style="323" customWidth="1"/>
    <col min="2" max="2" width="5.140625" bestFit="1" customWidth="1"/>
    <col min="3" max="3" width="5" customWidth="1"/>
    <col min="4" max="4" width="7.42578125" style="2" bestFit="1" customWidth="1"/>
    <col min="5" max="5" width="6.42578125" style="3" bestFit="1" customWidth="1"/>
    <col min="6" max="6" width="9.5703125" style="4" bestFit="1" customWidth="1"/>
    <col min="7" max="7" width="4.5703125" style="5" bestFit="1" customWidth="1"/>
    <col min="8" max="8" width="7.42578125" style="6" bestFit="1" customWidth="1"/>
    <col min="9" max="9" width="8" style="7" bestFit="1" customWidth="1"/>
    <col min="10" max="10" width="6" style="8" bestFit="1" customWidth="1"/>
    <col min="11" max="11" width="3.42578125" customWidth="1"/>
    <col min="12" max="12" width="12.85546875" customWidth="1"/>
    <col min="13" max="13" width="10" customWidth="1"/>
    <col min="14" max="14" width="9" bestFit="1" customWidth="1"/>
    <col min="15" max="15" width="9.42578125" bestFit="1" customWidth="1"/>
    <col min="16" max="16" width="8.42578125" bestFit="1" customWidth="1"/>
    <col min="17" max="17" width="5.140625" bestFit="1" customWidth="1"/>
    <col min="18" max="18" width="5.140625" style="446" bestFit="1" customWidth="1"/>
    <col min="19" max="19" width="10.42578125" bestFit="1" customWidth="1"/>
    <col min="20" max="20" width="8" bestFit="1" customWidth="1"/>
    <col min="21" max="21" width="6.42578125" bestFit="1" customWidth="1"/>
    <col min="22" max="22" width="8.5703125" bestFit="1" customWidth="1"/>
    <col min="23" max="23" width="3.5703125" bestFit="1" customWidth="1"/>
    <col min="24" max="24" width="7.42578125" bestFit="1" customWidth="1"/>
    <col min="25" max="25" width="7" bestFit="1" customWidth="1"/>
    <col min="26" max="26" width="6" bestFit="1" customWidth="1"/>
    <col min="27" max="27" width="5.7109375" bestFit="1" customWidth="1"/>
    <col min="28" max="28" width="8.140625" bestFit="1" customWidth="1"/>
    <col min="29" max="29" width="9.28515625" bestFit="1" customWidth="1"/>
    <col min="30" max="30" width="7.140625" bestFit="1" customWidth="1"/>
    <col min="31" max="32" width="8.42578125" bestFit="1" customWidth="1"/>
    <col min="33" max="33" width="12.42578125" bestFit="1" customWidth="1"/>
    <col min="34" max="34" width="8.28515625" bestFit="1" customWidth="1"/>
    <col min="35" max="35" width="8.140625" bestFit="1" customWidth="1"/>
    <col min="36" max="36" width="8" customWidth="1"/>
  </cols>
  <sheetData>
    <row r="1" spans="1:35" s="106" customFormat="1">
      <c r="A1" s="328"/>
      <c r="D1" s="106" t="s">
        <v>56</v>
      </c>
      <c r="L1" s="1480" t="s">
        <v>317</v>
      </c>
      <c r="M1" s="1406"/>
      <c r="N1" s="1406"/>
      <c r="O1" s="1406"/>
      <c r="P1" s="1406"/>
      <c r="Q1" s="1406"/>
      <c r="R1" s="582"/>
      <c r="S1" s="106" t="s">
        <v>372</v>
      </c>
      <c r="T1" s="106" t="s">
        <v>188</v>
      </c>
      <c r="AB1" s="1469" t="s">
        <v>80</v>
      </c>
      <c r="AC1" s="1469"/>
      <c r="AF1" s="106" t="s">
        <v>33</v>
      </c>
    </row>
    <row r="2" spans="1:35" s="523" customFormat="1" ht="13.5" thickBot="1">
      <c r="A2" s="546" t="s">
        <v>0</v>
      </c>
      <c r="B2" s="523" t="s">
        <v>1</v>
      </c>
      <c r="D2" s="653" t="s">
        <v>57</v>
      </c>
      <c r="E2" s="654" t="s">
        <v>60</v>
      </c>
      <c r="F2" s="655" t="s">
        <v>189</v>
      </c>
      <c r="G2" s="656" t="s">
        <v>62</v>
      </c>
      <c r="H2" s="657" t="s">
        <v>63</v>
      </c>
      <c r="I2" s="658" t="s">
        <v>64</v>
      </c>
      <c r="J2" s="659" t="s">
        <v>65</v>
      </c>
      <c r="N2" s="661" t="s">
        <v>196</v>
      </c>
      <c r="O2" s="661" t="s">
        <v>381</v>
      </c>
      <c r="P2" s="661" t="s">
        <v>380</v>
      </c>
      <c r="Q2" s="523" t="s">
        <v>1</v>
      </c>
      <c r="R2" s="821" t="s">
        <v>0</v>
      </c>
      <c r="S2" s="662" t="s">
        <v>241</v>
      </c>
      <c r="T2" s="653" t="s">
        <v>259</v>
      </c>
      <c r="U2" s="654" t="s">
        <v>60</v>
      </c>
      <c r="V2" s="655" t="s">
        <v>261</v>
      </c>
      <c r="W2" s="656" t="s">
        <v>260</v>
      </c>
      <c r="X2" s="657" t="s">
        <v>63</v>
      </c>
      <c r="Y2" s="658" t="s">
        <v>258</v>
      </c>
      <c r="Z2" s="659" t="s">
        <v>65</v>
      </c>
      <c r="AA2" s="523" t="s">
        <v>327</v>
      </c>
      <c r="AB2" s="523" t="s">
        <v>24</v>
      </c>
      <c r="AC2" s="523" t="s">
        <v>2</v>
      </c>
      <c r="AD2" s="825"/>
      <c r="AE2" s="313" t="s">
        <v>589</v>
      </c>
      <c r="AF2" s="523" t="s">
        <v>59</v>
      </c>
      <c r="AG2" s="523" t="s">
        <v>190</v>
      </c>
      <c r="AH2" s="523" t="s">
        <v>2</v>
      </c>
      <c r="AI2" s="523" t="s">
        <v>24</v>
      </c>
    </row>
    <row r="3" spans="1:35" s="689" customFormat="1">
      <c r="A3" s="683">
        <f>Rezone!J3</f>
        <v>1</v>
      </c>
      <c r="B3" s="690">
        <f>Construction!E3</f>
        <v>1000</v>
      </c>
      <c r="C3" s="705"/>
      <c r="D3" s="692">
        <f>Construction!F3</f>
        <v>0</v>
      </c>
      <c r="E3" s="693">
        <f>Construction!G3</f>
        <v>100</v>
      </c>
      <c r="F3" s="694">
        <f>Construction!H3</f>
        <v>150</v>
      </c>
      <c r="G3" s="695">
        <f>Construction!I3</f>
        <v>150</v>
      </c>
      <c r="H3" s="696">
        <f>Construction!J3</f>
        <v>100</v>
      </c>
      <c r="I3" s="697">
        <f>Construction!K3</f>
        <v>20</v>
      </c>
      <c r="J3" s="698">
        <f>Construction!L3</f>
        <v>100</v>
      </c>
      <c r="K3" s="684"/>
      <c r="L3" s="684"/>
      <c r="M3" s="684"/>
      <c r="N3" s="703">
        <f>Military!AB3</f>
        <v>0</v>
      </c>
      <c r="O3" s="706">
        <f ca="1">Population!I3</f>
        <v>0.32653061224489793</v>
      </c>
      <c r="P3" s="703">
        <f ca="1">Imps!J3</f>
        <v>2.2058823529411766</v>
      </c>
      <c r="Q3" s="690">
        <f t="shared" ref="Q3:Q34" si="0">B3</f>
        <v>1000</v>
      </c>
      <c r="R3" s="753">
        <v>1</v>
      </c>
      <c r="S3" s="707"/>
      <c r="T3" s="699"/>
      <c r="U3" s="699"/>
      <c r="V3" s="699"/>
      <c r="W3" s="699"/>
      <c r="X3" s="699"/>
      <c r="Y3" s="699"/>
      <c r="Z3" s="700"/>
      <c r="AA3" s="708">
        <f>Imps!BY3</f>
        <v>43692</v>
      </c>
      <c r="AB3" s="688">
        <f ca="1">Military!Z3</f>
        <v>4725</v>
      </c>
      <c r="AC3" s="687">
        <f ca="1">Production!H3</f>
        <v>3936000</v>
      </c>
      <c r="AD3" s="538"/>
      <c r="AE3" s="1042">
        <f>B3-S3*20</f>
        <v>1000</v>
      </c>
      <c r="AF3" s="685">
        <f>ROUND(IF(AE3&gt;=300,1000+3*(AE3-300)^MIN(MAX(1.05/(AE3^0.019),1.09),1.119),1000-3*(300-AE3))*(1+IF(Overview!$B$14="Ants",ant_explore_penalty,0)+MIN(tech_explore_cost*Techs!Z3,tech_explore_cost2*Techs!AB3,tech_enchanted_lands_explore*Techs!AT3)),0)</f>
        <v>4787</v>
      </c>
      <c r="AG3" s="686">
        <f>ROUND(MAX(IF(AE3&gt;=300,5+0.003*(AE3-300)^1.07,5-300/AE3)+MIN(tech_explore_draft1*Techs!AA3,tech_explore_draft2*Techs!AB3),3),0)</f>
        <v>8</v>
      </c>
      <c r="AH3" s="686">
        <f t="shared" ref="AH3:AH66" si="1">SUM(T3:Z3)*AF3</f>
        <v>0</v>
      </c>
      <c r="AI3" s="687">
        <f t="shared" ref="AI3:AI66" si="2">SUM(T3:Z3)*AG3</f>
        <v>0</v>
      </c>
    </row>
    <row r="4" spans="1:35" s="191" customFormat="1">
      <c r="A4" s="511">
        <f>Rezone!J4</f>
        <v>2</v>
      </c>
      <c r="B4" s="189">
        <f>Construction!E4</f>
        <v>1000</v>
      </c>
      <c r="C4" s="157"/>
      <c r="D4" s="213">
        <f>Construction!F4</f>
        <v>0</v>
      </c>
      <c r="E4" s="214">
        <f>Construction!G4</f>
        <v>100</v>
      </c>
      <c r="F4" s="215">
        <f>Construction!H4</f>
        <v>150</v>
      </c>
      <c r="G4" s="216">
        <f>Construction!I4</f>
        <v>150</v>
      </c>
      <c r="H4" s="217">
        <f>Construction!J4</f>
        <v>100</v>
      </c>
      <c r="I4" s="210">
        <f>Construction!K4</f>
        <v>20</v>
      </c>
      <c r="J4" s="218">
        <f>Construction!L4</f>
        <v>100</v>
      </c>
      <c r="K4" s="170"/>
      <c r="L4" s="16"/>
      <c r="M4" s="16"/>
      <c r="N4" s="241">
        <f>Military!AB4</f>
        <v>0</v>
      </c>
      <c r="O4" s="190">
        <f ca="1">Population!I4</f>
        <v>0.34736461223012904</v>
      </c>
      <c r="P4" s="241">
        <f ca="1">Imps!J4</f>
        <v>1.6448863636363635</v>
      </c>
      <c r="Q4" s="157">
        <f t="shared" si="0"/>
        <v>1000</v>
      </c>
      <c r="R4" s="754">
        <v>2</v>
      </c>
      <c r="S4" s="335"/>
      <c r="T4" s="345"/>
      <c r="U4" s="345"/>
      <c r="V4" s="345"/>
      <c r="W4" s="345"/>
      <c r="X4" s="345"/>
      <c r="Y4" s="345"/>
      <c r="Z4" s="353"/>
      <c r="AA4" s="535">
        <f>Imps!BY4</f>
        <v>43692.041666666664</v>
      </c>
      <c r="AB4" s="156">
        <f ca="1">Military!Z4</f>
        <v>4835</v>
      </c>
      <c r="AC4" s="167">
        <f ca="1">Production!H4</f>
        <v>3945720</v>
      </c>
      <c r="AD4" s="170"/>
      <c r="AE4" s="159">
        <f t="shared" ref="AE4:AE67" si="3">B4-S4*20</f>
        <v>1000</v>
      </c>
      <c r="AF4" s="172">
        <f>ROUND(IF(AE4&gt;=300,1000+3*(AE4-300)^MIN(MAX(1.05/(AE4^0.019),1.09),1.119),1000-3*(300-AE4))*(1+IF(Overview!$B$14="Ants",ant_explore_penalty,0)+MIN(tech_explore_cost*Techs!Z4,tech_explore_cost2*Techs!AB4,tech_enchanted_lands_explore*Techs!AT4)),0)</f>
        <v>4787</v>
      </c>
      <c r="AG4" s="168">
        <f>ROUND(MAX(IF(AE4&gt;=300,5+0.003*(AE4-300)^1.07,5-300/AE4)+MIN(tech_explore_draft1*Techs!AA4,tech_explore_draft2*Techs!AB4),3),0)</f>
        <v>8</v>
      </c>
      <c r="AH4" s="168">
        <f t="shared" si="1"/>
        <v>0</v>
      </c>
      <c r="AI4" s="167">
        <f t="shared" si="2"/>
        <v>0</v>
      </c>
    </row>
    <row r="5" spans="1:35" s="170" customFormat="1">
      <c r="A5" s="510">
        <f>Rezone!J5</f>
        <v>3</v>
      </c>
      <c r="B5" s="157">
        <f>Construction!E5</f>
        <v>1000</v>
      </c>
      <c r="C5" s="157"/>
      <c r="D5" s="205">
        <f>Construction!F5</f>
        <v>0</v>
      </c>
      <c r="E5" s="206">
        <f>Construction!G5</f>
        <v>100</v>
      </c>
      <c r="F5" s="207">
        <f>Construction!H5</f>
        <v>150</v>
      </c>
      <c r="G5" s="208">
        <f>Construction!I5</f>
        <v>150</v>
      </c>
      <c r="H5" s="209">
        <f>Construction!J5</f>
        <v>100</v>
      </c>
      <c r="I5" s="210">
        <f>Construction!K5</f>
        <v>20</v>
      </c>
      <c r="J5" s="211">
        <f>Construction!L5</f>
        <v>100</v>
      </c>
      <c r="L5" s="16"/>
      <c r="M5" s="16"/>
      <c r="N5" s="251">
        <f>Military!AB5</f>
        <v>0</v>
      </c>
      <c r="O5" s="187">
        <f ca="1">Population!I5</f>
        <v>0.36955057261091329</v>
      </c>
      <c r="P5" s="251">
        <f ca="1">Imps!J5</f>
        <v>1.5888054653679653</v>
      </c>
      <c r="Q5" s="157">
        <f t="shared" si="0"/>
        <v>1000</v>
      </c>
      <c r="R5" s="634">
        <v>3</v>
      </c>
      <c r="S5" s="335"/>
      <c r="T5" s="345"/>
      <c r="U5" s="345"/>
      <c r="V5" s="345"/>
      <c r="W5" s="345"/>
      <c r="X5" s="345"/>
      <c r="Y5" s="345"/>
      <c r="Z5" s="353"/>
      <c r="AA5" s="534">
        <f>Imps!BY5</f>
        <v>43692.083333333328</v>
      </c>
      <c r="AB5" s="156">
        <f ca="1">Military!Z5</f>
        <v>4939</v>
      </c>
      <c r="AC5" s="166">
        <f ca="1">Production!H5</f>
        <v>3955440</v>
      </c>
      <c r="AE5" s="159">
        <f t="shared" si="3"/>
        <v>1000</v>
      </c>
      <c r="AF5" s="152">
        <f>ROUND(IF(AE5&gt;=300,1000+3*(AE5-300)^MIN(MAX(1.05/(AE5^0.019),1.09),1.119),1000-3*(300-AE5))*(1+IF(Overview!$B$14="Ants",ant_explore_penalty,0)+MIN(tech_explore_cost*Techs!Z5,tech_explore_cost2*Techs!AB5,tech_enchanted_lands_explore*Techs!AT5)),0)</f>
        <v>4787</v>
      </c>
      <c r="AG5" s="164">
        <f>ROUND(MAX(IF(AE5&gt;=300,5+0.003*(AE5-300)^1.07,5-300/AE5)+MIN(tech_explore_draft1*Techs!AA5,tech_explore_draft2*Techs!AB5),3),0)</f>
        <v>8</v>
      </c>
      <c r="AH5" s="164">
        <f t="shared" si="1"/>
        <v>0</v>
      </c>
      <c r="AI5" s="166">
        <f t="shared" si="2"/>
        <v>0</v>
      </c>
    </row>
    <row r="6" spans="1:35" s="16" customFormat="1">
      <c r="A6" s="513">
        <f>Rezone!J6</f>
        <v>4</v>
      </c>
      <c r="B6" s="53">
        <f>Construction!E6</f>
        <v>1000</v>
      </c>
      <c r="C6" s="53"/>
      <c r="D6" s="68">
        <f>Construction!F6</f>
        <v>0</v>
      </c>
      <c r="E6" s="29">
        <f>Construction!G6</f>
        <v>100</v>
      </c>
      <c r="F6" s="30">
        <f>Construction!H6</f>
        <v>150</v>
      </c>
      <c r="G6" s="31">
        <f>Construction!I6</f>
        <v>150</v>
      </c>
      <c r="H6" s="32">
        <f>Construction!J6</f>
        <v>100</v>
      </c>
      <c r="I6" s="33">
        <f>Construction!K6</f>
        <v>20</v>
      </c>
      <c r="J6" s="69">
        <f>Construction!L6</f>
        <v>100</v>
      </c>
      <c r="N6" s="91">
        <f>Military!AB6</f>
        <v>0</v>
      </c>
      <c r="O6" s="59">
        <f ca="1">Population!I6</f>
        <v>0.39312106388387913</v>
      </c>
      <c r="P6" s="91">
        <f ca="1">Imps!J6</f>
        <v>1.5360913825757576</v>
      </c>
      <c r="Q6" s="53">
        <f t="shared" si="0"/>
        <v>1000</v>
      </c>
      <c r="R6" s="634">
        <v>4</v>
      </c>
      <c r="S6" s="340"/>
      <c r="T6" s="363"/>
      <c r="U6" s="348"/>
      <c r="V6" s="348"/>
      <c r="W6" s="348"/>
      <c r="X6" s="348"/>
      <c r="Y6" s="348"/>
      <c r="Z6" s="357"/>
      <c r="AA6" s="537">
        <f>Imps!BY6</f>
        <v>43692.124999999993</v>
      </c>
      <c r="AB6" s="156">
        <f ca="1">Military!Z6</f>
        <v>5036</v>
      </c>
      <c r="AC6" s="57">
        <f ca="1">Production!H6</f>
        <v>3965160</v>
      </c>
      <c r="AE6" s="63">
        <f t="shared" si="3"/>
        <v>1000</v>
      </c>
      <c r="AF6" s="152">
        <f>ROUND(IF(AE6&gt;=300,1000+3*(AE6-300)^MIN(MAX(1.05/(AE6^0.019),1.09),1.119),1000-3*(300-AE6))*(1+IF(Overview!$B$14="Ants",ant_explore_penalty,0)+MIN(tech_explore_cost*Techs!Z6,tech_explore_cost2*Techs!AB6,tech_enchanted_lands_explore*Techs!AT6)),0)</f>
        <v>4787</v>
      </c>
      <c r="AG6" s="164">
        <f>ROUND(MAX(IF(AE6&gt;=300,5+0.003*(AE6-300)^1.07,5-300/AE6)+MIN(tech_explore_draft1*Techs!AA6,tech_explore_draft2*Techs!AB6),3),0)</f>
        <v>8</v>
      </c>
      <c r="AH6" s="26">
        <f t="shared" si="1"/>
        <v>0</v>
      </c>
      <c r="AI6" s="57">
        <f t="shared" si="2"/>
        <v>0</v>
      </c>
    </row>
    <row r="7" spans="1:35" s="16" customFormat="1">
      <c r="A7" s="513">
        <f>Rezone!J7</f>
        <v>5</v>
      </c>
      <c r="B7" s="53">
        <f>Construction!E7</f>
        <v>1000</v>
      </c>
      <c r="C7" s="53"/>
      <c r="D7" s="68">
        <f>Construction!F7</f>
        <v>0</v>
      </c>
      <c r="E7" s="29">
        <f>Construction!G7</f>
        <v>100</v>
      </c>
      <c r="F7" s="30">
        <f>Construction!H7</f>
        <v>150</v>
      </c>
      <c r="G7" s="31">
        <f>Construction!I7</f>
        <v>150</v>
      </c>
      <c r="H7" s="32">
        <f>Construction!J7</f>
        <v>100</v>
      </c>
      <c r="I7" s="33">
        <f>Construction!K7</f>
        <v>20</v>
      </c>
      <c r="J7" s="69">
        <f>Construction!L7</f>
        <v>100</v>
      </c>
      <c r="N7" s="91">
        <f>Military!AB7</f>
        <v>0</v>
      </c>
      <c r="O7" s="59">
        <f ca="1">Population!I7</f>
        <v>0.41823455461514292</v>
      </c>
      <c r="P7" s="91">
        <f ca="1">Imps!J7</f>
        <v>1.4865378956980519</v>
      </c>
      <c r="Q7" s="53">
        <f t="shared" si="0"/>
        <v>1000</v>
      </c>
      <c r="R7" s="634">
        <v>5</v>
      </c>
      <c r="S7" s="340"/>
      <c r="T7" s="363"/>
      <c r="U7" s="348"/>
      <c r="V7" s="348"/>
      <c r="W7" s="348"/>
      <c r="X7" s="348"/>
      <c r="Y7" s="348"/>
      <c r="Z7" s="357"/>
      <c r="AA7" s="537">
        <f>Imps!BY7</f>
        <v>43692.166666666657</v>
      </c>
      <c r="AB7" s="156">
        <f ca="1">Military!Z7</f>
        <v>5128</v>
      </c>
      <c r="AC7" s="57">
        <f ca="1">Production!H7</f>
        <v>3974880</v>
      </c>
      <c r="AE7" s="63">
        <f t="shared" si="3"/>
        <v>1000</v>
      </c>
      <c r="AF7" s="152">
        <f>ROUND(IF(AE7&gt;=300,1000+3*(AE7-300)^MIN(MAX(1.05/(AE7^0.019),1.09),1.119),1000-3*(300-AE7))*(1+IF(Overview!$B$14="Ants",ant_explore_penalty,0)+MIN(tech_explore_cost*Techs!Z7,tech_explore_cost2*Techs!AB7,tech_enchanted_lands_explore*Techs!AT7)),0)</f>
        <v>4787</v>
      </c>
      <c r="AG7" s="164">
        <f>ROUND(MAX(IF(AE7&gt;=300,5+0.003*(AE7-300)^1.07,5-300/AE7)+MIN(tech_explore_draft1*Techs!AA7,tech_explore_draft2*Techs!AB7),3),0)</f>
        <v>8</v>
      </c>
      <c r="AH7" s="26">
        <f t="shared" si="1"/>
        <v>0</v>
      </c>
      <c r="AI7" s="57">
        <f t="shared" si="2"/>
        <v>0</v>
      </c>
    </row>
    <row r="8" spans="1:35" s="16" customFormat="1">
      <c r="A8" s="513">
        <f>Rezone!J8</f>
        <v>6</v>
      </c>
      <c r="B8" s="53">
        <f>Construction!E8</f>
        <v>1000</v>
      </c>
      <c r="C8" s="53"/>
      <c r="D8" s="68">
        <f>Construction!F8</f>
        <v>0</v>
      </c>
      <c r="E8" s="29">
        <f>Construction!G8</f>
        <v>100</v>
      </c>
      <c r="F8" s="30">
        <f>Construction!H8</f>
        <v>150</v>
      </c>
      <c r="G8" s="31">
        <f>Construction!I8</f>
        <v>150</v>
      </c>
      <c r="H8" s="32">
        <f>Construction!J8</f>
        <v>100</v>
      </c>
      <c r="I8" s="33">
        <f>Construction!K8</f>
        <v>20</v>
      </c>
      <c r="J8" s="69">
        <f>Construction!L8</f>
        <v>100</v>
      </c>
      <c r="N8" s="91">
        <f>Military!AB8</f>
        <v>0</v>
      </c>
      <c r="O8" s="59">
        <f ca="1">Population!I8</f>
        <v>0.4449261924848712</v>
      </c>
      <c r="P8" s="91">
        <f ca="1">Imps!J8</f>
        <v>1.4399599186620671</v>
      </c>
      <c r="Q8" s="63">
        <f t="shared" si="0"/>
        <v>1000</v>
      </c>
      <c r="R8" s="634">
        <v>6</v>
      </c>
      <c r="S8" s="340"/>
      <c r="T8" s="348"/>
      <c r="U8" s="348"/>
      <c r="V8" s="348"/>
      <c r="W8" s="348"/>
      <c r="X8" s="348"/>
      <c r="Y8" s="348"/>
      <c r="Z8" s="357"/>
      <c r="AA8" s="537">
        <f>Imps!BY8</f>
        <v>43692.208333333321</v>
      </c>
      <c r="AB8" s="156">
        <f ca="1">Military!Z8</f>
        <v>5214</v>
      </c>
      <c r="AC8" s="57">
        <f ca="1">Production!H8</f>
        <v>3984600</v>
      </c>
      <c r="AE8" s="63">
        <f t="shared" si="3"/>
        <v>1000</v>
      </c>
      <c r="AF8" s="152">
        <f>ROUND(IF(AE8&gt;=300,1000+3*(AE8-300)^MIN(MAX(1.05/(AE8^0.019),1.09),1.119),1000-3*(300-AE8))*(1+IF(Overview!$B$14="Ants",ant_explore_penalty,0)+MIN(tech_explore_cost*Techs!Z8,tech_explore_cost2*Techs!AB8,tech_enchanted_lands_explore*Techs!AT8)),0)</f>
        <v>4787</v>
      </c>
      <c r="AG8" s="164">
        <f>ROUND(MAX(IF(AE8&gt;=300,5+0.003*(AE8-300)^1.07,5-300/AE8)+MIN(tech_explore_draft1*Techs!AA8,tech_explore_draft2*Techs!AB8),3),0)</f>
        <v>8</v>
      </c>
      <c r="AH8" s="26">
        <f t="shared" si="1"/>
        <v>0</v>
      </c>
      <c r="AI8" s="57">
        <f t="shared" si="2"/>
        <v>0</v>
      </c>
    </row>
    <row r="9" spans="1:35" s="16" customFormat="1">
      <c r="A9" s="513">
        <f>Rezone!J9</f>
        <v>7</v>
      </c>
      <c r="B9" s="53">
        <f>Construction!E9</f>
        <v>1000</v>
      </c>
      <c r="C9" s="53"/>
      <c r="D9" s="68">
        <f>Construction!F9</f>
        <v>0</v>
      </c>
      <c r="E9" s="29">
        <f>Construction!G9</f>
        <v>100</v>
      </c>
      <c r="F9" s="30">
        <f>Construction!H9</f>
        <v>150</v>
      </c>
      <c r="G9" s="31">
        <f>Construction!I9</f>
        <v>150</v>
      </c>
      <c r="H9" s="32">
        <f>Construction!J9</f>
        <v>100</v>
      </c>
      <c r="I9" s="33">
        <f>Construction!K9</f>
        <v>20</v>
      </c>
      <c r="J9" s="69">
        <f>Construction!L9</f>
        <v>100</v>
      </c>
      <c r="N9" s="91">
        <f>Military!AB9</f>
        <v>0</v>
      </c>
      <c r="O9" s="59">
        <f ca="1">Population!I9</f>
        <v>0.47333119476417135</v>
      </c>
      <c r="P9" s="91">
        <f ca="1">Imps!J9</f>
        <v>1.3961762084432494</v>
      </c>
      <c r="Q9" s="63">
        <f t="shared" si="0"/>
        <v>1000</v>
      </c>
      <c r="R9" s="634">
        <v>7</v>
      </c>
      <c r="S9" s="340"/>
      <c r="T9" s="348"/>
      <c r="U9" s="348"/>
      <c r="V9" s="348"/>
      <c r="W9" s="348"/>
      <c r="X9" s="348"/>
      <c r="Y9" s="348"/>
      <c r="Z9" s="357"/>
      <c r="AA9" s="537">
        <f>Imps!BY9</f>
        <v>43692.249999999985</v>
      </c>
      <c r="AB9" s="156">
        <f ca="1">Military!Z9</f>
        <v>5295</v>
      </c>
      <c r="AC9" s="57">
        <f ca="1">Production!H9</f>
        <v>3994320</v>
      </c>
      <c r="AE9" s="63">
        <f>B9-S9*20</f>
        <v>1000</v>
      </c>
      <c r="AF9" s="152">
        <f>ROUND(IF(AE9&gt;=300,1000+3*(AE9-300)^MIN(MAX(1.05/(AE9^0.019),1.09),1.119),1000-3*(300-AE9))*(1+IF(Overview!$B$14="Ants",ant_explore_penalty,0)+MIN(tech_explore_cost*Techs!Z9,tech_explore_cost2*Techs!AB9,tech_enchanted_lands_explore*Techs!AT9)),0)</f>
        <v>4787</v>
      </c>
      <c r="AG9" s="164">
        <f>ROUND(MAX(IF(AE9&gt;=300,5+0.003*(AE9-300)^1.07,5-300/AE9)+MIN(tech_explore_draft1*Techs!AA9,tech_explore_draft2*Techs!AB9),3),0)</f>
        <v>8</v>
      </c>
      <c r="AH9" s="26">
        <f t="shared" si="1"/>
        <v>0</v>
      </c>
      <c r="AI9" s="57">
        <f t="shared" si="2"/>
        <v>0</v>
      </c>
    </row>
    <row r="10" spans="1:35" s="16" customFormat="1">
      <c r="A10" s="513">
        <f>Rezone!J10</f>
        <v>8</v>
      </c>
      <c r="B10" s="53">
        <f>Construction!E10</f>
        <v>1000</v>
      </c>
      <c r="C10" s="53"/>
      <c r="D10" s="68">
        <f>Construction!F10</f>
        <v>0</v>
      </c>
      <c r="E10" s="29">
        <f>Construction!G10</f>
        <v>100</v>
      </c>
      <c r="F10" s="30">
        <f>Construction!H10</f>
        <v>150</v>
      </c>
      <c r="G10" s="31">
        <f>Construction!I10</f>
        <v>150</v>
      </c>
      <c r="H10" s="32">
        <f>Construction!J10</f>
        <v>100</v>
      </c>
      <c r="I10" s="33">
        <f>Construction!K10</f>
        <v>20</v>
      </c>
      <c r="J10" s="69">
        <f>Construction!L10</f>
        <v>100</v>
      </c>
      <c r="N10" s="91">
        <f>Military!AB10</f>
        <v>0</v>
      </c>
      <c r="O10" s="59">
        <f ca="1">Population!I10</f>
        <v>0.49824336290965404</v>
      </c>
      <c r="P10" s="91">
        <f ca="1">Imps!J10</f>
        <v>1.3550199954236846</v>
      </c>
      <c r="Q10" s="63">
        <f t="shared" si="0"/>
        <v>1000</v>
      </c>
      <c r="R10" s="634">
        <v>8</v>
      </c>
      <c r="S10" s="340"/>
      <c r="T10" s="348"/>
      <c r="U10" s="348"/>
      <c r="V10" s="348"/>
      <c r="W10" s="348"/>
      <c r="X10" s="348"/>
      <c r="Y10" s="348"/>
      <c r="Z10" s="357"/>
      <c r="AA10" s="537">
        <f>Imps!BY10</f>
        <v>43692.29166666665</v>
      </c>
      <c r="AB10" s="156">
        <f ca="1">Military!Z10</f>
        <v>5295</v>
      </c>
      <c r="AC10" s="57">
        <f ca="1">Production!H10</f>
        <v>4004040</v>
      </c>
      <c r="AE10" s="63">
        <f t="shared" si="3"/>
        <v>1000</v>
      </c>
      <c r="AF10" s="152">
        <f>ROUND(IF(AE10&gt;=300,1000+3*(AE10-300)^MIN(MAX(1.05/(AE10^0.019),1.09),1.119),1000-3*(300-AE10))*(1+IF(Overview!$B$14="Ants",ant_explore_penalty,0)+MIN(tech_explore_cost*Techs!Z10,tech_explore_cost2*Techs!AB10,tech_enchanted_lands_explore*Techs!AT10)),0)</f>
        <v>4787</v>
      </c>
      <c r="AG10" s="164">
        <f>ROUND(MAX(IF(AE10&gt;=300,5+0.003*(AE10-300)^1.07,5-300/AE10)+MIN(tech_explore_draft1*Techs!AA10,tech_explore_draft2*Techs!AB10),3),0)</f>
        <v>8</v>
      </c>
      <c r="AH10" s="26">
        <f t="shared" si="1"/>
        <v>0</v>
      </c>
      <c r="AI10" s="57">
        <f t="shared" si="2"/>
        <v>0</v>
      </c>
    </row>
    <row r="11" spans="1:35" s="16" customFormat="1">
      <c r="A11" s="513">
        <f>Rezone!J11</f>
        <v>9</v>
      </c>
      <c r="B11" s="53">
        <f>Construction!E11</f>
        <v>1000</v>
      </c>
      <c r="C11" s="53"/>
      <c r="D11" s="68">
        <f>Construction!F11</f>
        <v>0</v>
      </c>
      <c r="E11" s="29">
        <f>Construction!G11</f>
        <v>100</v>
      </c>
      <c r="F11" s="30">
        <f>Construction!H11</f>
        <v>150</v>
      </c>
      <c r="G11" s="31">
        <f>Construction!I11</f>
        <v>150</v>
      </c>
      <c r="H11" s="32">
        <f>Construction!J11</f>
        <v>100</v>
      </c>
      <c r="I11" s="33">
        <f>Construction!K11</f>
        <v>20</v>
      </c>
      <c r="J11" s="69">
        <f>Construction!L11</f>
        <v>100</v>
      </c>
      <c r="N11" s="91">
        <f>Military!AB11</f>
        <v>0</v>
      </c>
      <c r="O11" s="59">
        <f ca="1">Population!I11</f>
        <v>0.52446669779963584</v>
      </c>
      <c r="P11" s="91">
        <f ca="1">Imps!J11</f>
        <v>1.3159215930550976</v>
      </c>
      <c r="Q11" s="53">
        <f t="shared" si="0"/>
        <v>1000</v>
      </c>
      <c r="R11" s="634">
        <v>9</v>
      </c>
      <c r="S11" s="340"/>
      <c r="T11" s="345"/>
      <c r="U11" s="348"/>
      <c r="V11" s="348"/>
      <c r="W11" s="348"/>
      <c r="X11" s="348"/>
      <c r="Y11" s="348"/>
      <c r="Z11" s="357"/>
      <c r="AA11" s="537">
        <f>Imps!BY11</f>
        <v>43692.333333333314</v>
      </c>
      <c r="AB11" s="156">
        <f ca="1">Military!Z11</f>
        <v>5295</v>
      </c>
      <c r="AC11" s="57">
        <f ca="1">Production!H11</f>
        <v>4013760</v>
      </c>
      <c r="AE11" s="63">
        <f t="shared" si="3"/>
        <v>1000</v>
      </c>
      <c r="AF11" s="152">
        <f>ROUND(IF(AE11&gt;=300,1000+3*(AE11-300)^MIN(MAX(1.05/(AE11^0.019),1.09),1.119),1000-3*(300-AE11))*(1+IF(Overview!$B$14="Ants",ant_explore_penalty,0)+MIN(tech_explore_cost*Techs!Z11,tech_explore_cost2*Techs!AB11,tech_enchanted_lands_explore*Techs!AT11)),0)</f>
        <v>4787</v>
      </c>
      <c r="AG11" s="164">
        <f>ROUND(MAX(IF(AE11&gt;=300,5+0.003*(AE11-300)^1.07,5-300/AE11)+MIN(tech_explore_draft1*Techs!AA11,tech_explore_draft2*Techs!AB11),3),0)</f>
        <v>8</v>
      </c>
      <c r="AH11" s="26">
        <f t="shared" si="1"/>
        <v>0</v>
      </c>
      <c r="AI11" s="57">
        <f t="shared" si="2"/>
        <v>0</v>
      </c>
    </row>
    <row r="12" spans="1:35" s="16" customFormat="1">
      <c r="A12" s="513">
        <f>Rezone!J12</f>
        <v>10</v>
      </c>
      <c r="B12" s="53">
        <f>Construction!E12</f>
        <v>1000</v>
      </c>
      <c r="C12" s="53"/>
      <c r="D12" s="68">
        <f>Construction!F12</f>
        <v>0</v>
      </c>
      <c r="E12" s="29">
        <f>Construction!G12</f>
        <v>100</v>
      </c>
      <c r="F12" s="30">
        <f>Construction!H12</f>
        <v>150</v>
      </c>
      <c r="G12" s="31">
        <f>Construction!I12</f>
        <v>150</v>
      </c>
      <c r="H12" s="32">
        <f>Construction!J12</f>
        <v>100</v>
      </c>
      <c r="I12" s="33">
        <f>Construction!K12</f>
        <v>20</v>
      </c>
      <c r="J12" s="69">
        <f>Construction!L12</f>
        <v>100</v>
      </c>
      <c r="N12" s="91">
        <f>Military!AB12</f>
        <v>0</v>
      </c>
      <c r="O12" s="59">
        <f ca="1">Population!I12</f>
        <v>0.55207020821014297</v>
      </c>
      <c r="P12" s="91">
        <f ca="1">Imps!J12</f>
        <v>1.2787781108049403</v>
      </c>
      <c r="Q12" s="53">
        <f t="shared" si="0"/>
        <v>1000</v>
      </c>
      <c r="R12" s="634">
        <v>10</v>
      </c>
      <c r="S12" s="340"/>
      <c r="T12" s="348"/>
      <c r="U12" s="348"/>
      <c r="V12" s="348"/>
      <c r="W12" s="348"/>
      <c r="X12" s="348"/>
      <c r="Y12" s="348"/>
      <c r="Z12" s="357"/>
      <c r="AA12" s="537">
        <f>Imps!BY12</f>
        <v>43692.374999999978</v>
      </c>
      <c r="AB12" s="156">
        <f ca="1">Military!Z12</f>
        <v>5295</v>
      </c>
      <c r="AC12" s="57">
        <f ca="1">Production!H12</f>
        <v>4023480</v>
      </c>
      <c r="AE12" s="63">
        <f t="shared" si="3"/>
        <v>1000</v>
      </c>
      <c r="AF12" s="152">
        <f>ROUND(IF(AE12&gt;=300,1000+3*(AE12-300)^MIN(MAX(1.05/(AE12^0.019),1.09),1.119),1000-3*(300-AE12))*(1+IF(Overview!$B$14="Ants",ant_explore_penalty,0)+MIN(tech_explore_cost*Techs!Z12,tech_explore_cost2*Techs!AB12,tech_enchanted_lands_explore*Techs!AT12)),0)</f>
        <v>4787</v>
      </c>
      <c r="AG12" s="164">
        <f>ROUND(MAX(IF(AE12&gt;=300,5+0.003*(AE12-300)^1.07,5-300/AE12)+MIN(tech_explore_draft1*Techs!AA12,tech_explore_draft2*Techs!AB12),3),0)</f>
        <v>8</v>
      </c>
      <c r="AH12" s="26">
        <f t="shared" si="1"/>
        <v>0</v>
      </c>
      <c r="AI12" s="57">
        <f t="shared" si="2"/>
        <v>0</v>
      </c>
    </row>
    <row r="13" spans="1:35" s="16" customFormat="1">
      <c r="A13" s="513">
        <f>Rezone!J13</f>
        <v>11</v>
      </c>
      <c r="B13" s="53">
        <f>Construction!E13</f>
        <v>1000</v>
      </c>
      <c r="C13" s="53"/>
      <c r="D13" s="68">
        <f>Construction!F13</f>
        <v>0</v>
      </c>
      <c r="E13" s="29">
        <f>Construction!G13</f>
        <v>100</v>
      </c>
      <c r="F13" s="30">
        <f>Construction!H13</f>
        <v>150</v>
      </c>
      <c r="G13" s="31">
        <f>Construction!I13</f>
        <v>150</v>
      </c>
      <c r="H13" s="32">
        <f>Construction!J13</f>
        <v>100</v>
      </c>
      <c r="I13" s="33">
        <f>Construction!K13</f>
        <v>20</v>
      </c>
      <c r="J13" s="69">
        <f>Construction!L13</f>
        <v>100</v>
      </c>
      <c r="N13" s="91">
        <f>Military!AB13</f>
        <v>0</v>
      </c>
      <c r="O13" s="59">
        <f ca="1">Population!I13</f>
        <v>0.58112653495804523</v>
      </c>
      <c r="P13" s="91">
        <f ca="1">Imps!J13</f>
        <v>1.2434918026672905</v>
      </c>
      <c r="Q13" s="53">
        <f t="shared" si="0"/>
        <v>1000</v>
      </c>
      <c r="R13" s="634">
        <v>11</v>
      </c>
      <c r="S13" s="340"/>
      <c r="T13" s="348"/>
      <c r="U13" s="348"/>
      <c r="V13" s="348"/>
      <c r="W13" s="348"/>
      <c r="X13" s="348"/>
      <c r="Y13" s="348"/>
      <c r="Z13" s="357"/>
      <c r="AA13" s="537">
        <f>Imps!BY13</f>
        <v>43692.416666666642</v>
      </c>
      <c r="AB13" s="156">
        <f ca="1">Military!Z13</f>
        <v>5295</v>
      </c>
      <c r="AC13" s="57">
        <f ca="1">Production!H13</f>
        <v>4033200</v>
      </c>
      <c r="AE13" s="63">
        <f t="shared" si="3"/>
        <v>1000</v>
      </c>
      <c r="AF13" s="152">
        <f>ROUND(IF(AE13&gt;=300,1000+3*(AE13-300)^MIN(MAX(1.05/(AE13^0.019),1.09),1.119),1000-3*(300-AE13))*(1+IF(Overview!$B$14="Ants",ant_explore_penalty,0)+MIN(tech_explore_cost*Techs!Z13,tech_explore_cost2*Techs!AB13,tech_enchanted_lands_explore*Techs!AT13)),0)</f>
        <v>4787</v>
      </c>
      <c r="AG13" s="164">
        <f>ROUND(MAX(IF(AE13&gt;=300,5+0.003*(AE13-300)^1.07,5-300/AE13)+MIN(tech_explore_draft1*Techs!AA13,tech_explore_draft2*Techs!AB13),3),0)</f>
        <v>8</v>
      </c>
      <c r="AH13" s="26">
        <f t="shared" si="1"/>
        <v>0</v>
      </c>
      <c r="AI13" s="57">
        <f t="shared" si="2"/>
        <v>0</v>
      </c>
    </row>
    <row r="14" spans="1:35" s="170" customFormat="1">
      <c r="A14" s="510">
        <f>Rezone!J14</f>
        <v>12</v>
      </c>
      <c r="B14" s="157">
        <f>Construction!E14</f>
        <v>1000</v>
      </c>
      <c r="C14" s="157"/>
      <c r="D14" s="205">
        <f>Construction!F14</f>
        <v>0</v>
      </c>
      <c r="E14" s="206">
        <f>Construction!G14</f>
        <v>100</v>
      </c>
      <c r="F14" s="207">
        <f>Construction!H14</f>
        <v>150</v>
      </c>
      <c r="G14" s="208">
        <f>Construction!I14</f>
        <v>150</v>
      </c>
      <c r="H14" s="209">
        <f>Construction!J14</f>
        <v>100</v>
      </c>
      <c r="I14" s="210">
        <f>Construction!K14</f>
        <v>20</v>
      </c>
      <c r="J14" s="211">
        <f>Construction!L14</f>
        <v>100</v>
      </c>
      <c r="L14" s="681"/>
      <c r="M14" s="730"/>
      <c r="N14" s="831">
        <f>Military!AB14</f>
        <v>0</v>
      </c>
      <c r="O14" s="187">
        <f ca="1">Population!I14</f>
        <v>1</v>
      </c>
      <c r="P14" s="251">
        <f ca="1">Imps!J14</f>
        <v>1.2099698099365235</v>
      </c>
      <c r="Q14" s="157">
        <f t="shared" si="0"/>
        <v>1000</v>
      </c>
      <c r="R14" s="634">
        <v>12</v>
      </c>
      <c r="S14" s="335"/>
      <c r="T14" s="363"/>
      <c r="U14" s="345"/>
      <c r="V14" s="345"/>
      <c r="W14" s="345"/>
      <c r="X14" s="345"/>
      <c r="Y14" s="345"/>
      <c r="Z14" s="353"/>
      <c r="AA14" s="534">
        <f>Imps!BY14</f>
        <v>43692.458333333307</v>
      </c>
      <c r="AB14" s="156">
        <f ca="1">Military!Z14</f>
        <v>5295</v>
      </c>
      <c r="AC14" s="166">
        <f ca="1">Production!H14</f>
        <v>4042920</v>
      </c>
      <c r="AE14" s="159">
        <f t="shared" si="3"/>
        <v>1000</v>
      </c>
      <c r="AF14" s="152">
        <f>ROUND(IF(AE14&gt;=300,1000+3*(AE14-300)^MIN(MAX(1.05/(AE14^0.019),1.09),1.119),1000-3*(300-AE14))*(1+IF(Overview!$B$14="Ants",ant_explore_penalty,0)+MIN(tech_explore_cost*Techs!Z14,tech_explore_cost2*Techs!AB14,tech_enchanted_lands_explore*Techs!AT14)),0)</f>
        <v>4787</v>
      </c>
      <c r="AG14" s="164">
        <f>ROUND(MAX(IF(AE14&gt;=300,5+0.003*(AE14-300)^1.07,5-300/AE14)+MIN(tech_explore_draft1*Techs!AA14,tech_explore_draft2*Techs!AB14),3),0)</f>
        <v>8</v>
      </c>
      <c r="AH14" s="164">
        <f t="shared" si="1"/>
        <v>0</v>
      </c>
      <c r="AI14" s="166">
        <f t="shared" si="2"/>
        <v>0</v>
      </c>
    </row>
    <row r="15" spans="1:35" s="163" customFormat="1" ht="13.5" thickBot="1">
      <c r="A15" s="509">
        <f>Rezone!J15</f>
        <v>13</v>
      </c>
      <c r="B15" s="185">
        <f>Construction!E15</f>
        <v>1000</v>
      </c>
      <c r="C15" s="185"/>
      <c r="D15" s="196">
        <f>Construction!F15</f>
        <v>0</v>
      </c>
      <c r="E15" s="197">
        <f>Construction!G15</f>
        <v>100</v>
      </c>
      <c r="F15" s="198">
        <f>Construction!H15</f>
        <v>150</v>
      </c>
      <c r="G15" s="199">
        <f>Construction!I15</f>
        <v>150</v>
      </c>
      <c r="H15" s="200">
        <f>Construction!J15</f>
        <v>100</v>
      </c>
      <c r="I15" s="201">
        <f>Construction!K15</f>
        <v>20</v>
      </c>
      <c r="J15" s="202">
        <f>Construction!L15</f>
        <v>100</v>
      </c>
      <c r="L15" s="1478" t="s">
        <v>397</v>
      </c>
      <c r="M15" s="1479"/>
      <c r="N15" s="305">
        <f>Military!AB15</f>
        <v>0.2</v>
      </c>
      <c r="O15" s="186">
        <f ca="1">Population!I15</f>
        <v>1</v>
      </c>
      <c r="P15" s="305">
        <f ca="1">Imps!J15</f>
        <v>1.1781239168422946</v>
      </c>
      <c r="Q15" s="185">
        <f t="shared" si="0"/>
        <v>1000</v>
      </c>
      <c r="R15" s="318">
        <v>13</v>
      </c>
      <c r="S15" s="518"/>
      <c r="T15" s="346"/>
      <c r="U15" s="346"/>
      <c r="V15" s="346"/>
      <c r="W15" s="346"/>
      <c r="X15" s="346"/>
      <c r="Y15" s="346"/>
      <c r="Z15" s="372"/>
      <c r="AA15" s="533">
        <f>Imps!BY15</f>
        <v>43692.499999999971</v>
      </c>
      <c r="AB15" s="184">
        <f ca="1">Military!Z15</f>
        <v>3695</v>
      </c>
      <c r="AC15" s="158">
        <f ca="1">Production!H15</f>
        <v>3058809</v>
      </c>
      <c r="AE15" s="287">
        <f t="shared" si="3"/>
        <v>1000</v>
      </c>
      <c r="AF15" s="151">
        <f>ROUND(IF(AE15&gt;=300,1000+3*(AE15-300)^MIN(MAX(1.05/(AE15^0.019),1.09),1.119),1000-3*(300-AE15))*(1+IF(Overview!$B$14="Ants",ant_explore_penalty,0)+MIN(tech_explore_cost*Techs!Z15,tech_explore_cost2*Techs!AB15,tech_enchanted_lands_explore*Techs!AT15)),0)</f>
        <v>4787</v>
      </c>
      <c r="AG15" s="153">
        <f>ROUND(MAX(IF(AE15&gt;=300,5+0.003*(AE15-300)^1.07,5-300/AE15)+MIN(tech_explore_draft1*Techs!AA15,tech_explore_draft2*Techs!AB15),3),0)</f>
        <v>8</v>
      </c>
      <c r="AH15" s="153">
        <f t="shared" si="1"/>
        <v>0</v>
      </c>
      <c r="AI15" s="158">
        <f t="shared" si="2"/>
        <v>0</v>
      </c>
    </row>
    <row r="16" spans="1:35" s="170" customFormat="1">
      <c r="A16" s="510">
        <f>Rezone!J16</f>
        <v>14</v>
      </c>
      <c r="B16" s="157">
        <f>Construction!E16</f>
        <v>1000</v>
      </c>
      <c r="C16" s="157"/>
      <c r="D16" s="205">
        <f>Construction!F16</f>
        <v>0</v>
      </c>
      <c r="E16" s="206">
        <f>Construction!G16</f>
        <v>100</v>
      </c>
      <c r="F16" s="207">
        <f>Construction!H16</f>
        <v>150</v>
      </c>
      <c r="G16" s="208">
        <f>Construction!I16</f>
        <v>150</v>
      </c>
      <c r="H16" s="209">
        <f>Construction!J16</f>
        <v>100</v>
      </c>
      <c r="I16" s="210">
        <f>Construction!K16</f>
        <v>20</v>
      </c>
      <c r="J16" s="211">
        <f>Construction!L16</f>
        <v>100</v>
      </c>
      <c r="L16" s="645" t="s">
        <v>385</v>
      </c>
      <c r="M16" s="842"/>
      <c r="N16" s="540">
        <f>Military!AB16</f>
        <v>0.2</v>
      </c>
      <c r="O16" s="187">
        <f ca="1">Population!I16</f>
        <v>1</v>
      </c>
      <c r="P16" s="251">
        <f ca="1">Imps!J16</f>
        <v>1.1478703184027772</v>
      </c>
      <c r="Q16" s="157">
        <f t="shared" si="0"/>
        <v>1000</v>
      </c>
      <c r="R16" s="634">
        <v>14</v>
      </c>
      <c r="S16" s="335"/>
      <c r="T16" s="345"/>
      <c r="U16" s="345"/>
      <c r="V16" s="345"/>
      <c r="W16" s="345"/>
      <c r="X16" s="345"/>
      <c r="Y16" s="345"/>
      <c r="Z16" s="353"/>
      <c r="AA16" s="534">
        <f>Imps!BY16</f>
        <v>43692.541666666635</v>
      </c>
      <c r="AB16" s="156">
        <f ca="1">Military!Z16</f>
        <v>3695</v>
      </c>
      <c r="AC16" s="166">
        <f ca="1">Production!H16</f>
        <v>3073904</v>
      </c>
      <c r="AE16" s="159">
        <f t="shared" si="3"/>
        <v>1000</v>
      </c>
      <c r="AF16" s="152">
        <f>ROUND(IF(AE16&gt;=300,1000+3*(AE16-300)^MIN(MAX(1.05/(AE16^0.019),1.09),1.119),1000-3*(300-AE16))*(1+IF(Overview!$B$14="Ants",ant_explore_penalty,0)+MIN(tech_explore_cost*Techs!Z16,tech_explore_cost2*Techs!AB16,tech_enchanted_lands_explore*Techs!AT16)),0)</f>
        <v>4787</v>
      </c>
      <c r="AG16" s="164">
        <f>ROUND(MAX(IF(AE16&gt;=300,5+0.003*(AE16-300)^1.07,5-300/AE16)+MIN(tech_explore_draft1*Techs!AA16,tech_explore_draft2*Techs!AB16),3),0)</f>
        <v>8</v>
      </c>
      <c r="AH16" s="164">
        <f t="shared" si="1"/>
        <v>0</v>
      </c>
      <c r="AI16" s="166">
        <f t="shared" si="2"/>
        <v>0</v>
      </c>
    </row>
    <row r="17" spans="1:35" s="170" customFormat="1">
      <c r="A17" s="510">
        <f>Rezone!J17</f>
        <v>15</v>
      </c>
      <c r="B17" s="157">
        <f>Construction!E17</f>
        <v>1000</v>
      </c>
      <c r="C17" s="157"/>
      <c r="D17" s="205">
        <f>Construction!F17</f>
        <v>0</v>
      </c>
      <c r="E17" s="206">
        <f>Construction!G17</f>
        <v>100</v>
      </c>
      <c r="F17" s="207">
        <f>Construction!H17</f>
        <v>150</v>
      </c>
      <c r="G17" s="208">
        <f>Construction!I17</f>
        <v>150</v>
      </c>
      <c r="H17" s="209">
        <f>Construction!J17</f>
        <v>100</v>
      </c>
      <c r="I17" s="210">
        <f>Construction!K17</f>
        <v>20</v>
      </c>
      <c r="J17" s="211">
        <f>Construction!L17</f>
        <v>100</v>
      </c>
      <c r="L17" s="531" t="s">
        <v>384</v>
      </c>
      <c r="M17" s="843"/>
      <c r="N17" s="540">
        <f>Military!AB17</f>
        <v>0.2</v>
      </c>
      <c r="O17" s="187">
        <f ca="1">Population!I17</f>
        <v>1</v>
      </c>
      <c r="P17" s="251">
        <f ca="1">Imps!J17</f>
        <v>1.1191293998852361</v>
      </c>
      <c r="Q17" s="157">
        <f t="shared" si="0"/>
        <v>1000</v>
      </c>
      <c r="R17" s="634">
        <v>15</v>
      </c>
      <c r="S17" s="335"/>
      <c r="T17" s="345"/>
      <c r="U17" s="345"/>
      <c r="V17" s="345"/>
      <c r="W17" s="345"/>
      <c r="X17" s="345"/>
      <c r="Y17" s="345"/>
      <c r="Z17" s="353"/>
      <c r="AA17" s="534">
        <f>Imps!BY17</f>
        <v>43692.583333333299</v>
      </c>
      <c r="AB17" s="156">
        <f ca="1">Military!Z17</f>
        <v>3695</v>
      </c>
      <c r="AC17" s="166">
        <f ca="1">Production!H17</f>
        <v>3088244</v>
      </c>
      <c r="AE17" s="159">
        <f t="shared" si="3"/>
        <v>1000</v>
      </c>
      <c r="AF17" s="152">
        <f>ROUND(IF(AE17&gt;=300,1000+3*(AE17-300)^MIN(MAX(1.05/(AE17^0.019),1.09),1.119),1000-3*(300-AE17))*(1+IF(Overview!$B$14="Ants",ant_explore_penalty,0)+MIN(tech_explore_cost*Techs!Z17,tech_explore_cost2*Techs!AB17,tech_enchanted_lands_explore*Techs!AT17)),0)</f>
        <v>4787</v>
      </c>
      <c r="AG17" s="164">
        <f>ROUND(MAX(IF(AE17&gt;=300,5+0.003*(AE17-300)^1.07,5-300/AE17)+MIN(tech_explore_draft1*Techs!AA17,tech_explore_draft2*Techs!AB17),3),0)</f>
        <v>8</v>
      </c>
      <c r="AH17" s="164">
        <f t="shared" si="1"/>
        <v>0</v>
      </c>
      <c r="AI17" s="166">
        <f t="shared" si="2"/>
        <v>0</v>
      </c>
    </row>
    <row r="18" spans="1:35" s="16" customFormat="1">
      <c r="A18" s="513">
        <f>Rezone!J18</f>
        <v>16</v>
      </c>
      <c r="B18" s="53">
        <f>Construction!E18</f>
        <v>1000</v>
      </c>
      <c r="C18" s="53"/>
      <c r="D18" s="68">
        <f>Construction!F18</f>
        <v>0</v>
      </c>
      <c r="E18" s="29">
        <f>Construction!G18</f>
        <v>100</v>
      </c>
      <c r="F18" s="30">
        <f>Construction!H18</f>
        <v>150</v>
      </c>
      <c r="G18" s="31">
        <f>Construction!I18</f>
        <v>150</v>
      </c>
      <c r="H18" s="32">
        <f>Construction!J18</f>
        <v>100</v>
      </c>
      <c r="I18" s="33">
        <f>Construction!K18</f>
        <v>20</v>
      </c>
      <c r="J18" s="69">
        <f>Construction!L18</f>
        <v>100</v>
      </c>
      <c r="L18" s="531" t="s">
        <v>382</v>
      </c>
      <c r="M18" s="844"/>
      <c r="N18" s="60">
        <f>Military!AB18</f>
        <v>0.2</v>
      </c>
      <c r="O18" s="59">
        <f ca="1">Population!I18</f>
        <v>1</v>
      </c>
      <c r="P18" s="91">
        <f ca="1">Imps!J18</f>
        <v>1.0918255272935715</v>
      </c>
      <c r="Q18" s="53">
        <f t="shared" si="0"/>
        <v>1000</v>
      </c>
      <c r="R18" s="634">
        <v>16</v>
      </c>
      <c r="S18" s="340"/>
      <c r="T18" s="363"/>
      <c r="U18" s="348"/>
      <c r="V18" s="348"/>
      <c r="W18" s="348"/>
      <c r="X18" s="348"/>
      <c r="Y18" s="348"/>
      <c r="Z18" s="357"/>
      <c r="AA18" s="537">
        <f>Imps!BY18</f>
        <v>43692.624999999964</v>
      </c>
      <c r="AB18" s="156">
        <f ca="1">Military!Z18</f>
        <v>3695</v>
      </c>
      <c r="AC18" s="57">
        <f ca="1">Production!H18</f>
        <v>3101867</v>
      </c>
      <c r="AE18" s="63">
        <f t="shared" si="3"/>
        <v>1000</v>
      </c>
      <c r="AF18" s="152">
        <f>ROUND(IF(AE18&gt;=300,1000+3*(AE18-300)^MIN(MAX(1.05/(AE18^0.019),1.09),1.119),1000-3*(300-AE18))*(1+IF(Overview!$B$14="Ants",ant_explore_penalty,0)+MIN(tech_explore_cost*Techs!Z18,tech_explore_cost2*Techs!AB18,tech_enchanted_lands_explore*Techs!AT18)),0)</f>
        <v>4787</v>
      </c>
      <c r="AG18" s="164">
        <f>ROUND(MAX(IF(AE18&gt;=300,5+0.003*(AE18-300)^1.07,5-300/AE18)+MIN(tech_explore_draft1*Techs!AA18,tech_explore_draft2*Techs!AB18),3),0)</f>
        <v>8</v>
      </c>
      <c r="AH18" s="26">
        <f t="shared" si="1"/>
        <v>0</v>
      </c>
      <c r="AI18" s="57">
        <f t="shared" si="2"/>
        <v>0</v>
      </c>
    </row>
    <row r="19" spans="1:35" s="16" customFormat="1">
      <c r="A19" s="513">
        <f>Rezone!J19</f>
        <v>17</v>
      </c>
      <c r="B19" s="53">
        <f>Construction!E19</f>
        <v>1000</v>
      </c>
      <c r="C19" s="53"/>
      <c r="D19" s="68">
        <f>Construction!F19</f>
        <v>0</v>
      </c>
      <c r="E19" s="29">
        <f>Construction!G19</f>
        <v>100</v>
      </c>
      <c r="F19" s="30">
        <f>Construction!H19</f>
        <v>150</v>
      </c>
      <c r="G19" s="31">
        <f>Construction!I19</f>
        <v>150</v>
      </c>
      <c r="H19" s="32">
        <f>Construction!J19</f>
        <v>100</v>
      </c>
      <c r="I19" s="33">
        <f>Construction!K19</f>
        <v>20</v>
      </c>
      <c r="J19" s="69">
        <f>Construction!L19</f>
        <v>100</v>
      </c>
      <c r="L19" s="531" t="s">
        <v>383</v>
      </c>
      <c r="M19" s="844"/>
      <c r="N19" s="60">
        <f>Military!AB19</f>
        <v>0.2</v>
      </c>
      <c r="O19" s="59">
        <f ca="1">Population!I19</f>
        <v>1</v>
      </c>
      <c r="P19" s="91">
        <f ca="1">Imps!J19</f>
        <v>1.0658868483314905</v>
      </c>
      <c r="Q19" s="53">
        <f t="shared" si="0"/>
        <v>1000</v>
      </c>
      <c r="R19" s="634">
        <v>17</v>
      </c>
      <c r="S19" s="340"/>
      <c r="T19" s="363"/>
      <c r="U19" s="348"/>
      <c r="V19" s="348"/>
      <c r="W19" s="348"/>
      <c r="X19" s="348"/>
      <c r="Y19" s="348"/>
      <c r="Z19" s="357"/>
      <c r="AA19" s="537">
        <f>Imps!BY19</f>
        <v>43692.666666666628</v>
      </c>
      <c r="AB19" s="156">
        <f ca="1">Military!Z19</f>
        <v>3695</v>
      </c>
      <c r="AC19" s="57">
        <f ca="1">Production!H19</f>
        <v>3114809</v>
      </c>
      <c r="AE19" s="63">
        <f t="shared" si="3"/>
        <v>1000</v>
      </c>
      <c r="AF19" s="152">
        <f>ROUND(IF(AE19&gt;=300,1000+3*(AE19-300)^MIN(MAX(1.05/(AE19^0.019),1.09),1.119),1000-3*(300-AE19))*(1+IF(Overview!$B$14="Ants",ant_explore_penalty,0)+MIN(tech_explore_cost*Techs!Z19,tech_explore_cost2*Techs!AB19,tech_enchanted_lands_explore*Techs!AT19)),0)</f>
        <v>4787</v>
      </c>
      <c r="AG19" s="164">
        <f>ROUND(MAX(IF(AE19&gt;=300,5+0.003*(AE19-300)^1.07,5-300/AE19)+MIN(tech_explore_draft1*Techs!AA19,tech_explore_draft2*Techs!AB19),3),0)</f>
        <v>8</v>
      </c>
      <c r="AH19" s="26">
        <f t="shared" si="1"/>
        <v>0</v>
      </c>
      <c r="AI19" s="57">
        <f t="shared" si="2"/>
        <v>0</v>
      </c>
    </row>
    <row r="20" spans="1:35" s="16" customFormat="1">
      <c r="A20" s="513">
        <f>Rezone!J20</f>
        <v>18</v>
      </c>
      <c r="B20" s="53">
        <f>Construction!E20</f>
        <v>1000</v>
      </c>
      <c r="C20" s="53"/>
      <c r="D20" s="68">
        <f>Construction!F20</f>
        <v>0</v>
      </c>
      <c r="E20" s="29">
        <f>Construction!G20</f>
        <v>100</v>
      </c>
      <c r="F20" s="30">
        <f>Construction!H20</f>
        <v>150</v>
      </c>
      <c r="G20" s="31">
        <f>Construction!I20</f>
        <v>150</v>
      </c>
      <c r="H20" s="32">
        <f>Construction!J20</f>
        <v>100</v>
      </c>
      <c r="I20" s="33">
        <f>Construction!K20</f>
        <v>20</v>
      </c>
      <c r="J20" s="69">
        <f>Construction!L20</f>
        <v>100</v>
      </c>
      <c r="L20" s="531" t="s">
        <v>530</v>
      </c>
      <c r="M20" s="844"/>
      <c r="N20" s="60">
        <f>Military!AB20</f>
        <v>0.2</v>
      </c>
      <c r="O20" s="59">
        <f ca="1">Population!I20</f>
        <v>1</v>
      </c>
      <c r="P20" s="91">
        <f ca="1">Imps!J20</f>
        <v>1.0412451033175134</v>
      </c>
      <c r="Q20" s="63">
        <f t="shared" si="0"/>
        <v>1000</v>
      </c>
      <c r="R20" s="634">
        <v>18</v>
      </c>
      <c r="S20" s="340"/>
      <c r="T20" s="348"/>
      <c r="U20" s="348"/>
      <c r="V20" s="348"/>
      <c r="W20" s="348"/>
      <c r="X20" s="348"/>
      <c r="Y20" s="348"/>
      <c r="Z20" s="357"/>
      <c r="AA20" s="537">
        <f>Imps!BY20</f>
        <v>43692.708333333292</v>
      </c>
      <c r="AB20" s="156">
        <f ca="1">Military!Z20</f>
        <v>3695</v>
      </c>
      <c r="AC20" s="57">
        <f ca="1">Production!H20</f>
        <v>3127104</v>
      </c>
      <c r="AE20" s="63">
        <f t="shared" si="3"/>
        <v>1000</v>
      </c>
      <c r="AF20" s="152">
        <f>ROUND(IF(AE20&gt;=300,1000+3*(AE20-300)^MIN(MAX(1.05/(AE20^0.019),1.09),1.119),1000-3*(300-AE20))*(1+IF(Overview!$B$14="Ants",ant_explore_penalty,0)+MIN(tech_explore_cost*Techs!Z20,tech_explore_cost2*Techs!AB20,tech_enchanted_lands_explore*Techs!AT20)),0)</f>
        <v>4787</v>
      </c>
      <c r="AG20" s="164">
        <f>ROUND(MAX(IF(AE20&gt;=300,5+0.003*(AE20-300)^1.07,5-300/AE20)+MIN(tech_explore_draft1*Techs!AA20,tech_explore_draft2*Techs!AB20),3),0)</f>
        <v>8</v>
      </c>
      <c r="AH20" s="26">
        <f t="shared" si="1"/>
        <v>0</v>
      </c>
      <c r="AI20" s="57">
        <f t="shared" si="2"/>
        <v>0</v>
      </c>
    </row>
    <row r="21" spans="1:35" s="16" customFormat="1">
      <c r="A21" s="513">
        <f>Rezone!J21</f>
        <v>19</v>
      </c>
      <c r="B21" s="53">
        <f>Construction!E21</f>
        <v>1000</v>
      </c>
      <c r="C21" s="53"/>
      <c r="D21" s="68">
        <f>Construction!F21</f>
        <v>0</v>
      </c>
      <c r="E21" s="29">
        <f>Construction!G21</f>
        <v>100</v>
      </c>
      <c r="F21" s="30">
        <f>Construction!H21</f>
        <v>150</v>
      </c>
      <c r="G21" s="31">
        <f>Construction!I21</f>
        <v>150</v>
      </c>
      <c r="H21" s="32">
        <f>Construction!J21</f>
        <v>100</v>
      </c>
      <c r="I21" s="33">
        <f>Construction!K21</f>
        <v>20</v>
      </c>
      <c r="J21" s="69">
        <f>Construction!L21</f>
        <v>100</v>
      </c>
      <c r="L21" s="531"/>
      <c r="M21" s="844"/>
      <c r="N21" s="60">
        <f>Military!AB21</f>
        <v>0.2</v>
      </c>
      <c r="O21" s="59">
        <f ca="1">Population!I21</f>
        <v>1</v>
      </c>
      <c r="P21" s="91">
        <f ca="1">Imps!J21</f>
        <v>1.0178354455542351</v>
      </c>
      <c r="Q21" s="63">
        <f t="shared" si="0"/>
        <v>1000</v>
      </c>
      <c r="R21" s="634">
        <v>19</v>
      </c>
      <c r="S21" s="340"/>
      <c r="T21" s="348"/>
      <c r="U21" s="348"/>
      <c r="V21" s="348"/>
      <c r="W21" s="348"/>
      <c r="X21" s="348"/>
      <c r="Y21" s="348"/>
      <c r="Z21" s="357"/>
      <c r="AA21" s="537">
        <f>Imps!BY21</f>
        <v>43692.749999999956</v>
      </c>
      <c r="AB21" s="156">
        <f ca="1">Military!Z21</f>
        <v>3695</v>
      </c>
      <c r="AC21" s="57">
        <f ca="1">Production!H21</f>
        <v>3138784</v>
      </c>
      <c r="AE21" s="63">
        <f t="shared" si="3"/>
        <v>1000</v>
      </c>
      <c r="AF21" s="152">
        <f>ROUND(IF(AE21&gt;=300,1000+3*(AE21-300)^MIN(MAX(1.05/(AE21^0.019),1.09),1.119),1000-3*(300-AE21))*(1+IF(Overview!$B$14="Ants",ant_explore_penalty,0)+MIN(tech_explore_cost*Techs!Z21,tech_explore_cost2*Techs!AB21,tech_enchanted_lands_explore*Techs!AT21)),0)</f>
        <v>4787</v>
      </c>
      <c r="AG21" s="164">
        <f>ROUND(MAX(IF(AE21&gt;=300,5+0.003*(AE21-300)^1.07,5-300/AE21)+MIN(tech_explore_draft1*Techs!AA21,tech_explore_draft2*Techs!AB21),3),0)</f>
        <v>8</v>
      </c>
      <c r="AH21" s="26">
        <f t="shared" si="1"/>
        <v>0</v>
      </c>
      <c r="AI21" s="57">
        <f t="shared" si="2"/>
        <v>0</v>
      </c>
    </row>
    <row r="22" spans="1:35" s="16" customFormat="1" ht="13.5" thickBot="1">
      <c r="A22" s="513">
        <f>Rezone!J22</f>
        <v>20</v>
      </c>
      <c r="B22" s="53">
        <f>Construction!E22</f>
        <v>1000</v>
      </c>
      <c r="C22" s="53"/>
      <c r="D22" s="68">
        <f>Construction!F22</f>
        <v>0</v>
      </c>
      <c r="E22" s="29">
        <f>Construction!G22</f>
        <v>100</v>
      </c>
      <c r="F22" s="30">
        <f>Construction!H22</f>
        <v>150</v>
      </c>
      <c r="G22" s="31">
        <f>Construction!I22</f>
        <v>150</v>
      </c>
      <c r="H22" s="32">
        <f>Construction!J22</f>
        <v>100</v>
      </c>
      <c r="I22" s="33">
        <f>Construction!K22</f>
        <v>20</v>
      </c>
      <c r="J22" s="69">
        <f>Construction!L22</f>
        <v>100</v>
      </c>
      <c r="L22" s="643"/>
      <c r="M22" s="845"/>
      <c r="N22" s="60">
        <f>Military!AB22</f>
        <v>0.2</v>
      </c>
      <c r="O22" s="59">
        <f ca="1">Population!I22</f>
        <v>1</v>
      </c>
      <c r="P22" s="91">
        <f ca="1">Imps!J22</f>
        <v>1</v>
      </c>
      <c r="Q22" s="63">
        <f t="shared" si="0"/>
        <v>1000</v>
      </c>
      <c r="R22" s="634">
        <v>20</v>
      </c>
      <c r="S22" s="340"/>
      <c r="T22" s="348"/>
      <c r="U22" s="348"/>
      <c r="V22" s="348"/>
      <c r="W22" s="348"/>
      <c r="X22" s="348"/>
      <c r="Y22" s="348"/>
      <c r="Z22" s="357"/>
      <c r="AA22" s="537">
        <f>Imps!BY22</f>
        <v>43692.791666666621</v>
      </c>
      <c r="AB22" s="156">
        <f ca="1">Military!Z22</f>
        <v>3695</v>
      </c>
      <c r="AC22" s="57">
        <f ca="1">Production!H22</f>
        <v>3149880</v>
      </c>
      <c r="AE22" s="63">
        <f t="shared" si="3"/>
        <v>1000</v>
      </c>
      <c r="AF22" s="152">
        <f>ROUND(IF(AE22&gt;=300,1000+3*(AE22-300)^MIN(MAX(1.05/(AE22^0.019),1.09),1.119),1000-3*(300-AE22))*(1+IF(Overview!$B$14="Ants",ant_explore_penalty,0)+MIN(tech_explore_cost*Techs!Z22,tech_explore_cost2*Techs!AB22,tech_enchanted_lands_explore*Techs!AT22)),0)</f>
        <v>4787</v>
      </c>
      <c r="AG22" s="164">
        <f>ROUND(MAX(IF(AE22&gt;=300,5+0.003*(AE22-300)^1.07,5-300/AE22)+MIN(tech_explore_draft1*Techs!AA22,tech_explore_draft2*Techs!AB22),3),0)</f>
        <v>8</v>
      </c>
      <c r="AH22" s="26">
        <f t="shared" si="1"/>
        <v>0</v>
      </c>
      <c r="AI22" s="57">
        <f t="shared" si="2"/>
        <v>0</v>
      </c>
    </row>
    <row r="23" spans="1:35" s="16" customFormat="1">
      <c r="A23" s="513">
        <f>Rezone!J23</f>
        <v>21</v>
      </c>
      <c r="B23" s="53">
        <f>Construction!E23</f>
        <v>1000</v>
      </c>
      <c r="C23" s="53"/>
      <c r="D23" s="68">
        <f>Construction!F23</f>
        <v>0</v>
      </c>
      <c r="E23" s="29">
        <f>Construction!G23</f>
        <v>100</v>
      </c>
      <c r="F23" s="30">
        <f>Construction!H23</f>
        <v>150</v>
      </c>
      <c r="G23" s="31">
        <f>Construction!I23</f>
        <v>150</v>
      </c>
      <c r="H23" s="32">
        <f>Construction!J23</f>
        <v>100</v>
      </c>
      <c r="I23" s="33">
        <f>Construction!K23</f>
        <v>20</v>
      </c>
      <c r="J23" s="69">
        <f>Construction!L23</f>
        <v>100</v>
      </c>
      <c r="N23" s="91">
        <f>Military!AB23</f>
        <v>0.2</v>
      </c>
      <c r="O23" s="59">
        <f ca="1">Population!I23</f>
        <v>1</v>
      </c>
      <c r="P23" s="91">
        <f ca="1">Imps!J23</f>
        <v>1</v>
      </c>
      <c r="Q23" s="53">
        <f t="shared" si="0"/>
        <v>1000</v>
      </c>
      <c r="R23" s="649">
        <v>21</v>
      </c>
      <c r="S23" s="340"/>
      <c r="T23" s="348"/>
      <c r="U23" s="348"/>
      <c r="V23" s="348"/>
      <c r="W23" s="348"/>
      <c r="X23" s="348"/>
      <c r="Y23" s="348"/>
      <c r="Z23" s="357"/>
      <c r="AA23" s="537">
        <f>Imps!BY23</f>
        <v>43692.833333333285</v>
      </c>
      <c r="AB23" s="156">
        <f ca="1">Military!Z23</f>
        <v>3695</v>
      </c>
      <c r="AC23" s="57">
        <f ca="1">Production!H23</f>
        <v>3160531</v>
      </c>
      <c r="AE23" s="63">
        <f t="shared" si="3"/>
        <v>1000</v>
      </c>
      <c r="AF23" s="152">
        <f>ROUND(IF(AE23&gt;=300,1000+3*(AE23-300)^MIN(MAX(1.05/(AE23^0.019),1.09),1.119),1000-3*(300-AE23))*(1+IF(Overview!$B$14="Ants",ant_explore_penalty,0)+MIN(tech_explore_cost*Techs!Z23,tech_explore_cost2*Techs!AB23,tech_enchanted_lands_explore*Techs!AT23)),0)</f>
        <v>4787</v>
      </c>
      <c r="AG23" s="164">
        <f>ROUND(MAX(IF(AE23&gt;=300,5+0.003*(AE23-300)^1.07,5-300/AE23)+MIN(tech_explore_draft1*Techs!AA23,tech_explore_draft2*Techs!AB23),3),0)</f>
        <v>8</v>
      </c>
      <c r="AH23" s="26">
        <f t="shared" si="1"/>
        <v>0</v>
      </c>
      <c r="AI23" s="57">
        <f t="shared" si="2"/>
        <v>0</v>
      </c>
    </row>
    <row r="24" spans="1:35" s="16" customFormat="1">
      <c r="A24" s="513">
        <f>Rezone!J24</f>
        <v>22</v>
      </c>
      <c r="B24" s="53">
        <f>Construction!E24</f>
        <v>1000</v>
      </c>
      <c r="C24" s="53"/>
      <c r="D24" s="68">
        <f>Construction!F24</f>
        <v>0</v>
      </c>
      <c r="E24" s="29">
        <f>Construction!G24</f>
        <v>100</v>
      </c>
      <c r="F24" s="30">
        <f>Construction!H24</f>
        <v>150</v>
      </c>
      <c r="G24" s="31">
        <f>Construction!I24</f>
        <v>150</v>
      </c>
      <c r="H24" s="32">
        <f>Construction!J24</f>
        <v>100</v>
      </c>
      <c r="I24" s="33">
        <f>Construction!K24</f>
        <v>20</v>
      </c>
      <c r="J24" s="69">
        <f>Construction!L24</f>
        <v>100</v>
      </c>
      <c r="L24" s="1432" t="s">
        <v>398</v>
      </c>
      <c r="M24" s="1471"/>
      <c r="N24" s="91">
        <f>Military!AB24</f>
        <v>0.2</v>
      </c>
      <c r="O24" s="59">
        <f ca="1">Population!I24</f>
        <v>1</v>
      </c>
      <c r="P24" s="91">
        <f ca="1">Imps!J24</f>
        <v>1</v>
      </c>
      <c r="Q24" s="53">
        <f t="shared" si="0"/>
        <v>1000</v>
      </c>
      <c r="R24" s="649">
        <v>22</v>
      </c>
      <c r="S24" s="340"/>
      <c r="T24" s="348"/>
      <c r="U24" s="348"/>
      <c r="V24" s="348"/>
      <c r="W24" s="348"/>
      <c r="X24" s="348"/>
      <c r="Y24" s="348"/>
      <c r="Z24" s="357"/>
      <c r="AA24" s="537">
        <f>Imps!BY24</f>
        <v>43692.874999999949</v>
      </c>
      <c r="AB24" s="156">
        <f ca="1">Military!Z24</f>
        <v>3695</v>
      </c>
      <c r="AC24" s="57">
        <f ca="1">Production!H24</f>
        <v>3171182</v>
      </c>
      <c r="AE24" s="63">
        <f t="shared" si="3"/>
        <v>1000</v>
      </c>
      <c r="AF24" s="152">
        <f>ROUND(IF(AE24&gt;=300,1000+3*(AE24-300)^MIN(MAX(1.05/(AE24^0.019),1.09),1.119),1000-3*(300-AE24))*(1+IF(Overview!$B$14="Ants",ant_explore_penalty,0)+MIN(tech_explore_cost*Techs!Z24,tech_explore_cost2*Techs!AB24,tech_enchanted_lands_explore*Techs!AT24)),0)</f>
        <v>4787</v>
      </c>
      <c r="AG24" s="164">
        <f>ROUND(MAX(IF(AE24&gt;=300,5+0.003*(AE24-300)^1.07,5-300/AE24)+MIN(tech_explore_draft1*Techs!AA24,tech_explore_draft2*Techs!AB24),3),0)</f>
        <v>8</v>
      </c>
      <c r="AH24" s="26">
        <f t="shared" si="1"/>
        <v>0</v>
      </c>
      <c r="AI24" s="57">
        <f t="shared" si="2"/>
        <v>0</v>
      </c>
    </row>
    <row r="25" spans="1:35" s="16" customFormat="1">
      <c r="A25" s="513">
        <f>Rezone!J25</f>
        <v>23</v>
      </c>
      <c r="B25" s="53">
        <f>Construction!E25</f>
        <v>1000</v>
      </c>
      <c r="C25" s="53"/>
      <c r="D25" s="68">
        <f>Construction!F25</f>
        <v>0</v>
      </c>
      <c r="E25" s="29">
        <f>Construction!G25</f>
        <v>100</v>
      </c>
      <c r="F25" s="30">
        <f>Construction!H25</f>
        <v>150</v>
      </c>
      <c r="G25" s="31">
        <f>Construction!I25</f>
        <v>150</v>
      </c>
      <c r="H25" s="32">
        <f>Construction!J25</f>
        <v>100</v>
      </c>
      <c r="I25" s="33">
        <f>Construction!K25</f>
        <v>20</v>
      </c>
      <c r="J25" s="69">
        <f>Construction!L25</f>
        <v>100</v>
      </c>
      <c r="L25" s="70" t="s">
        <v>385</v>
      </c>
      <c r="M25" s="829">
        <f ca="1">Military!AN66</f>
        <v>3618524</v>
      </c>
      <c r="N25" s="91">
        <f>Military!AB25</f>
        <v>0.2</v>
      </c>
      <c r="O25" s="59">
        <f ca="1">Population!I25</f>
        <v>1</v>
      </c>
      <c r="P25" s="91">
        <f ca="1">Imps!J25</f>
        <v>1</v>
      </c>
      <c r="Q25" s="53">
        <f t="shared" si="0"/>
        <v>1000</v>
      </c>
      <c r="R25" s="634">
        <v>23</v>
      </c>
      <c r="S25" s="340"/>
      <c r="T25" s="348"/>
      <c r="U25" s="348"/>
      <c r="V25" s="348"/>
      <c r="W25" s="348"/>
      <c r="X25" s="348"/>
      <c r="Y25" s="348"/>
      <c r="Z25" s="357"/>
      <c r="AA25" s="537">
        <f>Imps!BY25</f>
        <v>43692.916666666613</v>
      </c>
      <c r="AB25" s="156">
        <f ca="1">Military!Z25</f>
        <v>3695</v>
      </c>
      <c r="AC25" s="57">
        <f ca="1">Production!H25</f>
        <v>3181833</v>
      </c>
      <c r="AE25" s="63">
        <f t="shared" si="3"/>
        <v>1000</v>
      </c>
      <c r="AF25" s="152">
        <f>ROUND(IF(AE25&gt;=300,1000+3*(AE25-300)^MIN(MAX(1.05/(AE25^0.019),1.09),1.119),1000-3*(300-AE25))*(1+IF(Overview!$B$14="Ants",ant_explore_penalty,0)+MIN(tech_explore_cost*Techs!Z25,tech_explore_cost2*Techs!AB25,tech_enchanted_lands_explore*Techs!AT25)),0)</f>
        <v>4787</v>
      </c>
      <c r="AG25" s="164">
        <f>ROUND(MAX(IF(AE25&gt;=300,5+0.003*(AE25-300)^1.07,5-300/AE25)+MIN(tech_explore_draft1*Techs!AA25,tech_explore_draft2*Techs!AB25),3),0)</f>
        <v>8</v>
      </c>
      <c r="AH25" s="26">
        <f t="shared" si="1"/>
        <v>0</v>
      </c>
      <c r="AI25" s="57">
        <f t="shared" si="2"/>
        <v>0</v>
      </c>
    </row>
    <row r="26" spans="1:35" s="170" customFormat="1" ht="13.5" thickBot="1">
      <c r="A26" s="510">
        <f>Rezone!J26</f>
        <v>24</v>
      </c>
      <c r="B26" s="157">
        <f>Construction!E26</f>
        <v>1000</v>
      </c>
      <c r="C26" s="157"/>
      <c r="D26" s="205">
        <f>Construction!F26</f>
        <v>0</v>
      </c>
      <c r="E26" s="206">
        <f>Construction!G26</f>
        <v>100</v>
      </c>
      <c r="F26" s="207">
        <f>Construction!H26</f>
        <v>150</v>
      </c>
      <c r="G26" s="208">
        <f>Construction!I26</f>
        <v>150</v>
      </c>
      <c r="H26" s="209">
        <f>Construction!J26</f>
        <v>100</v>
      </c>
      <c r="I26" s="210">
        <f>Construction!K26</f>
        <v>20</v>
      </c>
      <c r="J26" s="211">
        <f>Construction!L26</f>
        <v>100</v>
      </c>
      <c r="L26" s="156" t="s">
        <v>384</v>
      </c>
      <c r="M26" s="580">
        <f ca="1">Production!S75</f>
        <v>10651</v>
      </c>
      <c r="N26" s="251">
        <f>Military!AB26</f>
        <v>0.2</v>
      </c>
      <c r="O26" s="187">
        <f ca="1">Population!I26</f>
        <v>1</v>
      </c>
      <c r="P26" s="251">
        <f ca="1">Imps!J26</f>
        <v>1</v>
      </c>
      <c r="Q26" s="157">
        <f t="shared" si="0"/>
        <v>1000</v>
      </c>
      <c r="R26" s="634">
        <v>24</v>
      </c>
      <c r="S26" s="335"/>
      <c r="T26" s="363"/>
      <c r="U26" s="345"/>
      <c r="V26" s="345"/>
      <c r="W26" s="345"/>
      <c r="X26" s="345"/>
      <c r="Y26" s="345"/>
      <c r="Z26" s="353"/>
      <c r="AA26" s="534">
        <f>Imps!BY26</f>
        <v>43692.958333333278</v>
      </c>
      <c r="AB26" s="156">
        <f ca="1">Military!Z26</f>
        <v>3695</v>
      </c>
      <c r="AC26" s="166">
        <f ca="1">Production!H26</f>
        <v>3192484</v>
      </c>
      <c r="AE26" s="159">
        <f t="shared" si="3"/>
        <v>1000</v>
      </c>
      <c r="AF26" s="152">
        <f>ROUND(IF(AE26&gt;=300,1000+3*(AE26-300)^MIN(MAX(1.05/(AE26^0.019),1.09),1.119),1000-3*(300-AE26))*(1+IF(Overview!$B$14="Ants",ant_explore_penalty,0)+MIN(tech_explore_cost*Techs!Z26,tech_explore_cost2*Techs!AB26,tech_enchanted_lands_explore*Techs!AT26)),0)</f>
        <v>4787</v>
      </c>
      <c r="AG26" s="164">
        <f>ROUND(MAX(IF(AE26&gt;=300,5+0.003*(AE26-300)^1.07,5-300/AE26)+MIN(tech_explore_draft1*Techs!AA26,tech_explore_draft2*Techs!AB26),3),0)</f>
        <v>8</v>
      </c>
      <c r="AH26" s="164">
        <f t="shared" si="1"/>
        <v>0</v>
      </c>
      <c r="AI26" s="166">
        <f t="shared" si="2"/>
        <v>0</v>
      </c>
    </row>
    <row r="27" spans="1:35" s="1210" customFormat="1" ht="14.25" thickTop="1" thickBot="1">
      <c r="A27" s="1231">
        <f>Rezone!J27</f>
        <v>25</v>
      </c>
      <c r="B27" s="1229">
        <f>Construction!E27</f>
        <v>1000</v>
      </c>
      <c r="C27" s="1229"/>
      <c r="D27" s="1206">
        <f>Construction!F27</f>
        <v>0</v>
      </c>
      <c r="E27" s="1210">
        <f>Construction!G27</f>
        <v>100</v>
      </c>
      <c r="F27" s="1210">
        <f>Construction!H27</f>
        <v>150</v>
      </c>
      <c r="G27" s="1210">
        <f>Construction!I27</f>
        <v>150</v>
      </c>
      <c r="H27" s="1210">
        <f>Construction!J27</f>
        <v>100</v>
      </c>
      <c r="I27" s="1210">
        <f>Construction!K27</f>
        <v>20</v>
      </c>
      <c r="J27" s="1229">
        <f>Construction!L27</f>
        <v>100</v>
      </c>
      <c r="L27" s="1232" t="s">
        <v>382</v>
      </c>
      <c r="M27" s="1205">
        <f ca="1">Military!Z63</f>
        <v>3695</v>
      </c>
      <c r="N27" s="1227">
        <f>Military!AB27</f>
        <v>0.2</v>
      </c>
      <c r="O27" s="1228">
        <f ca="1">Population!I27</f>
        <v>1</v>
      </c>
      <c r="P27" s="1227">
        <f ca="1">Imps!J27</f>
        <v>1</v>
      </c>
      <c r="Q27" s="1207">
        <f t="shared" si="0"/>
        <v>1000</v>
      </c>
      <c r="R27" s="1204">
        <v>25</v>
      </c>
      <c r="S27" s="1233"/>
      <c r="T27" s="1207"/>
      <c r="U27" s="1207"/>
      <c r="V27" s="1207"/>
      <c r="W27" s="1207"/>
      <c r="X27" s="1207"/>
      <c r="Y27" s="1207"/>
      <c r="Z27" s="1230"/>
      <c r="AA27" s="1234">
        <f>Imps!BY27</f>
        <v>43692.999999999942</v>
      </c>
      <c r="AB27" s="1206">
        <f ca="1">Military!Z27</f>
        <v>3695</v>
      </c>
      <c r="AC27" s="1205">
        <f ca="1">Production!H27</f>
        <v>3203135</v>
      </c>
      <c r="AE27" s="1207">
        <f t="shared" si="3"/>
        <v>1000</v>
      </c>
      <c r="AF27" s="1199">
        <f>ROUND(IF(AE27&gt;=300,1000+3*(AE27-300)^MIN(MAX(1.05/(AE27^0.019),1.09),1.119),1000-3*(300-AE27))*(1+IF(Overview!$B$14="Ants",ant_explore_penalty,0)+MIN(tech_explore_cost*Techs!Z27,tech_explore_cost2*Techs!AB27,tech_enchanted_lands_explore*Techs!AT27)),0)</f>
        <v>4787</v>
      </c>
      <c r="AG27" s="1200">
        <f>ROUND(MAX(IF(AE27&gt;=300,5+0.003*(AE27-300)^1.07,5-300/AE27)+MIN(tech_explore_draft1*Techs!AA27,tech_explore_draft2*Techs!AB27),3),0)</f>
        <v>8</v>
      </c>
      <c r="AH27" s="1200">
        <f t="shared" si="1"/>
        <v>0</v>
      </c>
      <c r="AI27" s="1205">
        <f t="shared" si="2"/>
        <v>0</v>
      </c>
    </row>
    <row r="28" spans="1:35" s="170" customFormat="1" ht="13.5" thickTop="1">
      <c r="A28" s="510">
        <f>Rezone!J28</f>
        <v>26</v>
      </c>
      <c r="B28" s="157">
        <f>Construction!E28</f>
        <v>1000</v>
      </c>
      <c r="C28" s="157"/>
      <c r="D28" s="205">
        <f>Construction!F28</f>
        <v>0</v>
      </c>
      <c r="E28" s="206">
        <f>Construction!G28</f>
        <v>100</v>
      </c>
      <c r="F28" s="207">
        <f>Construction!H28</f>
        <v>150</v>
      </c>
      <c r="G28" s="208">
        <f>Construction!I28</f>
        <v>150</v>
      </c>
      <c r="H28" s="209">
        <f>Construction!J28</f>
        <v>100</v>
      </c>
      <c r="I28" s="210">
        <f>Construction!K28</f>
        <v>20</v>
      </c>
      <c r="J28" s="211">
        <f>Construction!L28</f>
        <v>100</v>
      </c>
      <c r="L28" s="52" t="s">
        <v>383</v>
      </c>
      <c r="M28" s="579">
        <f>Q75</f>
        <v>1000</v>
      </c>
      <c r="N28" s="251">
        <f>Military!AB28</f>
        <v>0.2</v>
      </c>
      <c r="O28" s="187">
        <f ca="1">Population!I28</f>
        <v>1</v>
      </c>
      <c r="P28" s="251">
        <f ca="1">Imps!J28</f>
        <v>1</v>
      </c>
      <c r="Q28" s="159">
        <f t="shared" si="0"/>
        <v>1000</v>
      </c>
      <c r="R28" s="634">
        <v>26</v>
      </c>
      <c r="S28" s="335"/>
      <c r="T28" s="363"/>
      <c r="U28" s="345"/>
      <c r="V28" s="345"/>
      <c r="W28" s="345"/>
      <c r="X28" s="345"/>
      <c r="Y28" s="345"/>
      <c r="Z28" s="353"/>
      <c r="AA28" s="534">
        <f>Imps!BY28</f>
        <v>43693.041666666606</v>
      </c>
      <c r="AB28" s="156">
        <f ca="1">Military!Z28</f>
        <v>3695</v>
      </c>
      <c r="AC28" s="166">
        <f ca="1">Production!H28</f>
        <v>3213786</v>
      </c>
      <c r="AE28" s="159">
        <f t="shared" si="3"/>
        <v>1000</v>
      </c>
      <c r="AF28" s="152">
        <f>ROUND(IF(AE28&gt;=300,1000+3*(AE28-300)^MIN(MAX(1.05/(AE28^0.019),1.09),1.119),1000-3*(300-AE28))*(1+IF(Overview!$B$14="Ants",ant_explore_penalty,0)+MIN(tech_explore_cost*Techs!Z28,tech_explore_cost2*Techs!AB28,tech_enchanted_lands_explore*Techs!AT28)),0)</f>
        <v>4787</v>
      </c>
      <c r="AG28" s="164">
        <f>ROUND(MAX(IF(AE28&gt;=300,5+0.003*(AE28-300)^1.07,5-300/AE28)+MIN(tech_explore_draft1*Techs!AA28,tech_explore_draft2*Techs!AB28),3),0)</f>
        <v>8</v>
      </c>
      <c r="AH28" s="164">
        <f t="shared" si="1"/>
        <v>0</v>
      </c>
      <c r="AI28" s="166">
        <f t="shared" si="2"/>
        <v>0</v>
      </c>
    </row>
    <row r="29" spans="1:35" s="170" customFormat="1">
      <c r="A29" s="510">
        <f>Rezone!J29</f>
        <v>27</v>
      </c>
      <c r="B29" s="157">
        <f>Construction!E29</f>
        <v>1000</v>
      </c>
      <c r="C29" s="157"/>
      <c r="D29" s="205">
        <f>Construction!F29</f>
        <v>0</v>
      </c>
      <c r="E29" s="206">
        <f>Construction!G29</f>
        <v>100</v>
      </c>
      <c r="F29" s="207">
        <f>Construction!H29</f>
        <v>150</v>
      </c>
      <c r="G29" s="208">
        <f>Construction!I29</f>
        <v>150</v>
      </c>
      <c r="H29" s="209">
        <f>Construction!J29</f>
        <v>100</v>
      </c>
      <c r="I29" s="210">
        <f>Construction!K29</f>
        <v>20</v>
      </c>
      <c r="J29" s="211">
        <f>Construction!L29</f>
        <v>100</v>
      </c>
      <c r="L29" s="156" t="s">
        <v>530</v>
      </c>
      <c r="M29" s="166">
        <f>Techs!D75</f>
        <v>0</v>
      </c>
      <c r="N29" s="251">
        <f>Military!AB29</f>
        <v>0.2</v>
      </c>
      <c r="O29" s="187">
        <f ca="1">Population!I29</f>
        <v>1</v>
      </c>
      <c r="P29" s="251">
        <f ca="1">Imps!J29</f>
        <v>1</v>
      </c>
      <c r="Q29" s="159">
        <f t="shared" si="0"/>
        <v>1000</v>
      </c>
      <c r="R29" s="634">
        <v>27</v>
      </c>
      <c r="S29" s="335"/>
      <c r="T29" s="363"/>
      <c r="U29" s="345"/>
      <c r="V29" s="345"/>
      <c r="W29" s="345"/>
      <c r="X29" s="345"/>
      <c r="Y29" s="345"/>
      <c r="Z29" s="353"/>
      <c r="AA29" s="534">
        <f>Imps!BY29</f>
        <v>43693.08333333327</v>
      </c>
      <c r="AB29" s="156">
        <f ca="1">Military!Z29</f>
        <v>3695</v>
      </c>
      <c r="AC29" s="166">
        <f ca="1">Production!H29</f>
        <v>3224437</v>
      </c>
      <c r="AE29" s="159">
        <f t="shared" si="3"/>
        <v>1000</v>
      </c>
      <c r="AF29" s="152">
        <f>ROUND(IF(AE29&gt;=300,1000+3*(AE29-300)^MIN(MAX(1.05/(AE29^0.019),1.09),1.119),1000-3*(300-AE29))*(1+IF(Overview!$B$14="Ants",ant_explore_penalty,0)+MIN(tech_explore_cost*Techs!Z29,tech_explore_cost2*Techs!AB29,tech_enchanted_lands_explore*Techs!AT29)),0)</f>
        <v>4787</v>
      </c>
      <c r="AG29" s="164">
        <f>ROUND(MAX(IF(AE29&gt;=300,5+0.003*(AE29-300)^1.07,5-300/AE29)+MIN(tech_explore_draft1*Techs!AA29,tech_explore_draft2*Techs!AB29),3),0)</f>
        <v>8</v>
      </c>
      <c r="AH29" s="164">
        <f t="shared" si="1"/>
        <v>0</v>
      </c>
      <c r="AI29" s="166">
        <f t="shared" si="2"/>
        <v>0</v>
      </c>
    </row>
    <row r="30" spans="1:35" s="16" customFormat="1">
      <c r="A30" s="513">
        <f>Rezone!J30</f>
        <v>28</v>
      </c>
      <c r="B30" s="53">
        <f>Construction!E30</f>
        <v>1000</v>
      </c>
      <c r="C30" s="53"/>
      <c r="D30" s="68">
        <f>Construction!F30</f>
        <v>0</v>
      </c>
      <c r="E30" s="29">
        <f>Construction!G30</f>
        <v>100</v>
      </c>
      <c r="F30" s="30">
        <f>Construction!H30</f>
        <v>150</v>
      </c>
      <c r="G30" s="31">
        <f>Construction!I30</f>
        <v>150</v>
      </c>
      <c r="H30" s="32">
        <f>Construction!J30</f>
        <v>100</v>
      </c>
      <c r="I30" s="33">
        <f>Construction!K30</f>
        <v>20</v>
      </c>
      <c r="J30" s="69">
        <f>Construction!L30</f>
        <v>100</v>
      </c>
      <c r="L30" s="156"/>
      <c r="M30" s="166"/>
      <c r="N30" s="91">
        <f>Military!AB30</f>
        <v>0.2</v>
      </c>
      <c r="O30" s="59">
        <f ca="1">Population!I30</f>
        <v>1</v>
      </c>
      <c r="P30" s="91">
        <f ca="1">Imps!J30</f>
        <v>1</v>
      </c>
      <c r="Q30" s="63">
        <f t="shared" si="0"/>
        <v>1000</v>
      </c>
      <c r="R30" s="634">
        <v>28</v>
      </c>
      <c r="S30" s="340"/>
      <c r="T30" s="363"/>
      <c r="U30" s="348"/>
      <c r="V30" s="348"/>
      <c r="W30" s="348"/>
      <c r="X30" s="348"/>
      <c r="Y30" s="348"/>
      <c r="Z30" s="357"/>
      <c r="AA30" s="537">
        <f>Imps!BY30</f>
        <v>43693.124999999935</v>
      </c>
      <c r="AB30" s="156">
        <f ca="1">Military!Z30</f>
        <v>3695</v>
      </c>
      <c r="AC30" s="57">
        <f ca="1">Production!H30</f>
        <v>3235088</v>
      </c>
      <c r="AE30" s="63">
        <f t="shared" si="3"/>
        <v>1000</v>
      </c>
      <c r="AF30" s="152">
        <f>ROUND(IF(AE30&gt;=300,1000+3*(AE30-300)^MIN(MAX(1.05/(AE30^0.019),1.09),1.119),1000-3*(300-AE30))*(1+IF(Overview!$B$14="Ants",ant_explore_penalty,0)+MIN(tech_explore_cost*Techs!Z30,tech_explore_cost2*Techs!AB30,tech_enchanted_lands_explore*Techs!AT30)),0)</f>
        <v>4787</v>
      </c>
      <c r="AG30" s="164">
        <f>ROUND(MAX(IF(AE30&gt;=300,5+0.003*(AE30-300)^1.07,5-300/AE30)+MIN(tech_explore_draft1*Techs!AA30,tech_explore_draft2*Techs!AB30),3),0)</f>
        <v>8</v>
      </c>
      <c r="AH30" s="26">
        <f t="shared" si="1"/>
        <v>0</v>
      </c>
      <c r="AI30" s="57">
        <f t="shared" si="2"/>
        <v>0</v>
      </c>
    </row>
    <row r="31" spans="1:35" s="16" customFormat="1">
      <c r="A31" s="513">
        <f>Rezone!J31</f>
        <v>29</v>
      </c>
      <c r="B31" s="53">
        <f>Construction!E31</f>
        <v>1000</v>
      </c>
      <c r="C31" s="53"/>
      <c r="D31" s="68">
        <f>Construction!F31</f>
        <v>0</v>
      </c>
      <c r="E31" s="29">
        <f>Construction!G31</f>
        <v>100</v>
      </c>
      <c r="F31" s="30">
        <f>Construction!H31</f>
        <v>150</v>
      </c>
      <c r="G31" s="31">
        <f>Construction!I31</f>
        <v>150</v>
      </c>
      <c r="H31" s="32">
        <f>Construction!J31</f>
        <v>100</v>
      </c>
      <c r="I31" s="33">
        <f>Construction!K31</f>
        <v>20</v>
      </c>
      <c r="J31" s="69">
        <f>Construction!L31</f>
        <v>100</v>
      </c>
      <c r="L31" s="538"/>
      <c r="M31" s="236"/>
      <c r="N31" s="91">
        <f>Military!AB31</f>
        <v>0.2</v>
      </c>
      <c r="O31" s="59">
        <f ca="1">Population!I31</f>
        <v>1</v>
      </c>
      <c r="P31" s="91">
        <f ca="1">Imps!J31</f>
        <v>1</v>
      </c>
      <c r="Q31" s="63">
        <f t="shared" si="0"/>
        <v>1000</v>
      </c>
      <c r="R31" s="634">
        <v>29</v>
      </c>
      <c r="S31" s="340"/>
      <c r="T31" s="363"/>
      <c r="U31" s="348"/>
      <c r="V31" s="348"/>
      <c r="W31" s="348"/>
      <c r="X31" s="348"/>
      <c r="Y31" s="348"/>
      <c r="Z31" s="357"/>
      <c r="AA31" s="537">
        <f>Imps!BY31</f>
        <v>43693.166666666599</v>
      </c>
      <c r="AB31" s="156">
        <f ca="1">Military!Z31</f>
        <v>3695</v>
      </c>
      <c r="AC31" s="57">
        <f ca="1">Production!H31</f>
        <v>3245739</v>
      </c>
      <c r="AE31" s="63">
        <f t="shared" si="3"/>
        <v>1000</v>
      </c>
      <c r="AF31" s="152">
        <f>ROUND(IF(AE31&gt;=300,1000+3*(AE31-300)^MIN(MAX(1.05/(AE31^0.019),1.09),1.119),1000-3*(300-AE31))*(1+IF(Overview!$B$14="Ants",ant_explore_penalty,0)+MIN(tech_explore_cost*Techs!Z31,tech_explore_cost2*Techs!AB31,tech_enchanted_lands_explore*Techs!AT31)),0)</f>
        <v>4787</v>
      </c>
      <c r="AG31" s="164">
        <f>ROUND(MAX(IF(AE31&gt;=300,5+0.003*(AE31-300)^1.07,5-300/AE31)+MIN(tech_explore_draft1*Techs!AA31,tech_explore_draft2*Techs!AB31),3),0)</f>
        <v>8</v>
      </c>
      <c r="AH31" s="26">
        <f t="shared" si="1"/>
        <v>0</v>
      </c>
      <c r="AI31" s="57">
        <f t="shared" si="2"/>
        <v>0</v>
      </c>
    </row>
    <row r="32" spans="1:35" s="16" customFormat="1">
      <c r="A32" s="513">
        <f>Rezone!J32</f>
        <v>30</v>
      </c>
      <c r="B32" s="53">
        <f>Construction!E32</f>
        <v>1000</v>
      </c>
      <c r="C32" s="53"/>
      <c r="D32" s="68">
        <f>Construction!F32</f>
        <v>0</v>
      </c>
      <c r="E32" s="29">
        <f>Construction!G32</f>
        <v>100</v>
      </c>
      <c r="F32" s="30">
        <f>Construction!H32</f>
        <v>150</v>
      </c>
      <c r="G32" s="31">
        <f>Construction!I32</f>
        <v>150</v>
      </c>
      <c r="H32" s="32">
        <f>Construction!J32</f>
        <v>100</v>
      </c>
      <c r="I32" s="33">
        <f>Construction!K32</f>
        <v>20</v>
      </c>
      <c r="J32" s="69">
        <f>Construction!L32</f>
        <v>100</v>
      </c>
      <c r="N32" s="91">
        <f>Military!AB32</f>
        <v>0.2</v>
      </c>
      <c r="O32" s="59">
        <f ca="1">Population!I32</f>
        <v>1</v>
      </c>
      <c r="P32" s="91">
        <f ca="1">Imps!J32</f>
        <v>1</v>
      </c>
      <c r="Q32" s="63">
        <f t="shared" si="0"/>
        <v>1000</v>
      </c>
      <c r="R32" s="634">
        <v>30</v>
      </c>
      <c r="S32" s="340"/>
      <c r="T32" s="363"/>
      <c r="U32" s="348"/>
      <c r="V32" s="348"/>
      <c r="W32" s="348"/>
      <c r="X32" s="348"/>
      <c r="Y32" s="348"/>
      <c r="Z32" s="357"/>
      <c r="AA32" s="537">
        <f>Imps!BY32</f>
        <v>43693.208333333263</v>
      </c>
      <c r="AB32" s="156">
        <f ca="1">Military!Z32</f>
        <v>3695</v>
      </c>
      <c r="AC32" s="57">
        <f ca="1">Production!H32</f>
        <v>3256390</v>
      </c>
      <c r="AE32" s="63">
        <f t="shared" si="3"/>
        <v>1000</v>
      </c>
      <c r="AF32" s="152">
        <f>ROUND(IF(AE32&gt;=300,1000+3*(AE32-300)^MIN(MAX(1.05/(AE32^0.019),1.09),1.119),1000-3*(300-AE32))*(1+IF(Overview!$B$14="Ants",ant_explore_penalty,0)+MIN(tech_explore_cost*Techs!Z32,tech_explore_cost2*Techs!AB32,tech_enchanted_lands_explore*Techs!AT32)),0)</f>
        <v>4787</v>
      </c>
      <c r="AG32" s="164">
        <f>ROUND(MAX(IF(AE32&gt;=300,5+0.003*(AE32-300)^1.07,5-300/AE32)+MIN(tech_explore_draft1*Techs!AA32,tech_explore_draft2*Techs!AB32),3),0)</f>
        <v>8</v>
      </c>
      <c r="AH32" s="26">
        <f t="shared" si="1"/>
        <v>0</v>
      </c>
      <c r="AI32" s="57">
        <f t="shared" si="2"/>
        <v>0</v>
      </c>
    </row>
    <row r="33" spans="1:35" s="16" customFormat="1">
      <c r="A33" s="513">
        <f>Rezone!J33</f>
        <v>31</v>
      </c>
      <c r="B33" s="53">
        <f>Construction!E33</f>
        <v>1000</v>
      </c>
      <c r="C33" s="53"/>
      <c r="D33" s="68">
        <f>Construction!F33</f>
        <v>0</v>
      </c>
      <c r="E33" s="29">
        <f>Construction!G33</f>
        <v>100</v>
      </c>
      <c r="F33" s="30">
        <f>Construction!H33</f>
        <v>150</v>
      </c>
      <c r="G33" s="31">
        <f>Construction!I33</f>
        <v>150</v>
      </c>
      <c r="H33" s="32">
        <f>Construction!J33</f>
        <v>100</v>
      </c>
      <c r="I33" s="33">
        <f>Construction!K33</f>
        <v>20</v>
      </c>
      <c r="J33" s="69">
        <f>Construction!L33</f>
        <v>100</v>
      </c>
      <c r="M33" s="143"/>
      <c r="N33" s="91">
        <f>Military!AB33</f>
        <v>0.2</v>
      </c>
      <c r="O33" s="59">
        <f ca="1">Population!I33</f>
        <v>1</v>
      </c>
      <c r="P33" s="91">
        <f ca="1">Imps!J33</f>
        <v>1</v>
      </c>
      <c r="Q33" s="63">
        <f t="shared" si="0"/>
        <v>1000</v>
      </c>
      <c r="R33" s="634">
        <v>31</v>
      </c>
      <c r="S33" s="340"/>
      <c r="T33" s="348"/>
      <c r="U33" s="348"/>
      <c r="V33" s="348"/>
      <c r="W33" s="348"/>
      <c r="X33" s="348"/>
      <c r="Y33" s="348"/>
      <c r="Z33" s="357"/>
      <c r="AA33" s="537">
        <f>Imps!BY33</f>
        <v>43693.249999999927</v>
      </c>
      <c r="AB33" s="156">
        <f ca="1">Military!Z33</f>
        <v>3695</v>
      </c>
      <c r="AC33" s="57">
        <f ca="1">Production!H33</f>
        <v>3267041</v>
      </c>
      <c r="AE33" s="63">
        <f t="shared" si="3"/>
        <v>1000</v>
      </c>
      <c r="AF33" s="152">
        <f>ROUND(IF(AE33&gt;=300,1000+3*(AE33-300)^MIN(MAX(1.05/(AE33^0.019),1.09),1.119),1000-3*(300-AE33))*(1+IF(Overview!$B$14="Ants",ant_explore_penalty,0)+MIN(tech_explore_cost*Techs!Z33,tech_explore_cost2*Techs!AB33,tech_enchanted_lands_explore*Techs!AT33)),0)</f>
        <v>4787</v>
      </c>
      <c r="AG33" s="164">
        <f>ROUND(MAX(IF(AE33&gt;=300,5+0.003*(AE33-300)^1.07,5-300/AE33)+MIN(tech_explore_draft1*Techs!AA33,tech_explore_draft2*Techs!AB33),3),0)</f>
        <v>8</v>
      </c>
      <c r="AH33" s="26">
        <f t="shared" si="1"/>
        <v>0</v>
      </c>
      <c r="AI33" s="57">
        <f t="shared" si="2"/>
        <v>0</v>
      </c>
    </row>
    <row r="34" spans="1:35" s="16" customFormat="1">
      <c r="A34" s="513">
        <f>Rezone!J34</f>
        <v>32</v>
      </c>
      <c r="B34" s="53">
        <f>Construction!E34</f>
        <v>1000</v>
      </c>
      <c r="C34" s="53"/>
      <c r="D34" s="68">
        <f>Construction!F34</f>
        <v>0</v>
      </c>
      <c r="E34" s="29">
        <f>Construction!G34</f>
        <v>100</v>
      </c>
      <c r="F34" s="30">
        <f>Construction!H34</f>
        <v>150</v>
      </c>
      <c r="G34" s="31">
        <f>Construction!I34</f>
        <v>150</v>
      </c>
      <c r="H34" s="32">
        <f>Construction!J34</f>
        <v>100</v>
      </c>
      <c r="I34" s="33">
        <f>Construction!K34</f>
        <v>20</v>
      </c>
      <c r="J34" s="69">
        <f>Construction!L34</f>
        <v>100</v>
      </c>
      <c r="L34" s="107"/>
      <c r="M34" s="143"/>
      <c r="N34" s="91">
        <f>Military!AB34</f>
        <v>0.2</v>
      </c>
      <c r="O34" s="59">
        <f ca="1">Population!I34</f>
        <v>1</v>
      </c>
      <c r="P34" s="91">
        <f ca="1">Imps!J34</f>
        <v>1</v>
      </c>
      <c r="Q34" s="63">
        <f t="shared" si="0"/>
        <v>1000</v>
      </c>
      <c r="R34" s="634">
        <v>32</v>
      </c>
      <c r="S34" s="340"/>
      <c r="T34" s="348"/>
      <c r="U34" s="348"/>
      <c r="V34" s="348"/>
      <c r="W34" s="348"/>
      <c r="X34" s="348"/>
      <c r="Y34" s="348"/>
      <c r="Z34" s="357"/>
      <c r="AA34" s="537">
        <f>Imps!BY34</f>
        <v>43693.291666666591</v>
      </c>
      <c r="AB34" s="156">
        <f ca="1">Military!Z34</f>
        <v>3695</v>
      </c>
      <c r="AC34" s="57">
        <f ca="1">Production!H34</f>
        <v>3277692</v>
      </c>
      <c r="AE34" s="63">
        <f t="shared" si="3"/>
        <v>1000</v>
      </c>
      <c r="AF34" s="152">
        <f>ROUND(IF(AE34&gt;=300,1000+3*(AE34-300)^MIN(MAX(1.05/(AE34^0.019),1.09),1.119),1000-3*(300-AE34))*(1+IF(Overview!$B$14="Ants",ant_explore_penalty,0)+MIN(tech_explore_cost*Techs!Z34,tech_explore_cost2*Techs!AB34,tech_enchanted_lands_explore*Techs!AT34)),0)</f>
        <v>4787</v>
      </c>
      <c r="AG34" s="164">
        <f>ROUND(MAX(IF(AE34&gt;=300,5+0.003*(AE34-300)^1.07,5-300/AE34)+MIN(tech_explore_draft1*Techs!AA34,tech_explore_draft2*Techs!AB34),3),0)</f>
        <v>8</v>
      </c>
      <c r="AH34" s="26">
        <f t="shared" si="1"/>
        <v>0</v>
      </c>
      <c r="AI34" s="57">
        <f t="shared" si="2"/>
        <v>0</v>
      </c>
    </row>
    <row r="35" spans="1:35" s="16" customFormat="1">
      <c r="A35" s="513">
        <f>Rezone!J35</f>
        <v>33</v>
      </c>
      <c r="B35" s="53">
        <f>Construction!E35</f>
        <v>1000</v>
      </c>
      <c r="C35" s="53"/>
      <c r="D35" s="68">
        <f>Construction!F35</f>
        <v>0</v>
      </c>
      <c r="E35" s="29">
        <f>Construction!G35</f>
        <v>100</v>
      </c>
      <c r="F35" s="30">
        <f>Construction!H35</f>
        <v>150</v>
      </c>
      <c r="G35" s="31">
        <f>Construction!I35</f>
        <v>150</v>
      </c>
      <c r="H35" s="32">
        <f>Construction!J35</f>
        <v>100</v>
      </c>
      <c r="I35" s="33">
        <f>Construction!K35</f>
        <v>20</v>
      </c>
      <c r="J35" s="69">
        <f>Construction!L35</f>
        <v>100</v>
      </c>
      <c r="N35" s="91">
        <f>Military!AB35</f>
        <v>0.2</v>
      </c>
      <c r="O35" s="59">
        <f ca="1">Population!I35</f>
        <v>1</v>
      </c>
      <c r="P35" s="91">
        <f ca="1">Imps!J35</f>
        <v>1</v>
      </c>
      <c r="Q35" s="63">
        <f t="shared" ref="Q35:Q66" si="4">B35</f>
        <v>1000</v>
      </c>
      <c r="R35" s="634">
        <v>33</v>
      </c>
      <c r="S35" s="340"/>
      <c r="T35" s="348"/>
      <c r="U35" s="348"/>
      <c r="V35" s="348"/>
      <c r="W35" s="348"/>
      <c r="X35" s="348"/>
      <c r="Y35" s="348"/>
      <c r="Z35" s="357"/>
      <c r="AA35" s="537">
        <f>Imps!BY35</f>
        <v>43693.333333333256</v>
      </c>
      <c r="AB35" s="156">
        <f ca="1">Military!Z35</f>
        <v>3695</v>
      </c>
      <c r="AC35" s="57">
        <f ca="1">Production!H35</f>
        <v>3288343</v>
      </c>
      <c r="AE35" s="63">
        <f t="shared" si="3"/>
        <v>1000</v>
      </c>
      <c r="AF35" s="152">
        <f>ROUND(IF(AE35&gt;=300,1000+3*(AE35-300)^MIN(MAX(1.05/(AE35^0.019),1.09),1.119),1000-3*(300-AE35))*(1+IF(Overview!$B$14="Ants",ant_explore_penalty,0)+MIN(tech_explore_cost*Techs!Z35,tech_explore_cost2*Techs!AB35,tech_enchanted_lands_explore*Techs!AT35)),0)</f>
        <v>4787</v>
      </c>
      <c r="AG35" s="164">
        <f>ROUND(MAX(IF(AE35&gt;=300,5+0.003*(AE35-300)^1.07,5-300/AE35)+MIN(tech_explore_draft1*Techs!AA35,tech_explore_draft2*Techs!AB35),3),0)</f>
        <v>8</v>
      </c>
      <c r="AH35" s="26">
        <f t="shared" si="1"/>
        <v>0</v>
      </c>
      <c r="AI35" s="57">
        <f t="shared" si="2"/>
        <v>0</v>
      </c>
    </row>
    <row r="36" spans="1:35" s="16" customFormat="1">
      <c r="A36" s="513">
        <f>Rezone!J36</f>
        <v>34</v>
      </c>
      <c r="B36" s="53">
        <f>Construction!E36</f>
        <v>1000</v>
      </c>
      <c r="C36" s="53"/>
      <c r="D36" s="68">
        <f>Construction!F36</f>
        <v>0</v>
      </c>
      <c r="E36" s="29">
        <f>Construction!G36</f>
        <v>100</v>
      </c>
      <c r="F36" s="30">
        <f>Construction!H36</f>
        <v>150</v>
      </c>
      <c r="G36" s="31">
        <f>Construction!I36</f>
        <v>150</v>
      </c>
      <c r="H36" s="32">
        <f>Construction!J36</f>
        <v>100</v>
      </c>
      <c r="I36" s="33">
        <f>Construction!K36</f>
        <v>20</v>
      </c>
      <c r="J36" s="69">
        <f>Construction!L36</f>
        <v>100</v>
      </c>
      <c r="N36" s="91">
        <f>Military!AB36</f>
        <v>0.2</v>
      </c>
      <c r="O36" s="59">
        <f ca="1">Population!I36</f>
        <v>1</v>
      </c>
      <c r="P36" s="91">
        <f ca="1">Imps!J36</f>
        <v>1</v>
      </c>
      <c r="Q36" s="63">
        <f t="shared" si="4"/>
        <v>1000</v>
      </c>
      <c r="R36" s="634">
        <v>34</v>
      </c>
      <c r="S36" s="340"/>
      <c r="T36" s="348"/>
      <c r="U36" s="348"/>
      <c r="V36" s="348"/>
      <c r="W36" s="348"/>
      <c r="X36" s="348"/>
      <c r="Y36" s="348"/>
      <c r="Z36" s="357"/>
      <c r="AA36" s="537">
        <f>Imps!BY36</f>
        <v>43693.37499999992</v>
      </c>
      <c r="AB36" s="156">
        <f ca="1">Military!Z36</f>
        <v>3695</v>
      </c>
      <c r="AC36" s="57">
        <f ca="1">Production!H36</f>
        <v>3298994</v>
      </c>
      <c r="AE36" s="63">
        <f t="shared" si="3"/>
        <v>1000</v>
      </c>
      <c r="AF36" s="152">
        <f>ROUND(IF(AE36&gt;=300,1000+3*(AE36-300)^MIN(MAX(1.05/(AE36^0.019),1.09),1.119),1000-3*(300-AE36))*(1+IF(Overview!$B$14="Ants",ant_explore_penalty,0)+MIN(tech_explore_cost*Techs!Z36,tech_explore_cost2*Techs!AB36,tech_enchanted_lands_explore*Techs!AT36)),0)</f>
        <v>4787</v>
      </c>
      <c r="AG36" s="164">
        <f>ROUND(MAX(IF(AE36&gt;=300,5+0.003*(AE36-300)^1.07,5-300/AE36)+MIN(tech_explore_draft1*Techs!AA36,tech_explore_draft2*Techs!AB36),3),0)</f>
        <v>8</v>
      </c>
      <c r="AH36" s="26">
        <f t="shared" si="1"/>
        <v>0</v>
      </c>
      <c r="AI36" s="57">
        <f t="shared" si="2"/>
        <v>0</v>
      </c>
    </row>
    <row r="37" spans="1:35" s="16" customFormat="1">
      <c r="A37" s="513">
        <f>Rezone!J37</f>
        <v>35</v>
      </c>
      <c r="B37" s="53">
        <f>Construction!E37</f>
        <v>1000</v>
      </c>
      <c r="C37" s="53"/>
      <c r="D37" s="68">
        <f>Construction!F37</f>
        <v>0</v>
      </c>
      <c r="E37" s="29">
        <f>Construction!G37</f>
        <v>100</v>
      </c>
      <c r="F37" s="30">
        <f>Construction!H37</f>
        <v>150</v>
      </c>
      <c r="G37" s="31">
        <f>Construction!I37</f>
        <v>150</v>
      </c>
      <c r="H37" s="32">
        <f>Construction!J37</f>
        <v>100</v>
      </c>
      <c r="I37" s="33">
        <f>Construction!K37</f>
        <v>20</v>
      </c>
      <c r="J37" s="69">
        <f>Construction!L37</f>
        <v>100</v>
      </c>
      <c r="N37" s="91">
        <f>Military!AB37</f>
        <v>0.2</v>
      </c>
      <c r="O37" s="59">
        <f ca="1">Population!I37</f>
        <v>1</v>
      </c>
      <c r="P37" s="91">
        <f ca="1">Imps!J37</f>
        <v>1</v>
      </c>
      <c r="Q37" s="63">
        <f t="shared" si="4"/>
        <v>1000</v>
      </c>
      <c r="R37" s="634">
        <v>35</v>
      </c>
      <c r="S37" s="340"/>
      <c r="T37" s="376"/>
      <c r="U37" s="348"/>
      <c r="V37" s="348"/>
      <c r="W37" s="348"/>
      <c r="X37" s="348"/>
      <c r="Y37" s="348"/>
      <c r="Z37" s="357"/>
      <c r="AA37" s="537">
        <f>Imps!BY37</f>
        <v>43693.416666666584</v>
      </c>
      <c r="AB37" s="156">
        <f ca="1">Military!Z37</f>
        <v>3695</v>
      </c>
      <c r="AC37" s="57">
        <f ca="1">Production!H37</f>
        <v>3309645</v>
      </c>
      <c r="AE37" s="63">
        <f t="shared" si="3"/>
        <v>1000</v>
      </c>
      <c r="AF37" s="152">
        <f>ROUND(IF(AE37&gt;=300,1000+3*(AE37-300)^MIN(MAX(1.05/(AE37^0.019),1.09),1.119),1000-3*(300-AE37))*(1+IF(Overview!$B$14="Ants",ant_explore_penalty,0)+MIN(tech_explore_cost*Techs!Z37,tech_explore_cost2*Techs!AB37,tech_enchanted_lands_explore*Techs!AT37)),0)</f>
        <v>4787</v>
      </c>
      <c r="AG37" s="164">
        <f>ROUND(MAX(IF(AE37&gt;=300,5+0.003*(AE37-300)^1.07,5-300/AE37)+MIN(tech_explore_draft1*Techs!AA37,tech_explore_draft2*Techs!AB37),3),0)</f>
        <v>8</v>
      </c>
      <c r="AH37" s="26">
        <f t="shared" si="1"/>
        <v>0</v>
      </c>
      <c r="AI37" s="57">
        <f t="shared" si="2"/>
        <v>0</v>
      </c>
    </row>
    <row r="38" spans="1:35" s="25" customFormat="1">
      <c r="A38" s="514">
        <f>Rezone!J38</f>
        <v>36</v>
      </c>
      <c r="B38" s="75">
        <f>Construction!E38</f>
        <v>1000</v>
      </c>
      <c r="C38" s="53"/>
      <c r="D38" s="87">
        <f>Construction!F38</f>
        <v>0</v>
      </c>
      <c r="E38" s="45">
        <f>Construction!G38</f>
        <v>100</v>
      </c>
      <c r="F38" s="46">
        <f>Construction!H38</f>
        <v>150</v>
      </c>
      <c r="G38" s="47">
        <f>Construction!I38</f>
        <v>150</v>
      </c>
      <c r="H38" s="48">
        <f>Construction!J38</f>
        <v>100</v>
      </c>
      <c r="I38" s="33">
        <f>Construction!K38</f>
        <v>20</v>
      </c>
      <c r="J38" s="88">
        <f>Construction!L38</f>
        <v>100</v>
      </c>
      <c r="K38" s="16"/>
      <c r="L38" s="16"/>
      <c r="M38" s="16"/>
      <c r="N38" s="92">
        <f>Military!AB38</f>
        <v>0.2</v>
      </c>
      <c r="O38" s="105">
        <f ca="1">Population!I38</f>
        <v>1</v>
      </c>
      <c r="P38" s="92">
        <f ca="1">Imps!J38</f>
        <v>1</v>
      </c>
      <c r="Q38" s="63">
        <f t="shared" si="4"/>
        <v>1000</v>
      </c>
      <c r="R38" s="822">
        <v>36</v>
      </c>
      <c r="S38" s="340"/>
      <c r="T38" s="348"/>
      <c r="U38" s="348"/>
      <c r="V38" s="348"/>
      <c r="W38" s="348"/>
      <c r="X38" s="348"/>
      <c r="Y38" s="348"/>
      <c r="Z38" s="357"/>
      <c r="AA38" s="569">
        <f>Imps!BY38</f>
        <v>43693.458333333248</v>
      </c>
      <c r="AB38" s="156">
        <f ca="1">Military!Z38</f>
        <v>3695</v>
      </c>
      <c r="AC38" s="73">
        <f ca="1">Production!H38</f>
        <v>3320296</v>
      </c>
      <c r="AD38" s="16"/>
      <c r="AE38" s="63">
        <f t="shared" si="3"/>
        <v>1000</v>
      </c>
      <c r="AF38" s="152">
        <f>ROUND(IF(AE38&gt;=300,1000+3*(AE38-300)^MIN(MAX(1.05/(AE38^0.019),1.09),1.119),1000-3*(300-AE38))*(1+IF(Overview!$B$14="Ants",ant_explore_penalty,0)+MIN(tech_explore_cost*Techs!Z38,tech_explore_cost2*Techs!AB38,tech_enchanted_lands_explore*Techs!AT38)),0)</f>
        <v>4787</v>
      </c>
      <c r="AG38" s="164">
        <f>ROUND(MAX(IF(AE38&gt;=300,5+0.003*(AE38-300)^1.07,5-300/AE38)+MIN(tech_explore_draft1*Techs!AA38,tech_explore_draft2*Techs!AB38),3),0)</f>
        <v>8</v>
      </c>
      <c r="AH38" s="24">
        <f t="shared" si="1"/>
        <v>0</v>
      </c>
      <c r="AI38" s="73">
        <f t="shared" si="2"/>
        <v>0</v>
      </c>
    </row>
    <row r="39" spans="1:35" s="12" customFormat="1" ht="12.75" customHeight="1">
      <c r="A39" s="515">
        <f>Rezone!J39</f>
        <v>37</v>
      </c>
      <c r="B39" s="51">
        <f>Construction!E39</f>
        <v>1000</v>
      </c>
      <c r="C39" s="53"/>
      <c r="D39" s="66">
        <f>Construction!F39</f>
        <v>0</v>
      </c>
      <c r="E39" s="18">
        <f>Construction!G39</f>
        <v>100</v>
      </c>
      <c r="F39" s="19">
        <f>Construction!H39</f>
        <v>150</v>
      </c>
      <c r="G39" s="20">
        <f>Construction!I39</f>
        <v>150</v>
      </c>
      <c r="H39" s="21">
        <f>Construction!J39</f>
        <v>100</v>
      </c>
      <c r="I39" s="201">
        <f>Construction!K39</f>
        <v>20</v>
      </c>
      <c r="J39" s="67">
        <f>Construction!L39</f>
        <v>100</v>
      </c>
      <c r="K39" s="16"/>
      <c r="L39" s="16"/>
      <c r="M39" s="16"/>
      <c r="N39" s="306">
        <f>Military!AB39</f>
        <v>0.2</v>
      </c>
      <c r="O39" s="58">
        <f ca="1">Population!I39</f>
        <v>1</v>
      </c>
      <c r="P39" s="306">
        <f ca="1">Imps!J39</f>
        <v>1</v>
      </c>
      <c r="Q39" s="286">
        <f t="shared" si="4"/>
        <v>1000</v>
      </c>
      <c r="R39" s="318">
        <v>37</v>
      </c>
      <c r="S39" s="520"/>
      <c r="T39" s="349"/>
      <c r="U39" s="349"/>
      <c r="V39" s="349"/>
      <c r="W39" s="349"/>
      <c r="X39" s="349"/>
      <c r="Y39" s="349"/>
      <c r="Z39" s="374"/>
      <c r="AA39" s="570">
        <f>Imps!BY39</f>
        <v>43693.499999999913</v>
      </c>
      <c r="AB39" s="184">
        <f ca="1">Military!Z39</f>
        <v>3695</v>
      </c>
      <c r="AC39" s="55">
        <f ca="1">Production!H39</f>
        <v>3330947</v>
      </c>
      <c r="AD39" s="50"/>
      <c r="AE39" s="286">
        <f t="shared" si="3"/>
        <v>1000</v>
      </c>
      <c r="AF39" s="151">
        <f>ROUND(IF(AE39&gt;=300,1000+3*(AE39-300)^MIN(MAX(1.05/(AE39^0.019),1.09),1.119),1000-3*(300-AE39))*(1+IF(Overview!$B$14="Ants",ant_explore_penalty,0)+MIN(tech_explore_cost*Techs!Z39,tech_explore_cost2*Techs!AB39,tech_enchanted_lands_explore*Techs!AT39)),0)</f>
        <v>4787</v>
      </c>
      <c r="AG39" s="153">
        <f>ROUND(MAX(IF(AE39&gt;=300,5+0.003*(AE39-300)^1.07,5-300/AE39)+MIN(tech_explore_draft1*Techs!AA39,tech_explore_draft2*Techs!AB39),3),0)</f>
        <v>8</v>
      </c>
      <c r="AH39" s="13">
        <f t="shared" si="1"/>
        <v>0</v>
      </c>
      <c r="AI39" s="55">
        <f t="shared" si="2"/>
        <v>0</v>
      </c>
    </row>
    <row r="40" spans="1:35" s="15" customFormat="1">
      <c r="A40" s="516">
        <f>Rezone!J40</f>
        <v>38</v>
      </c>
      <c r="B40" s="74">
        <f>Construction!E40</f>
        <v>1000</v>
      </c>
      <c r="C40" s="53"/>
      <c r="D40" s="84">
        <f>Construction!F40</f>
        <v>0</v>
      </c>
      <c r="E40" s="41">
        <f>Construction!G40</f>
        <v>100</v>
      </c>
      <c r="F40" s="42">
        <f>Construction!H40</f>
        <v>150</v>
      </c>
      <c r="G40" s="43">
        <f>Construction!I40</f>
        <v>150</v>
      </c>
      <c r="H40" s="44">
        <f>Construction!J40</f>
        <v>100</v>
      </c>
      <c r="I40" s="33">
        <f>Construction!K40</f>
        <v>20</v>
      </c>
      <c r="J40" s="85">
        <f>Construction!L40</f>
        <v>100</v>
      </c>
      <c r="K40" s="16"/>
      <c r="L40" s="16"/>
      <c r="M40" s="16"/>
      <c r="N40" s="307">
        <f>Military!AB40</f>
        <v>0.2</v>
      </c>
      <c r="O40" s="104">
        <f ca="1">Population!I40</f>
        <v>1</v>
      </c>
      <c r="P40" s="307">
        <f ca="1">Imps!J40</f>
        <v>1</v>
      </c>
      <c r="Q40" s="63">
        <f t="shared" si="4"/>
        <v>1000</v>
      </c>
      <c r="R40" s="754">
        <v>38</v>
      </c>
      <c r="S40" s="340"/>
      <c r="T40" s="348"/>
      <c r="U40" s="348"/>
      <c r="V40" s="348"/>
      <c r="W40" s="348"/>
      <c r="X40" s="348"/>
      <c r="Y40" s="348"/>
      <c r="Z40" s="357"/>
      <c r="AA40" s="571">
        <f>Imps!BY40</f>
        <v>43693.541666666577</v>
      </c>
      <c r="AB40" s="156">
        <f ca="1">Military!Z40</f>
        <v>3695</v>
      </c>
      <c r="AC40" s="71">
        <f ca="1">Production!H40</f>
        <v>3341598</v>
      </c>
      <c r="AD40" s="16"/>
      <c r="AE40" s="63">
        <f t="shared" si="3"/>
        <v>1000</v>
      </c>
      <c r="AF40" s="152">
        <f>ROUND(IF(AE40&gt;=300,1000+3*(AE40-300)^MIN(MAX(1.05/(AE40^0.019),1.09),1.119),1000-3*(300-AE40))*(1+IF(Overview!$B$14="Ants",ant_explore_penalty,0)+MIN(tech_explore_cost*Techs!Z40,tech_explore_cost2*Techs!AB40,tech_enchanted_lands_explore*Techs!AT40)),0)</f>
        <v>4787</v>
      </c>
      <c r="AG40" s="164">
        <f>ROUND(MAX(IF(AE40&gt;=300,5+0.003*(AE40-300)^1.07,5-300/AE40)+MIN(tech_explore_draft1*Techs!AA40,tech_explore_draft2*Techs!AB40),3),0)</f>
        <v>8</v>
      </c>
      <c r="AH40" s="23">
        <f t="shared" si="1"/>
        <v>0</v>
      </c>
      <c r="AI40" s="71">
        <f t="shared" si="2"/>
        <v>0</v>
      </c>
    </row>
    <row r="41" spans="1:35" s="16" customFormat="1">
      <c r="A41" s="513">
        <f>Rezone!J41</f>
        <v>39</v>
      </c>
      <c r="B41" s="53">
        <f>Construction!E41</f>
        <v>1000</v>
      </c>
      <c r="C41" s="53"/>
      <c r="D41" s="68">
        <f>Construction!F41</f>
        <v>0</v>
      </c>
      <c r="E41" s="29">
        <f>Construction!G41</f>
        <v>100</v>
      </c>
      <c r="F41" s="30">
        <f>Construction!H41</f>
        <v>150</v>
      </c>
      <c r="G41" s="31">
        <f>Construction!I41</f>
        <v>150</v>
      </c>
      <c r="H41" s="32">
        <f>Construction!J41</f>
        <v>100</v>
      </c>
      <c r="I41" s="33">
        <f>Construction!K41</f>
        <v>20</v>
      </c>
      <c r="J41" s="69">
        <f>Construction!L41</f>
        <v>100</v>
      </c>
      <c r="N41" s="91">
        <f>Military!AB41</f>
        <v>0.2</v>
      </c>
      <c r="O41" s="59">
        <f ca="1">Population!I41</f>
        <v>1</v>
      </c>
      <c r="P41" s="91">
        <f ca="1">Imps!J41</f>
        <v>1</v>
      </c>
      <c r="Q41" s="63">
        <f t="shared" si="4"/>
        <v>1000</v>
      </c>
      <c r="R41" s="634">
        <v>39</v>
      </c>
      <c r="S41" s="340"/>
      <c r="T41" s="348"/>
      <c r="U41" s="348"/>
      <c r="V41" s="348"/>
      <c r="W41" s="348"/>
      <c r="X41" s="348"/>
      <c r="Y41" s="348"/>
      <c r="Z41" s="357"/>
      <c r="AA41" s="537">
        <f>Imps!BY41</f>
        <v>43693.583333333241</v>
      </c>
      <c r="AB41" s="156">
        <f ca="1">Military!Z41</f>
        <v>3695</v>
      </c>
      <c r="AC41" s="57">
        <f ca="1">Production!H41</f>
        <v>3352249</v>
      </c>
      <c r="AE41" s="63">
        <f t="shared" si="3"/>
        <v>1000</v>
      </c>
      <c r="AF41" s="152">
        <f>ROUND(IF(AE41&gt;=300,1000+3*(AE41-300)^MIN(MAX(1.05/(AE41^0.019),1.09),1.119),1000-3*(300-AE41))*(1+IF(Overview!$B$14="Ants",ant_explore_penalty,0)+MIN(tech_explore_cost*Techs!Z41,tech_explore_cost2*Techs!AB41,tech_enchanted_lands_explore*Techs!AT41)),0)</f>
        <v>4787</v>
      </c>
      <c r="AG41" s="164">
        <f>ROUND(MAX(IF(AE41&gt;=300,5+0.003*(AE41-300)^1.07,5-300/AE41)+MIN(tech_explore_draft1*Techs!AA41,tech_explore_draft2*Techs!AB41),3),0)</f>
        <v>8</v>
      </c>
      <c r="AH41" s="26">
        <f t="shared" si="1"/>
        <v>0</v>
      </c>
      <c r="AI41" s="57">
        <f t="shared" si="2"/>
        <v>0</v>
      </c>
    </row>
    <row r="42" spans="1:35" s="16" customFormat="1">
      <c r="A42" s="513">
        <f>Rezone!J42</f>
        <v>40</v>
      </c>
      <c r="B42" s="53">
        <f>Construction!E42</f>
        <v>1000</v>
      </c>
      <c r="C42" s="53"/>
      <c r="D42" s="68">
        <f>Construction!F42</f>
        <v>0</v>
      </c>
      <c r="E42" s="29">
        <f>Construction!G42</f>
        <v>100</v>
      </c>
      <c r="F42" s="30">
        <f>Construction!H42</f>
        <v>150</v>
      </c>
      <c r="G42" s="31">
        <f>Construction!I42</f>
        <v>150</v>
      </c>
      <c r="H42" s="32">
        <f>Construction!J42</f>
        <v>100</v>
      </c>
      <c r="I42" s="33">
        <f>Construction!K42</f>
        <v>20</v>
      </c>
      <c r="J42" s="69">
        <f>Construction!L42</f>
        <v>100</v>
      </c>
      <c r="N42" s="91">
        <f>Military!AB42</f>
        <v>0.2</v>
      </c>
      <c r="O42" s="59">
        <f ca="1">Population!I42</f>
        <v>1</v>
      </c>
      <c r="P42" s="91">
        <f ca="1">Imps!J42</f>
        <v>1</v>
      </c>
      <c r="Q42" s="63">
        <f t="shared" si="4"/>
        <v>1000</v>
      </c>
      <c r="R42" s="634">
        <v>40</v>
      </c>
      <c r="S42" s="340"/>
      <c r="T42" s="348"/>
      <c r="U42" s="348"/>
      <c r="V42" s="348"/>
      <c r="W42" s="348"/>
      <c r="X42" s="348"/>
      <c r="Y42" s="348"/>
      <c r="Z42" s="357"/>
      <c r="AA42" s="537">
        <f>Imps!BY42</f>
        <v>43693.624999999905</v>
      </c>
      <c r="AB42" s="156">
        <f ca="1">Military!Z42</f>
        <v>3695</v>
      </c>
      <c r="AC42" s="57">
        <f ca="1">Production!H42</f>
        <v>3362900</v>
      </c>
      <c r="AE42" s="63">
        <f t="shared" si="3"/>
        <v>1000</v>
      </c>
      <c r="AF42" s="152">
        <f>ROUND(IF(AE42&gt;=300,1000+3*(AE42-300)^MIN(MAX(1.05/(AE42^0.019),1.09),1.119),1000-3*(300-AE42))*(1+IF(Overview!$B$14="Ants",ant_explore_penalty,0)+MIN(tech_explore_cost*Techs!Z42,tech_explore_cost2*Techs!AB42,tech_enchanted_lands_explore*Techs!AT42)),0)</f>
        <v>4787</v>
      </c>
      <c r="AG42" s="164">
        <f>ROUND(MAX(IF(AE42&gt;=300,5+0.003*(AE42-300)^1.07,5-300/AE42)+MIN(tech_explore_draft1*Techs!AA42,tech_explore_draft2*Techs!AB42),3),0)</f>
        <v>8</v>
      </c>
      <c r="AH42" s="26">
        <f t="shared" si="1"/>
        <v>0</v>
      </c>
      <c r="AI42" s="57">
        <f t="shared" si="2"/>
        <v>0</v>
      </c>
    </row>
    <row r="43" spans="1:35" s="16" customFormat="1">
      <c r="A43" s="513">
        <f>Rezone!J43</f>
        <v>41</v>
      </c>
      <c r="B43" s="53">
        <f>Construction!E43</f>
        <v>1000</v>
      </c>
      <c r="C43" s="53"/>
      <c r="D43" s="68">
        <f>Construction!F43</f>
        <v>0</v>
      </c>
      <c r="E43" s="29">
        <f>Construction!G43</f>
        <v>100</v>
      </c>
      <c r="F43" s="30">
        <f>Construction!H43</f>
        <v>150</v>
      </c>
      <c r="G43" s="31">
        <f>Construction!I43</f>
        <v>150</v>
      </c>
      <c r="H43" s="32">
        <f>Construction!J43</f>
        <v>100</v>
      </c>
      <c r="I43" s="33">
        <f>Construction!K43</f>
        <v>20</v>
      </c>
      <c r="J43" s="69">
        <f>Construction!L43</f>
        <v>100</v>
      </c>
      <c r="N43" s="91">
        <f>Military!AB43</f>
        <v>0.2</v>
      </c>
      <c r="O43" s="59">
        <f ca="1">Population!I43</f>
        <v>1</v>
      </c>
      <c r="P43" s="91">
        <f ca="1">Imps!J43</f>
        <v>1</v>
      </c>
      <c r="Q43" s="63">
        <f t="shared" si="4"/>
        <v>1000</v>
      </c>
      <c r="R43" s="634">
        <v>41</v>
      </c>
      <c r="S43" s="340"/>
      <c r="T43" s="348"/>
      <c r="U43" s="348"/>
      <c r="V43" s="348"/>
      <c r="W43" s="348"/>
      <c r="X43" s="348"/>
      <c r="Y43" s="348"/>
      <c r="Z43" s="357"/>
      <c r="AA43" s="537">
        <f>Imps!BY43</f>
        <v>43693.66666666657</v>
      </c>
      <c r="AB43" s="156">
        <f ca="1">Military!Z43</f>
        <v>3695</v>
      </c>
      <c r="AC43" s="57">
        <f ca="1">Production!H43</f>
        <v>3373551</v>
      </c>
      <c r="AE43" s="63">
        <f t="shared" si="3"/>
        <v>1000</v>
      </c>
      <c r="AF43" s="152">
        <f>ROUND(IF(AE43&gt;=300,1000+3*(AE43-300)^MIN(MAX(1.05/(AE43^0.019),1.09),1.119),1000-3*(300-AE43))*(1+IF(Overview!$B$14="Ants",ant_explore_penalty,0)+MIN(tech_explore_cost*Techs!Z43,tech_explore_cost2*Techs!AB43,tech_enchanted_lands_explore*Techs!AT43)),0)</f>
        <v>4787</v>
      </c>
      <c r="AG43" s="164">
        <f>ROUND(MAX(IF(AE43&gt;=300,5+0.003*(AE43-300)^1.07,5-300/AE43)+MIN(tech_explore_draft1*Techs!AA43,tech_explore_draft2*Techs!AB43),3),0)</f>
        <v>8</v>
      </c>
      <c r="AH43" s="26">
        <f t="shared" si="1"/>
        <v>0</v>
      </c>
      <c r="AI43" s="57">
        <f t="shared" si="2"/>
        <v>0</v>
      </c>
    </row>
    <row r="44" spans="1:35" s="16" customFormat="1">
      <c r="A44" s="513">
        <f>Rezone!J44</f>
        <v>42</v>
      </c>
      <c r="B44" s="53">
        <f>Construction!E44</f>
        <v>1000</v>
      </c>
      <c r="C44" s="53"/>
      <c r="D44" s="68">
        <f>Construction!F44</f>
        <v>0</v>
      </c>
      <c r="E44" s="29">
        <f>Construction!G44</f>
        <v>100</v>
      </c>
      <c r="F44" s="30">
        <f>Construction!H44</f>
        <v>150</v>
      </c>
      <c r="G44" s="31">
        <f>Construction!I44</f>
        <v>150</v>
      </c>
      <c r="H44" s="32">
        <f>Construction!J44</f>
        <v>100</v>
      </c>
      <c r="I44" s="33">
        <f>Construction!K44</f>
        <v>20</v>
      </c>
      <c r="J44" s="69">
        <f>Construction!L44</f>
        <v>100</v>
      </c>
      <c r="N44" s="91">
        <f>Military!AB44</f>
        <v>0.2</v>
      </c>
      <c r="O44" s="59">
        <f ca="1">Population!I44</f>
        <v>1</v>
      </c>
      <c r="P44" s="251">
        <f ca="1">Imps!J44</f>
        <v>1</v>
      </c>
      <c r="Q44" s="63">
        <f t="shared" si="4"/>
        <v>1000</v>
      </c>
      <c r="R44" s="634">
        <v>42</v>
      </c>
      <c r="S44" s="340"/>
      <c r="T44" s="348"/>
      <c r="U44" s="348"/>
      <c r="V44" s="348"/>
      <c r="W44" s="348"/>
      <c r="X44" s="348"/>
      <c r="Y44" s="348"/>
      <c r="Z44" s="357"/>
      <c r="AA44" s="537">
        <f>Imps!BY44</f>
        <v>43693.708333333234</v>
      </c>
      <c r="AB44" s="156">
        <f ca="1">Military!Z44</f>
        <v>3695</v>
      </c>
      <c r="AC44" s="57">
        <f ca="1">Production!H44</f>
        <v>3384202</v>
      </c>
      <c r="AE44" s="63">
        <f t="shared" si="3"/>
        <v>1000</v>
      </c>
      <c r="AF44" s="152">
        <f>ROUND(IF(AE44&gt;=300,1000+3*(AE44-300)^MIN(MAX(1.05/(AE44^0.019),1.09),1.119),1000-3*(300-AE44))*(1+IF(Overview!$B$14="Ants",ant_explore_penalty,0)+MIN(tech_explore_cost*Techs!Z44,tech_explore_cost2*Techs!AB44,tech_enchanted_lands_explore*Techs!AT44)),0)</f>
        <v>4787</v>
      </c>
      <c r="AG44" s="164">
        <f>ROUND(MAX(IF(AE44&gt;=300,5+0.003*(AE44-300)^1.07,5-300/AE44)+MIN(tech_explore_draft1*Techs!AA44,tech_explore_draft2*Techs!AB44),3),0)</f>
        <v>8</v>
      </c>
      <c r="AH44" s="26">
        <f t="shared" si="1"/>
        <v>0</v>
      </c>
      <c r="AI44" s="57">
        <f t="shared" si="2"/>
        <v>0</v>
      </c>
    </row>
    <row r="45" spans="1:35" s="16" customFormat="1">
      <c r="A45" s="513">
        <f>Rezone!J45</f>
        <v>43</v>
      </c>
      <c r="B45" s="53">
        <f>Construction!E45</f>
        <v>1000</v>
      </c>
      <c r="C45" s="53"/>
      <c r="D45" s="68">
        <f>Construction!F45</f>
        <v>0</v>
      </c>
      <c r="E45" s="29">
        <f>Construction!G45</f>
        <v>100</v>
      </c>
      <c r="F45" s="30">
        <f>Construction!H45</f>
        <v>150</v>
      </c>
      <c r="G45" s="31">
        <f>Construction!I45</f>
        <v>150</v>
      </c>
      <c r="H45" s="32">
        <f>Construction!J45</f>
        <v>100</v>
      </c>
      <c r="I45" s="33">
        <f>Construction!K45</f>
        <v>20</v>
      </c>
      <c r="J45" s="69">
        <f>Construction!L45</f>
        <v>100</v>
      </c>
      <c r="N45" s="91">
        <f>Military!AB45</f>
        <v>0.2</v>
      </c>
      <c r="O45" s="59">
        <f ca="1">Population!I45</f>
        <v>1</v>
      </c>
      <c r="P45" s="91">
        <f ca="1">Imps!J45</f>
        <v>1</v>
      </c>
      <c r="Q45" s="63">
        <f t="shared" si="4"/>
        <v>1000</v>
      </c>
      <c r="R45" s="634">
        <v>43</v>
      </c>
      <c r="S45" s="340"/>
      <c r="T45" s="348"/>
      <c r="U45" s="348"/>
      <c r="V45" s="348"/>
      <c r="W45" s="348"/>
      <c r="X45" s="348"/>
      <c r="Y45" s="348"/>
      <c r="Z45" s="357"/>
      <c r="AA45" s="537">
        <f>Imps!BY45</f>
        <v>43693.749999999898</v>
      </c>
      <c r="AB45" s="156">
        <f ca="1">Military!Z45</f>
        <v>3695</v>
      </c>
      <c r="AC45" s="57">
        <f ca="1">Production!H45</f>
        <v>3394853</v>
      </c>
      <c r="AE45" s="63">
        <f t="shared" si="3"/>
        <v>1000</v>
      </c>
      <c r="AF45" s="152">
        <f>ROUND(IF(AE45&gt;=300,1000+3*(AE45-300)^MIN(MAX(1.05/(AE45^0.019),1.09),1.119),1000-3*(300-AE45))*(1+IF(Overview!$B$14="Ants",ant_explore_penalty,0)+MIN(tech_explore_cost*Techs!Z45,tech_explore_cost2*Techs!AB45,tech_enchanted_lands_explore*Techs!AT45)),0)</f>
        <v>4787</v>
      </c>
      <c r="AG45" s="164">
        <f>ROUND(MAX(IF(AE45&gt;=300,5+0.003*(AE45-300)^1.07,5-300/AE45)+MIN(tech_explore_draft1*Techs!AA45,tech_explore_draft2*Techs!AB45),3),0)</f>
        <v>8</v>
      </c>
      <c r="AH45" s="26">
        <f t="shared" si="1"/>
        <v>0</v>
      </c>
      <c r="AI45" s="57">
        <f t="shared" si="2"/>
        <v>0</v>
      </c>
    </row>
    <row r="46" spans="1:35" s="16" customFormat="1">
      <c r="A46" s="513">
        <f>Rezone!J46</f>
        <v>44</v>
      </c>
      <c r="B46" s="53">
        <f>Construction!E46</f>
        <v>1000</v>
      </c>
      <c r="C46" s="53"/>
      <c r="D46" s="68">
        <f>Construction!F46</f>
        <v>0</v>
      </c>
      <c r="E46" s="29">
        <f>Construction!G46</f>
        <v>100</v>
      </c>
      <c r="F46" s="30">
        <f>Construction!H46</f>
        <v>150</v>
      </c>
      <c r="G46" s="31">
        <f>Construction!I46</f>
        <v>150</v>
      </c>
      <c r="H46" s="32">
        <f>Construction!J46</f>
        <v>100</v>
      </c>
      <c r="I46" s="33">
        <f>Construction!K46</f>
        <v>20</v>
      </c>
      <c r="J46" s="69">
        <f>Construction!L46</f>
        <v>100</v>
      </c>
      <c r="N46" s="91">
        <f>Military!AB46</f>
        <v>0.2</v>
      </c>
      <c r="O46" s="59">
        <f ca="1">Population!I46</f>
        <v>1</v>
      </c>
      <c r="P46" s="91">
        <f ca="1">Imps!J46</f>
        <v>1</v>
      </c>
      <c r="Q46" s="63">
        <f t="shared" si="4"/>
        <v>1000</v>
      </c>
      <c r="R46" s="634">
        <v>44</v>
      </c>
      <c r="S46" s="340"/>
      <c r="T46" s="348"/>
      <c r="U46" s="348"/>
      <c r="V46" s="348"/>
      <c r="W46" s="348"/>
      <c r="X46" s="348"/>
      <c r="Y46" s="348"/>
      <c r="Z46" s="357"/>
      <c r="AA46" s="537">
        <f>Imps!BY46</f>
        <v>43693.791666666562</v>
      </c>
      <c r="AB46" s="156">
        <f ca="1">Military!Z46</f>
        <v>3695</v>
      </c>
      <c r="AC46" s="57">
        <f ca="1">Production!H46</f>
        <v>3405504</v>
      </c>
      <c r="AE46" s="63">
        <f t="shared" si="3"/>
        <v>1000</v>
      </c>
      <c r="AF46" s="152">
        <f>ROUND(IF(AE46&gt;=300,1000+3*(AE46-300)^MIN(MAX(1.05/(AE46^0.019),1.09),1.119),1000-3*(300-AE46))*(1+IF(Overview!$B$14="Ants",ant_explore_penalty,0)+MIN(tech_explore_cost*Techs!Z46,tech_explore_cost2*Techs!AB46,tech_enchanted_lands_explore*Techs!AT46)),0)</f>
        <v>4787</v>
      </c>
      <c r="AG46" s="164">
        <f>ROUND(MAX(IF(AE46&gt;=300,5+0.003*(AE46-300)^1.07,5-300/AE46)+MIN(tech_explore_draft1*Techs!AA46,tech_explore_draft2*Techs!AB46),3),0)</f>
        <v>8</v>
      </c>
      <c r="AH46" s="26">
        <f t="shared" si="1"/>
        <v>0</v>
      </c>
      <c r="AI46" s="57">
        <f t="shared" si="2"/>
        <v>0</v>
      </c>
    </row>
    <row r="47" spans="1:35" s="16" customFormat="1">
      <c r="A47" s="513">
        <f>Rezone!J47</f>
        <v>45</v>
      </c>
      <c r="B47" s="53">
        <f>Construction!E47</f>
        <v>1000</v>
      </c>
      <c r="C47" s="53"/>
      <c r="D47" s="68">
        <f>Construction!F47</f>
        <v>0</v>
      </c>
      <c r="E47" s="29">
        <f>Construction!G47</f>
        <v>100</v>
      </c>
      <c r="F47" s="30">
        <f>Construction!H47</f>
        <v>150</v>
      </c>
      <c r="G47" s="31">
        <f>Construction!I47</f>
        <v>150</v>
      </c>
      <c r="H47" s="32">
        <f>Construction!J47</f>
        <v>100</v>
      </c>
      <c r="I47" s="33">
        <f>Construction!K47</f>
        <v>20</v>
      </c>
      <c r="J47" s="69">
        <f>Construction!L47</f>
        <v>100</v>
      </c>
      <c r="N47" s="91">
        <f>Military!AB47</f>
        <v>0.2</v>
      </c>
      <c r="O47" s="59">
        <f ca="1">Population!I47</f>
        <v>1</v>
      </c>
      <c r="P47" s="91">
        <f ca="1">Imps!J47</f>
        <v>1</v>
      </c>
      <c r="Q47" s="63">
        <f t="shared" si="4"/>
        <v>1000</v>
      </c>
      <c r="R47" s="634">
        <v>45</v>
      </c>
      <c r="S47" s="340"/>
      <c r="T47" s="348"/>
      <c r="U47" s="348"/>
      <c r="V47" s="348"/>
      <c r="W47" s="348"/>
      <c r="X47" s="348"/>
      <c r="Y47" s="348"/>
      <c r="Z47" s="357"/>
      <c r="AA47" s="537">
        <f>Imps!BY47</f>
        <v>43693.833333333227</v>
      </c>
      <c r="AB47" s="156">
        <f ca="1">Military!Z47</f>
        <v>3695</v>
      </c>
      <c r="AC47" s="57">
        <f ca="1">Production!H47</f>
        <v>3416155</v>
      </c>
      <c r="AE47" s="63">
        <f t="shared" si="3"/>
        <v>1000</v>
      </c>
      <c r="AF47" s="152">
        <f>ROUND(IF(AE47&gt;=300,1000+3*(AE47-300)^MIN(MAX(1.05/(AE47^0.019),1.09),1.119),1000-3*(300-AE47))*(1+IF(Overview!$B$14="Ants",ant_explore_penalty,0)+MIN(tech_explore_cost*Techs!Z47,tech_explore_cost2*Techs!AB47,tech_enchanted_lands_explore*Techs!AT47)),0)</f>
        <v>4787</v>
      </c>
      <c r="AG47" s="164">
        <f>ROUND(MAX(IF(AE47&gt;=300,5+0.003*(AE47-300)^1.07,5-300/AE47)+MIN(tech_explore_draft1*Techs!AA47,tech_explore_draft2*Techs!AB47),3),0)</f>
        <v>8</v>
      </c>
      <c r="AH47" s="26">
        <f t="shared" si="1"/>
        <v>0</v>
      </c>
      <c r="AI47" s="57">
        <f t="shared" si="2"/>
        <v>0</v>
      </c>
    </row>
    <row r="48" spans="1:35" s="16" customFormat="1">
      <c r="A48" s="513">
        <f>Rezone!J48</f>
        <v>46</v>
      </c>
      <c r="B48" s="53">
        <f>Construction!E48</f>
        <v>1000</v>
      </c>
      <c r="C48" s="53"/>
      <c r="D48" s="68">
        <f>Construction!F48</f>
        <v>0</v>
      </c>
      <c r="E48" s="29">
        <f>Construction!G48</f>
        <v>100</v>
      </c>
      <c r="F48" s="30">
        <f>Construction!H48</f>
        <v>150</v>
      </c>
      <c r="G48" s="31">
        <f>Construction!I48</f>
        <v>150</v>
      </c>
      <c r="H48" s="32">
        <f>Construction!J48</f>
        <v>100</v>
      </c>
      <c r="I48" s="33">
        <f>Construction!K48</f>
        <v>20</v>
      </c>
      <c r="J48" s="69">
        <f>Construction!L48</f>
        <v>100</v>
      </c>
      <c r="N48" s="91">
        <f>Military!AB48</f>
        <v>0.2</v>
      </c>
      <c r="O48" s="59">
        <f ca="1">Population!I48</f>
        <v>1</v>
      </c>
      <c r="P48" s="91">
        <f ca="1">Imps!J48</f>
        <v>1</v>
      </c>
      <c r="Q48" s="63">
        <f t="shared" si="4"/>
        <v>1000</v>
      </c>
      <c r="R48" s="634">
        <v>46</v>
      </c>
      <c r="S48" s="340"/>
      <c r="T48" s="348"/>
      <c r="U48" s="348"/>
      <c r="V48" s="348"/>
      <c r="W48" s="348"/>
      <c r="X48" s="348"/>
      <c r="Y48" s="348"/>
      <c r="Z48" s="357"/>
      <c r="AA48" s="537">
        <f>Imps!BY48</f>
        <v>43693.874999999891</v>
      </c>
      <c r="AB48" s="156">
        <f ca="1">Military!Z48</f>
        <v>3695</v>
      </c>
      <c r="AC48" s="57">
        <f ca="1">Production!H48</f>
        <v>3426806</v>
      </c>
      <c r="AE48" s="63">
        <f t="shared" si="3"/>
        <v>1000</v>
      </c>
      <c r="AF48" s="152">
        <f>ROUND(IF(AE48&gt;=300,1000+3*(AE48-300)^MIN(MAX(1.05/(AE48^0.019),1.09),1.119),1000-3*(300-AE48))*(1+IF(Overview!$B$14="Ants",ant_explore_penalty,0)+MIN(tech_explore_cost*Techs!Z48,tech_explore_cost2*Techs!AB48,tech_enchanted_lands_explore*Techs!AT48)),0)</f>
        <v>4787</v>
      </c>
      <c r="AG48" s="164">
        <f>ROUND(MAX(IF(AE48&gt;=300,5+0.003*(AE48-300)^1.07,5-300/AE48)+MIN(tech_explore_draft1*Techs!AA48,tech_explore_draft2*Techs!AB48),3),0)</f>
        <v>8</v>
      </c>
      <c r="AH48" s="26">
        <f t="shared" si="1"/>
        <v>0</v>
      </c>
      <c r="AI48" s="57">
        <f t="shared" si="2"/>
        <v>0</v>
      </c>
    </row>
    <row r="49" spans="1:35" s="16" customFormat="1">
      <c r="A49" s="513">
        <f>Rezone!J49</f>
        <v>47</v>
      </c>
      <c r="B49" s="53">
        <f>Construction!E49</f>
        <v>1000</v>
      </c>
      <c r="C49" s="53"/>
      <c r="D49" s="68">
        <f>Construction!F49</f>
        <v>0</v>
      </c>
      <c r="E49" s="29">
        <f>Construction!G49</f>
        <v>100</v>
      </c>
      <c r="F49" s="30">
        <f>Construction!H49</f>
        <v>150</v>
      </c>
      <c r="G49" s="31">
        <f>Construction!I49</f>
        <v>150</v>
      </c>
      <c r="H49" s="32">
        <f>Construction!J49</f>
        <v>100</v>
      </c>
      <c r="I49" s="33">
        <f>Construction!K49</f>
        <v>20</v>
      </c>
      <c r="J49" s="69">
        <f>Construction!L49</f>
        <v>100</v>
      </c>
      <c r="N49" s="91">
        <f>Military!AB49</f>
        <v>0.2</v>
      </c>
      <c r="O49" s="59">
        <f ca="1">Population!I49</f>
        <v>1</v>
      </c>
      <c r="P49" s="91">
        <f ca="1">Imps!J49</f>
        <v>1</v>
      </c>
      <c r="Q49" s="63">
        <f t="shared" si="4"/>
        <v>1000</v>
      </c>
      <c r="R49" s="634">
        <v>47</v>
      </c>
      <c r="S49" s="340"/>
      <c r="T49" s="348"/>
      <c r="U49" s="348"/>
      <c r="V49" s="348"/>
      <c r="W49" s="348"/>
      <c r="X49" s="348"/>
      <c r="Y49" s="348"/>
      <c r="Z49" s="357"/>
      <c r="AA49" s="537">
        <f>Imps!BY49</f>
        <v>43693.916666666555</v>
      </c>
      <c r="AB49" s="156">
        <f ca="1">Military!Z49</f>
        <v>3695</v>
      </c>
      <c r="AC49" s="57">
        <f ca="1">Production!H49</f>
        <v>3437457</v>
      </c>
      <c r="AE49" s="63">
        <f t="shared" si="3"/>
        <v>1000</v>
      </c>
      <c r="AF49" s="152">
        <f>ROUND(IF(AE49&gt;=300,1000+3*(AE49-300)^MIN(MAX(1.05/(AE49^0.019),1.09),1.119),1000-3*(300-AE49))*(1+IF(Overview!$B$14="Ants",ant_explore_penalty,0)+MIN(tech_explore_cost*Techs!Z49,tech_explore_cost2*Techs!AB49,tech_enchanted_lands_explore*Techs!AT49)),0)</f>
        <v>4787</v>
      </c>
      <c r="AG49" s="164">
        <f>ROUND(MAX(IF(AE49&gt;=300,5+0.003*(AE49-300)^1.07,5-300/AE49)+MIN(tech_explore_draft1*Techs!AA49,tech_explore_draft2*Techs!AB49),3),0)</f>
        <v>8</v>
      </c>
      <c r="AH49" s="26">
        <f t="shared" si="1"/>
        <v>0</v>
      </c>
      <c r="AI49" s="57">
        <f t="shared" si="2"/>
        <v>0</v>
      </c>
    </row>
    <row r="50" spans="1:35" s="16" customFormat="1" ht="13.5" thickBot="1">
      <c r="A50" s="513">
        <f>Rezone!J50</f>
        <v>48</v>
      </c>
      <c r="B50" s="53">
        <f>Construction!E50</f>
        <v>1000</v>
      </c>
      <c r="C50" s="53"/>
      <c r="D50" s="68">
        <f>Construction!F50</f>
        <v>0</v>
      </c>
      <c r="E50" s="29">
        <f>Construction!G50</f>
        <v>100</v>
      </c>
      <c r="F50" s="30">
        <f>Construction!H50</f>
        <v>150</v>
      </c>
      <c r="G50" s="31">
        <f>Construction!I50</f>
        <v>150</v>
      </c>
      <c r="H50" s="32">
        <f>Construction!J50</f>
        <v>100</v>
      </c>
      <c r="I50" s="33">
        <f>Construction!K50</f>
        <v>20</v>
      </c>
      <c r="J50" s="69">
        <f>Construction!L50</f>
        <v>100</v>
      </c>
      <c r="N50" s="91">
        <f>Military!AB50</f>
        <v>0.2</v>
      </c>
      <c r="O50" s="59">
        <f ca="1">Population!I50</f>
        <v>1</v>
      </c>
      <c r="P50" s="91">
        <f ca="1">Imps!J50</f>
        <v>1</v>
      </c>
      <c r="Q50" s="63">
        <f t="shared" si="4"/>
        <v>1000</v>
      </c>
      <c r="R50" s="634">
        <v>48</v>
      </c>
      <c r="S50" s="340"/>
      <c r="T50" s="348"/>
      <c r="U50" s="348"/>
      <c r="V50" s="348"/>
      <c r="W50" s="348"/>
      <c r="X50" s="348"/>
      <c r="Y50" s="348"/>
      <c r="Z50" s="357"/>
      <c r="AA50" s="537">
        <f>Imps!BY50</f>
        <v>43693.958333333219</v>
      </c>
      <c r="AB50" s="156">
        <f ca="1">Military!Z50</f>
        <v>3695</v>
      </c>
      <c r="AC50" s="57">
        <f ca="1">Production!H50</f>
        <v>3448108</v>
      </c>
      <c r="AE50" s="63">
        <f t="shared" si="3"/>
        <v>1000</v>
      </c>
      <c r="AF50" s="152">
        <f>ROUND(IF(AE50&gt;=300,1000+3*(AE50-300)^MIN(MAX(1.05/(AE50^0.019),1.09),1.119),1000-3*(300-AE50))*(1+IF(Overview!$B$14="Ants",ant_explore_penalty,0)+MIN(tech_explore_cost*Techs!Z50,tech_explore_cost2*Techs!AB50,tech_enchanted_lands_explore*Techs!AT50)),0)</f>
        <v>4787</v>
      </c>
      <c r="AG50" s="164">
        <f>ROUND(MAX(IF(AE50&gt;=300,5+0.003*(AE50-300)^1.07,5-300/AE50)+MIN(tech_explore_draft1*Techs!AA50,tech_explore_draft2*Techs!AB50),3),0)</f>
        <v>8</v>
      </c>
      <c r="AH50" s="26">
        <f t="shared" si="1"/>
        <v>0</v>
      </c>
      <c r="AI50" s="57">
        <f t="shared" si="2"/>
        <v>0</v>
      </c>
    </row>
    <row r="51" spans="1:35" s="111" customFormat="1" ht="14.25" thickTop="1" thickBot="1">
      <c r="A51" s="517">
        <f>Rezone!J51</f>
        <v>49</v>
      </c>
      <c r="B51" s="115">
        <f>Construction!E51</f>
        <v>1000</v>
      </c>
      <c r="C51" s="115"/>
      <c r="D51" s="118">
        <f>Construction!F51</f>
        <v>0</v>
      </c>
      <c r="E51" s="119">
        <f>Construction!G51</f>
        <v>100</v>
      </c>
      <c r="F51" s="120">
        <f>Construction!H51</f>
        <v>150</v>
      </c>
      <c r="G51" s="121">
        <f>Construction!I51</f>
        <v>150</v>
      </c>
      <c r="H51" s="122">
        <f>Construction!J51</f>
        <v>100</v>
      </c>
      <c r="I51" s="123">
        <f>Construction!K51</f>
        <v>20</v>
      </c>
      <c r="J51" s="124">
        <f>Construction!L51</f>
        <v>100</v>
      </c>
      <c r="L51" s="1472" t="s">
        <v>316</v>
      </c>
      <c r="M51" s="1475" t="s">
        <v>319</v>
      </c>
      <c r="N51" s="133">
        <f>Military!AB51</f>
        <v>0.2</v>
      </c>
      <c r="O51" s="136">
        <f ca="1">Population!I51</f>
        <v>1</v>
      </c>
      <c r="P51" s="133">
        <f ca="1">Imps!J51</f>
        <v>1</v>
      </c>
      <c r="Q51" s="116">
        <f t="shared" si="4"/>
        <v>1000</v>
      </c>
      <c r="R51" s="823">
        <v>49</v>
      </c>
      <c r="S51" s="341"/>
      <c r="T51" s="350"/>
      <c r="U51" s="350"/>
      <c r="V51" s="350"/>
      <c r="W51" s="350"/>
      <c r="X51" s="350"/>
      <c r="Y51" s="350"/>
      <c r="Z51" s="359"/>
      <c r="AA51" s="572">
        <f>Imps!BY51</f>
        <v>43693.999999999884</v>
      </c>
      <c r="AB51" s="275">
        <f ca="1">Military!Z51</f>
        <v>3695</v>
      </c>
      <c r="AC51" s="109">
        <f ca="1">Production!H51</f>
        <v>3458759</v>
      </c>
      <c r="AE51" s="116">
        <f t="shared" si="3"/>
        <v>1000</v>
      </c>
      <c r="AF51" s="273">
        <f>ROUND(IF(AE51&gt;=300,1000+3*(AE51-300)^MIN(MAX(1.05/(AE51^0.019),1.09),1.119),1000-3*(300-AE51))*(1+IF(Overview!$B$14="Ants",ant_explore_penalty,0)+MIN(tech_explore_cost*Techs!Z51,tech_explore_cost2*Techs!AB51,tech_enchanted_lands_explore*Techs!AT51)),0)</f>
        <v>4787</v>
      </c>
      <c r="AG51" s="277">
        <f>ROUND(MAX(IF(AE51&gt;=300,5+0.003*(AE51-300)^1.07,5-300/AE51)+MIN(tech_explore_draft1*Techs!AA51,tech_explore_draft2*Techs!AB51),3),0)</f>
        <v>8</v>
      </c>
      <c r="AH51" s="108">
        <f t="shared" si="1"/>
        <v>0</v>
      </c>
      <c r="AI51" s="109">
        <f t="shared" si="2"/>
        <v>0</v>
      </c>
    </row>
    <row r="52" spans="1:35" s="16" customFormat="1" ht="13.5" thickTop="1">
      <c r="A52" s="513">
        <f>Rezone!J52</f>
        <v>50</v>
      </c>
      <c r="B52" s="53">
        <f>Construction!E52</f>
        <v>1000</v>
      </c>
      <c r="C52" s="53"/>
      <c r="D52" s="68">
        <f>Construction!F52</f>
        <v>0</v>
      </c>
      <c r="E52" s="29">
        <f>Construction!G52</f>
        <v>100</v>
      </c>
      <c r="F52" s="30">
        <f>Construction!H52</f>
        <v>150</v>
      </c>
      <c r="G52" s="31">
        <f>Construction!I52</f>
        <v>150</v>
      </c>
      <c r="H52" s="32">
        <f>Construction!J52</f>
        <v>100</v>
      </c>
      <c r="I52" s="33">
        <f>Construction!K52</f>
        <v>20</v>
      </c>
      <c r="J52" s="69">
        <f>Construction!L52</f>
        <v>100</v>
      </c>
      <c r="L52" s="1473"/>
      <c r="M52" s="1476"/>
      <c r="N52" s="91">
        <f>Military!AB52</f>
        <v>0.2</v>
      </c>
      <c r="O52" s="59">
        <f ca="1">Population!I52</f>
        <v>1</v>
      </c>
      <c r="P52" s="91">
        <f ca="1">Imps!J52</f>
        <v>1</v>
      </c>
      <c r="Q52" s="63">
        <f t="shared" si="4"/>
        <v>1000</v>
      </c>
      <c r="R52" s="634">
        <v>50</v>
      </c>
      <c r="S52" s="340"/>
      <c r="T52" s="348"/>
      <c r="U52" s="348"/>
      <c r="V52" s="348"/>
      <c r="W52" s="348"/>
      <c r="X52" s="348"/>
      <c r="Y52" s="348"/>
      <c r="Z52" s="357"/>
      <c r="AA52" s="537">
        <f>Imps!BY52</f>
        <v>43694.041666666548</v>
      </c>
      <c r="AB52" s="156">
        <f ca="1">Military!Z52</f>
        <v>3695</v>
      </c>
      <c r="AC52" s="57">
        <f ca="1">Production!H52</f>
        <v>3469410</v>
      </c>
      <c r="AE52" s="63">
        <f t="shared" si="3"/>
        <v>1000</v>
      </c>
      <c r="AF52" s="152">
        <f>ROUND(IF(AE52&gt;=300,1000+3*(AE52-300)^MIN(MAX(1.05/(AE52^0.019),1.09),1.119),1000-3*(300-AE52))*(1+IF(Overview!$B$14="Ants",ant_explore_penalty,0)+MIN(tech_explore_cost*Techs!Z52,tech_explore_cost2*Techs!AB52,tech_enchanted_lands_explore*Techs!AT52)),0)</f>
        <v>4787</v>
      </c>
      <c r="AG52" s="164">
        <f>ROUND(MAX(IF(AE52&gt;=300,5+0.003*(AE52-300)^1.07,5-300/AE52)+MIN(tech_explore_draft1*Techs!AA52,tech_explore_draft2*Techs!AB52),3),0)</f>
        <v>8</v>
      </c>
      <c r="AH52" s="26">
        <f t="shared" si="1"/>
        <v>0</v>
      </c>
      <c r="AI52" s="57">
        <f t="shared" si="2"/>
        <v>0</v>
      </c>
    </row>
    <row r="53" spans="1:35" s="16" customFormat="1">
      <c r="A53" s="513">
        <f>Rezone!J53</f>
        <v>51</v>
      </c>
      <c r="B53" s="53">
        <f>Construction!E53</f>
        <v>1000</v>
      </c>
      <c r="C53" s="53"/>
      <c r="D53" s="68">
        <f>Construction!F53</f>
        <v>0</v>
      </c>
      <c r="E53" s="29">
        <f>Construction!G53</f>
        <v>100</v>
      </c>
      <c r="F53" s="30">
        <f>Construction!H53</f>
        <v>150</v>
      </c>
      <c r="G53" s="31">
        <f>Construction!I53</f>
        <v>150</v>
      </c>
      <c r="H53" s="32">
        <f>Construction!J53</f>
        <v>100</v>
      </c>
      <c r="I53" s="33">
        <f>Construction!K53</f>
        <v>20</v>
      </c>
      <c r="J53" s="69">
        <f>Construction!L53</f>
        <v>100</v>
      </c>
      <c r="L53" s="1474"/>
      <c r="M53" s="1477"/>
      <c r="N53" s="91">
        <f>Military!AB53</f>
        <v>0.2</v>
      </c>
      <c r="O53" s="59">
        <f ca="1">Population!I53</f>
        <v>1</v>
      </c>
      <c r="P53" s="91">
        <f ca="1">Imps!J53</f>
        <v>1</v>
      </c>
      <c r="Q53" s="63">
        <f t="shared" si="4"/>
        <v>1000</v>
      </c>
      <c r="R53" s="634">
        <v>51</v>
      </c>
      <c r="S53" s="340"/>
      <c r="T53" s="348"/>
      <c r="U53" s="348"/>
      <c r="V53" s="348"/>
      <c r="W53" s="348"/>
      <c r="X53" s="348"/>
      <c r="Y53" s="348"/>
      <c r="Z53" s="357"/>
      <c r="AA53" s="537">
        <f>Imps!BY53</f>
        <v>43694.083333333212</v>
      </c>
      <c r="AB53" s="156">
        <f ca="1">Military!Z53</f>
        <v>3695</v>
      </c>
      <c r="AC53" s="57">
        <f ca="1">Production!H53</f>
        <v>3480061</v>
      </c>
      <c r="AE53" s="63">
        <f t="shared" si="3"/>
        <v>1000</v>
      </c>
      <c r="AF53" s="152">
        <f>ROUND(IF(AE53&gt;=300,1000+3*(AE53-300)^MIN(MAX(1.05/(AE53^0.019),1.09),1.119),1000-3*(300-AE53))*(1+IF(Overview!$B$14="Ants",ant_explore_penalty,0)+MIN(tech_explore_cost*Techs!Z53,tech_explore_cost2*Techs!AB53,tech_enchanted_lands_explore*Techs!AT53)),0)</f>
        <v>4787</v>
      </c>
      <c r="AG53" s="164">
        <f>ROUND(MAX(IF(AE53&gt;=300,5+0.003*(AE53-300)^1.07,5-300/AE53)+MIN(tech_explore_draft1*Techs!AA53,tech_explore_draft2*Techs!AB53),3),0)</f>
        <v>8</v>
      </c>
      <c r="AH53" s="26">
        <f t="shared" si="1"/>
        <v>0</v>
      </c>
      <c r="AI53" s="57">
        <f t="shared" si="2"/>
        <v>0</v>
      </c>
    </row>
    <row r="54" spans="1:35" s="16" customFormat="1">
      <c r="A54" s="513">
        <f>Rezone!J54</f>
        <v>52</v>
      </c>
      <c r="B54" s="53">
        <f>Construction!E54</f>
        <v>1000</v>
      </c>
      <c r="C54" s="53"/>
      <c r="D54" s="68">
        <f>Construction!F54</f>
        <v>0</v>
      </c>
      <c r="E54" s="29">
        <f>Construction!G54</f>
        <v>100</v>
      </c>
      <c r="F54" s="30">
        <f>Construction!H54</f>
        <v>150</v>
      </c>
      <c r="G54" s="31">
        <f>Construction!I54</f>
        <v>150</v>
      </c>
      <c r="H54" s="32">
        <f>Construction!J54</f>
        <v>100</v>
      </c>
      <c r="I54" s="33">
        <f>Construction!K54</f>
        <v>20</v>
      </c>
      <c r="J54" s="69">
        <f>Construction!L54</f>
        <v>100</v>
      </c>
      <c r="L54" s="70">
        <v>4</v>
      </c>
      <c r="M54" s="74">
        <v>299</v>
      </c>
      <c r="N54" s="91">
        <f>Military!AB54</f>
        <v>0.2</v>
      </c>
      <c r="O54" s="59">
        <f ca="1">Population!I54</f>
        <v>1</v>
      </c>
      <c r="P54" s="91">
        <f ca="1">Imps!J54</f>
        <v>1</v>
      </c>
      <c r="Q54" s="63">
        <f t="shared" si="4"/>
        <v>1000</v>
      </c>
      <c r="R54" s="634">
        <v>52</v>
      </c>
      <c r="S54" s="340"/>
      <c r="T54" s="348"/>
      <c r="U54" s="348"/>
      <c r="V54" s="348"/>
      <c r="W54" s="348"/>
      <c r="X54" s="348"/>
      <c r="Y54" s="348"/>
      <c r="Z54" s="357"/>
      <c r="AA54" s="537">
        <f>Imps!BY54</f>
        <v>43694.124999999876</v>
      </c>
      <c r="AB54" s="156">
        <f ca="1">Military!Z54</f>
        <v>3695</v>
      </c>
      <c r="AC54" s="57">
        <f ca="1">Production!H54</f>
        <v>3490712</v>
      </c>
      <c r="AE54" s="63">
        <f t="shared" si="3"/>
        <v>1000</v>
      </c>
      <c r="AF54" s="152">
        <f>ROUND(IF(AE54&gt;=300,1000+3*(AE54-300)^MIN(MAX(1.05/(AE54^0.019),1.09),1.119),1000-3*(300-AE54))*(1+IF(Overview!$B$14="Ants",ant_explore_penalty,0)+MIN(tech_explore_cost*Techs!Z54,tech_explore_cost2*Techs!AB54,tech_enchanted_lands_explore*Techs!AT54)),0)</f>
        <v>4787</v>
      </c>
      <c r="AG54" s="164">
        <f>ROUND(MAX(IF(AE54&gt;=300,5+0.003*(AE54-300)^1.07,5-300/AE54)+MIN(tech_explore_draft1*Techs!AA54,tech_explore_draft2*Techs!AB54),3),0)</f>
        <v>8</v>
      </c>
      <c r="AH54" s="26">
        <f t="shared" si="1"/>
        <v>0</v>
      </c>
      <c r="AI54" s="57">
        <f t="shared" si="2"/>
        <v>0</v>
      </c>
    </row>
    <row r="55" spans="1:35" s="16" customFormat="1">
      <c r="A55" s="513">
        <f>Rezone!J55</f>
        <v>53</v>
      </c>
      <c r="B55" s="53">
        <f>Construction!E55</f>
        <v>1000</v>
      </c>
      <c r="C55" s="53"/>
      <c r="D55" s="68">
        <f>Construction!F55</f>
        <v>0</v>
      </c>
      <c r="E55" s="29">
        <f>Construction!G55</f>
        <v>100</v>
      </c>
      <c r="F55" s="30">
        <f>Construction!H55</f>
        <v>150</v>
      </c>
      <c r="G55" s="31">
        <f>Construction!I55</f>
        <v>150</v>
      </c>
      <c r="H55" s="32">
        <f>Construction!J55</f>
        <v>100</v>
      </c>
      <c r="I55" s="33">
        <f>Construction!K55</f>
        <v>20</v>
      </c>
      <c r="J55" s="69">
        <f>Construction!L55</f>
        <v>100</v>
      </c>
      <c r="L55" s="52">
        <v>5</v>
      </c>
      <c r="M55">
        <v>419</v>
      </c>
      <c r="N55" s="91">
        <f>Military!AB55</f>
        <v>0.2</v>
      </c>
      <c r="O55" s="59">
        <f ca="1">Population!I55</f>
        <v>1</v>
      </c>
      <c r="P55" s="91">
        <f ca="1">Imps!J55</f>
        <v>1</v>
      </c>
      <c r="Q55" s="63">
        <f t="shared" si="4"/>
        <v>1000</v>
      </c>
      <c r="R55" s="634">
        <v>53</v>
      </c>
      <c r="S55" s="340"/>
      <c r="T55" s="348"/>
      <c r="U55" s="348"/>
      <c r="V55" s="348"/>
      <c r="W55" s="348"/>
      <c r="X55" s="348"/>
      <c r="Y55" s="348"/>
      <c r="Z55" s="357"/>
      <c r="AA55" s="537">
        <f>Imps!BY55</f>
        <v>43694.166666666541</v>
      </c>
      <c r="AB55" s="156">
        <f ca="1">Military!Z55</f>
        <v>3695</v>
      </c>
      <c r="AC55" s="57">
        <f ca="1">Production!H55</f>
        <v>3501363</v>
      </c>
      <c r="AE55" s="63">
        <f t="shared" si="3"/>
        <v>1000</v>
      </c>
      <c r="AF55" s="152">
        <f>ROUND(IF(AE55&gt;=300,1000+3*(AE55-300)^MIN(MAX(1.05/(AE55^0.019),1.09),1.119),1000-3*(300-AE55))*(1+IF(Overview!$B$14="Ants",ant_explore_penalty,0)+MIN(tech_explore_cost*Techs!Z55,tech_explore_cost2*Techs!AB55,tech_enchanted_lands_explore*Techs!AT55)),0)</f>
        <v>4787</v>
      </c>
      <c r="AG55" s="164">
        <f>ROUND(MAX(IF(AE55&gt;=300,5+0.003*(AE55-300)^1.07,5-300/AE55)+MIN(tech_explore_draft1*Techs!AA55,tech_explore_draft2*Techs!AB55),3),0)</f>
        <v>8</v>
      </c>
      <c r="AH55" s="26">
        <f t="shared" si="1"/>
        <v>0</v>
      </c>
      <c r="AI55" s="57">
        <f t="shared" si="2"/>
        <v>0</v>
      </c>
    </row>
    <row r="56" spans="1:35" s="16" customFormat="1">
      <c r="A56" s="513">
        <f>Rezone!J56</f>
        <v>54</v>
      </c>
      <c r="B56" s="53">
        <f>Construction!E56</f>
        <v>1000</v>
      </c>
      <c r="C56" s="53"/>
      <c r="D56" s="68">
        <f>Construction!F56</f>
        <v>0</v>
      </c>
      <c r="E56" s="29">
        <f>Construction!G56</f>
        <v>100</v>
      </c>
      <c r="F56" s="30">
        <f>Construction!H56</f>
        <v>150</v>
      </c>
      <c r="G56" s="31">
        <f>Construction!I56</f>
        <v>150</v>
      </c>
      <c r="H56" s="32">
        <f>Construction!J56</f>
        <v>100</v>
      </c>
      <c r="I56" s="33">
        <f>Construction!K56</f>
        <v>20</v>
      </c>
      <c r="J56" s="69">
        <f>Construction!L56</f>
        <v>100</v>
      </c>
      <c r="L56" s="52">
        <v>6</v>
      </c>
      <c r="M56">
        <v>632</v>
      </c>
      <c r="N56" s="91">
        <f>Military!AB56</f>
        <v>0.2</v>
      </c>
      <c r="O56" s="59">
        <f ca="1">Population!I56</f>
        <v>1</v>
      </c>
      <c r="P56" s="91">
        <f ca="1">Imps!J56</f>
        <v>1</v>
      </c>
      <c r="Q56" s="63">
        <f t="shared" si="4"/>
        <v>1000</v>
      </c>
      <c r="R56" s="634">
        <v>54</v>
      </c>
      <c r="S56" s="340"/>
      <c r="T56" s="348"/>
      <c r="U56" s="348"/>
      <c r="V56" s="348"/>
      <c r="W56" s="348"/>
      <c r="X56" s="348"/>
      <c r="Y56" s="348"/>
      <c r="Z56" s="357"/>
      <c r="AA56" s="537">
        <f>Imps!BY56</f>
        <v>43694.208333333205</v>
      </c>
      <c r="AB56" s="156">
        <f ca="1">Military!Z56</f>
        <v>3695</v>
      </c>
      <c r="AC56" s="57">
        <f ca="1">Production!H56</f>
        <v>3512014</v>
      </c>
      <c r="AE56" s="63">
        <f t="shared" si="3"/>
        <v>1000</v>
      </c>
      <c r="AF56" s="152">
        <f>ROUND(IF(AE56&gt;=300,1000+3*(AE56-300)^MIN(MAX(1.05/(AE56^0.019),1.09),1.119),1000-3*(300-AE56))*(1+IF(Overview!$B$14="Ants",ant_explore_penalty,0)+MIN(tech_explore_cost*Techs!Z56,tech_explore_cost2*Techs!AB56,tech_enchanted_lands_explore*Techs!AT56)),0)</f>
        <v>4787</v>
      </c>
      <c r="AG56" s="164">
        <f>ROUND(MAX(IF(AE56&gt;=300,5+0.003*(AE56-300)^1.07,5-300/AE56)+MIN(tech_explore_draft1*Techs!AA56,tech_explore_draft2*Techs!AB56),3),0)</f>
        <v>8</v>
      </c>
      <c r="AH56" s="26">
        <f t="shared" si="1"/>
        <v>0</v>
      </c>
      <c r="AI56" s="57">
        <f t="shared" si="2"/>
        <v>0</v>
      </c>
    </row>
    <row r="57" spans="1:35" s="16" customFormat="1">
      <c r="A57" s="513">
        <f>Rezone!J57</f>
        <v>55</v>
      </c>
      <c r="B57" s="53">
        <f>Construction!E57</f>
        <v>1000</v>
      </c>
      <c r="C57" s="53"/>
      <c r="D57" s="68">
        <f>Construction!F57</f>
        <v>0</v>
      </c>
      <c r="E57" s="29">
        <f>Construction!G57</f>
        <v>100</v>
      </c>
      <c r="F57" s="30">
        <f>Construction!H57</f>
        <v>150</v>
      </c>
      <c r="G57" s="31">
        <f>Construction!I57</f>
        <v>150</v>
      </c>
      <c r="H57" s="32">
        <f>Construction!J57</f>
        <v>100</v>
      </c>
      <c r="I57" s="33">
        <f>Construction!K57</f>
        <v>20</v>
      </c>
      <c r="J57" s="69">
        <f>Construction!L57</f>
        <v>100</v>
      </c>
      <c r="L57" s="52">
        <v>7</v>
      </c>
      <c r="M57">
        <v>836</v>
      </c>
      <c r="N57" s="91">
        <f>Military!AB57</f>
        <v>0.2</v>
      </c>
      <c r="O57" s="59">
        <f ca="1">Population!I57</f>
        <v>1</v>
      </c>
      <c r="P57" s="91">
        <f ca="1">Imps!J57</f>
        <v>1</v>
      </c>
      <c r="Q57" s="63">
        <f t="shared" si="4"/>
        <v>1000</v>
      </c>
      <c r="R57" s="634">
        <v>55</v>
      </c>
      <c r="S57" s="340"/>
      <c r="T57" s="348"/>
      <c r="U57" s="348"/>
      <c r="V57" s="348"/>
      <c r="W57" s="348"/>
      <c r="X57" s="348"/>
      <c r="Y57" s="348"/>
      <c r="Z57" s="357"/>
      <c r="AA57" s="537">
        <f>Imps!BY57</f>
        <v>43694.249999999869</v>
      </c>
      <c r="AB57" s="156">
        <f ca="1">Military!Z57</f>
        <v>3695</v>
      </c>
      <c r="AC57" s="57">
        <f ca="1">Production!H57</f>
        <v>3522665</v>
      </c>
      <c r="AE57" s="63">
        <f t="shared" si="3"/>
        <v>1000</v>
      </c>
      <c r="AF57" s="152">
        <f>ROUND(IF(AE57&gt;=300,1000+3*(AE57-300)^MIN(MAX(1.05/(AE57^0.019),1.09),1.119),1000-3*(300-AE57))*(1+IF(Overview!$B$14="Ants",ant_explore_penalty,0)+MIN(tech_explore_cost*Techs!Z57,tech_explore_cost2*Techs!AB57,tech_enchanted_lands_explore*Techs!AT57)),0)</f>
        <v>4787</v>
      </c>
      <c r="AG57" s="164">
        <f>ROUND(MAX(IF(AE57&gt;=300,5+0.003*(AE57-300)^1.07,5-300/AE57)+MIN(tech_explore_draft1*Techs!AA57,tech_explore_draft2*Techs!AB57),3),0)</f>
        <v>8</v>
      </c>
      <c r="AH57" s="26">
        <f t="shared" si="1"/>
        <v>0</v>
      </c>
      <c r="AI57" s="57">
        <f t="shared" si="2"/>
        <v>0</v>
      </c>
    </row>
    <row r="58" spans="1:35" s="16" customFormat="1">
      <c r="A58" s="513">
        <f>Rezone!J58</f>
        <v>56</v>
      </c>
      <c r="B58" s="53">
        <f>Construction!E58</f>
        <v>1000</v>
      </c>
      <c r="C58" s="53"/>
      <c r="D58" s="68">
        <f>Construction!F58</f>
        <v>0</v>
      </c>
      <c r="E58" s="29">
        <f>Construction!G58</f>
        <v>100</v>
      </c>
      <c r="F58" s="30">
        <f>Construction!H58</f>
        <v>150</v>
      </c>
      <c r="G58" s="31">
        <f>Construction!I58</f>
        <v>150</v>
      </c>
      <c r="H58" s="32">
        <f>Construction!J58</f>
        <v>100</v>
      </c>
      <c r="I58" s="33">
        <f>Construction!K58</f>
        <v>20</v>
      </c>
      <c r="J58" s="69">
        <f>Construction!L58</f>
        <v>100</v>
      </c>
      <c r="L58" s="52">
        <v>8</v>
      </c>
      <c r="M58">
        <v>1035</v>
      </c>
      <c r="N58" s="91">
        <f>Military!AB58</f>
        <v>0.2</v>
      </c>
      <c r="O58" s="59">
        <f ca="1">Population!I58</f>
        <v>1</v>
      </c>
      <c r="P58" s="91">
        <f ca="1">Imps!J58</f>
        <v>1</v>
      </c>
      <c r="Q58" s="63">
        <f t="shared" si="4"/>
        <v>1000</v>
      </c>
      <c r="R58" s="634">
        <v>56</v>
      </c>
      <c r="S58" s="340"/>
      <c r="T58" s="348"/>
      <c r="U58" s="348"/>
      <c r="V58" s="348"/>
      <c r="W58" s="348"/>
      <c r="X58" s="348"/>
      <c r="Y58" s="348"/>
      <c r="Z58" s="357"/>
      <c r="AA58" s="537">
        <f>Imps!BY58</f>
        <v>43694.291666666533</v>
      </c>
      <c r="AB58" s="156">
        <f ca="1">Military!Z58</f>
        <v>3695</v>
      </c>
      <c r="AC58" s="57">
        <f ca="1">Production!H58</f>
        <v>3533316</v>
      </c>
      <c r="AE58" s="63">
        <f t="shared" si="3"/>
        <v>1000</v>
      </c>
      <c r="AF58" s="152">
        <f>ROUND(IF(AE58&gt;=300,1000+3*(AE58-300)^MIN(MAX(1.05/(AE58^0.019),1.09),1.119),1000-3*(300-AE58))*(1+IF(Overview!$B$14="Ants",ant_explore_penalty,0)+MIN(tech_explore_cost*Techs!Z58,tech_explore_cost2*Techs!AB58,tech_enchanted_lands_explore*Techs!AT58)),0)</f>
        <v>4787</v>
      </c>
      <c r="AG58" s="164">
        <f>ROUND(MAX(IF(AE58&gt;=300,5+0.003*(AE58-300)^1.07,5-300/AE58)+MIN(tech_explore_draft1*Techs!AA58,tech_explore_draft2*Techs!AB58),3),0)</f>
        <v>8</v>
      </c>
      <c r="AH58" s="26">
        <f t="shared" si="1"/>
        <v>0</v>
      </c>
      <c r="AI58" s="57">
        <f t="shared" si="2"/>
        <v>0</v>
      </c>
    </row>
    <row r="59" spans="1:35" s="16" customFormat="1">
      <c r="A59" s="513">
        <f>Rezone!J59</f>
        <v>57</v>
      </c>
      <c r="B59" s="53">
        <f>Construction!E59</f>
        <v>1000</v>
      </c>
      <c r="C59" s="53"/>
      <c r="D59" s="68">
        <f>Construction!F59</f>
        <v>0</v>
      </c>
      <c r="E59" s="29">
        <f>Construction!G59</f>
        <v>100</v>
      </c>
      <c r="F59" s="30">
        <f>Construction!H59</f>
        <v>150</v>
      </c>
      <c r="G59" s="31">
        <f>Construction!I59</f>
        <v>150</v>
      </c>
      <c r="H59" s="32">
        <f>Construction!J59</f>
        <v>100</v>
      </c>
      <c r="I59" s="33">
        <f>Construction!K59</f>
        <v>20</v>
      </c>
      <c r="J59" s="69">
        <f>Construction!L59</f>
        <v>100</v>
      </c>
      <c r="L59" s="52">
        <v>9</v>
      </c>
      <c r="M59">
        <v>1229</v>
      </c>
      <c r="N59" s="91">
        <f>Military!AB59</f>
        <v>0.2</v>
      </c>
      <c r="O59" s="59">
        <f ca="1">Population!I59</f>
        <v>1</v>
      </c>
      <c r="P59" s="91">
        <f ca="1">Imps!J59</f>
        <v>1</v>
      </c>
      <c r="Q59" s="63">
        <f t="shared" si="4"/>
        <v>1000</v>
      </c>
      <c r="R59" s="634">
        <v>57</v>
      </c>
      <c r="S59" s="340"/>
      <c r="T59" s="348"/>
      <c r="U59" s="348"/>
      <c r="V59" s="348"/>
      <c r="W59" s="348"/>
      <c r="X59" s="348"/>
      <c r="Y59" s="348"/>
      <c r="Z59" s="357"/>
      <c r="AA59" s="537">
        <f>Imps!BY59</f>
        <v>43694.333333333198</v>
      </c>
      <c r="AB59" s="156">
        <f ca="1">Military!Z59</f>
        <v>3695</v>
      </c>
      <c r="AC59" s="57">
        <f ca="1">Production!H59</f>
        <v>3543967</v>
      </c>
      <c r="AE59" s="63">
        <f t="shared" si="3"/>
        <v>1000</v>
      </c>
      <c r="AF59" s="152">
        <f>ROUND(IF(AE59&gt;=300,1000+3*(AE59-300)^MIN(MAX(1.05/(AE59^0.019),1.09),1.119),1000-3*(300-AE59))*(1+IF(Overview!$B$14="Ants",ant_explore_penalty,0)+MIN(tech_explore_cost*Techs!Z59,tech_explore_cost2*Techs!AB59,tech_enchanted_lands_explore*Techs!AT59)),0)</f>
        <v>4787</v>
      </c>
      <c r="AG59" s="164">
        <f>ROUND(MAX(IF(AE59&gt;=300,5+0.003*(AE59-300)^1.07,5-300/AE59)+MIN(tech_explore_draft1*Techs!AA59,tech_explore_draft2*Techs!AB59),3),0)</f>
        <v>8</v>
      </c>
      <c r="AH59" s="26">
        <f t="shared" si="1"/>
        <v>0</v>
      </c>
      <c r="AI59" s="57">
        <f t="shared" si="2"/>
        <v>0</v>
      </c>
    </row>
    <row r="60" spans="1:35" s="16" customFormat="1">
      <c r="A60" s="513">
        <f>Rezone!J60</f>
        <v>58</v>
      </c>
      <c r="B60" s="53">
        <f>Construction!E60</f>
        <v>1000</v>
      </c>
      <c r="C60" s="53"/>
      <c r="D60" s="68">
        <f>Construction!F60</f>
        <v>0</v>
      </c>
      <c r="E60" s="29">
        <f>Construction!G60</f>
        <v>100</v>
      </c>
      <c r="F60" s="30">
        <f>Construction!H60</f>
        <v>150</v>
      </c>
      <c r="G60" s="31">
        <f>Construction!I60</f>
        <v>150</v>
      </c>
      <c r="H60" s="32">
        <f>Construction!J60</f>
        <v>100</v>
      </c>
      <c r="I60" s="33">
        <f>Construction!K60</f>
        <v>20</v>
      </c>
      <c r="J60" s="69">
        <f>Construction!L60</f>
        <v>100</v>
      </c>
      <c r="L60" s="52">
        <v>10</v>
      </c>
      <c r="M60">
        <v>1421</v>
      </c>
      <c r="N60" s="91">
        <f>Military!AB60</f>
        <v>0.2</v>
      </c>
      <c r="O60" s="59">
        <f ca="1">Population!I60</f>
        <v>1</v>
      </c>
      <c r="P60" s="91">
        <f ca="1">Imps!J60</f>
        <v>1</v>
      </c>
      <c r="Q60" s="63">
        <f t="shared" si="4"/>
        <v>1000</v>
      </c>
      <c r="R60" s="634">
        <v>58</v>
      </c>
      <c r="S60" s="340"/>
      <c r="T60" s="348"/>
      <c r="U60" s="348"/>
      <c r="V60" s="348"/>
      <c r="W60" s="348"/>
      <c r="X60" s="348"/>
      <c r="Y60" s="348"/>
      <c r="Z60" s="357"/>
      <c r="AA60" s="537">
        <f>Imps!BY60</f>
        <v>43694.374999999862</v>
      </c>
      <c r="AB60" s="156">
        <f ca="1">Military!Z60</f>
        <v>3695</v>
      </c>
      <c r="AC60" s="57">
        <f ca="1">Production!H60</f>
        <v>3554618</v>
      </c>
      <c r="AE60" s="63">
        <f t="shared" si="3"/>
        <v>1000</v>
      </c>
      <c r="AF60" s="152">
        <f>ROUND(IF(AE60&gt;=300,1000+3*(AE60-300)^MIN(MAX(1.05/(AE60^0.019),1.09),1.119),1000-3*(300-AE60))*(1+IF(Overview!$B$14="Ants",ant_explore_penalty,0)+MIN(tech_explore_cost*Techs!Z60,tech_explore_cost2*Techs!AB60,tech_enchanted_lands_explore*Techs!AT60)),0)</f>
        <v>4787</v>
      </c>
      <c r="AG60" s="164">
        <f>ROUND(MAX(IF(AE60&gt;=300,5+0.003*(AE60-300)^1.07,5-300/AE60)+MIN(tech_explore_draft1*Techs!AA60,tech_explore_draft2*Techs!AB60),3),0)</f>
        <v>8</v>
      </c>
      <c r="AH60" s="26">
        <f t="shared" si="1"/>
        <v>0</v>
      </c>
      <c r="AI60" s="57">
        <f t="shared" si="2"/>
        <v>0</v>
      </c>
    </row>
    <row r="61" spans="1:35" s="16" customFormat="1">
      <c r="A61" s="513">
        <f>Rezone!J61</f>
        <v>59</v>
      </c>
      <c r="B61" s="53">
        <f>Construction!E61</f>
        <v>1000</v>
      </c>
      <c r="C61" s="53"/>
      <c r="D61" s="68">
        <f>Construction!F61</f>
        <v>0</v>
      </c>
      <c r="E61" s="29">
        <f>Construction!G61</f>
        <v>100</v>
      </c>
      <c r="F61" s="30">
        <f>Construction!H61</f>
        <v>150</v>
      </c>
      <c r="G61" s="31">
        <f>Construction!I61</f>
        <v>150</v>
      </c>
      <c r="H61" s="32">
        <f>Construction!J61</f>
        <v>100</v>
      </c>
      <c r="I61" s="33">
        <f>Construction!K61</f>
        <v>20</v>
      </c>
      <c r="J61" s="69">
        <f>Construction!L61</f>
        <v>100</v>
      </c>
      <c r="L61" s="52">
        <v>11</v>
      </c>
      <c r="M61">
        <v>1610</v>
      </c>
      <c r="N61" s="91">
        <f>Military!AB61</f>
        <v>0.2</v>
      </c>
      <c r="O61" s="59">
        <f ca="1">Population!I61</f>
        <v>1</v>
      </c>
      <c r="P61" s="91">
        <f ca="1">Imps!J61</f>
        <v>1</v>
      </c>
      <c r="Q61" s="63">
        <f t="shared" si="4"/>
        <v>1000</v>
      </c>
      <c r="R61" s="634">
        <v>59</v>
      </c>
      <c r="S61" s="340"/>
      <c r="T61" s="348"/>
      <c r="U61" s="348"/>
      <c r="V61" s="348"/>
      <c r="W61" s="348"/>
      <c r="X61" s="348"/>
      <c r="Y61" s="348"/>
      <c r="Z61" s="357"/>
      <c r="AA61" s="537">
        <f>Imps!BY61</f>
        <v>43694.416666666526</v>
      </c>
      <c r="AB61" s="156">
        <f ca="1">Military!Z61</f>
        <v>3695</v>
      </c>
      <c r="AC61" s="57">
        <f ca="1">Production!H61</f>
        <v>3565269</v>
      </c>
      <c r="AE61" s="63">
        <f t="shared" si="3"/>
        <v>1000</v>
      </c>
      <c r="AF61" s="152">
        <f>ROUND(IF(AE61&gt;=300,1000+3*(AE61-300)^MIN(MAX(1.05/(AE61^0.019),1.09),1.119),1000-3*(300-AE61))*(1+IF(Overview!$B$14="Ants",ant_explore_penalty,0)+MIN(tech_explore_cost*Techs!Z61,tech_explore_cost2*Techs!AB61,tech_enchanted_lands_explore*Techs!AT61)),0)</f>
        <v>4787</v>
      </c>
      <c r="AG61" s="164">
        <f>ROUND(MAX(IF(AE61&gt;=300,5+0.003*(AE61-300)^1.07,5-300/AE61)+MIN(tech_explore_draft1*Techs!AA61,tech_explore_draft2*Techs!AB61),3),0)</f>
        <v>8</v>
      </c>
      <c r="AH61" s="26">
        <f t="shared" si="1"/>
        <v>0</v>
      </c>
      <c r="AI61" s="57">
        <f t="shared" si="2"/>
        <v>0</v>
      </c>
    </row>
    <row r="62" spans="1:35" s="16" customFormat="1">
      <c r="A62" s="513">
        <f>Rezone!J62</f>
        <v>60</v>
      </c>
      <c r="B62" s="53">
        <f>Construction!E62</f>
        <v>1000</v>
      </c>
      <c r="C62" s="53"/>
      <c r="D62" s="68">
        <f>Construction!F62</f>
        <v>0</v>
      </c>
      <c r="E62" s="29">
        <f>Construction!G62</f>
        <v>100</v>
      </c>
      <c r="F62" s="30">
        <f>Construction!H62</f>
        <v>150</v>
      </c>
      <c r="G62" s="31">
        <f>Construction!I62</f>
        <v>150</v>
      </c>
      <c r="H62" s="32">
        <f>Construction!J62</f>
        <v>100</v>
      </c>
      <c r="I62" s="33">
        <f>Construction!K62</f>
        <v>20</v>
      </c>
      <c r="J62" s="69">
        <f>Construction!L62</f>
        <v>100</v>
      </c>
      <c r="L62" s="52">
        <v>12</v>
      </c>
      <c r="M62">
        <v>1798</v>
      </c>
      <c r="N62" s="91">
        <f>Military!AB62</f>
        <v>0.2</v>
      </c>
      <c r="O62" s="59">
        <f ca="1">Population!I62</f>
        <v>1</v>
      </c>
      <c r="P62" s="91">
        <f ca="1">Imps!J62</f>
        <v>1</v>
      </c>
      <c r="Q62" s="63">
        <f t="shared" si="4"/>
        <v>1000</v>
      </c>
      <c r="R62" s="634">
        <v>60</v>
      </c>
      <c r="S62" s="340"/>
      <c r="T62" s="348"/>
      <c r="U62" s="348"/>
      <c r="V62" s="348"/>
      <c r="W62" s="348"/>
      <c r="X62" s="348"/>
      <c r="Y62" s="348"/>
      <c r="Z62" s="357"/>
      <c r="AA62" s="537">
        <f>Imps!BY62</f>
        <v>43694.45833333319</v>
      </c>
      <c r="AB62" s="156">
        <f ca="1">Military!Z62</f>
        <v>3695</v>
      </c>
      <c r="AC62" s="57">
        <f ca="1">Production!H62</f>
        <v>3575920</v>
      </c>
      <c r="AE62" s="63">
        <f t="shared" si="3"/>
        <v>1000</v>
      </c>
      <c r="AF62" s="152">
        <f>ROUND(IF(AE62&gt;=300,1000+3*(AE62-300)^MIN(MAX(1.05/(AE62^0.019),1.09),1.119),1000-3*(300-AE62))*(1+IF(Overview!$B$14="Ants",ant_explore_penalty,0)+MIN(tech_explore_cost*Techs!Z62,tech_explore_cost2*Techs!AB62,tech_enchanted_lands_explore*Techs!AT62)),0)</f>
        <v>4787</v>
      </c>
      <c r="AG62" s="164">
        <f>ROUND(MAX(IF(AE62&gt;=300,5+0.003*(AE62-300)^1.07,5-300/AE62)+MIN(tech_explore_draft1*Techs!AA62,tech_explore_draft2*Techs!AB62),3),0)</f>
        <v>8</v>
      </c>
      <c r="AH62" s="26">
        <f t="shared" si="1"/>
        <v>0</v>
      </c>
      <c r="AI62" s="57">
        <f t="shared" si="2"/>
        <v>0</v>
      </c>
    </row>
    <row r="63" spans="1:35" s="12" customFormat="1">
      <c r="A63" s="515">
        <f>Rezone!J63</f>
        <v>61</v>
      </c>
      <c r="B63" s="51">
        <f>Construction!E63</f>
        <v>1000</v>
      </c>
      <c r="C63" s="51"/>
      <c r="D63" s="66">
        <f>Construction!F63</f>
        <v>0</v>
      </c>
      <c r="E63" s="18">
        <f>Construction!G63</f>
        <v>100</v>
      </c>
      <c r="F63" s="19">
        <f>Construction!H63</f>
        <v>150</v>
      </c>
      <c r="G63" s="20">
        <f>Construction!I63</f>
        <v>150</v>
      </c>
      <c r="H63" s="21">
        <f>Construction!J63</f>
        <v>100</v>
      </c>
      <c r="I63" s="201">
        <f>Construction!K63</f>
        <v>20</v>
      </c>
      <c r="J63" s="67">
        <f>Construction!L63</f>
        <v>100</v>
      </c>
      <c r="L63" s="52">
        <v>13</v>
      </c>
      <c r="M63">
        <v>1984</v>
      </c>
      <c r="N63" s="306">
        <f>Military!AB63</f>
        <v>0.2</v>
      </c>
      <c r="O63" s="58">
        <f ca="1">Population!I63</f>
        <v>1</v>
      </c>
      <c r="P63" s="306">
        <f ca="1">Imps!J63</f>
        <v>1</v>
      </c>
      <c r="Q63" s="286">
        <f t="shared" si="4"/>
        <v>1000</v>
      </c>
      <c r="R63" s="318">
        <v>61</v>
      </c>
      <c r="S63" s="520"/>
      <c r="T63" s="349"/>
      <c r="U63" s="349"/>
      <c r="V63" s="349"/>
      <c r="W63" s="349"/>
      <c r="X63" s="349"/>
      <c r="Y63" s="349"/>
      <c r="Z63" s="374"/>
      <c r="AA63" s="570">
        <f>Imps!BY63</f>
        <v>43694.499999999854</v>
      </c>
      <c r="AB63" s="184">
        <f ca="1">Military!Z63</f>
        <v>3695</v>
      </c>
      <c r="AC63" s="55">
        <f ca="1">Production!H63</f>
        <v>3586571</v>
      </c>
      <c r="AE63" s="286">
        <f t="shared" si="3"/>
        <v>1000</v>
      </c>
      <c r="AF63" s="151">
        <f>ROUND(IF(AE63&gt;=300,1000+3*(AE63-300)^MIN(MAX(1.05/(AE63^0.019),1.09),1.119),1000-3*(300-AE63))*(1+IF(Overview!$B$14="Ants",ant_explore_penalty,0)+MIN(tech_explore_cost*Techs!Z63,tech_explore_cost2*Techs!AB63,tech_enchanted_lands_explore*Techs!AT63)),0)</f>
        <v>4787</v>
      </c>
      <c r="AG63" s="153">
        <f>ROUND(MAX(IF(AE63&gt;=300,5+0.003*(AE63-300)^1.07,5-300/AE63)+MIN(tech_explore_draft1*Techs!AA63,tech_explore_draft2*Techs!AB63),3),0)</f>
        <v>8</v>
      </c>
      <c r="AH63" s="13">
        <f t="shared" si="1"/>
        <v>0</v>
      </c>
      <c r="AI63" s="55">
        <f t="shared" si="2"/>
        <v>0</v>
      </c>
    </row>
    <row r="64" spans="1:35" s="16" customFormat="1">
      <c r="A64" s="513">
        <f>Rezone!J64</f>
        <v>62</v>
      </c>
      <c r="B64" s="53">
        <f>Construction!E64</f>
        <v>1000</v>
      </c>
      <c r="C64" s="53"/>
      <c r="D64" s="68">
        <f>Construction!F64</f>
        <v>0</v>
      </c>
      <c r="E64" s="29">
        <f>Construction!G64</f>
        <v>100</v>
      </c>
      <c r="F64" s="30">
        <f>Construction!H64</f>
        <v>150</v>
      </c>
      <c r="G64" s="31">
        <f>Construction!I64</f>
        <v>150</v>
      </c>
      <c r="H64" s="32">
        <f>Construction!J64</f>
        <v>100</v>
      </c>
      <c r="I64" s="33">
        <f>Construction!K64</f>
        <v>20</v>
      </c>
      <c r="J64" s="69">
        <f>Construction!L64</f>
        <v>100</v>
      </c>
      <c r="L64" s="52">
        <v>14</v>
      </c>
      <c r="M64">
        <v>2168</v>
      </c>
      <c r="N64" s="91">
        <f>Military!AB64</f>
        <v>0.2</v>
      </c>
      <c r="O64" s="59">
        <f ca="1">Population!I64</f>
        <v>1</v>
      </c>
      <c r="P64" s="91">
        <f ca="1">Imps!J64</f>
        <v>1</v>
      </c>
      <c r="Q64" s="63">
        <f t="shared" si="4"/>
        <v>1000</v>
      </c>
      <c r="R64" s="634">
        <v>62</v>
      </c>
      <c r="S64" s="340"/>
      <c r="T64" s="348"/>
      <c r="U64" s="348"/>
      <c r="V64" s="348"/>
      <c r="W64" s="348"/>
      <c r="X64" s="348"/>
      <c r="Y64" s="348"/>
      <c r="Z64" s="357"/>
      <c r="AA64" s="537">
        <f>Imps!BY64</f>
        <v>43694.541666666519</v>
      </c>
      <c r="AB64" s="156">
        <f ca="1">Military!Z64</f>
        <v>3695</v>
      </c>
      <c r="AC64" s="57">
        <f ca="1">Production!H64</f>
        <v>3597222</v>
      </c>
      <c r="AE64" s="63">
        <f t="shared" si="3"/>
        <v>1000</v>
      </c>
      <c r="AF64" s="152">
        <f>ROUND(IF(AE64&gt;=300,1000+3*(AE64-300)^MIN(MAX(1.05/(AE64^0.019),1.09),1.119),1000-3*(300-AE64))*(1+IF(Overview!$B$14="Ants",ant_explore_penalty,0)+MIN(tech_explore_cost*Techs!Z64,tech_explore_cost2*Techs!AB64,tech_enchanted_lands_explore*Techs!AT64)),0)</f>
        <v>4787</v>
      </c>
      <c r="AG64" s="164">
        <f>ROUND(MAX(IF(AE64&gt;=300,5+0.003*(AE64-300)^1.07,5-300/AE64)+MIN(tech_explore_draft1*Techs!AA64,tech_explore_draft2*Techs!AB64),3),0)</f>
        <v>8</v>
      </c>
      <c r="AH64" s="26">
        <f t="shared" si="1"/>
        <v>0</v>
      </c>
      <c r="AI64" s="57">
        <f t="shared" si="2"/>
        <v>0</v>
      </c>
    </row>
    <row r="65" spans="1:35" s="16" customFormat="1">
      <c r="A65" s="513">
        <f>Rezone!J65</f>
        <v>63</v>
      </c>
      <c r="B65" s="53">
        <f>Construction!E65</f>
        <v>1000</v>
      </c>
      <c r="C65" s="53"/>
      <c r="D65" s="68">
        <f>Construction!F65</f>
        <v>0</v>
      </c>
      <c r="E65" s="29">
        <f>Construction!G65</f>
        <v>100</v>
      </c>
      <c r="F65" s="30">
        <f>Construction!H65</f>
        <v>150</v>
      </c>
      <c r="G65" s="31">
        <f>Construction!I65</f>
        <v>150</v>
      </c>
      <c r="H65" s="32">
        <f>Construction!J65</f>
        <v>100</v>
      </c>
      <c r="I65" s="33">
        <f>Construction!K65</f>
        <v>20</v>
      </c>
      <c r="J65" s="69">
        <f>Construction!L65</f>
        <v>100</v>
      </c>
      <c r="L65" s="52">
        <v>15</v>
      </c>
      <c r="M65">
        <v>2352</v>
      </c>
      <c r="N65" s="91">
        <f>Military!AB65</f>
        <v>0.2</v>
      </c>
      <c r="O65" s="59">
        <f ca="1">Population!I65</f>
        <v>1</v>
      </c>
      <c r="P65" s="91">
        <f ca="1">Imps!J65</f>
        <v>1</v>
      </c>
      <c r="Q65" s="63">
        <f t="shared" si="4"/>
        <v>1000</v>
      </c>
      <c r="R65" s="634">
        <v>63</v>
      </c>
      <c r="S65" s="340"/>
      <c r="T65" s="348"/>
      <c r="U65" s="348"/>
      <c r="V65" s="348"/>
      <c r="W65" s="348"/>
      <c r="X65" s="348"/>
      <c r="Y65" s="348"/>
      <c r="Z65" s="357"/>
      <c r="AA65" s="537">
        <f>Imps!BY65</f>
        <v>43694.583333333183</v>
      </c>
      <c r="AB65" s="156">
        <f ca="1">Military!Z65</f>
        <v>3695</v>
      </c>
      <c r="AC65" s="57">
        <f ca="1">Production!H65</f>
        <v>3607873</v>
      </c>
      <c r="AE65" s="63">
        <f t="shared" si="3"/>
        <v>1000</v>
      </c>
      <c r="AF65" s="152">
        <f>ROUND(IF(AE65&gt;=300,1000+3*(AE65-300)^MIN(MAX(1.05/(AE65^0.019),1.09),1.119),1000-3*(300-AE65))*(1+IF(Overview!$B$14="Ants",ant_explore_penalty,0)+MIN(tech_explore_cost*Techs!Z65,tech_explore_cost2*Techs!AB65,tech_enchanted_lands_explore*Techs!AT65)),0)</f>
        <v>4787</v>
      </c>
      <c r="AG65" s="164">
        <f>ROUND(MAX(IF(AE65&gt;=300,5+0.003*(AE65-300)^1.07,5-300/AE65)+MIN(tech_explore_draft1*Techs!AA65,tech_explore_draft2*Techs!AB65),3),0)</f>
        <v>8</v>
      </c>
      <c r="AH65" s="26">
        <f t="shared" si="1"/>
        <v>0</v>
      </c>
      <c r="AI65" s="57">
        <f t="shared" si="2"/>
        <v>0</v>
      </c>
    </row>
    <row r="66" spans="1:35" s="16" customFormat="1">
      <c r="A66" s="513">
        <f>Rezone!J66</f>
        <v>64</v>
      </c>
      <c r="B66" s="53">
        <f>Construction!E66</f>
        <v>1000</v>
      </c>
      <c r="C66" s="53"/>
      <c r="D66" s="68">
        <f>Construction!F66</f>
        <v>0</v>
      </c>
      <c r="E66" s="29">
        <f>Construction!G66</f>
        <v>100</v>
      </c>
      <c r="F66" s="30">
        <f>Construction!H66</f>
        <v>150</v>
      </c>
      <c r="G66" s="31">
        <f>Construction!I66</f>
        <v>150</v>
      </c>
      <c r="H66" s="32">
        <f>Construction!J66</f>
        <v>100</v>
      </c>
      <c r="I66" s="33">
        <f>Construction!K66</f>
        <v>20</v>
      </c>
      <c r="J66" s="69">
        <f>Construction!L66</f>
        <v>100</v>
      </c>
      <c r="L66" s="52">
        <v>16</v>
      </c>
      <c r="M66">
        <v>2534</v>
      </c>
      <c r="N66" s="91">
        <f>Military!AB66</f>
        <v>0.2</v>
      </c>
      <c r="O66" s="59">
        <f ca="1">Population!I66</f>
        <v>1</v>
      </c>
      <c r="P66" s="91">
        <f ca="1">Imps!J66</f>
        <v>1</v>
      </c>
      <c r="Q66" s="63">
        <f t="shared" si="4"/>
        <v>1000</v>
      </c>
      <c r="R66" s="634">
        <v>64</v>
      </c>
      <c r="S66" s="340"/>
      <c r="T66" s="348"/>
      <c r="U66" s="348"/>
      <c r="V66" s="348"/>
      <c r="W66" s="348"/>
      <c r="X66" s="348"/>
      <c r="Y66" s="348"/>
      <c r="Z66" s="357"/>
      <c r="AA66" s="537">
        <f>Imps!BY66</f>
        <v>43694.624999999847</v>
      </c>
      <c r="AB66" s="156">
        <f ca="1">Military!Z66</f>
        <v>3695</v>
      </c>
      <c r="AC66" s="57">
        <f ca="1">Production!H66</f>
        <v>3618524</v>
      </c>
      <c r="AE66" s="63">
        <f t="shared" si="3"/>
        <v>1000</v>
      </c>
      <c r="AF66" s="152">
        <f>ROUND(IF(AE66&gt;=300,1000+3*(AE66-300)^MIN(MAX(1.05/(AE66^0.019),1.09),1.119),1000-3*(300-AE66))*(1+IF(Overview!$B$14="Ants",ant_explore_penalty,0)+MIN(tech_explore_cost*Techs!Z66,tech_explore_cost2*Techs!AB66,tech_enchanted_lands_explore*Techs!AT66)),0)</f>
        <v>4787</v>
      </c>
      <c r="AG66" s="164">
        <f>ROUND(MAX(IF(AE66&gt;=300,5+0.003*(AE66-300)^1.07,5-300/AE66)+MIN(tech_explore_draft1*Techs!AA66,tech_explore_draft2*Techs!AB66),3),0)</f>
        <v>8</v>
      </c>
      <c r="AH66" s="26">
        <f t="shared" si="1"/>
        <v>0</v>
      </c>
      <c r="AI66" s="57">
        <f t="shared" si="2"/>
        <v>0</v>
      </c>
    </row>
    <row r="67" spans="1:35" s="16" customFormat="1">
      <c r="A67" s="513">
        <f>Rezone!J67</f>
        <v>65</v>
      </c>
      <c r="B67" s="53">
        <f>Construction!E67</f>
        <v>1000</v>
      </c>
      <c r="C67" s="53"/>
      <c r="D67" s="68">
        <f>Construction!F67</f>
        <v>0</v>
      </c>
      <c r="E67" s="29">
        <f>Construction!G67</f>
        <v>100</v>
      </c>
      <c r="F67" s="30">
        <f>Construction!H67</f>
        <v>150</v>
      </c>
      <c r="G67" s="31">
        <f>Construction!I67</f>
        <v>150</v>
      </c>
      <c r="H67" s="32">
        <f>Construction!J67</f>
        <v>100</v>
      </c>
      <c r="I67" s="33">
        <f>Construction!K67</f>
        <v>20</v>
      </c>
      <c r="J67" s="69">
        <f>Construction!L67</f>
        <v>100</v>
      </c>
      <c r="L67" s="52">
        <v>17</v>
      </c>
      <c r="M67">
        <v>2715</v>
      </c>
      <c r="N67" s="91">
        <f>Military!AB67</f>
        <v>0.2</v>
      </c>
      <c r="O67" s="59">
        <f ca="1">Population!I67</f>
        <v>1</v>
      </c>
      <c r="P67" s="91">
        <f ca="1">Imps!J67</f>
        <v>1</v>
      </c>
      <c r="Q67" s="63">
        <f t="shared" ref="Q67:Q130" si="5">B67</f>
        <v>1000</v>
      </c>
      <c r="R67" s="634">
        <v>65</v>
      </c>
      <c r="S67" s="340"/>
      <c r="T67" s="348"/>
      <c r="U67" s="348"/>
      <c r="V67" s="348"/>
      <c r="W67" s="348"/>
      <c r="X67" s="348"/>
      <c r="Y67" s="348"/>
      <c r="Z67" s="357"/>
      <c r="AA67" s="537">
        <f>Imps!BY67</f>
        <v>43694.666666666511</v>
      </c>
      <c r="AB67" s="156">
        <f ca="1">Military!Z67</f>
        <v>3695</v>
      </c>
      <c r="AC67" s="57">
        <f ca="1">Production!H67</f>
        <v>3629175</v>
      </c>
      <c r="AE67" s="63">
        <f t="shared" si="3"/>
        <v>1000</v>
      </c>
      <c r="AF67" s="152">
        <f>ROUND(IF(AE67&gt;=300,1000+3*(AE67-300)^MIN(MAX(1.05/(AE67^0.019),1.09),1.119),1000-3*(300-AE67))*(1+IF(Overview!$B$14="Ants",ant_explore_penalty,0)+MIN(tech_explore_cost*Techs!Z67,tech_explore_cost2*Techs!AB67,tech_enchanted_lands_explore*Techs!AT67)),0)</f>
        <v>4787</v>
      </c>
      <c r="AG67" s="164">
        <f>ROUND(MAX(IF(AE67&gt;=300,5+0.003*(AE67-300)^1.07,5-300/AE67)+MIN(tech_explore_draft1*Techs!AA67,tech_explore_draft2*Techs!AB67),3),0)</f>
        <v>8</v>
      </c>
      <c r="AH67" s="26">
        <f t="shared" ref="AH67:AH130" si="6">SUM(T67:Z67)*AF67</f>
        <v>0</v>
      </c>
      <c r="AI67" s="57">
        <f t="shared" ref="AI67:AI130" si="7">SUM(T67:Z67)*AG67</f>
        <v>0</v>
      </c>
    </row>
    <row r="68" spans="1:35" s="16" customFormat="1">
      <c r="A68" s="513">
        <f>Rezone!J68</f>
        <v>66</v>
      </c>
      <c r="B68" s="53">
        <f>Construction!E68</f>
        <v>1000</v>
      </c>
      <c r="C68" s="53"/>
      <c r="D68" s="68">
        <f>Construction!F68</f>
        <v>0</v>
      </c>
      <c r="E68" s="29">
        <f>Construction!G68</f>
        <v>100</v>
      </c>
      <c r="F68" s="30">
        <f>Construction!H68</f>
        <v>150</v>
      </c>
      <c r="G68" s="31">
        <f>Construction!I68</f>
        <v>150</v>
      </c>
      <c r="H68" s="32">
        <f>Construction!J68</f>
        <v>100</v>
      </c>
      <c r="I68" s="33">
        <f>Construction!K68</f>
        <v>20</v>
      </c>
      <c r="J68" s="69">
        <f>Construction!L68</f>
        <v>100</v>
      </c>
      <c r="L68" s="72">
        <v>18</v>
      </c>
      <c r="M68" s="75">
        <v>2895</v>
      </c>
      <c r="N68" s="91">
        <f>Military!AB68</f>
        <v>0.2</v>
      </c>
      <c r="O68" s="59">
        <f ca="1">Population!I68</f>
        <v>1</v>
      </c>
      <c r="P68" s="91">
        <f ca="1">Imps!J68</f>
        <v>1</v>
      </c>
      <c r="Q68" s="63">
        <f t="shared" si="5"/>
        <v>1000</v>
      </c>
      <c r="R68" s="634">
        <v>66</v>
      </c>
      <c r="S68" s="340"/>
      <c r="T68" s="348"/>
      <c r="U68" s="348"/>
      <c r="V68" s="348"/>
      <c r="W68" s="348"/>
      <c r="X68" s="348"/>
      <c r="Y68" s="348"/>
      <c r="Z68" s="357"/>
      <c r="AA68" s="537">
        <f>Imps!BY68</f>
        <v>43694.708333333176</v>
      </c>
      <c r="AB68" s="156">
        <f ca="1">Military!Z68</f>
        <v>3695</v>
      </c>
      <c r="AC68" s="57">
        <f ca="1">Production!H68</f>
        <v>3639826</v>
      </c>
      <c r="AE68" s="63">
        <f t="shared" ref="AE68:AE131" si="8">B68-S68*20</f>
        <v>1000</v>
      </c>
      <c r="AF68" s="152">
        <f>ROUND(IF(AE68&gt;=300,1000+3*(AE68-300)^MIN(MAX(1.05/(AE68^0.019),1.09),1.119),1000-3*(300-AE68))*(1+IF(Overview!$B$14="Ants",ant_explore_penalty,0)+MIN(tech_explore_cost*Techs!Z68,tech_explore_cost2*Techs!AB68,tech_enchanted_lands_explore*Techs!AT68)),0)</f>
        <v>4787</v>
      </c>
      <c r="AG68" s="164">
        <f>ROUND(MAX(IF(AE68&gt;=300,5+0.003*(AE68-300)^1.07,5-300/AE68)+MIN(tech_explore_draft1*Techs!AA68,tech_explore_draft2*Techs!AB68),3),0)</f>
        <v>8</v>
      </c>
      <c r="AH68" s="26">
        <f t="shared" si="6"/>
        <v>0</v>
      </c>
      <c r="AI68" s="57">
        <f t="shared" si="7"/>
        <v>0</v>
      </c>
    </row>
    <row r="69" spans="1:35" s="16" customFormat="1">
      <c r="A69" s="513">
        <f>Rezone!J69</f>
        <v>67</v>
      </c>
      <c r="B69" s="53">
        <f>Construction!E69</f>
        <v>1000</v>
      </c>
      <c r="C69" s="53"/>
      <c r="D69" s="68">
        <f>Construction!F69</f>
        <v>0</v>
      </c>
      <c r="E69" s="29">
        <f>Construction!G69</f>
        <v>100</v>
      </c>
      <c r="F69" s="30">
        <f>Construction!H69</f>
        <v>150</v>
      </c>
      <c r="G69" s="31">
        <f>Construction!I69</f>
        <v>150</v>
      </c>
      <c r="H69" s="32">
        <f>Construction!J69</f>
        <v>100</v>
      </c>
      <c r="I69" s="33">
        <f>Construction!K69</f>
        <v>20</v>
      </c>
      <c r="J69" s="69">
        <f>Construction!L69</f>
        <v>100</v>
      </c>
      <c r="N69" s="91">
        <f>Military!AB69</f>
        <v>0.2</v>
      </c>
      <c r="O69" s="59">
        <f ca="1">Population!I69</f>
        <v>1</v>
      </c>
      <c r="P69" s="91">
        <f ca="1">Imps!J69</f>
        <v>1</v>
      </c>
      <c r="Q69" s="63">
        <f t="shared" si="5"/>
        <v>1000</v>
      </c>
      <c r="R69" s="634">
        <v>67</v>
      </c>
      <c r="S69" s="340"/>
      <c r="T69" s="348"/>
      <c r="U69" s="348"/>
      <c r="V69" s="348"/>
      <c r="W69" s="348"/>
      <c r="X69" s="348"/>
      <c r="Y69" s="348"/>
      <c r="Z69" s="357"/>
      <c r="AA69" s="537">
        <f>Imps!BY69</f>
        <v>43694.74999999984</v>
      </c>
      <c r="AB69" s="156">
        <f ca="1">Military!Z69</f>
        <v>3695</v>
      </c>
      <c r="AC69" s="57">
        <f ca="1">Production!H69</f>
        <v>3650477</v>
      </c>
      <c r="AE69" s="63">
        <f t="shared" si="8"/>
        <v>1000</v>
      </c>
      <c r="AF69" s="152">
        <f>ROUND(IF(AE69&gt;=300,1000+3*(AE69-300)^MIN(MAX(1.05/(AE69^0.019),1.09),1.119),1000-3*(300-AE69))*(1+IF(Overview!$B$14="Ants",ant_explore_penalty,0)+MIN(tech_explore_cost*Techs!Z69,tech_explore_cost2*Techs!AB69,tech_enchanted_lands_explore*Techs!AT69)),0)</f>
        <v>4787</v>
      </c>
      <c r="AG69" s="164">
        <f>ROUND(MAX(IF(AE69&gt;=300,5+0.003*(AE69-300)^1.07,5-300/AE69)+MIN(tech_explore_draft1*Techs!AA69,tech_explore_draft2*Techs!AB69),3),0)</f>
        <v>8</v>
      </c>
      <c r="AH69" s="26">
        <f t="shared" si="6"/>
        <v>0</v>
      </c>
      <c r="AI69" s="57">
        <f t="shared" si="7"/>
        <v>0</v>
      </c>
    </row>
    <row r="70" spans="1:35" s="16" customFormat="1">
      <c r="A70" s="513">
        <f>Rezone!J70</f>
        <v>68</v>
      </c>
      <c r="B70" s="53">
        <f>Construction!E70</f>
        <v>1000</v>
      </c>
      <c r="C70" s="53"/>
      <c r="D70" s="68">
        <f>Construction!F70</f>
        <v>0</v>
      </c>
      <c r="E70" s="29">
        <f>Construction!G70</f>
        <v>100</v>
      </c>
      <c r="F70" s="30">
        <f>Construction!H70</f>
        <v>150</v>
      </c>
      <c r="G70" s="31">
        <f>Construction!I70</f>
        <v>150</v>
      </c>
      <c r="H70" s="32">
        <f>Construction!J70</f>
        <v>100</v>
      </c>
      <c r="I70" s="33">
        <f>Construction!K70</f>
        <v>20</v>
      </c>
      <c r="J70" s="69">
        <f>Construction!L70</f>
        <v>100</v>
      </c>
      <c r="N70" s="91">
        <f>Military!AB70</f>
        <v>0.2</v>
      </c>
      <c r="O70" s="59">
        <f ca="1">Population!I70</f>
        <v>1</v>
      </c>
      <c r="P70" s="91">
        <f ca="1">Imps!J70</f>
        <v>1</v>
      </c>
      <c r="Q70" s="63">
        <f t="shared" si="5"/>
        <v>1000</v>
      </c>
      <c r="R70" s="634">
        <v>68</v>
      </c>
      <c r="S70" s="340"/>
      <c r="T70" s="348"/>
      <c r="U70" s="348"/>
      <c r="V70" s="348"/>
      <c r="W70" s="348"/>
      <c r="X70" s="348"/>
      <c r="Y70" s="348"/>
      <c r="Z70" s="357"/>
      <c r="AA70" s="537">
        <f>Imps!BY70</f>
        <v>43694.791666666504</v>
      </c>
      <c r="AB70" s="156">
        <f ca="1">Military!Z70</f>
        <v>3695</v>
      </c>
      <c r="AC70" s="57">
        <f ca="1">Production!H70</f>
        <v>3661128</v>
      </c>
      <c r="AE70" s="63">
        <f t="shared" si="8"/>
        <v>1000</v>
      </c>
      <c r="AF70" s="152">
        <f>ROUND(IF(AE70&gt;=300,1000+3*(AE70-300)^MIN(MAX(1.05/(AE70^0.019),1.09),1.119),1000-3*(300-AE70))*(1+IF(Overview!$B$14="Ants",ant_explore_penalty,0)+MIN(tech_explore_cost*Techs!Z70,tech_explore_cost2*Techs!AB70,tech_enchanted_lands_explore*Techs!AT70)),0)</f>
        <v>4787</v>
      </c>
      <c r="AG70" s="164">
        <f>ROUND(MAX(IF(AE70&gt;=300,5+0.003*(AE70-300)^1.07,5-300/AE70)+MIN(tech_explore_draft1*Techs!AA70,tech_explore_draft2*Techs!AB70),3),0)</f>
        <v>8</v>
      </c>
      <c r="AH70" s="26">
        <f t="shared" si="6"/>
        <v>0</v>
      </c>
      <c r="AI70" s="57">
        <f t="shared" si="7"/>
        <v>0</v>
      </c>
    </row>
    <row r="71" spans="1:35" s="16" customFormat="1">
      <c r="A71" s="513">
        <f>Rezone!J71</f>
        <v>69</v>
      </c>
      <c r="B71" s="53">
        <f>Construction!E71</f>
        <v>1000</v>
      </c>
      <c r="C71" s="53"/>
      <c r="D71" s="68">
        <f>Construction!F71</f>
        <v>0</v>
      </c>
      <c r="E71" s="29">
        <f>Construction!G71</f>
        <v>100</v>
      </c>
      <c r="F71" s="30">
        <f>Construction!H71</f>
        <v>150</v>
      </c>
      <c r="G71" s="31">
        <f>Construction!I71</f>
        <v>150</v>
      </c>
      <c r="H71" s="32">
        <f>Construction!J71</f>
        <v>100</v>
      </c>
      <c r="I71" s="33">
        <f>Construction!K71</f>
        <v>20</v>
      </c>
      <c r="J71" s="69">
        <f>Construction!L71</f>
        <v>100</v>
      </c>
      <c r="N71" s="91">
        <f>Military!AB71</f>
        <v>0.2</v>
      </c>
      <c r="O71" s="59">
        <f ca="1">Population!I71</f>
        <v>1</v>
      </c>
      <c r="P71" s="91">
        <f ca="1">Imps!J71</f>
        <v>1</v>
      </c>
      <c r="Q71" s="63">
        <f t="shared" si="5"/>
        <v>1000</v>
      </c>
      <c r="R71" s="634">
        <v>69</v>
      </c>
      <c r="S71" s="340"/>
      <c r="T71" s="348"/>
      <c r="U71" s="348"/>
      <c r="V71" s="348"/>
      <c r="W71" s="348"/>
      <c r="X71" s="348"/>
      <c r="Y71" s="348"/>
      <c r="Z71" s="357"/>
      <c r="AA71" s="537">
        <f>Imps!BY71</f>
        <v>43694.833333333168</v>
      </c>
      <c r="AB71" s="156">
        <f ca="1">Military!Z71</f>
        <v>3695</v>
      </c>
      <c r="AC71" s="57">
        <f ca="1">Production!H71</f>
        <v>3671779</v>
      </c>
      <c r="AE71" s="63">
        <f t="shared" si="8"/>
        <v>1000</v>
      </c>
      <c r="AF71" s="152">
        <f>ROUND(IF(AE71&gt;=300,1000+3*(AE71-300)^MIN(MAX(1.05/(AE71^0.019),1.09),1.119),1000-3*(300-AE71))*(1+IF(Overview!$B$14="Ants",ant_explore_penalty,0)+MIN(tech_explore_cost*Techs!Z71,tech_explore_cost2*Techs!AB71,tech_enchanted_lands_explore*Techs!AT71)),0)</f>
        <v>4787</v>
      </c>
      <c r="AG71" s="164">
        <f>ROUND(MAX(IF(AE71&gt;=300,5+0.003*(AE71-300)^1.07,5-300/AE71)+MIN(tech_explore_draft1*Techs!AA71,tech_explore_draft2*Techs!AB71),3),0)</f>
        <v>8</v>
      </c>
      <c r="AH71" s="26">
        <f t="shared" si="6"/>
        <v>0</v>
      </c>
      <c r="AI71" s="57">
        <f t="shared" si="7"/>
        <v>0</v>
      </c>
    </row>
    <row r="72" spans="1:35" s="16" customFormat="1">
      <c r="A72" s="513">
        <f>Rezone!J72</f>
        <v>70</v>
      </c>
      <c r="B72" s="53">
        <f>Construction!E72</f>
        <v>1000</v>
      </c>
      <c r="C72" s="53"/>
      <c r="D72" s="68">
        <f>Construction!F72</f>
        <v>0</v>
      </c>
      <c r="E72" s="29">
        <f>Construction!G72</f>
        <v>100</v>
      </c>
      <c r="F72" s="30">
        <f>Construction!H72</f>
        <v>150</v>
      </c>
      <c r="G72" s="31">
        <f>Construction!I72</f>
        <v>150</v>
      </c>
      <c r="H72" s="32">
        <f>Construction!J72</f>
        <v>100</v>
      </c>
      <c r="I72" s="33">
        <f>Construction!K72</f>
        <v>20</v>
      </c>
      <c r="J72" s="69">
        <f>Construction!L72</f>
        <v>100</v>
      </c>
      <c r="N72" s="91">
        <f>Military!AB72</f>
        <v>0.2</v>
      </c>
      <c r="O72" s="59">
        <f ca="1">Population!I72</f>
        <v>1</v>
      </c>
      <c r="P72" s="91">
        <f ca="1">Imps!J72</f>
        <v>1</v>
      </c>
      <c r="Q72" s="63">
        <f t="shared" si="5"/>
        <v>1000</v>
      </c>
      <c r="R72" s="634">
        <v>70</v>
      </c>
      <c r="S72" s="340"/>
      <c r="T72" s="348"/>
      <c r="U72" s="348"/>
      <c r="V72" s="348"/>
      <c r="W72" s="348"/>
      <c r="X72" s="348"/>
      <c r="Y72" s="348"/>
      <c r="Z72" s="357"/>
      <c r="AA72" s="537">
        <f>Imps!BY72</f>
        <v>43694.874999999833</v>
      </c>
      <c r="AB72" s="156">
        <f ca="1">Military!Z72</f>
        <v>3695</v>
      </c>
      <c r="AC72" s="57">
        <f ca="1">Production!H72</f>
        <v>3682430</v>
      </c>
      <c r="AE72" s="63">
        <f t="shared" si="8"/>
        <v>1000</v>
      </c>
      <c r="AF72" s="152">
        <f>ROUND(IF(AE72&gt;=300,1000+3*(AE72-300)^MIN(MAX(1.05/(AE72^0.019),1.09),1.119),1000-3*(300-AE72))*(1+IF(Overview!$B$14="Ants",ant_explore_penalty,0)+MIN(tech_explore_cost*Techs!Z72,tech_explore_cost2*Techs!AB72,tech_enchanted_lands_explore*Techs!AT72)),0)</f>
        <v>4787</v>
      </c>
      <c r="AG72" s="164">
        <f>ROUND(MAX(IF(AE72&gt;=300,5+0.003*(AE72-300)^1.07,5-300/AE72)+MIN(tech_explore_draft1*Techs!AA72,tech_explore_draft2*Techs!AB72),3),0)</f>
        <v>8</v>
      </c>
      <c r="AH72" s="26">
        <f t="shared" si="6"/>
        <v>0</v>
      </c>
      <c r="AI72" s="57">
        <f t="shared" si="7"/>
        <v>0</v>
      </c>
    </row>
    <row r="73" spans="1:35" s="16" customFormat="1">
      <c r="A73" s="513">
        <f>Rezone!J73</f>
        <v>71</v>
      </c>
      <c r="B73" s="53">
        <f>Construction!E73</f>
        <v>1000</v>
      </c>
      <c r="C73" s="53"/>
      <c r="D73" s="68">
        <f>Construction!F73</f>
        <v>0</v>
      </c>
      <c r="E73" s="29">
        <f>Construction!G73</f>
        <v>100</v>
      </c>
      <c r="F73" s="30">
        <f>Construction!H73</f>
        <v>150</v>
      </c>
      <c r="G73" s="31">
        <f>Construction!I73</f>
        <v>150</v>
      </c>
      <c r="H73" s="32">
        <f>Construction!J73</f>
        <v>100</v>
      </c>
      <c r="I73" s="33">
        <f>Construction!K73</f>
        <v>20</v>
      </c>
      <c r="J73" s="69">
        <f>Construction!L73</f>
        <v>100</v>
      </c>
      <c r="N73" s="91">
        <f>Military!AB73</f>
        <v>0.2</v>
      </c>
      <c r="O73" s="59">
        <f ca="1">Population!I73</f>
        <v>1</v>
      </c>
      <c r="P73" s="91">
        <f ca="1">Imps!J73</f>
        <v>1</v>
      </c>
      <c r="Q73" s="63">
        <f t="shared" si="5"/>
        <v>1000</v>
      </c>
      <c r="R73" s="634">
        <v>71</v>
      </c>
      <c r="S73" s="340"/>
      <c r="T73" s="348"/>
      <c r="U73" s="348"/>
      <c r="V73" s="348"/>
      <c r="W73" s="348"/>
      <c r="X73" s="348"/>
      <c r="Y73" s="348"/>
      <c r="Z73" s="357"/>
      <c r="AA73" s="537">
        <f>Imps!BY73</f>
        <v>43694.916666666497</v>
      </c>
      <c r="AB73" s="156">
        <f ca="1">Military!Z73</f>
        <v>3695</v>
      </c>
      <c r="AC73" s="57">
        <f ca="1">Production!H73</f>
        <v>3693081</v>
      </c>
      <c r="AE73" s="63">
        <f t="shared" si="8"/>
        <v>1000</v>
      </c>
      <c r="AF73" s="152">
        <f>ROUND(IF(AE73&gt;=300,1000+3*(AE73-300)^MIN(MAX(1.05/(AE73^0.019),1.09),1.119),1000-3*(300-AE73))*(1+IF(Overview!$B$14="Ants",ant_explore_penalty,0)+MIN(tech_explore_cost*Techs!Z73,tech_explore_cost2*Techs!AB73,tech_enchanted_lands_explore*Techs!AT73)),0)</f>
        <v>4787</v>
      </c>
      <c r="AG73" s="164">
        <f>ROUND(MAX(IF(AE73&gt;=300,5+0.003*(AE73-300)^1.07,5-300/AE73)+MIN(tech_explore_draft1*Techs!AA73,tech_explore_draft2*Techs!AB73),3),0)</f>
        <v>8</v>
      </c>
      <c r="AH73" s="26">
        <f t="shared" si="6"/>
        <v>0</v>
      </c>
      <c r="AI73" s="57">
        <f t="shared" si="7"/>
        <v>0</v>
      </c>
    </row>
    <row r="74" spans="1:35" s="16" customFormat="1" ht="13.5" thickBot="1">
      <c r="A74" s="513">
        <f>Rezone!J74</f>
        <v>72</v>
      </c>
      <c r="B74" s="53">
        <f>Construction!E74</f>
        <v>1000</v>
      </c>
      <c r="C74" s="53"/>
      <c r="D74" s="68">
        <f>Construction!F74</f>
        <v>0</v>
      </c>
      <c r="E74" s="29">
        <f>Construction!G74</f>
        <v>100</v>
      </c>
      <c r="F74" s="30">
        <f>Construction!H74</f>
        <v>150</v>
      </c>
      <c r="G74" s="31">
        <f>Construction!I74</f>
        <v>150</v>
      </c>
      <c r="H74" s="32">
        <f>Construction!J74</f>
        <v>100</v>
      </c>
      <c r="I74" s="33">
        <f>Construction!K74</f>
        <v>20</v>
      </c>
      <c r="J74" s="69">
        <f>Construction!L74</f>
        <v>100</v>
      </c>
      <c r="N74" s="91">
        <f>Military!AB74</f>
        <v>0.2</v>
      </c>
      <c r="O74" s="59">
        <f ca="1">Population!I74</f>
        <v>1</v>
      </c>
      <c r="P74" s="91">
        <f ca="1">Imps!J74</f>
        <v>1</v>
      </c>
      <c r="Q74" s="63">
        <f t="shared" si="5"/>
        <v>1000</v>
      </c>
      <c r="R74" s="634">
        <v>72</v>
      </c>
      <c r="S74" s="340"/>
      <c r="T74" s="348"/>
      <c r="U74" s="348"/>
      <c r="V74" s="348"/>
      <c r="W74" s="348"/>
      <c r="X74" s="348"/>
      <c r="Y74" s="348"/>
      <c r="Z74" s="357"/>
      <c r="AA74" s="537">
        <f>Imps!BY74</f>
        <v>43694.958333333161</v>
      </c>
      <c r="AB74" s="156">
        <f ca="1">Military!Z74</f>
        <v>3695</v>
      </c>
      <c r="AC74" s="57">
        <f ca="1">Production!H74</f>
        <v>3703732</v>
      </c>
      <c r="AE74" s="63">
        <f t="shared" si="8"/>
        <v>1000</v>
      </c>
      <c r="AF74" s="152">
        <f>ROUND(IF(AE74&gt;=300,1000+3*(AE74-300)^MIN(MAX(1.05/(AE74^0.019),1.09),1.119),1000-3*(300-AE74))*(1+IF(Overview!$B$14="Ants",ant_explore_penalty,0)+MIN(tech_explore_cost*Techs!Z74,tech_explore_cost2*Techs!AB74,tech_enchanted_lands_explore*Techs!AT74)),0)</f>
        <v>4787</v>
      </c>
      <c r="AG74" s="164">
        <f>ROUND(MAX(IF(AE74&gt;=300,5+0.003*(AE74-300)^1.07,5-300/AE74)+MIN(tech_explore_draft1*Techs!AA74,tech_explore_draft2*Techs!AB74),3),0)</f>
        <v>8</v>
      </c>
      <c r="AH74" s="26">
        <f t="shared" si="6"/>
        <v>0</v>
      </c>
      <c r="AI74" s="57">
        <f t="shared" si="7"/>
        <v>0</v>
      </c>
    </row>
    <row r="75" spans="1:35" s="601" customFormat="1" ht="14.25" thickTop="1" thickBot="1">
      <c r="A75" s="606">
        <f>Rezone!J75</f>
        <v>73</v>
      </c>
      <c r="B75" s="610">
        <f>Construction!E75</f>
        <v>1000</v>
      </c>
      <c r="C75" s="610"/>
      <c r="D75" s="609">
        <f>Construction!F75</f>
        <v>0</v>
      </c>
      <c r="E75" s="601">
        <f>Construction!G75</f>
        <v>100</v>
      </c>
      <c r="F75" s="601">
        <f>Construction!H75</f>
        <v>150</v>
      </c>
      <c r="G75" s="601">
        <f>Construction!I75</f>
        <v>150</v>
      </c>
      <c r="H75" s="601">
        <f>Construction!J75</f>
        <v>100</v>
      </c>
      <c r="I75" s="601">
        <f>Construction!K75</f>
        <v>20</v>
      </c>
      <c r="J75" s="610">
        <f>Construction!L75</f>
        <v>100</v>
      </c>
      <c r="N75" s="616">
        <f>Military!AB75</f>
        <v>0.2</v>
      </c>
      <c r="O75" s="618">
        <f ca="1">Population!I75</f>
        <v>1</v>
      </c>
      <c r="P75" s="616">
        <f ca="1">Imps!J75</f>
        <v>1</v>
      </c>
      <c r="Q75" s="613">
        <f t="shared" si="5"/>
        <v>1000</v>
      </c>
      <c r="R75" s="824">
        <f>R74+1</f>
        <v>73</v>
      </c>
      <c r="S75" s="619"/>
      <c r="T75" s="613"/>
      <c r="U75" s="613"/>
      <c r="V75" s="613"/>
      <c r="W75" s="613"/>
      <c r="X75" s="613"/>
      <c r="Y75" s="613"/>
      <c r="Z75" s="614"/>
      <c r="AA75" s="620">
        <f>Imps!BY75</f>
        <v>43694.999999999825</v>
      </c>
      <c r="AB75" s="609">
        <f ca="1">Military!Z75</f>
        <v>3695</v>
      </c>
      <c r="AC75" s="598">
        <f ca="1">Production!H75</f>
        <v>3714383</v>
      </c>
      <c r="AE75" s="613">
        <f t="shared" si="8"/>
        <v>1000</v>
      </c>
      <c r="AF75" s="599">
        <f>ROUND(IF(AE75&gt;=300,1000+3*(AE75-300)^MIN(MAX(1.05/(AE75^0.019),1.09),1.119),1000-3*(300-AE75))*(1+IF(Overview!$B$14="Ants",ant_explore_penalty,0)+MIN(tech_explore_cost*Techs!Z75,tech_explore_cost2*Techs!AB75,tech_enchanted_lands_explore*Techs!AT75)),0)</f>
        <v>4787</v>
      </c>
      <c r="AG75" s="600">
        <f>ROUND(MAX(IF(AE75&gt;=300,5+0.003*(AE75-300)^1.07,5-300/AE75)+MIN(tech_explore_draft1*Techs!AA75,tech_explore_draft2*Techs!AB75),3),0)</f>
        <v>8</v>
      </c>
      <c r="AH75" s="600">
        <f t="shared" si="6"/>
        <v>0</v>
      </c>
      <c r="AI75" s="598">
        <f t="shared" si="7"/>
        <v>0</v>
      </c>
    </row>
    <row r="76" spans="1:35" s="191" customFormat="1" ht="13.5" thickTop="1">
      <c r="A76" s="511">
        <f>Rezone!J76</f>
        <v>74</v>
      </c>
      <c r="B76" s="189">
        <f>Construction!E76</f>
        <v>1000</v>
      </c>
      <c r="C76" s="157"/>
      <c r="D76" s="213">
        <f>Construction!F76</f>
        <v>0</v>
      </c>
      <c r="E76" s="214">
        <f>Construction!G76</f>
        <v>100</v>
      </c>
      <c r="F76" s="215">
        <f>Construction!H76</f>
        <v>150</v>
      </c>
      <c r="G76" s="216">
        <f>Construction!I76</f>
        <v>150</v>
      </c>
      <c r="H76" s="217">
        <f>Construction!J76</f>
        <v>100</v>
      </c>
      <c r="I76" s="210">
        <f>Construction!K76</f>
        <v>20</v>
      </c>
      <c r="J76" s="218">
        <f>Construction!L76</f>
        <v>100</v>
      </c>
      <c r="K76" s="170"/>
      <c r="L76" s="16"/>
      <c r="M76" s="16"/>
      <c r="N76" s="241">
        <f>Military!AB76</f>
        <v>0.2</v>
      </c>
      <c r="O76" s="190">
        <f ca="1">Population!I76</f>
        <v>1</v>
      </c>
      <c r="P76" s="241">
        <f ca="1">Imps!J76</f>
        <v>1</v>
      </c>
      <c r="Q76" s="157">
        <f t="shared" si="5"/>
        <v>1000</v>
      </c>
      <c r="R76" s="754">
        <f t="shared" ref="R76:R135" si="9">R75+1</f>
        <v>74</v>
      </c>
      <c r="S76" s="335"/>
      <c r="T76" s="345"/>
      <c r="U76" s="345"/>
      <c r="V76" s="345"/>
      <c r="W76" s="345"/>
      <c r="X76" s="345"/>
      <c r="Y76" s="345"/>
      <c r="Z76" s="353"/>
      <c r="AA76" s="535">
        <f>Imps!BY76</f>
        <v>43695.04166666649</v>
      </c>
      <c r="AB76" s="156">
        <f ca="1">Military!Z76</f>
        <v>3695</v>
      </c>
      <c r="AC76" s="167">
        <f ca="1">Production!H76</f>
        <v>3725034</v>
      </c>
      <c r="AD76" s="170"/>
      <c r="AE76" s="159">
        <f t="shared" si="8"/>
        <v>1000</v>
      </c>
      <c r="AF76" s="152">
        <f>ROUND(IF(AE76&gt;=300,1000+3*(AE76-300)^MIN(MAX(1.05/(AE76^0.019),1.09),1.119),1000-3*(300-AE76))*(1+IF(Overview!$B$14="Ants",ant_explore_penalty,0)+MIN(tech_explore_cost*Techs!Z76,tech_explore_cost2*Techs!AB76,tech_enchanted_lands_explore*Techs!AT76)),0)</f>
        <v>4787</v>
      </c>
      <c r="AG76" s="164">
        <f>ROUND(MAX(IF(AE76&gt;=300,5+0.003*(AE76-300)^1.07,5-300/AE76)+MIN(tech_explore_draft1*Techs!AA76,tech_explore_draft2*Techs!AB76),3),0)</f>
        <v>8</v>
      </c>
      <c r="AH76" s="168">
        <f t="shared" si="6"/>
        <v>0</v>
      </c>
      <c r="AI76" s="167">
        <f t="shared" si="7"/>
        <v>0</v>
      </c>
    </row>
    <row r="77" spans="1:35" s="170" customFormat="1">
      <c r="A77" s="510">
        <f>Rezone!J77</f>
        <v>75</v>
      </c>
      <c r="B77" s="157">
        <f>Construction!E77</f>
        <v>1000</v>
      </c>
      <c r="C77" s="157"/>
      <c r="D77" s="205">
        <f>Construction!F77</f>
        <v>0</v>
      </c>
      <c r="E77" s="206">
        <f>Construction!G77</f>
        <v>100</v>
      </c>
      <c r="F77" s="207">
        <f>Construction!H77</f>
        <v>150</v>
      </c>
      <c r="G77" s="208">
        <f>Construction!I77</f>
        <v>150</v>
      </c>
      <c r="H77" s="209">
        <f>Construction!J77</f>
        <v>100</v>
      </c>
      <c r="I77" s="210">
        <f>Construction!K77</f>
        <v>20</v>
      </c>
      <c r="J77" s="211">
        <f>Construction!L77</f>
        <v>100</v>
      </c>
      <c r="L77" s="16"/>
      <c r="M77" s="16"/>
      <c r="N77" s="251">
        <f>Military!AB77</f>
        <v>0.2</v>
      </c>
      <c r="O77" s="187">
        <f ca="1">Population!I77</f>
        <v>1</v>
      </c>
      <c r="P77" s="251">
        <f ca="1">Imps!J77</f>
        <v>1</v>
      </c>
      <c r="Q77" s="157">
        <f t="shared" si="5"/>
        <v>1000</v>
      </c>
      <c r="R77" s="634">
        <f t="shared" si="9"/>
        <v>75</v>
      </c>
      <c r="S77" s="335"/>
      <c r="T77" s="345"/>
      <c r="U77" s="345"/>
      <c r="V77" s="345"/>
      <c r="W77" s="345"/>
      <c r="X77" s="345"/>
      <c r="Y77" s="345"/>
      <c r="Z77" s="353"/>
      <c r="AA77" s="534">
        <f>Imps!BY77</f>
        <v>43695.083333333154</v>
      </c>
      <c r="AB77" s="156">
        <f ca="1">Military!Z77</f>
        <v>3695</v>
      </c>
      <c r="AC77" s="166">
        <f ca="1">Production!H77</f>
        <v>3735685</v>
      </c>
      <c r="AE77" s="159">
        <f t="shared" si="8"/>
        <v>1000</v>
      </c>
      <c r="AF77" s="152">
        <f>ROUND(IF(AE77&gt;=300,1000+3*(AE77-300)^MIN(MAX(1.05/(AE77^0.019),1.09),1.119),1000-3*(300-AE77))*(1+IF(Overview!$B$14="Ants",ant_explore_penalty,0)+MIN(tech_explore_cost*Techs!Z77,tech_explore_cost2*Techs!AB77,tech_enchanted_lands_explore*Techs!AT77)),0)</f>
        <v>4787</v>
      </c>
      <c r="AG77" s="164">
        <f>ROUND(MAX(IF(AE77&gt;=300,5+0.003*(AE77-300)^1.07,5-300/AE77)+MIN(tech_explore_draft1*Techs!AA77,tech_explore_draft2*Techs!AB77),3),0)</f>
        <v>8</v>
      </c>
      <c r="AH77" s="164">
        <f t="shared" si="6"/>
        <v>0</v>
      </c>
      <c r="AI77" s="166">
        <f t="shared" si="7"/>
        <v>0</v>
      </c>
    </row>
    <row r="78" spans="1:35" s="16" customFormat="1">
      <c r="A78" s="513">
        <f>Rezone!J78</f>
        <v>76</v>
      </c>
      <c r="B78" s="53">
        <f>Construction!E78</f>
        <v>1000</v>
      </c>
      <c r="C78" s="53"/>
      <c r="D78" s="68">
        <f>Construction!F78</f>
        <v>0</v>
      </c>
      <c r="E78" s="29">
        <f>Construction!G78</f>
        <v>100</v>
      </c>
      <c r="F78" s="30">
        <f>Construction!H78</f>
        <v>150</v>
      </c>
      <c r="G78" s="31">
        <f>Construction!I78</f>
        <v>150</v>
      </c>
      <c r="H78" s="32">
        <f>Construction!J78</f>
        <v>100</v>
      </c>
      <c r="I78" s="33">
        <f>Construction!K78</f>
        <v>20</v>
      </c>
      <c r="J78" s="69">
        <f>Construction!L78</f>
        <v>100</v>
      </c>
      <c r="N78" s="91">
        <f>Military!AB78</f>
        <v>0.2</v>
      </c>
      <c r="O78" s="59">
        <f ca="1">Population!I78</f>
        <v>1</v>
      </c>
      <c r="P78" s="91">
        <f ca="1">Imps!J78</f>
        <v>1</v>
      </c>
      <c r="Q78" s="53">
        <f t="shared" si="5"/>
        <v>1000</v>
      </c>
      <c r="R78" s="634">
        <f t="shared" si="9"/>
        <v>76</v>
      </c>
      <c r="S78" s="340"/>
      <c r="T78" s="363"/>
      <c r="U78" s="348"/>
      <c r="V78" s="348"/>
      <c r="W78" s="348"/>
      <c r="X78" s="348"/>
      <c r="Y78" s="348"/>
      <c r="Z78" s="357"/>
      <c r="AA78" s="537">
        <f>Imps!BY78</f>
        <v>43695.124999999818</v>
      </c>
      <c r="AB78" s="156">
        <f ca="1">Military!Z78</f>
        <v>3695</v>
      </c>
      <c r="AC78" s="57">
        <f ca="1">Production!H78</f>
        <v>3746336</v>
      </c>
      <c r="AE78" s="63">
        <f t="shared" si="8"/>
        <v>1000</v>
      </c>
      <c r="AF78" s="152">
        <f>ROUND(IF(AE78&gt;=300,1000+3*(AE78-300)^MIN(MAX(1.05/(AE78^0.019),1.09),1.119),1000-3*(300-AE78))*(1+IF(Overview!$B$14="Ants",ant_explore_penalty,0)+MIN(tech_explore_cost*Techs!Z78,tech_explore_cost2*Techs!AB78,tech_enchanted_lands_explore*Techs!AT78)),0)</f>
        <v>4787</v>
      </c>
      <c r="AG78" s="164">
        <f>ROUND(MAX(IF(AE78&gt;=300,5+0.003*(AE78-300)^1.07,5-300/AE78)+MIN(tech_explore_draft1*Techs!AA78,tech_explore_draft2*Techs!AB78),3),0)</f>
        <v>8</v>
      </c>
      <c r="AH78" s="26">
        <f t="shared" si="6"/>
        <v>0</v>
      </c>
      <c r="AI78" s="57">
        <f t="shared" si="7"/>
        <v>0</v>
      </c>
    </row>
    <row r="79" spans="1:35" s="16" customFormat="1">
      <c r="A79" s="513">
        <f>Rezone!J79</f>
        <v>77</v>
      </c>
      <c r="B79" s="53">
        <f>Construction!E79</f>
        <v>1000</v>
      </c>
      <c r="C79" s="53"/>
      <c r="D79" s="68">
        <f>Construction!F79</f>
        <v>0</v>
      </c>
      <c r="E79" s="29">
        <f>Construction!G79</f>
        <v>100</v>
      </c>
      <c r="F79" s="30">
        <f>Construction!H79</f>
        <v>150</v>
      </c>
      <c r="G79" s="31">
        <f>Construction!I79</f>
        <v>150</v>
      </c>
      <c r="H79" s="32">
        <f>Construction!J79</f>
        <v>100</v>
      </c>
      <c r="I79" s="33">
        <f>Construction!K79</f>
        <v>20</v>
      </c>
      <c r="J79" s="69">
        <f>Construction!L79</f>
        <v>100</v>
      </c>
      <c r="N79" s="91">
        <f>Military!AB79</f>
        <v>0.2</v>
      </c>
      <c r="O79" s="59">
        <f ca="1">Population!I79</f>
        <v>1</v>
      </c>
      <c r="P79" s="91">
        <f ca="1">Imps!J79</f>
        <v>1</v>
      </c>
      <c r="Q79" s="53">
        <f t="shared" si="5"/>
        <v>1000</v>
      </c>
      <c r="R79" s="634">
        <f t="shared" si="9"/>
        <v>77</v>
      </c>
      <c r="S79" s="340"/>
      <c r="T79" s="363"/>
      <c r="U79" s="348"/>
      <c r="V79" s="348"/>
      <c r="W79" s="348"/>
      <c r="X79" s="348"/>
      <c r="Y79" s="348"/>
      <c r="Z79" s="357"/>
      <c r="AA79" s="537">
        <f>Imps!BY79</f>
        <v>43695.166666666482</v>
      </c>
      <c r="AB79" s="156">
        <f ca="1">Military!Z79</f>
        <v>3695</v>
      </c>
      <c r="AC79" s="57">
        <f ca="1">Production!H79</f>
        <v>3756987</v>
      </c>
      <c r="AE79" s="63">
        <f t="shared" si="8"/>
        <v>1000</v>
      </c>
      <c r="AF79" s="152">
        <f>ROUND(IF(AE79&gt;=300,1000+3*(AE79-300)^MIN(MAX(1.05/(AE79^0.019),1.09),1.119),1000-3*(300-AE79))*(1+IF(Overview!$B$14="Ants",ant_explore_penalty,0)+MIN(tech_explore_cost*Techs!Z79,tech_explore_cost2*Techs!AB79,tech_enchanted_lands_explore*Techs!AT79)),0)</f>
        <v>4787</v>
      </c>
      <c r="AG79" s="164">
        <f>ROUND(MAX(IF(AE79&gt;=300,5+0.003*(AE79-300)^1.07,5-300/AE79)+MIN(tech_explore_draft1*Techs!AA79,tech_explore_draft2*Techs!AB79),3),0)</f>
        <v>8</v>
      </c>
      <c r="AH79" s="26">
        <f t="shared" si="6"/>
        <v>0</v>
      </c>
      <c r="AI79" s="57">
        <f t="shared" si="7"/>
        <v>0</v>
      </c>
    </row>
    <row r="80" spans="1:35" s="16" customFormat="1">
      <c r="A80" s="513">
        <f>Rezone!J80</f>
        <v>78</v>
      </c>
      <c r="B80" s="53">
        <f>Construction!E80</f>
        <v>1000</v>
      </c>
      <c r="C80" s="53"/>
      <c r="D80" s="68">
        <f>Construction!F80</f>
        <v>0</v>
      </c>
      <c r="E80" s="29">
        <f>Construction!G80</f>
        <v>100</v>
      </c>
      <c r="F80" s="30">
        <f>Construction!H80</f>
        <v>150</v>
      </c>
      <c r="G80" s="31">
        <f>Construction!I80</f>
        <v>150</v>
      </c>
      <c r="H80" s="32">
        <f>Construction!J80</f>
        <v>100</v>
      </c>
      <c r="I80" s="33">
        <f>Construction!K80</f>
        <v>20</v>
      </c>
      <c r="J80" s="69">
        <f>Construction!L80</f>
        <v>100</v>
      </c>
      <c r="N80" s="91">
        <f>Military!AB80</f>
        <v>0.2</v>
      </c>
      <c r="O80" s="59">
        <f ca="1">Population!I80</f>
        <v>1</v>
      </c>
      <c r="P80" s="91">
        <f ca="1">Imps!J80</f>
        <v>1</v>
      </c>
      <c r="Q80" s="63">
        <f t="shared" si="5"/>
        <v>1000</v>
      </c>
      <c r="R80" s="634">
        <f t="shared" si="9"/>
        <v>78</v>
      </c>
      <c r="S80" s="340"/>
      <c r="T80" s="348"/>
      <c r="U80" s="348"/>
      <c r="V80" s="348"/>
      <c r="W80" s="348"/>
      <c r="X80" s="348"/>
      <c r="Y80" s="348"/>
      <c r="Z80" s="357"/>
      <c r="AA80" s="537">
        <f>Imps!BY80</f>
        <v>43695.208333333147</v>
      </c>
      <c r="AB80" s="156">
        <f ca="1">Military!Z80</f>
        <v>3695</v>
      </c>
      <c r="AC80" s="57">
        <f ca="1">Production!H80</f>
        <v>3767638</v>
      </c>
      <c r="AE80" s="63">
        <f t="shared" si="8"/>
        <v>1000</v>
      </c>
      <c r="AF80" s="152">
        <f>ROUND(IF(AE80&gt;=300,1000+3*(AE80-300)^MIN(MAX(1.05/(AE80^0.019),1.09),1.119),1000-3*(300-AE80))*(1+IF(Overview!$B$14="Ants",ant_explore_penalty,0)+MIN(tech_explore_cost*Techs!Z80,tech_explore_cost2*Techs!AB80,tech_enchanted_lands_explore*Techs!AT80)),0)</f>
        <v>4787</v>
      </c>
      <c r="AG80" s="164">
        <f>ROUND(MAX(IF(AE80&gt;=300,5+0.003*(AE80-300)^1.07,5-300/AE80)+MIN(tech_explore_draft1*Techs!AA80,tech_explore_draft2*Techs!AB80),3),0)</f>
        <v>8</v>
      </c>
      <c r="AH80" s="26">
        <f t="shared" si="6"/>
        <v>0</v>
      </c>
      <c r="AI80" s="57">
        <f t="shared" si="7"/>
        <v>0</v>
      </c>
    </row>
    <row r="81" spans="1:35" s="16" customFormat="1">
      <c r="A81" s="513">
        <f>Rezone!J81</f>
        <v>79</v>
      </c>
      <c r="B81" s="53">
        <f>Construction!E81</f>
        <v>1000</v>
      </c>
      <c r="C81" s="53"/>
      <c r="D81" s="68">
        <f>Construction!F81</f>
        <v>0</v>
      </c>
      <c r="E81" s="29">
        <f>Construction!G81</f>
        <v>100</v>
      </c>
      <c r="F81" s="30">
        <f>Construction!H81</f>
        <v>150</v>
      </c>
      <c r="G81" s="31">
        <f>Construction!I81</f>
        <v>150</v>
      </c>
      <c r="H81" s="32">
        <f>Construction!J81</f>
        <v>100</v>
      </c>
      <c r="I81" s="33">
        <f>Construction!K81</f>
        <v>20</v>
      </c>
      <c r="J81" s="69">
        <f>Construction!L81</f>
        <v>100</v>
      </c>
      <c r="N81" s="91">
        <f>Military!AB81</f>
        <v>0.2</v>
      </c>
      <c r="O81" s="59">
        <f ca="1">Population!I81</f>
        <v>1</v>
      </c>
      <c r="P81" s="91">
        <f ca="1">Imps!J81</f>
        <v>1</v>
      </c>
      <c r="Q81" s="63">
        <f t="shared" si="5"/>
        <v>1000</v>
      </c>
      <c r="R81" s="634">
        <f t="shared" si="9"/>
        <v>79</v>
      </c>
      <c r="S81" s="340"/>
      <c r="T81" s="348"/>
      <c r="U81" s="348"/>
      <c r="V81" s="348"/>
      <c r="W81" s="348"/>
      <c r="X81" s="348"/>
      <c r="Y81" s="348"/>
      <c r="Z81" s="357"/>
      <c r="AA81" s="537">
        <f>Imps!BY81</f>
        <v>43695.249999999811</v>
      </c>
      <c r="AB81" s="156">
        <f ca="1">Military!Z81</f>
        <v>3695</v>
      </c>
      <c r="AC81" s="57">
        <f ca="1">Production!H81</f>
        <v>3778289</v>
      </c>
      <c r="AE81" s="63">
        <f t="shared" si="8"/>
        <v>1000</v>
      </c>
      <c r="AF81" s="152">
        <f>ROUND(IF(AE81&gt;=300,1000+3*(AE81-300)^MIN(MAX(1.05/(AE81^0.019),1.09),1.119),1000-3*(300-AE81))*(1+IF(Overview!$B$14="Ants",ant_explore_penalty,0)+MIN(tech_explore_cost*Techs!Z81,tech_explore_cost2*Techs!AB81,tech_enchanted_lands_explore*Techs!AT81)),0)</f>
        <v>4787</v>
      </c>
      <c r="AG81" s="164">
        <f>ROUND(MAX(IF(AE81&gt;=300,5+0.003*(AE81-300)^1.07,5-300/AE81)+MIN(tech_explore_draft1*Techs!AA81,tech_explore_draft2*Techs!AB81),3),0)</f>
        <v>8</v>
      </c>
      <c r="AH81" s="26">
        <f t="shared" si="6"/>
        <v>0</v>
      </c>
      <c r="AI81" s="57">
        <f t="shared" si="7"/>
        <v>0</v>
      </c>
    </row>
    <row r="82" spans="1:35" s="16" customFormat="1">
      <c r="A82" s="513">
        <f>Rezone!J82</f>
        <v>80</v>
      </c>
      <c r="B82" s="53">
        <f>Construction!E82</f>
        <v>1000</v>
      </c>
      <c r="C82" s="53"/>
      <c r="D82" s="68">
        <f>Construction!F82</f>
        <v>0</v>
      </c>
      <c r="E82" s="29">
        <f>Construction!G82</f>
        <v>100</v>
      </c>
      <c r="F82" s="30">
        <f>Construction!H82</f>
        <v>150</v>
      </c>
      <c r="G82" s="31">
        <f>Construction!I82</f>
        <v>150</v>
      </c>
      <c r="H82" s="32">
        <f>Construction!J82</f>
        <v>100</v>
      </c>
      <c r="I82" s="33">
        <f>Construction!K82</f>
        <v>20</v>
      </c>
      <c r="J82" s="69">
        <f>Construction!L82</f>
        <v>100</v>
      </c>
      <c r="N82" s="91">
        <f>Military!AB82</f>
        <v>0.2</v>
      </c>
      <c r="O82" s="59">
        <f ca="1">Population!I82</f>
        <v>1</v>
      </c>
      <c r="P82" s="91">
        <f ca="1">Imps!J82</f>
        <v>1</v>
      </c>
      <c r="Q82" s="63">
        <f t="shared" si="5"/>
        <v>1000</v>
      </c>
      <c r="R82" s="634">
        <f t="shared" si="9"/>
        <v>80</v>
      </c>
      <c r="S82" s="340"/>
      <c r="T82" s="348"/>
      <c r="U82" s="348"/>
      <c r="V82" s="348"/>
      <c r="W82" s="348"/>
      <c r="X82" s="348"/>
      <c r="Y82" s="348"/>
      <c r="Z82" s="357"/>
      <c r="AA82" s="537">
        <f>Imps!BY82</f>
        <v>43695.291666666475</v>
      </c>
      <c r="AB82" s="156">
        <f ca="1">Military!Z82</f>
        <v>3695</v>
      </c>
      <c r="AC82" s="57">
        <f ca="1">Production!H82</f>
        <v>3788940</v>
      </c>
      <c r="AE82" s="63">
        <f t="shared" si="8"/>
        <v>1000</v>
      </c>
      <c r="AF82" s="152">
        <f>ROUND(IF(AE82&gt;=300,1000+3*(AE82-300)^MIN(MAX(1.05/(AE82^0.019),1.09),1.119),1000-3*(300-AE82))*(1+IF(Overview!$B$14="Ants",ant_explore_penalty,0)+MIN(tech_explore_cost*Techs!Z82,tech_explore_cost2*Techs!AB82,tech_enchanted_lands_explore*Techs!AT82)),0)</f>
        <v>4787</v>
      </c>
      <c r="AG82" s="164">
        <f>ROUND(MAX(IF(AE82&gt;=300,5+0.003*(AE82-300)^1.07,5-300/AE82)+MIN(tech_explore_draft1*Techs!AA82,tech_explore_draft2*Techs!AB82),3),0)</f>
        <v>8</v>
      </c>
      <c r="AH82" s="26">
        <f t="shared" si="6"/>
        <v>0</v>
      </c>
      <c r="AI82" s="57">
        <f t="shared" si="7"/>
        <v>0</v>
      </c>
    </row>
    <row r="83" spans="1:35" s="16" customFormat="1">
      <c r="A83" s="513">
        <f>Rezone!J83</f>
        <v>81</v>
      </c>
      <c r="B83" s="53">
        <f>Construction!E83</f>
        <v>1000</v>
      </c>
      <c r="C83" s="53"/>
      <c r="D83" s="68">
        <f>Construction!F83</f>
        <v>0</v>
      </c>
      <c r="E83" s="29">
        <f>Construction!G83</f>
        <v>100</v>
      </c>
      <c r="F83" s="30">
        <f>Construction!H83</f>
        <v>150</v>
      </c>
      <c r="G83" s="31">
        <f>Construction!I83</f>
        <v>150</v>
      </c>
      <c r="H83" s="32">
        <f>Construction!J83</f>
        <v>100</v>
      </c>
      <c r="I83" s="33">
        <f>Construction!K83</f>
        <v>20</v>
      </c>
      <c r="J83" s="69">
        <f>Construction!L83</f>
        <v>100</v>
      </c>
      <c r="N83" s="91">
        <f>Military!AB83</f>
        <v>0.2</v>
      </c>
      <c r="O83" s="59">
        <f ca="1">Population!I83</f>
        <v>1</v>
      </c>
      <c r="P83" s="91">
        <f ca="1">Imps!J83</f>
        <v>1</v>
      </c>
      <c r="Q83" s="53">
        <f t="shared" si="5"/>
        <v>1000</v>
      </c>
      <c r="R83" s="634">
        <f t="shared" si="9"/>
        <v>81</v>
      </c>
      <c r="S83" s="340"/>
      <c r="T83" s="345"/>
      <c r="U83" s="348"/>
      <c r="V83" s="348"/>
      <c r="W83" s="348"/>
      <c r="X83" s="348"/>
      <c r="Y83" s="348"/>
      <c r="Z83" s="357"/>
      <c r="AA83" s="537">
        <f>Imps!BY83</f>
        <v>43695.333333333139</v>
      </c>
      <c r="AB83" s="156">
        <f ca="1">Military!Z83</f>
        <v>3695</v>
      </c>
      <c r="AC83" s="57">
        <f ca="1">Production!H83</f>
        <v>3799591</v>
      </c>
      <c r="AE83" s="63">
        <f t="shared" si="8"/>
        <v>1000</v>
      </c>
      <c r="AF83" s="152">
        <f>ROUND(IF(AE83&gt;=300,1000+3*(AE83-300)^MIN(MAX(1.05/(AE83^0.019),1.09),1.119),1000-3*(300-AE83))*(1+IF(Overview!$B$14="Ants",ant_explore_penalty,0)+MIN(tech_explore_cost*Techs!Z83,tech_explore_cost2*Techs!AB83,tech_enchanted_lands_explore*Techs!AT83)),0)</f>
        <v>4787</v>
      </c>
      <c r="AG83" s="164">
        <f>ROUND(MAX(IF(AE83&gt;=300,5+0.003*(AE83-300)^1.07,5-300/AE83)+MIN(tech_explore_draft1*Techs!AA83,tech_explore_draft2*Techs!AB83),3),0)</f>
        <v>8</v>
      </c>
      <c r="AH83" s="26">
        <f t="shared" si="6"/>
        <v>0</v>
      </c>
      <c r="AI83" s="57">
        <f t="shared" si="7"/>
        <v>0</v>
      </c>
    </row>
    <row r="84" spans="1:35" s="16" customFormat="1">
      <c r="A84" s="513">
        <f>Rezone!J84</f>
        <v>82</v>
      </c>
      <c r="B84" s="53">
        <f>Construction!E84</f>
        <v>1000</v>
      </c>
      <c r="C84" s="53"/>
      <c r="D84" s="68">
        <f>Construction!F84</f>
        <v>0</v>
      </c>
      <c r="E84" s="29">
        <f>Construction!G84</f>
        <v>100</v>
      </c>
      <c r="F84" s="30">
        <f>Construction!H84</f>
        <v>150</v>
      </c>
      <c r="G84" s="31">
        <f>Construction!I84</f>
        <v>150</v>
      </c>
      <c r="H84" s="32">
        <f>Construction!J84</f>
        <v>100</v>
      </c>
      <c r="I84" s="33">
        <f>Construction!K84</f>
        <v>20</v>
      </c>
      <c r="J84" s="69">
        <f>Construction!L84</f>
        <v>100</v>
      </c>
      <c r="N84" s="91">
        <f>Military!AB84</f>
        <v>0.2</v>
      </c>
      <c r="O84" s="59">
        <f ca="1">Population!I84</f>
        <v>1</v>
      </c>
      <c r="P84" s="91">
        <f ca="1">Imps!J84</f>
        <v>1</v>
      </c>
      <c r="Q84" s="53">
        <f t="shared" si="5"/>
        <v>1000</v>
      </c>
      <c r="R84" s="634">
        <f t="shared" si="9"/>
        <v>82</v>
      </c>
      <c r="S84" s="340"/>
      <c r="T84" s="348"/>
      <c r="U84" s="348"/>
      <c r="V84" s="348"/>
      <c r="W84" s="348"/>
      <c r="X84" s="348"/>
      <c r="Y84" s="348"/>
      <c r="Z84" s="357"/>
      <c r="AA84" s="537">
        <f>Imps!BY84</f>
        <v>43695.374999999804</v>
      </c>
      <c r="AB84" s="156">
        <f ca="1">Military!Z84</f>
        <v>3695</v>
      </c>
      <c r="AC84" s="57">
        <f ca="1">Production!H84</f>
        <v>3810242</v>
      </c>
      <c r="AE84" s="63">
        <f t="shared" si="8"/>
        <v>1000</v>
      </c>
      <c r="AF84" s="152">
        <f>ROUND(IF(AE84&gt;=300,1000+3*(AE84-300)^MIN(MAX(1.05/(AE84^0.019),1.09),1.119),1000-3*(300-AE84))*(1+IF(Overview!$B$14="Ants",ant_explore_penalty,0)+MIN(tech_explore_cost*Techs!Z84,tech_explore_cost2*Techs!AB84,tech_enchanted_lands_explore*Techs!AT84)),0)</f>
        <v>4787</v>
      </c>
      <c r="AG84" s="164">
        <f>ROUND(MAX(IF(AE84&gt;=300,5+0.003*(AE84-300)^1.07,5-300/AE84)+MIN(tech_explore_draft1*Techs!AA84,tech_explore_draft2*Techs!AB84),3),0)</f>
        <v>8</v>
      </c>
      <c r="AH84" s="26">
        <f t="shared" si="6"/>
        <v>0</v>
      </c>
      <c r="AI84" s="57">
        <f t="shared" si="7"/>
        <v>0</v>
      </c>
    </row>
    <row r="85" spans="1:35" s="16" customFormat="1">
      <c r="A85" s="513">
        <f>Rezone!J85</f>
        <v>83</v>
      </c>
      <c r="B85" s="53">
        <f>Construction!E85</f>
        <v>1000</v>
      </c>
      <c r="C85" s="53"/>
      <c r="D85" s="68">
        <f>Construction!F85</f>
        <v>0</v>
      </c>
      <c r="E85" s="29">
        <f>Construction!G85</f>
        <v>100</v>
      </c>
      <c r="F85" s="30">
        <f>Construction!H85</f>
        <v>150</v>
      </c>
      <c r="G85" s="31">
        <f>Construction!I85</f>
        <v>150</v>
      </c>
      <c r="H85" s="32">
        <f>Construction!J85</f>
        <v>100</v>
      </c>
      <c r="I85" s="33">
        <f>Construction!K85</f>
        <v>20</v>
      </c>
      <c r="J85" s="69">
        <f>Construction!L85</f>
        <v>100</v>
      </c>
      <c r="N85" s="91">
        <f>Military!AB85</f>
        <v>0.2</v>
      </c>
      <c r="O85" s="59">
        <f ca="1">Population!I85</f>
        <v>1</v>
      </c>
      <c r="P85" s="91">
        <f ca="1">Imps!J85</f>
        <v>1</v>
      </c>
      <c r="Q85" s="53">
        <f t="shared" si="5"/>
        <v>1000</v>
      </c>
      <c r="R85" s="634">
        <f t="shared" si="9"/>
        <v>83</v>
      </c>
      <c r="S85" s="340"/>
      <c r="T85" s="348"/>
      <c r="U85" s="348"/>
      <c r="V85" s="348"/>
      <c r="W85" s="348"/>
      <c r="X85" s="348"/>
      <c r="Y85" s="348"/>
      <c r="Z85" s="357"/>
      <c r="AA85" s="537">
        <f>Imps!BY85</f>
        <v>43695.416666666468</v>
      </c>
      <c r="AB85" s="156">
        <f ca="1">Military!Z85</f>
        <v>3695</v>
      </c>
      <c r="AC85" s="57">
        <f ca="1">Production!H85</f>
        <v>3820893</v>
      </c>
      <c r="AE85" s="63">
        <f t="shared" si="8"/>
        <v>1000</v>
      </c>
      <c r="AF85" s="152">
        <f>ROUND(IF(AE85&gt;=300,1000+3*(AE85-300)^MIN(MAX(1.05/(AE85^0.019),1.09),1.119),1000-3*(300-AE85))*(1+IF(Overview!$B$14="Ants",ant_explore_penalty,0)+MIN(tech_explore_cost*Techs!Z85,tech_explore_cost2*Techs!AB85,tech_enchanted_lands_explore*Techs!AT85)),0)</f>
        <v>4787</v>
      </c>
      <c r="AG85" s="164">
        <f>ROUND(MAX(IF(AE85&gt;=300,5+0.003*(AE85-300)^1.07,5-300/AE85)+MIN(tech_explore_draft1*Techs!AA85,tech_explore_draft2*Techs!AB85),3),0)</f>
        <v>8</v>
      </c>
      <c r="AH85" s="26">
        <f t="shared" si="6"/>
        <v>0</v>
      </c>
      <c r="AI85" s="57">
        <f t="shared" si="7"/>
        <v>0</v>
      </c>
    </row>
    <row r="86" spans="1:35" s="170" customFormat="1">
      <c r="A86" s="510">
        <f>Rezone!J86</f>
        <v>84</v>
      </c>
      <c r="B86" s="157">
        <f>Construction!E86</f>
        <v>1000</v>
      </c>
      <c r="C86" s="157"/>
      <c r="D86" s="205">
        <f>Construction!F86</f>
        <v>0</v>
      </c>
      <c r="E86" s="206">
        <f>Construction!G86</f>
        <v>100</v>
      </c>
      <c r="F86" s="207">
        <f>Construction!H86</f>
        <v>150</v>
      </c>
      <c r="G86" s="208">
        <f>Construction!I86</f>
        <v>150</v>
      </c>
      <c r="H86" s="209">
        <f>Construction!J86</f>
        <v>100</v>
      </c>
      <c r="I86" s="210">
        <f>Construction!K86</f>
        <v>20</v>
      </c>
      <c r="J86" s="211">
        <f>Construction!L86</f>
        <v>100</v>
      </c>
      <c r="L86" s="681"/>
      <c r="M86" s="730"/>
      <c r="N86" s="831">
        <f>Military!AB86</f>
        <v>0.2</v>
      </c>
      <c r="O86" s="187">
        <f ca="1">Population!I86</f>
        <v>1</v>
      </c>
      <c r="P86" s="251">
        <f ca="1">Imps!J86</f>
        <v>1</v>
      </c>
      <c r="Q86" s="157">
        <f t="shared" si="5"/>
        <v>1000</v>
      </c>
      <c r="R86" s="634">
        <f t="shared" si="9"/>
        <v>84</v>
      </c>
      <c r="S86" s="335"/>
      <c r="T86" s="363"/>
      <c r="U86" s="345"/>
      <c r="V86" s="345"/>
      <c r="W86" s="345"/>
      <c r="X86" s="345"/>
      <c r="Y86" s="345"/>
      <c r="Z86" s="353"/>
      <c r="AA86" s="534">
        <f>Imps!BY86</f>
        <v>43695.458333333132</v>
      </c>
      <c r="AB86" s="156">
        <f ca="1">Military!Z86</f>
        <v>3695</v>
      </c>
      <c r="AC86" s="166">
        <f ca="1">Production!H86</f>
        <v>3831544</v>
      </c>
      <c r="AE86" s="159">
        <f t="shared" si="8"/>
        <v>1000</v>
      </c>
      <c r="AF86" s="152">
        <f>ROUND(IF(AE86&gt;=300,1000+3*(AE86-300)^MIN(MAX(1.05/(AE86^0.019),1.09),1.119),1000-3*(300-AE86))*(1+IF(Overview!$B$14="Ants",ant_explore_penalty,0)+MIN(tech_explore_cost*Techs!Z86,tech_explore_cost2*Techs!AB86,tech_enchanted_lands_explore*Techs!AT86)),0)</f>
        <v>4787</v>
      </c>
      <c r="AG86" s="164">
        <f>ROUND(MAX(IF(AE86&gt;=300,5+0.003*(AE86-300)^1.07,5-300/AE86)+MIN(tech_explore_draft1*Techs!AA86,tech_explore_draft2*Techs!AB86),3),0)</f>
        <v>8</v>
      </c>
      <c r="AH86" s="164">
        <f t="shared" si="6"/>
        <v>0</v>
      </c>
      <c r="AI86" s="166">
        <f t="shared" si="7"/>
        <v>0</v>
      </c>
    </row>
    <row r="87" spans="1:35" s="163" customFormat="1" ht="13.5" thickBot="1">
      <c r="A87" s="509">
        <f>Rezone!J87</f>
        <v>85</v>
      </c>
      <c r="B87" s="185">
        <f>Construction!E87</f>
        <v>1000</v>
      </c>
      <c r="C87" s="185"/>
      <c r="D87" s="196">
        <f>Construction!F87</f>
        <v>0</v>
      </c>
      <c r="E87" s="197">
        <f>Construction!G87</f>
        <v>100</v>
      </c>
      <c r="F87" s="198">
        <f>Construction!H87</f>
        <v>150</v>
      </c>
      <c r="G87" s="199">
        <f>Construction!I87</f>
        <v>150</v>
      </c>
      <c r="H87" s="200">
        <f>Construction!J87</f>
        <v>100</v>
      </c>
      <c r="I87" s="201">
        <f>Construction!K87</f>
        <v>20</v>
      </c>
      <c r="J87" s="202">
        <f>Construction!L87</f>
        <v>100</v>
      </c>
      <c r="L87" s="1478"/>
      <c r="M87" s="1479"/>
      <c r="N87" s="305">
        <f>Military!AB87</f>
        <v>0.2</v>
      </c>
      <c r="O87" s="186">
        <f ca="1">Population!I87</f>
        <v>1</v>
      </c>
      <c r="P87" s="305">
        <f ca="1">Imps!J87</f>
        <v>1</v>
      </c>
      <c r="Q87" s="185">
        <f t="shared" si="5"/>
        <v>1000</v>
      </c>
      <c r="R87" s="318">
        <f t="shared" si="9"/>
        <v>85</v>
      </c>
      <c r="S87" s="518"/>
      <c r="T87" s="346"/>
      <c r="U87" s="346"/>
      <c r="V87" s="346"/>
      <c r="W87" s="346"/>
      <c r="X87" s="346"/>
      <c r="Y87" s="346"/>
      <c r="Z87" s="372"/>
      <c r="AA87" s="533">
        <f>Imps!BY87</f>
        <v>43695.499999999796</v>
      </c>
      <c r="AB87" s="184">
        <f ca="1">Military!Z87</f>
        <v>3695</v>
      </c>
      <c r="AC87" s="158">
        <f ca="1">Production!H87</f>
        <v>3842195</v>
      </c>
      <c r="AE87" s="287">
        <f t="shared" si="8"/>
        <v>1000</v>
      </c>
      <c r="AF87" s="151">
        <f>ROUND(IF(AE87&gt;=300,1000+3*(AE87-300)^MIN(MAX(1.05/(AE87^0.019),1.09),1.119),1000-3*(300-AE87))*(1+IF(Overview!$B$14="Ants",ant_explore_penalty,0)+MIN(tech_explore_cost*Techs!Z87,tech_explore_cost2*Techs!AB87,tech_enchanted_lands_explore*Techs!AT87)),0)</f>
        <v>4787</v>
      </c>
      <c r="AG87" s="153">
        <f>ROUND(MAX(IF(AE87&gt;=300,5+0.003*(AE87-300)^1.07,5-300/AE87)+MIN(tech_explore_draft1*Techs!AA87,tech_explore_draft2*Techs!AB87),3),0)</f>
        <v>8</v>
      </c>
      <c r="AH87" s="153">
        <f t="shared" si="6"/>
        <v>0</v>
      </c>
      <c r="AI87" s="158">
        <f t="shared" si="7"/>
        <v>0</v>
      </c>
    </row>
    <row r="88" spans="1:35" s="170" customFormat="1">
      <c r="A88" s="510">
        <f>Rezone!J88</f>
        <v>86</v>
      </c>
      <c r="B88" s="157">
        <f>Construction!E88</f>
        <v>1000</v>
      </c>
      <c r="C88" s="157"/>
      <c r="D88" s="205">
        <f>Construction!F88</f>
        <v>0</v>
      </c>
      <c r="E88" s="206">
        <f>Construction!G88</f>
        <v>100</v>
      </c>
      <c r="F88" s="207">
        <f>Construction!H88</f>
        <v>150</v>
      </c>
      <c r="G88" s="208">
        <f>Construction!I88</f>
        <v>150</v>
      </c>
      <c r="H88" s="209">
        <f>Construction!J88</f>
        <v>100</v>
      </c>
      <c r="I88" s="210">
        <f>Construction!K88</f>
        <v>20</v>
      </c>
      <c r="J88" s="211">
        <f>Construction!L88</f>
        <v>100</v>
      </c>
      <c r="L88" s="645"/>
      <c r="M88" s="842"/>
      <c r="N88" s="540">
        <f>Military!AB88</f>
        <v>0.2</v>
      </c>
      <c r="O88" s="187">
        <f ca="1">Population!I88</f>
        <v>1</v>
      </c>
      <c r="P88" s="251">
        <f ca="1">Imps!J88</f>
        <v>1</v>
      </c>
      <c r="Q88" s="157">
        <f t="shared" si="5"/>
        <v>1000</v>
      </c>
      <c r="R88" s="634">
        <f t="shared" si="9"/>
        <v>86</v>
      </c>
      <c r="S88" s="335"/>
      <c r="T88" s="345"/>
      <c r="U88" s="345"/>
      <c r="V88" s="345"/>
      <c r="W88" s="345"/>
      <c r="X88" s="345"/>
      <c r="Y88" s="345"/>
      <c r="Z88" s="353"/>
      <c r="AA88" s="534">
        <f>Imps!BY88</f>
        <v>43695.541666666461</v>
      </c>
      <c r="AB88" s="156">
        <f ca="1">Military!Z88</f>
        <v>3695</v>
      </c>
      <c r="AC88" s="166">
        <f ca="1">Production!H88</f>
        <v>3852846</v>
      </c>
      <c r="AE88" s="159">
        <f t="shared" si="8"/>
        <v>1000</v>
      </c>
      <c r="AF88" s="152">
        <f>ROUND(IF(AE88&gt;=300,1000+3*(AE88-300)^MIN(MAX(1.05/(AE88^0.019),1.09),1.119),1000-3*(300-AE88))*(1+IF(Overview!$B$14="Ants",ant_explore_penalty,0)+MIN(tech_explore_cost*Techs!Z88,tech_explore_cost2*Techs!AB88,tech_enchanted_lands_explore*Techs!AT88)),0)</f>
        <v>4787</v>
      </c>
      <c r="AG88" s="164">
        <f>ROUND(MAX(IF(AE88&gt;=300,5+0.003*(AE88-300)^1.07,5-300/AE88)+MIN(tech_explore_draft1*Techs!AA88,tech_explore_draft2*Techs!AB88),3),0)</f>
        <v>8</v>
      </c>
      <c r="AH88" s="164">
        <f t="shared" si="6"/>
        <v>0</v>
      </c>
      <c r="AI88" s="166">
        <f t="shared" si="7"/>
        <v>0</v>
      </c>
    </row>
    <row r="89" spans="1:35" s="170" customFormat="1">
      <c r="A89" s="510">
        <f>Rezone!J89</f>
        <v>87</v>
      </c>
      <c r="B89" s="157">
        <f>Construction!E89</f>
        <v>1000</v>
      </c>
      <c r="C89" s="157"/>
      <c r="D89" s="205">
        <f>Construction!F89</f>
        <v>0</v>
      </c>
      <c r="E89" s="206">
        <f>Construction!G89</f>
        <v>100</v>
      </c>
      <c r="F89" s="207">
        <f>Construction!H89</f>
        <v>150</v>
      </c>
      <c r="G89" s="208">
        <f>Construction!I89</f>
        <v>150</v>
      </c>
      <c r="H89" s="209">
        <f>Construction!J89</f>
        <v>100</v>
      </c>
      <c r="I89" s="210">
        <f>Construction!K89</f>
        <v>20</v>
      </c>
      <c r="J89" s="211">
        <f>Construction!L89</f>
        <v>100</v>
      </c>
      <c r="L89" s="531"/>
      <c r="M89" s="843"/>
      <c r="N89" s="540">
        <f>Military!AB89</f>
        <v>0.2</v>
      </c>
      <c r="O89" s="187">
        <f ca="1">Population!I89</f>
        <v>1</v>
      </c>
      <c r="P89" s="251">
        <f ca="1">Imps!J89</f>
        <v>1</v>
      </c>
      <c r="Q89" s="157">
        <f t="shared" si="5"/>
        <v>1000</v>
      </c>
      <c r="R89" s="634">
        <f t="shared" si="9"/>
        <v>87</v>
      </c>
      <c r="S89" s="335"/>
      <c r="T89" s="345"/>
      <c r="U89" s="345"/>
      <c r="V89" s="345"/>
      <c r="W89" s="345"/>
      <c r="X89" s="345"/>
      <c r="Y89" s="345"/>
      <c r="Z89" s="353"/>
      <c r="AA89" s="534">
        <f>Imps!BY89</f>
        <v>43695.583333333125</v>
      </c>
      <c r="AB89" s="156">
        <f ca="1">Military!Z89</f>
        <v>3695</v>
      </c>
      <c r="AC89" s="166">
        <f ca="1">Production!H89</f>
        <v>3863497</v>
      </c>
      <c r="AE89" s="159">
        <f t="shared" si="8"/>
        <v>1000</v>
      </c>
      <c r="AF89" s="152">
        <f>ROUND(IF(AE89&gt;=300,1000+3*(AE89-300)^MIN(MAX(1.05/(AE89^0.019),1.09),1.119),1000-3*(300-AE89))*(1+IF(Overview!$B$14="Ants",ant_explore_penalty,0)+MIN(tech_explore_cost*Techs!Z89,tech_explore_cost2*Techs!AB89,tech_enchanted_lands_explore*Techs!AT89)),0)</f>
        <v>4787</v>
      </c>
      <c r="AG89" s="164">
        <f>ROUND(MAX(IF(AE89&gt;=300,5+0.003*(AE89-300)^1.07,5-300/AE89)+MIN(tech_explore_draft1*Techs!AA89,tech_explore_draft2*Techs!AB89),3),0)</f>
        <v>8</v>
      </c>
      <c r="AH89" s="164">
        <f t="shared" si="6"/>
        <v>0</v>
      </c>
      <c r="AI89" s="166">
        <f t="shared" si="7"/>
        <v>0</v>
      </c>
    </row>
    <row r="90" spans="1:35" s="16" customFormat="1">
      <c r="A90" s="513">
        <f>Rezone!J90</f>
        <v>88</v>
      </c>
      <c r="B90" s="53">
        <f>Construction!E90</f>
        <v>1000</v>
      </c>
      <c r="C90" s="53"/>
      <c r="D90" s="68">
        <f>Construction!F90</f>
        <v>0</v>
      </c>
      <c r="E90" s="29">
        <f>Construction!G90</f>
        <v>100</v>
      </c>
      <c r="F90" s="30">
        <f>Construction!H90</f>
        <v>150</v>
      </c>
      <c r="G90" s="31">
        <f>Construction!I90</f>
        <v>150</v>
      </c>
      <c r="H90" s="32">
        <f>Construction!J90</f>
        <v>100</v>
      </c>
      <c r="I90" s="33">
        <f>Construction!K90</f>
        <v>20</v>
      </c>
      <c r="J90" s="69">
        <f>Construction!L90</f>
        <v>100</v>
      </c>
      <c r="L90" s="531"/>
      <c r="M90" s="844"/>
      <c r="N90" s="60">
        <f>Military!AB90</f>
        <v>0.2</v>
      </c>
      <c r="O90" s="59">
        <f ca="1">Population!I90</f>
        <v>1</v>
      </c>
      <c r="P90" s="91">
        <f ca="1">Imps!J90</f>
        <v>1</v>
      </c>
      <c r="Q90" s="53">
        <f t="shared" si="5"/>
        <v>1000</v>
      </c>
      <c r="R90" s="634">
        <f t="shared" si="9"/>
        <v>88</v>
      </c>
      <c r="S90" s="340"/>
      <c r="T90" s="363"/>
      <c r="U90" s="348"/>
      <c r="V90" s="348"/>
      <c r="W90" s="348"/>
      <c r="X90" s="348"/>
      <c r="Y90" s="348"/>
      <c r="Z90" s="357"/>
      <c r="AA90" s="537">
        <f>Imps!BY90</f>
        <v>43695.624999999789</v>
      </c>
      <c r="AB90" s="156">
        <f ca="1">Military!Z90</f>
        <v>3695</v>
      </c>
      <c r="AC90" s="57">
        <f ca="1">Production!H90</f>
        <v>3874148</v>
      </c>
      <c r="AE90" s="63">
        <f t="shared" si="8"/>
        <v>1000</v>
      </c>
      <c r="AF90" s="152">
        <f>ROUND(IF(AE90&gt;=300,1000+3*(AE90-300)^MIN(MAX(1.05/(AE90^0.019),1.09),1.119),1000-3*(300-AE90))*(1+IF(Overview!$B$14="Ants",ant_explore_penalty,0)+MIN(tech_explore_cost*Techs!Z90,tech_explore_cost2*Techs!AB90,tech_enchanted_lands_explore*Techs!AT90)),0)</f>
        <v>4787</v>
      </c>
      <c r="AG90" s="164">
        <f>ROUND(MAX(IF(AE90&gt;=300,5+0.003*(AE90-300)^1.07,5-300/AE90)+MIN(tech_explore_draft1*Techs!AA90,tech_explore_draft2*Techs!AB90),3),0)</f>
        <v>8</v>
      </c>
      <c r="AH90" s="26">
        <f t="shared" si="6"/>
        <v>0</v>
      </c>
      <c r="AI90" s="57">
        <f t="shared" si="7"/>
        <v>0</v>
      </c>
    </row>
    <row r="91" spans="1:35" s="16" customFormat="1">
      <c r="A91" s="513">
        <f>Rezone!J91</f>
        <v>89</v>
      </c>
      <c r="B91" s="53">
        <f>Construction!E91</f>
        <v>1000</v>
      </c>
      <c r="C91" s="53"/>
      <c r="D91" s="68">
        <f>Construction!F91</f>
        <v>0</v>
      </c>
      <c r="E91" s="29">
        <f>Construction!G91</f>
        <v>100</v>
      </c>
      <c r="F91" s="30">
        <f>Construction!H91</f>
        <v>150</v>
      </c>
      <c r="G91" s="31">
        <f>Construction!I91</f>
        <v>150</v>
      </c>
      <c r="H91" s="32">
        <f>Construction!J91</f>
        <v>100</v>
      </c>
      <c r="I91" s="33">
        <f>Construction!K91</f>
        <v>20</v>
      </c>
      <c r="J91" s="69">
        <f>Construction!L91</f>
        <v>100</v>
      </c>
      <c r="L91" s="531"/>
      <c r="M91" s="844"/>
      <c r="N91" s="60">
        <f>Military!AB91</f>
        <v>0.2</v>
      </c>
      <c r="O91" s="59">
        <f ca="1">Population!I91</f>
        <v>1</v>
      </c>
      <c r="P91" s="91">
        <f ca="1">Imps!J91</f>
        <v>1</v>
      </c>
      <c r="Q91" s="53">
        <f t="shared" si="5"/>
        <v>1000</v>
      </c>
      <c r="R91" s="634">
        <f t="shared" si="9"/>
        <v>89</v>
      </c>
      <c r="S91" s="340"/>
      <c r="T91" s="363"/>
      <c r="U91" s="348"/>
      <c r="V91" s="348"/>
      <c r="W91" s="348"/>
      <c r="X91" s="348"/>
      <c r="Y91" s="348"/>
      <c r="Z91" s="357"/>
      <c r="AA91" s="537">
        <f>Imps!BY91</f>
        <v>43695.666666666453</v>
      </c>
      <c r="AB91" s="156">
        <f ca="1">Military!Z91</f>
        <v>3695</v>
      </c>
      <c r="AC91" s="57">
        <f ca="1">Production!H91</f>
        <v>3884799</v>
      </c>
      <c r="AE91" s="63">
        <f t="shared" si="8"/>
        <v>1000</v>
      </c>
      <c r="AF91" s="152">
        <f>ROUND(IF(AE91&gt;=300,1000+3*(AE91-300)^MIN(MAX(1.05/(AE91^0.019),1.09),1.119),1000-3*(300-AE91))*(1+IF(Overview!$B$14="Ants",ant_explore_penalty,0)+MIN(tech_explore_cost*Techs!Z91,tech_explore_cost2*Techs!AB91,tech_enchanted_lands_explore*Techs!AT91)),0)</f>
        <v>4787</v>
      </c>
      <c r="AG91" s="164">
        <f>ROUND(MAX(IF(AE91&gt;=300,5+0.003*(AE91-300)^1.07,5-300/AE91)+MIN(tech_explore_draft1*Techs!AA91,tech_explore_draft2*Techs!AB91),3),0)</f>
        <v>8</v>
      </c>
      <c r="AH91" s="26">
        <f t="shared" si="6"/>
        <v>0</v>
      </c>
      <c r="AI91" s="57">
        <f t="shared" si="7"/>
        <v>0</v>
      </c>
    </row>
    <row r="92" spans="1:35" s="16" customFormat="1">
      <c r="A92" s="513">
        <f>Rezone!J92</f>
        <v>90</v>
      </c>
      <c r="B92" s="53">
        <f>Construction!E92</f>
        <v>1000</v>
      </c>
      <c r="C92" s="53"/>
      <c r="D92" s="68">
        <f>Construction!F92</f>
        <v>0</v>
      </c>
      <c r="E92" s="29">
        <f>Construction!G92</f>
        <v>100</v>
      </c>
      <c r="F92" s="30">
        <f>Construction!H92</f>
        <v>150</v>
      </c>
      <c r="G92" s="31">
        <f>Construction!I92</f>
        <v>150</v>
      </c>
      <c r="H92" s="32">
        <f>Construction!J92</f>
        <v>100</v>
      </c>
      <c r="I92" s="33">
        <f>Construction!K92</f>
        <v>20</v>
      </c>
      <c r="J92" s="69">
        <f>Construction!L92</f>
        <v>100</v>
      </c>
      <c r="L92" s="531"/>
      <c r="M92" s="844"/>
      <c r="N92" s="60">
        <f>Military!AB92</f>
        <v>0.2</v>
      </c>
      <c r="O92" s="59">
        <f ca="1">Population!I92</f>
        <v>1</v>
      </c>
      <c r="P92" s="91">
        <f ca="1">Imps!J92</f>
        <v>1</v>
      </c>
      <c r="Q92" s="63">
        <f t="shared" si="5"/>
        <v>1000</v>
      </c>
      <c r="R92" s="634">
        <f t="shared" si="9"/>
        <v>90</v>
      </c>
      <c r="S92" s="340"/>
      <c r="T92" s="348"/>
      <c r="U92" s="348"/>
      <c r="V92" s="348"/>
      <c r="W92" s="348"/>
      <c r="X92" s="348"/>
      <c r="Y92" s="348"/>
      <c r="Z92" s="357"/>
      <c r="AA92" s="537">
        <f>Imps!BY92</f>
        <v>43695.708333333117</v>
      </c>
      <c r="AB92" s="156">
        <f ca="1">Military!Z92</f>
        <v>3695</v>
      </c>
      <c r="AC92" s="57">
        <f ca="1">Production!H92</f>
        <v>3895450</v>
      </c>
      <c r="AE92" s="63">
        <f t="shared" si="8"/>
        <v>1000</v>
      </c>
      <c r="AF92" s="152">
        <f>ROUND(IF(AE92&gt;=300,1000+3*(AE92-300)^MIN(MAX(1.05/(AE92^0.019),1.09),1.119),1000-3*(300-AE92))*(1+IF(Overview!$B$14="Ants",ant_explore_penalty,0)+MIN(tech_explore_cost*Techs!Z92,tech_explore_cost2*Techs!AB92,tech_enchanted_lands_explore*Techs!AT92)),0)</f>
        <v>4787</v>
      </c>
      <c r="AG92" s="164">
        <f>ROUND(MAX(IF(AE92&gt;=300,5+0.003*(AE92-300)^1.07,5-300/AE92)+MIN(tech_explore_draft1*Techs!AA92,tech_explore_draft2*Techs!AB92),3),0)</f>
        <v>8</v>
      </c>
      <c r="AH92" s="26">
        <f t="shared" si="6"/>
        <v>0</v>
      </c>
      <c r="AI92" s="57">
        <f t="shared" si="7"/>
        <v>0</v>
      </c>
    </row>
    <row r="93" spans="1:35" s="16" customFormat="1">
      <c r="A93" s="513">
        <f>Rezone!J93</f>
        <v>91</v>
      </c>
      <c r="B93" s="53">
        <f>Construction!E93</f>
        <v>1000</v>
      </c>
      <c r="C93" s="53"/>
      <c r="D93" s="68">
        <f>Construction!F93</f>
        <v>0</v>
      </c>
      <c r="E93" s="29">
        <f>Construction!G93</f>
        <v>100</v>
      </c>
      <c r="F93" s="30">
        <f>Construction!H93</f>
        <v>150</v>
      </c>
      <c r="G93" s="31">
        <f>Construction!I93</f>
        <v>150</v>
      </c>
      <c r="H93" s="32">
        <f>Construction!J93</f>
        <v>100</v>
      </c>
      <c r="I93" s="33">
        <f>Construction!K93</f>
        <v>20</v>
      </c>
      <c r="J93" s="69">
        <f>Construction!L93</f>
        <v>100</v>
      </c>
      <c r="L93" s="531"/>
      <c r="M93" s="844"/>
      <c r="N93" s="60">
        <f>Military!AB93</f>
        <v>0.2</v>
      </c>
      <c r="O93" s="59">
        <f ca="1">Population!I93</f>
        <v>1</v>
      </c>
      <c r="P93" s="91">
        <f ca="1">Imps!J93</f>
        <v>1</v>
      </c>
      <c r="Q93" s="63">
        <f t="shared" si="5"/>
        <v>1000</v>
      </c>
      <c r="R93" s="634">
        <f t="shared" si="9"/>
        <v>91</v>
      </c>
      <c r="S93" s="340"/>
      <c r="T93" s="348"/>
      <c r="U93" s="348"/>
      <c r="V93" s="348"/>
      <c r="W93" s="348"/>
      <c r="X93" s="348"/>
      <c r="Y93" s="348"/>
      <c r="Z93" s="357"/>
      <c r="AA93" s="537">
        <f>Imps!BY93</f>
        <v>43695.749999999782</v>
      </c>
      <c r="AB93" s="156">
        <f ca="1">Military!Z93</f>
        <v>3695</v>
      </c>
      <c r="AC93" s="57">
        <f ca="1">Production!H93</f>
        <v>3906101</v>
      </c>
      <c r="AE93" s="63">
        <f t="shared" si="8"/>
        <v>1000</v>
      </c>
      <c r="AF93" s="152">
        <f>ROUND(IF(AE93&gt;=300,1000+3*(AE93-300)^MIN(MAX(1.05/(AE93^0.019),1.09),1.119),1000-3*(300-AE93))*(1+IF(Overview!$B$14="Ants",ant_explore_penalty,0)+MIN(tech_explore_cost*Techs!Z93,tech_explore_cost2*Techs!AB93,tech_enchanted_lands_explore*Techs!AT93)),0)</f>
        <v>4787</v>
      </c>
      <c r="AG93" s="164">
        <f>ROUND(MAX(IF(AE93&gt;=300,5+0.003*(AE93-300)^1.07,5-300/AE93)+MIN(tech_explore_draft1*Techs!AA93,tech_explore_draft2*Techs!AB93),3),0)</f>
        <v>8</v>
      </c>
      <c r="AH93" s="26">
        <f t="shared" si="6"/>
        <v>0</v>
      </c>
      <c r="AI93" s="57">
        <f t="shared" si="7"/>
        <v>0</v>
      </c>
    </row>
    <row r="94" spans="1:35" s="16" customFormat="1" ht="13.5" thickBot="1">
      <c r="A94" s="513">
        <f>Rezone!J94</f>
        <v>92</v>
      </c>
      <c r="B94" s="53">
        <f>Construction!E94</f>
        <v>1000</v>
      </c>
      <c r="C94" s="53"/>
      <c r="D94" s="68">
        <f>Construction!F94</f>
        <v>0</v>
      </c>
      <c r="E94" s="29">
        <f>Construction!G94</f>
        <v>100</v>
      </c>
      <c r="F94" s="30">
        <f>Construction!H94</f>
        <v>150</v>
      </c>
      <c r="G94" s="31">
        <f>Construction!I94</f>
        <v>150</v>
      </c>
      <c r="H94" s="32">
        <f>Construction!J94</f>
        <v>100</v>
      </c>
      <c r="I94" s="33">
        <f>Construction!K94</f>
        <v>20</v>
      </c>
      <c r="J94" s="69">
        <f>Construction!L94</f>
        <v>100</v>
      </c>
      <c r="L94" s="643"/>
      <c r="M94" s="845"/>
      <c r="N94" s="60">
        <f>Military!AB94</f>
        <v>0.2</v>
      </c>
      <c r="O94" s="59">
        <f ca="1">Population!I94</f>
        <v>1</v>
      </c>
      <c r="P94" s="91">
        <f ca="1">Imps!J94</f>
        <v>1</v>
      </c>
      <c r="Q94" s="63">
        <f t="shared" si="5"/>
        <v>1000</v>
      </c>
      <c r="R94" s="634">
        <f t="shared" si="9"/>
        <v>92</v>
      </c>
      <c r="S94" s="340"/>
      <c r="T94" s="348"/>
      <c r="U94" s="348"/>
      <c r="V94" s="348"/>
      <c r="W94" s="348"/>
      <c r="X94" s="348"/>
      <c r="Y94" s="348"/>
      <c r="Z94" s="357"/>
      <c r="AA94" s="537">
        <f>Imps!BY94</f>
        <v>43695.791666666446</v>
      </c>
      <c r="AB94" s="156">
        <f ca="1">Military!Z94</f>
        <v>3695</v>
      </c>
      <c r="AC94" s="57">
        <f ca="1">Production!H94</f>
        <v>3916752</v>
      </c>
      <c r="AE94" s="63">
        <f t="shared" si="8"/>
        <v>1000</v>
      </c>
      <c r="AF94" s="152">
        <f>ROUND(IF(AE94&gt;=300,1000+3*(AE94-300)^MIN(MAX(1.05/(AE94^0.019),1.09),1.119),1000-3*(300-AE94))*(1+IF(Overview!$B$14="Ants",ant_explore_penalty,0)+MIN(tech_explore_cost*Techs!Z94,tech_explore_cost2*Techs!AB94,tech_enchanted_lands_explore*Techs!AT94)),0)</f>
        <v>4787</v>
      </c>
      <c r="AG94" s="164">
        <f>ROUND(MAX(IF(AE94&gt;=300,5+0.003*(AE94-300)^1.07,5-300/AE94)+MIN(tech_explore_draft1*Techs!AA94,tech_explore_draft2*Techs!AB94),3),0)</f>
        <v>8</v>
      </c>
      <c r="AH94" s="26">
        <f t="shared" si="6"/>
        <v>0</v>
      </c>
      <c r="AI94" s="57">
        <f t="shared" si="7"/>
        <v>0</v>
      </c>
    </row>
    <row r="95" spans="1:35" s="16" customFormat="1">
      <c r="A95" s="513">
        <f>Rezone!J95</f>
        <v>93</v>
      </c>
      <c r="B95" s="53">
        <f>Construction!E95</f>
        <v>1000</v>
      </c>
      <c r="C95" s="53"/>
      <c r="D95" s="68">
        <f>Construction!F95</f>
        <v>0</v>
      </c>
      <c r="E95" s="29">
        <f>Construction!G95</f>
        <v>100</v>
      </c>
      <c r="F95" s="30">
        <f>Construction!H95</f>
        <v>150</v>
      </c>
      <c r="G95" s="31">
        <f>Construction!I95</f>
        <v>150</v>
      </c>
      <c r="H95" s="32">
        <f>Construction!J95</f>
        <v>100</v>
      </c>
      <c r="I95" s="33">
        <f>Construction!K95</f>
        <v>20</v>
      </c>
      <c r="J95" s="69">
        <f>Construction!L95</f>
        <v>100</v>
      </c>
      <c r="N95" s="91">
        <f>Military!AB95</f>
        <v>0.2</v>
      </c>
      <c r="O95" s="59">
        <f ca="1">Population!I95</f>
        <v>1</v>
      </c>
      <c r="P95" s="91">
        <f ca="1">Imps!J95</f>
        <v>1</v>
      </c>
      <c r="Q95" s="53">
        <f t="shared" si="5"/>
        <v>1000</v>
      </c>
      <c r="R95" s="649">
        <f t="shared" si="9"/>
        <v>93</v>
      </c>
      <c r="S95" s="340"/>
      <c r="T95" s="345"/>
      <c r="U95" s="348"/>
      <c r="V95" s="348"/>
      <c r="W95" s="348"/>
      <c r="X95" s="348"/>
      <c r="Y95" s="348"/>
      <c r="Z95" s="357"/>
      <c r="AA95" s="537">
        <f>Imps!BY95</f>
        <v>43695.83333333311</v>
      </c>
      <c r="AB95" s="156">
        <f ca="1">Military!Z95</f>
        <v>3695</v>
      </c>
      <c r="AC95" s="57">
        <f ca="1">Production!H95</f>
        <v>3927403</v>
      </c>
      <c r="AE95" s="63">
        <f t="shared" si="8"/>
        <v>1000</v>
      </c>
      <c r="AF95" s="152">
        <f>ROUND(IF(AE95&gt;=300,1000+3*(AE95-300)^MIN(MAX(1.05/(AE95^0.019),1.09),1.119),1000-3*(300-AE95))*(1+IF(Overview!$B$14="Ants",ant_explore_penalty,0)+MIN(tech_explore_cost*Techs!Z95,tech_explore_cost2*Techs!AB95,tech_enchanted_lands_explore*Techs!AT95)),0)</f>
        <v>4787</v>
      </c>
      <c r="AG95" s="164">
        <f>ROUND(MAX(IF(AE95&gt;=300,5+0.003*(AE95-300)^1.07,5-300/AE95)+MIN(tech_explore_draft1*Techs!AA95,tech_explore_draft2*Techs!AB95),3),0)</f>
        <v>8</v>
      </c>
      <c r="AH95" s="26">
        <f t="shared" si="6"/>
        <v>0</v>
      </c>
      <c r="AI95" s="57">
        <f t="shared" si="7"/>
        <v>0</v>
      </c>
    </row>
    <row r="96" spans="1:35" s="16" customFormat="1">
      <c r="A96" s="513">
        <f>Rezone!J96</f>
        <v>94</v>
      </c>
      <c r="B96" s="53">
        <f>Construction!E96</f>
        <v>1000</v>
      </c>
      <c r="C96" s="53"/>
      <c r="D96" s="68">
        <f>Construction!F96</f>
        <v>0</v>
      </c>
      <c r="E96" s="29">
        <f>Construction!G96</f>
        <v>100</v>
      </c>
      <c r="F96" s="30">
        <f>Construction!H96</f>
        <v>150</v>
      </c>
      <c r="G96" s="31">
        <f>Construction!I96</f>
        <v>150</v>
      </c>
      <c r="H96" s="32">
        <f>Construction!J96</f>
        <v>100</v>
      </c>
      <c r="I96" s="33">
        <f>Construction!K96</f>
        <v>20</v>
      </c>
      <c r="J96" s="69">
        <f>Construction!L96</f>
        <v>100</v>
      </c>
      <c r="L96" s="1432"/>
      <c r="M96" s="1471"/>
      <c r="N96" s="91">
        <f>Military!AB96</f>
        <v>0.2</v>
      </c>
      <c r="O96" s="59">
        <f ca="1">Population!I96</f>
        <v>1</v>
      </c>
      <c r="P96" s="91">
        <f ca="1">Imps!J96</f>
        <v>1</v>
      </c>
      <c r="Q96" s="53">
        <f t="shared" si="5"/>
        <v>1000</v>
      </c>
      <c r="R96" s="649">
        <f t="shared" si="9"/>
        <v>94</v>
      </c>
      <c r="S96" s="340"/>
      <c r="T96" s="348"/>
      <c r="U96" s="348"/>
      <c r="V96" s="348"/>
      <c r="W96" s="348"/>
      <c r="X96" s="348"/>
      <c r="Y96" s="348"/>
      <c r="Z96" s="357"/>
      <c r="AA96" s="537">
        <f>Imps!BY96</f>
        <v>43695.874999999774</v>
      </c>
      <c r="AB96" s="156">
        <f ca="1">Military!Z96</f>
        <v>3695</v>
      </c>
      <c r="AC96" s="57">
        <f ca="1">Production!H96</f>
        <v>3938054</v>
      </c>
      <c r="AE96" s="63">
        <f t="shared" si="8"/>
        <v>1000</v>
      </c>
      <c r="AF96" s="152">
        <f>ROUND(IF(AE96&gt;=300,1000+3*(AE96-300)^MIN(MAX(1.05/(AE96^0.019),1.09),1.119),1000-3*(300-AE96))*(1+IF(Overview!$B$14="Ants",ant_explore_penalty,0)+MIN(tech_explore_cost*Techs!Z96,tech_explore_cost2*Techs!AB96,tech_enchanted_lands_explore*Techs!AT96)),0)</f>
        <v>4787</v>
      </c>
      <c r="AG96" s="164">
        <f>ROUND(MAX(IF(AE96&gt;=300,5+0.003*(AE96-300)^1.07,5-300/AE96)+MIN(tech_explore_draft1*Techs!AA96,tech_explore_draft2*Techs!AB96),3),0)</f>
        <v>8</v>
      </c>
      <c r="AH96" s="26">
        <f t="shared" si="6"/>
        <v>0</v>
      </c>
      <c r="AI96" s="57">
        <f t="shared" si="7"/>
        <v>0</v>
      </c>
    </row>
    <row r="97" spans="1:35" s="16" customFormat="1">
      <c r="A97" s="513">
        <f>Rezone!J97</f>
        <v>95</v>
      </c>
      <c r="B97" s="53">
        <f>Construction!E97</f>
        <v>1000</v>
      </c>
      <c r="C97" s="53"/>
      <c r="D97" s="68">
        <f>Construction!F97</f>
        <v>0</v>
      </c>
      <c r="E97" s="29">
        <f>Construction!G97</f>
        <v>100</v>
      </c>
      <c r="F97" s="30">
        <f>Construction!H97</f>
        <v>150</v>
      </c>
      <c r="G97" s="31">
        <f>Construction!I97</f>
        <v>150</v>
      </c>
      <c r="H97" s="32">
        <f>Construction!J97</f>
        <v>100</v>
      </c>
      <c r="I97" s="33">
        <f>Construction!K97</f>
        <v>20</v>
      </c>
      <c r="J97" s="69">
        <f>Construction!L97</f>
        <v>100</v>
      </c>
      <c r="L97" s="70"/>
      <c r="M97" s="829"/>
      <c r="N97" s="91">
        <f>Military!AB97</f>
        <v>0.2</v>
      </c>
      <c r="O97" s="59">
        <f ca="1">Population!I97</f>
        <v>1</v>
      </c>
      <c r="P97" s="91">
        <f ca="1">Imps!J97</f>
        <v>1</v>
      </c>
      <c r="Q97" s="53">
        <f t="shared" si="5"/>
        <v>1000</v>
      </c>
      <c r="R97" s="634">
        <f t="shared" si="9"/>
        <v>95</v>
      </c>
      <c r="S97" s="340"/>
      <c r="T97" s="348"/>
      <c r="U97" s="348"/>
      <c r="V97" s="348"/>
      <c r="W97" s="348"/>
      <c r="X97" s="348"/>
      <c r="Y97" s="348"/>
      <c r="Z97" s="357"/>
      <c r="AA97" s="537">
        <f>Imps!BY97</f>
        <v>43695.916666666439</v>
      </c>
      <c r="AB97" s="156">
        <f ca="1">Military!Z97</f>
        <v>3695</v>
      </c>
      <c r="AC97" s="57">
        <f ca="1">Production!H97</f>
        <v>3948705</v>
      </c>
      <c r="AE97" s="63">
        <f t="shared" si="8"/>
        <v>1000</v>
      </c>
      <c r="AF97" s="152">
        <f>ROUND(IF(AE97&gt;=300,1000+3*(AE97-300)^MIN(MAX(1.05/(AE97^0.019),1.09),1.119),1000-3*(300-AE97))*(1+IF(Overview!$B$14="Ants",ant_explore_penalty,0)+MIN(tech_explore_cost*Techs!Z97,tech_explore_cost2*Techs!AB97,tech_enchanted_lands_explore*Techs!AT97)),0)</f>
        <v>4787</v>
      </c>
      <c r="AG97" s="164">
        <f>ROUND(MAX(IF(AE97&gt;=300,5+0.003*(AE97-300)^1.07,5-300/AE97)+MIN(tech_explore_draft1*Techs!AA97,tech_explore_draft2*Techs!AB97),3),0)</f>
        <v>8</v>
      </c>
      <c r="AH97" s="26">
        <f t="shared" si="6"/>
        <v>0</v>
      </c>
      <c r="AI97" s="57">
        <f t="shared" si="7"/>
        <v>0</v>
      </c>
    </row>
    <row r="98" spans="1:35" s="170" customFormat="1" ht="13.5" thickBot="1">
      <c r="A98" s="510">
        <f>Rezone!J98</f>
        <v>96</v>
      </c>
      <c r="B98" s="157">
        <f>Construction!E98</f>
        <v>1000</v>
      </c>
      <c r="C98" s="157"/>
      <c r="D98" s="205">
        <f>Construction!F98</f>
        <v>0</v>
      </c>
      <c r="E98" s="206">
        <f>Construction!G98</f>
        <v>100</v>
      </c>
      <c r="F98" s="207">
        <f>Construction!H98</f>
        <v>150</v>
      </c>
      <c r="G98" s="208">
        <f>Construction!I98</f>
        <v>150</v>
      </c>
      <c r="H98" s="209">
        <f>Construction!J98</f>
        <v>100</v>
      </c>
      <c r="I98" s="210">
        <f>Construction!K98</f>
        <v>20</v>
      </c>
      <c r="J98" s="211">
        <f>Construction!L98</f>
        <v>100</v>
      </c>
      <c r="L98" s="156"/>
      <c r="M98" s="580"/>
      <c r="N98" s="251">
        <f>Military!AB98</f>
        <v>0.2</v>
      </c>
      <c r="O98" s="187">
        <f ca="1">Population!I98</f>
        <v>1</v>
      </c>
      <c r="P98" s="251">
        <f ca="1">Imps!J98</f>
        <v>1</v>
      </c>
      <c r="Q98" s="157">
        <f t="shared" si="5"/>
        <v>1000</v>
      </c>
      <c r="R98" s="634">
        <f t="shared" si="9"/>
        <v>96</v>
      </c>
      <c r="S98" s="335"/>
      <c r="T98" s="363"/>
      <c r="U98" s="345"/>
      <c r="V98" s="345"/>
      <c r="W98" s="345"/>
      <c r="X98" s="345"/>
      <c r="Y98" s="345"/>
      <c r="Z98" s="353"/>
      <c r="AA98" s="534">
        <f>Imps!BY98</f>
        <v>43695.958333333103</v>
      </c>
      <c r="AB98" s="156">
        <f ca="1">Military!Z98</f>
        <v>3695</v>
      </c>
      <c r="AC98" s="166">
        <f ca="1">Production!H98</f>
        <v>3959356</v>
      </c>
      <c r="AE98" s="159">
        <f t="shared" si="8"/>
        <v>1000</v>
      </c>
      <c r="AF98" s="152">
        <f>ROUND(IF(AE98&gt;=300,1000+3*(AE98-300)^MIN(MAX(1.05/(AE98^0.019),1.09),1.119),1000-3*(300-AE98))*(1+IF(Overview!$B$14="Ants",ant_explore_penalty,0)+MIN(tech_explore_cost*Techs!Z98,tech_explore_cost2*Techs!AB98,tech_enchanted_lands_explore*Techs!AT98)),0)</f>
        <v>4787</v>
      </c>
      <c r="AG98" s="164">
        <f>ROUND(MAX(IF(AE98&gt;=300,5+0.003*(AE98-300)^1.07,5-300/AE98)+MIN(tech_explore_draft1*Techs!AA98,tech_explore_draft2*Techs!AB98),3),0)</f>
        <v>8</v>
      </c>
      <c r="AH98" s="164">
        <f t="shared" si="6"/>
        <v>0</v>
      </c>
      <c r="AI98" s="166">
        <f t="shared" si="7"/>
        <v>0</v>
      </c>
    </row>
    <row r="99" spans="1:35" s="173" customFormat="1" ht="13.5" thickBot="1">
      <c r="A99" s="512">
        <f>Rezone!J99</f>
        <v>97</v>
      </c>
      <c r="B99" s="178">
        <f>Construction!E99</f>
        <v>1000</v>
      </c>
      <c r="C99" s="178"/>
      <c r="D99" s="219">
        <f>Construction!F99</f>
        <v>0</v>
      </c>
      <c r="E99" s="220">
        <f>Construction!G99</f>
        <v>100</v>
      </c>
      <c r="F99" s="221">
        <f>Construction!H99</f>
        <v>150</v>
      </c>
      <c r="G99" s="222">
        <f>Construction!I99</f>
        <v>150</v>
      </c>
      <c r="H99" s="223">
        <f>Construction!J99</f>
        <v>100</v>
      </c>
      <c r="I99" s="224">
        <f>Construction!K99</f>
        <v>20</v>
      </c>
      <c r="J99" s="225">
        <f>Construction!L99</f>
        <v>100</v>
      </c>
      <c r="L99" s="52"/>
      <c r="M99" s="580"/>
      <c r="N99" s="261">
        <f>Military!AB99</f>
        <v>0.2</v>
      </c>
      <c r="O99" s="192">
        <f ca="1">Population!I99</f>
        <v>1</v>
      </c>
      <c r="P99" s="261">
        <f ca="1">Imps!J99</f>
        <v>1</v>
      </c>
      <c r="Q99" s="180">
        <f t="shared" si="5"/>
        <v>1000</v>
      </c>
      <c r="R99" s="636">
        <f t="shared" si="9"/>
        <v>97</v>
      </c>
      <c r="S99" s="338"/>
      <c r="T99" s="347"/>
      <c r="U99" s="347"/>
      <c r="V99" s="347"/>
      <c r="W99" s="347"/>
      <c r="X99" s="347"/>
      <c r="Y99" s="347"/>
      <c r="Z99" s="355"/>
      <c r="AA99" s="536">
        <f>Imps!BY99</f>
        <v>43695.999999999767</v>
      </c>
      <c r="AB99" s="177">
        <f ca="1">Military!Z99</f>
        <v>3695</v>
      </c>
      <c r="AC99" s="179">
        <f ca="1">Production!H99</f>
        <v>3970007</v>
      </c>
      <c r="AE99" s="180">
        <f t="shared" si="8"/>
        <v>1000</v>
      </c>
      <c r="AF99" s="175">
        <f>ROUND(IF(AE99&gt;=300,1000+3*(AE99-300)^MIN(MAX(1.05/(AE99^0.019),1.09),1.119),1000-3*(300-AE99))*(1+IF(Overview!$B$14="Ants",ant_explore_penalty,0)+MIN(tech_explore_cost*Techs!Z99,tech_explore_cost2*Techs!AB99,tech_enchanted_lands_explore*Techs!AT99)),0)</f>
        <v>4787</v>
      </c>
      <c r="AG99" s="174">
        <f>ROUND(MAX(IF(AE99&gt;=300,5+0.003*(AE99-300)^1.07,5-300/AE99)+MIN(tech_explore_draft1*Techs!AA99,tech_explore_draft2*Techs!AB99),3),0)</f>
        <v>8</v>
      </c>
      <c r="AH99" s="174">
        <f t="shared" si="6"/>
        <v>0</v>
      </c>
      <c r="AI99" s="179">
        <f t="shared" si="7"/>
        <v>0</v>
      </c>
    </row>
    <row r="100" spans="1:35" s="170" customFormat="1">
      <c r="A100" s="510">
        <f>Rezone!J100</f>
        <v>98</v>
      </c>
      <c r="B100" s="157">
        <f>Construction!E100</f>
        <v>1000</v>
      </c>
      <c r="C100" s="157"/>
      <c r="D100" s="205">
        <f>Construction!F100</f>
        <v>0</v>
      </c>
      <c r="E100" s="206">
        <f>Construction!G100</f>
        <v>100</v>
      </c>
      <c r="F100" s="207">
        <f>Construction!H100</f>
        <v>150</v>
      </c>
      <c r="G100" s="208">
        <f>Construction!I100</f>
        <v>150</v>
      </c>
      <c r="H100" s="209">
        <f>Construction!J100</f>
        <v>100</v>
      </c>
      <c r="I100" s="210">
        <f>Construction!K100</f>
        <v>20</v>
      </c>
      <c r="J100" s="211">
        <f>Construction!L100</f>
        <v>100</v>
      </c>
      <c r="L100" s="52"/>
      <c r="M100" s="579"/>
      <c r="N100" s="251">
        <f>Military!AB100</f>
        <v>0.2</v>
      </c>
      <c r="O100" s="187">
        <f ca="1">Population!I100</f>
        <v>1</v>
      </c>
      <c r="P100" s="251">
        <f ca="1">Imps!J100</f>
        <v>1</v>
      </c>
      <c r="Q100" s="159">
        <f t="shared" si="5"/>
        <v>1000</v>
      </c>
      <c r="R100" s="634">
        <f t="shared" si="9"/>
        <v>98</v>
      </c>
      <c r="S100" s="335"/>
      <c r="T100" s="363"/>
      <c r="U100" s="345"/>
      <c r="V100" s="345"/>
      <c r="W100" s="345"/>
      <c r="X100" s="345"/>
      <c r="Y100" s="345"/>
      <c r="Z100" s="353"/>
      <c r="AA100" s="534">
        <f>Imps!BY100</f>
        <v>43696.041666666431</v>
      </c>
      <c r="AB100" s="156">
        <f ca="1">Military!Z100</f>
        <v>3695</v>
      </c>
      <c r="AC100" s="166">
        <f ca="1">Production!H100</f>
        <v>3980658</v>
      </c>
      <c r="AE100" s="159">
        <f t="shared" si="8"/>
        <v>1000</v>
      </c>
      <c r="AF100" s="152">
        <f>ROUND(IF(AE100&gt;=300,1000+3*(AE100-300)^MIN(MAX(1.05/(AE100^0.019),1.09),1.119),1000-3*(300-AE100))*(1+IF(Overview!$B$14="Ants",ant_explore_penalty,0)+MIN(tech_explore_cost*Techs!Z100,tech_explore_cost2*Techs!AB100,tech_enchanted_lands_explore*Techs!AT100)),0)</f>
        <v>4787</v>
      </c>
      <c r="AG100" s="164">
        <f>ROUND(MAX(IF(AE100&gt;=300,5+0.003*(AE100-300)^1.07,5-300/AE100)+MIN(tech_explore_draft1*Techs!AA100,tech_explore_draft2*Techs!AB100),3),0)</f>
        <v>8</v>
      </c>
      <c r="AH100" s="164">
        <f t="shared" si="6"/>
        <v>0</v>
      </c>
      <c r="AI100" s="166">
        <f t="shared" si="7"/>
        <v>0</v>
      </c>
    </row>
    <row r="101" spans="1:35" s="170" customFormat="1">
      <c r="A101" s="510">
        <f>Rezone!J101</f>
        <v>99</v>
      </c>
      <c r="B101" s="157">
        <f>Construction!E101</f>
        <v>1000</v>
      </c>
      <c r="C101" s="157"/>
      <c r="D101" s="205">
        <f>Construction!F101</f>
        <v>0</v>
      </c>
      <c r="E101" s="206">
        <f>Construction!G101</f>
        <v>100</v>
      </c>
      <c r="F101" s="207">
        <f>Construction!H101</f>
        <v>150</v>
      </c>
      <c r="G101" s="208">
        <f>Construction!I101</f>
        <v>150</v>
      </c>
      <c r="H101" s="209">
        <f>Construction!J101</f>
        <v>100</v>
      </c>
      <c r="I101" s="210">
        <f>Construction!K101</f>
        <v>20</v>
      </c>
      <c r="J101" s="211">
        <f>Construction!L101</f>
        <v>100</v>
      </c>
      <c r="L101" s="156"/>
      <c r="M101" s="166"/>
      <c r="N101" s="251">
        <f>Military!AB101</f>
        <v>0.2</v>
      </c>
      <c r="O101" s="187">
        <f ca="1">Population!I101</f>
        <v>1</v>
      </c>
      <c r="P101" s="251">
        <f ca="1">Imps!J101</f>
        <v>1</v>
      </c>
      <c r="Q101" s="159">
        <f t="shared" si="5"/>
        <v>1000</v>
      </c>
      <c r="R101" s="634">
        <f t="shared" si="9"/>
        <v>99</v>
      </c>
      <c r="S101" s="335"/>
      <c r="T101" s="363"/>
      <c r="U101" s="345"/>
      <c r="V101" s="345"/>
      <c r="W101" s="345"/>
      <c r="X101" s="345"/>
      <c r="Y101" s="345"/>
      <c r="Z101" s="353"/>
      <c r="AA101" s="534">
        <f>Imps!BY101</f>
        <v>43696.083333333096</v>
      </c>
      <c r="AB101" s="156">
        <f ca="1">Military!Z101</f>
        <v>3695</v>
      </c>
      <c r="AC101" s="166">
        <f ca="1">Production!H101</f>
        <v>3991309</v>
      </c>
      <c r="AE101" s="159">
        <f t="shared" si="8"/>
        <v>1000</v>
      </c>
      <c r="AF101" s="152">
        <f>ROUND(IF(AE101&gt;=300,1000+3*(AE101-300)^MIN(MAX(1.05/(AE101^0.019),1.09),1.119),1000-3*(300-AE101))*(1+IF(Overview!$B$14="Ants",ant_explore_penalty,0)+MIN(tech_explore_cost*Techs!Z101,tech_explore_cost2*Techs!AB101,tech_enchanted_lands_explore*Techs!AT101)),0)</f>
        <v>4787</v>
      </c>
      <c r="AG101" s="164">
        <f>ROUND(MAX(IF(AE101&gt;=300,5+0.003*(AE101-300)^1.07,5-300/AE101)+MIN(tech_explore_draft1*Techs!AA101,tech_explore_draft2*Techs!AB101),3),0)</f>
        <v>8</v>
      </c>
      <c r="AH101" s="164">
        <f t="shared" si="6"/>
        <v>0</v>
      </c>
      <c r="AI101" s="166">
        <f t="shared" si="7"/>
        <v>0</v>
      </c>
    </row>
    <row r="102" spans="1:35" s="16" customFormat="1">
      <c r="A102" s="513">
        <f>Rezone!J102</f>
        <v>100</v>
      </c>
      <c r="B102" s="53">
        <f>Construction!E102</f>
        <v>1000</v>
      </c>
      <c r="C102" s="53"/>
      <c r="D102" s="68">
        <f>Construction!F102</f>
        <v>0</v>
      </c>
      <c r="E102" s="29">
        <f>Construction!G102</f>
        <v>100</v>
      </c>
      <c r="F102" s="30">
        <f>Construction!H102</f>
        <v>150</v>
      </c>
      <c r="G102" s="31">
        <f>Construction!I102</f>
        <v>150</v>
      </c>
      <c r="H102" s="32">
        <f>Construction!J102</f>
        <v>100</v>
      </c>
      <c r="I102" s="33">
        <f>Construction!K102</f>
        <v>20</v>
      </c>
      <c r="J102" s="69">
        <f>Construction!L102</f>
        <v>100</v>
      </c>
      <c r="L102" s="156"/>
      <c r="M102" s="166"/>
      <c r="N102" s="91">
        <f>Military!AB102</f>
        <v>0.2</v>
      </c>
      <c r="O102" s="59">
        <f ca="1">Population!I102</f>
        <v>1</v>
      </c>
      <c r="P102" s="91">
        <f ca="1">Imps!J102</f>
        <v>1</v>
      </c>
      <c r="Q102" s="63">
        <f t="shared" si="5"/>
        <v>1000</v>
      </c>
      <c r="R102" s="634">
        <f t="shared" si="9"/>
        <v>100</v>
      </c>
      <c r="S102" s="340"/>
      <c r="T102" s="363"/>
      <c r="U102" s="348"/>
      <c r="V102" s="348"/>
      <c r="W102" s="348"/>
      <c r="X102" s="348"/>
      <c r="Y102" s="348"/>
      <c r="Z102" s="357"/>
      <c r="AA102" s="537">
        <f>Imps!BY102</f>
        <v>43696.12499999976</v>
      </c>
      <c r="AB102" s="156">
        <f ca="1">Military!Z102</f>
        <v>3695</v>
      </c>
      <c r="AC102" s="57">
        <f ca="1">Production!H102</f>
        <v>4001960</v>
      </c>
      <c r="AE102" s="63">
        <f t="shared" si="8"/>
        <v>1000</v>
      </c>
      <c r="AF102" s="152">
        <f>ROUND(IF(AE102&gt;=300,1000+3*(AE102-300)^MIN(MAX(1.05/(AE102^0.019),1.09),1.119),1000-3*(300-AE102))*(1+IF(Overview!$B$14="Ants",ant_explore_penalty,0)+MIN(tech_explore_cost*Techs!Z102,tech_explore_cost2*Techs!AB102,tech_enchanted_lands_explore*Techs!AT102)),0)</f>
        <v>4787</v>
      </c>
      <c r="AG102" s="164">
        <f>ROUND(MAX(IF(AE102&gt;=300,5+0.003*(AE102-300)^1.07,5-300/AE102)+MIN(tech_explore_draft1*Techs!AA102,tech_explore_draft2*Techs!AB102),3),0)</f>
        <v>8</v>
      </c>
      <c r="AH102" s="26">
        <f t="shared" si="6"/>
        <v>0</v>
      </c>
      <c r="AI102" s="57">
        <f t="shared" si="7"/>
        <v>0</v>
      </c>
    </row>
    <row r="103" spans="1:35" s="16" customFormat="1">
      <c r="A103" s="513">
        <f>Rezone!J103</f>
        <v>101</v>
      </c>
      <c r="B103" s="53">
        <f>Construction!E103</f>
        <v>1000</v>
      </c>
      <c r="C103" s="53"/>
      <c r="D103" s="68">
        <f>Construction!F103</f>
        <v>0</v>
      </c>
      <c r="E103" s="29">
        <f>Construction!G103</f>
        <v>100</v>
      </c>
      <c r="F103" s="30">
        <f>Construction!H103</f>
        <v>150</v>
      </c>
      <c r="G103" s="31">
        <f>Construction!I103</f>
        <v>150</v>
      </c>
      <c r="H103" s="32">
        <f>Construction!J103</f>
        <v>100</v>
      </c>
      <c r="I103" s="33">
        <f>Construction!K103</f>
        <v>20</v>
      </c>
      <c r="J103" s="69">
        <f>Construction!L103</f>
        <v>100</v>
      </c>
      <c r="L103" s="538"/>
      <c r="M103" s="236"/>
      <c r="N103" s="91">
        <f>Military!AB103</f>
        <v>0.2</v>
      </c>
      <c r="O103" s="59">
        <f ca="1">Population!I103</f>
        <v>1</v>
      </c>
      <c r="P103" s="91">
        <f ca="1">Imps!J103</f>
        <v>1</v>
      </c>
      <c r="Q103" s="63">
        <f t="shared" si="5"/>
        <v>1000</v>
      </c>
      <c r="R103" s="634">
        <f t="shared" si="9"/>
        <v>101</v>
      </c>
      <c r="S103" s="340"/>
      <c r="T103" s="363"/>
      <c r="U103" s="348"/>
      <c r="V103" s="348"/>
      <c r="W103" s="348"/>
      <c r="X103" s="348"/>
      <c r="Y103" s="348"/>
      <c r="Z103" s="357"/>
      <c r="AA103" s="537">
        <f>Imps!BY103</f>
        <v>43696.166666666424</v>
      </c>
      <c r="AB103" s="156">
        <f ca="1">Military!Z103</f>
        <v>3695</v>
      </c>
      <c r="AC103" s="57">
        <f ca="1">Production!H103</f>
        <v>4012611</v>
      </c>
      <c r="AE103" s="63">
        <f t="shared" si="8"/>
        <v>1000</v>
      </c>
      <c r="AF103" s="152">
        <f>ROUND(IF(AE103&gt;=300,1000+3*(AE103-300)^MIN(MAX(1.05/(AE103^0.019),1.09),1.119),1000-3*(300-AE103))*(1+IF(Overview!$B$14="Ants",ant_explore_penalty,0)+MIN(tech_explore_cost*Techs!Z103,tech_explore_cost2*Techs!AB103,tech_enchanted_lands_explore*Techs!AT103)),0)</f>
        <v>4787</v>
      </c>
      <c r="AG103" s="164">
        <f>ROUND(MAX(IF(AE103&gt;=300,5+0.003*(AE103-300)^1.07,5-300/AE103)+MIN(tech_explore_draft1*Techs!AA103,tech_explore_draft2*Techs!AB103),3),0)</f>
        <v>8</v>
      </c>
      <c r="AH103" s="26">
        <f t="shared" si="6"/>
        <v>0</v>
      </c>
      <c r="AI103" s="57">
        <f t="shared" si="7"/>
        <v>0</v>
      </c>
    </row>
    <row r="104" spans="1:35" s="16" customFormat="1">
      <c r="A104" s="513">
        <f>Rezone!J104</f>
        <v>102</v>
      </c>
      <c r="B104" s="53">
        <f>Construction!E104</f>
        <v>1000</v>
      </c>
      <c r="C104" s="53"/>
      <c r="D104" s="68">
        <f>Construction!F104</f>
        <v>0</v>
      </c>
      <c r="E104" s="29">
        <f>Construction!G104</f>
        <v>100</v>
      </c>
      <c r="F104" s="30">
        <f>Construction!H104</f>
        <v>150</v>
      </c>
      <c r="G104" s="31">
        <f>Construction!I104</f>
        <v>150</v>
      </c>
      <c r="H104" s="32">
        <f>Construction!J104</f>
        <v>100</v>
      </c>
      <c r="I104" s="33">
        <f>Construction!K104</f>
        <v>20</v>
      </c>
      <c r="J104" s="69">
        <f>Construction!L104</f>
        <v>100</v>
      </c>
      <c r="N104" s="91">
        <f>Military!AB104</f>
        <v>0.2</v>
      </c>
      <c r="O104" s="59">
        <f ca="1">Population!I104</f>
        <v>1</v>
      </c>
      <c r="P104" s="91">
        <f ca="1">Imps!J104</f>
        <v>1</v>
      </c>
      <c r="Q104" s="63">
        <f t="shared" si="5"/>
        <v>1000</v>
      </c>
      <c r="R104" s="634">
        <f t="shared" si="9"/>
        <v>102</v>
      </c>
      <c r="S104" s="340"/>
      <c r="T104" s="348"/>
      <c r="U104" s="348"/>
      <c r="V104" s="348"/>
      <c r="W104" s="348"/>
      <c r="X104" s="348"/>
      <c r="Y104" s="348"/>
      <c r="Z104" s="357"/>
      <c r="AA104" s="537">
        <f>Imps!BY104</f>
        <v>43696.208333333088</v>
      </c>
      <c r="AB104" s="156">
        <f ca="1">Military!Z104</f>
        <v>3695</v>
      </c>
      <c r="AC104" s="57">
        <f ca="1">Production!H104</f>
        <v>4023262</v>
      </c>
      <c r="AE104" s="63">
        <f t="shared" si="8"/>
        <v>1000</v>
      </c>
      <c r="AF104" s="152">
        <f>ROUND(IF(AE104&gt;=300,1000+3*(AE104-300)^MIN(MAX(1.05/(AE104^0.019),1.09),1.119),1000-3*(300-AE104))*(1+IF(Overview!$B$14="Ants",ant_explore_penalty,0)+MIN(tech_explore_cost*Techs!Z104,tech_explore_cost2*Techs!AB104,tech_enchanted_lands_explore*Techs!AT104)),0)</f>
        <v>4787</v>
      </c>
      <c r="AG104" s="164">
        <f>ROUND(MAX(IF(AE104&gt;=300,5+0.003*(AE104-300)^1.07,5-300/AE104)+MIN(tech_explore_draft1*Techs!AA104,tech_explore_draft2*Techs!AB104),3),0)</f>
        <v>8</v>
      </c>
      <c r="AH104" s="26">
        <f t="shared" si="6"/>
        <v>0</v>
      </c>
      <c r="AI104" s="57">
        <f t="shared" si="7"/>
        <v>0</v>
      </c>
    </row>
    <row r="105" spans="1:35" s="16" customFormat="1">
      <c r="A105" s="513">
        <f>Rezone!J105</f>
        <v>103</v>
      </c>
      <c r="B105" s="53">
        <f>Construction!E105</f>
        <v>1000</v>
      </c>
      <c r="C105" s="53"/>
      <c r="D105" s="68">
        <f>Construction!F105</f>
        <v>0</v>
      </c>
      <c r="E105" s="29">
        <f>Construction!G105</f>
        <v>100</v>
      </c>
      <c r="F105" s="30">
        <f>Construction!H105</f>
        <v>150</v>
      </c>
      <c r="G105" s="31">
        <f>Construction!I105</f>
        <v>150</v>
      </c>
      <c r="H105" s="32">
        <f>Construction!J105</f>
        <v>100</v>
      </c>
      <c r="I105" s="33">
        <f>Construction!K105</f>
        <v>20</v>
      </c>
      <c r="J105" s="69">
        <f>Construction!L105</f>
        <v>100</v>
      </c>
      <c r="M105" s="143"/>
      <c r="N105" s="91">
        <f>Military!AB105</f>
        <v>0.2</v>
      </c>
      <c r="O105" s="59">
        <f ca="1">Population!I105</f>
        <v>1</v>
      </c>
      <c r="P105" s="91">
        <f ca="1">Imps!J105</f>
        <v>1</v>
      </c>
      <c r="Q105" s="63">
        <f t="shared" si="5"/>
        <v>1000</v>
      </c>
      <c r="R105" s="634">
        <f t="shared" si="9"/>
        <v>103</v>
      </c>
      <c r="S105" s="340"/>
      <c r="T105" s="348"/>
      <c r="U105" s="348"/>
      <c r="V105" s="348"/>
      <c r="W105" s="348"/>
      <c r="X105" s="348"/>
      <c r="Y105" s="348"/>
      <c r="Z105" s="357"/>
      <c r="AA105" s="537">
        <f>Imps!BY105</f>
        <v>43696.249999999753</v>
      </c>
      <c r="AB105" s="156">
        <f ca="1">Military!Z105</f>
        <v>3695</v>
      </c>
      <c r="AC105" s="57">
        <f ca="1">Production!H105</f>
        <v>4033913</v>
      </c>
      <c r="AE105" s="63">
        <f t="shared" si="8"/>
        <v>1000</v>
      </c>
      <c r="AF105" s="152">
        <f>ROUND(IF(AE105&gt;=300,1000+3*(AE105-300)^MIN(MAX(1.05/(AE105^0.019),1.09),1.119),1000-3*(300-AE105))*(1+IF(Overview!$B$14="Ants",ant_explore_penalty,0)+MIN(tech_explore_cost*Techs!Z105,tech_explore_cost2*Techs!AB105,tech_enchanted_lands_explore*Techs!AT105)),0)</f>
        <v>4787</v>
      </c>
      <c r="AG105" s="164">
        <f>ROUND(MAX(IF(AE105&gt;=300,5+0.003*(AE105-300)^1.07,5-300/AE105)+MIN(tech_explore_draft1*Techs!AA105,tech_explore_draft2*Techs!AB105),3),0)</f>
        <v>8</v>
      </c>
      <c r="AH105" s="26">
        <f t="shared" si="6"/>
        <v>0</v>
      </c>
      <c r="AI105" s="57">
        <f t="shared" si="7"/>
        <v>0</v>
      </c>
    </row>
    <row r="106" spans="1:35" s="16" customFormat="1">
      <c r="A106" s="513">
        <f>Rezone!J106</f>
        <v>104</v>
      </c>
      <c r="B106" s="53">
        <f>Construction!E106</f>
        <v>1000</v>
      </c>
      <c r="C106" s="53"/>
      <c r="D106" s="68">
        <f>Construction!F106</f>
        <v>0</v>
      </c>
      <c r="E106" s="29">
        <f>Construction!G106</f>
        <v>100</v>
      </c>
      <c r="F106" s="30">
        <f>Construction!H106</f>
        <v>150</v>
      </c>
      <c r="G106" s="31">
        <f>Construction!I106</f>
        <v>150</v>
      </c>
      <c r="H106" s="32">
        <f>Construction!J106</f>
        <v>100</v>
      </c>
      <c r="I106" s="33">
        <f>Construction!K106</f>
        <v>20</v>
      </c>
      <c r="J106" s="69">
        <f>Construction!L106</f>
        <v>100</v>
      </c>
      <c r="L106" s="107"/>
      <c r="M106" s="143"/>
      <c r="N106" s="91">
        <f>Military!AB106</f>
        <v>0.2</v>
      </c>
      <c r="O106" s="59">
        <f ca="1">Population!I106</f>
        <v>1</v>
      </c>
      <c r="P106" s="91">
        <f ca="1">Imps!J106</f>
        <v>1</v>
      </c>
      <c r="Q106" s="63">
        <f t="shared" si="5"/>
        <v>1000</v>
      </c>
      <c r="R106" s="634">
        <f t="shared" si="9"/>
        <v>104</v>
      </c>
      <c r="S106" s="340"/>
      <c r="T106" s="348"/>
      <c r="U106" s="348"/>
      <c r="V106" s="348"/>
      <c r="W106" s="348"/>
      <c r="X106" s="348"/>
      <c r="Y106" s="348"/>
      <c r="Z106" s="357"/>
      <c r="AA106" s="537">
        <f>Imps!BY106</f>
        <v>43696.291666666417</v>
      </c>
      <c r="AB106" s="156">
        <f ca="1">Military!Z106</f>
        <v>3695</v>
      </c>
      <c r="AC106" s="57">
        <f ca="1">Production!H106</f>
        <v>4044564</v>
      </c>
      <c r="AE106" s="63">
        <f t="shared" si="8"/>
        <v>1000</v>
      </c>
      <c r="AF106" s="152">
        <f>ROUND(IF(AE106&gt;=300,1000+3*(AE106-300)^MIN(MAX(1.05/(AE106^0.019),1.09),1.119),1000-3*(300-AE106))*(1+IF(Overview!$B$14="Ants",ant_explore_penalty,0)+MIN(tech_explore_cost*Techs!Z106,tech_explore_cost2*Techs!AB106,tech_enchanted_lands_explore*Techs!AT106)),0)</f>
        <v>4787</v>
      </c>
      <c r="AG106" s="164">
        <f>ROUND(MAX(IF(AE106&gt;=300,5+0.003*(AE106-300)^1.07,5-300/AE106)+MIN(tech_explore_draft1*Techs!AA106,tech_explore_draft2*Techs!AB106),3),0)</f>
        <v>8</v>
      </c>
      <c r="AH106" s="26">
        <f t="shared" si="6"/>
        <v>0</v>
      </c>
      <c r="AI106" s="57">
        <f t="shared" si="7"/>
        <v>0</v>
      </c>
    </row>
    <row r="107" spans="1:35" s="16" customFormat="1">
      <c r="A107" s="513">
        <f>Rezone!J107</f>
        <v>105</v>
      </c>
      <c r="B107" s="53">
        <f>Construction!E107</f>
        <v>1000</v>
      </c>
      <c r="C107" s="53"/>
      <c r="D107" s="68">
        <f>Construction!F107</f>
        <v>0</v>
      </c>
      <c r="E107" s="29">
        <f>Construction!G107</f>
        <v>100</v>
      </c>
      <c r="F107" s="30">
        <f>Construction!H107</f>
        <v>150</v>
      </c>
      <c r="G107" s="31">
        <f>Construction!I107</f>
        <v>150</v>
      </c>
      <c r="H107" s="32">
        <f>Construction!J107</f>
        <v>100</v>
      </c>
      <c r="I107" s="33">
        <f>Construction!K107</f>
        <v>20</v>
      </c>
      <c r="J107" s="69">
        <f>Construction!L107</f>
        <v>100</v>
      </c>
      <c r="N107" s="91">
        <f>Military!AB107</f>
        <v>0.2</v>
      </c>
      <c r="O107" s="59">
        <f ca="1">Population!I107</f>
        <v>1</v>
      </c>
      <c r="P107" s="91">
        <f ca="1">Imps!J107</f>
        <v>1</v>
      </c>
      <c r="Q107" s="63">
        <f t="shared" si="5"/>
        <v>1000</v>
      </c>
      <c r="R107" s="634">
        <f t="shared" si="9"/>
        <v>105</v>
      </c>
      <c r="S107" s="340"/>
      <c r="T107" s="345"/>
      <c r="U107" s="348"/>
      <c r="V107" s="348"/>
      <c r="W107" s="348"/>
      <c r="X107" s="348"/>
      <c r="Y107" s="348"/>
      <c r="Z107" s="357"/>
      <c r="AA107" s="537">
        <f>Imps!BY107</f>
        <v>43696.333333333081</v>
      </c>
      <c r="AB107" s="156">
        <f ca="1">Military!Z107</f>
        <v>3695</v>
      </c>
      <c r="AC107" s="57">
        <f ca="1">Production!H107</f>
        <v>4055215</v>
      </c>
      <c r="AE107" s="63">
        <f t="shared" si="8"/>
        <v>1000</v>
      </c>
      <c r="AF107" s="152">
        <f>ROUND(IF(AE107&gt;=300,1000+3*(AE107-300)^MIN(MAX(1.05/(AE107^0.019),1.09),1.119),1000-3*(300-AE107))*(1+IF(Overview!$B$14="Ants",ant_explore_penalty,0)+MIN(tech_explore_cost*Techs!Z107,tech_explore_cost2*Techs!AB107,tech_enchanted_lands_explore*Techs!AT107)),0)</f>
        <v>4787</v>
      </c>
      <c r="AG107" s="164">
        <f>ROUND(MAX(IF(AE107&gt;=300,5+0.003*(AE107-300)^1.07,5-300/AE107)+MIN(tech_explore_draft1*Techs!AA107,tech_explore_draft2*Techs!AB107),3),0)</f>
        <v>8</v>
      </c>
      <c r="AH107" s="26">
        <f t="shared" si="6"/>
        <v>0</v>
      </c>
      <c r="AI107" s="57">
        <f t="shared" si="7"/>
        <v>0</v>
      </c>
    </row>
    <row r="108" spans="1:35" s="16" customFormat="1">
      <c r="A108" s="513">
        <f>Rezone!J108</f>
        <v>106</v>
      </c>
      <c r="B108" s="53">
        <f>Construction!E108</f>
        <v>1000</v>
      </c>
      <c r="C108" s="53"/>
      <c r="D108" s="68">
        <f>Construction!F108</f>
        <v>0</v>
      </c>
      <c r="E108" s="29">
        <f>Construction!G108</f>
        <v>100</v>
      </c>
      <c r="F108" s="30">
        <f>Construction!H108</f>
        <v>150</v>
      </c>
      <c r="G108" s="31">
        <f>Construction!I108</f>
        <v>150</v>
      </c>
      <c r="H108" s="32">
        <f>Construction!J108</f>
        <v>100</v>
      </c>
      <c r="I108" s="33">
        <f>Construction!K108</f>
        <v>20</v>
      </c>
      <c r="J108" s="69">
        <f>Construction!L108</f>
        <v>100</v>
      </c>
      <c r="N108" s="91">
        <f>Military!AB108</f>
        <v>0.2</v>
      </c>
      <c r="O108" s="59">
        <f ca="1">Population!I108</f>
        <v>1</v>
      </c>
      <c r="P108" s="91">
        <f ca="1">Imps!J108</f>
        <v>1</v>
      </c>
      <c r="Q108" s="63">
        <f t="shared" si="5"/>
        <v>1000</v>
      </c>
      <c r="R108" s="634">
        <f t="shared" si="9"/>
        <v>106</v>
      </c>
      <c r="S108" s="340"/>
      <c r="T108" s="348"/>
      <c r="U108" s="348"/>
      <c r="V108" s="348"/>
      <c r="W108" s="348"/>
      <c r="X108" s="348"/>
      <c r="Y108" s="348"/>
      <c r="Z108" s="357"/>
      <c r="AA108" s="537">
        <f>Imps!BY108</f>
        <v>43696.374999999745</v>
      </c>
      <c r="AB108" s="156">
        <f ca="1">Military!Z108</f>
        <v>3695</v>
      </c>
      <c r="AC108" s="57">
        <f ca="1">Production!H108</f>
        <v>4065866</v>
      </c>
      <c r="AE108" s="63">
        <f t="shared" si="8"/>
        <v>1000</v>
      </c>
      <c r="AF108" s="152">
        <f>ROUND(IF(AE108&gt;=300,1000+3*(AE108-300)^MIN(MAX(1.05/(AE108^0.019),1.09),1.119),1000-3*(300-AE108))*(1+IF(Overview!$B$14="Ants",ant_explore_penalty,0)+MIN(tech_explore_cost*Techs!Z108,tech_explore_cost2*Techs!AB108,tech_enchanted_lands_explore*Techs!AT108)),0)</f>
        <v>4787</v>
      </c>
      <c r="AG108" s="164">
        <f>ROUND(MAX(IF(AE108&gt;=300,5+0.003*(AE108-300)^1.07,5-300/AE108)+MIN(tech_explore_draft1*Techs!AA108,tech_explore_draft2*Techs!AB108),3),0)</f>
        <v>8</v>
      </c>
      <c r="AH108" s="26">
        <f t="shared" si="6"/>
        <v>0</v>
      </c>
      <c r="AI108" s="57">
        <f t="shared" si="7"/>
        <v>0</v>
      </c>
    </row>
    <row r="109" spans="1:35" s="16" customFormat="1">
      <c r="A109" s="513">
        <f>Rezone!J109</f>
        <v>107</v>
      </c>
      <c r="B109" s="53">
        <f>Construction!E109</f>
        <v>1000</v>
      </c>
      <c r="C109" s="53"/>
      <c r="D109" s="68">
        <f>Construction!F109</f>
        <v>0</v>
      </c>
      <c r="E109" s="29">
        <f>Construction!G109</f>
        <v>100</v>
      </c>
      <c r="F109" s="30">
        <f>Construction!H109</f>
        <v>150</v>
      </c>
      <c r="G109" s="31">
        <f>Construction!I109</f>
        <v>150</v>
      </c>
      <c r="H109" s="32">
        <f>Construction!J109</f>
        <v>100</v>
      </c>
      <c r="I109" s="33">
        <f>Construction!K109</f>
        <v>20</v>
      </c>
      <c r="J109" s="69">
        <f>Construction!L109</f>
        <v>100</v>
      </c>
      <c r="N109" s="91">
        <f>Military!AB109</f>
        <v>0.2</v>
      </c>
      <c r="O109" s="59">
        <f ca="1">Population!I109</f>
        <v>1</v>
      </c>
      <c r="P109" s="91">
        <f ca="1">Imps!J109</f>
        <v>1</v>
      </c>
      <c r="Q109" s="63">
        <f t="shared" si="5"/>
        <v>1000</v>
      </c>
      <c r="R109" s="634">
        <f t="shared" si="9"/>
        <v>107</v>
      </c>
      <c r="S109" s="340"/>
      <c r="T109" s="376"/>
      <c r="U109" s="348"/>
      <c r="V109" s="348"/>
      <c r="W109" s="348"/>
      <c r="X109" s="348"/>
      <c r="Y109" s="348"/>
      <c r="Z109" s="357"/>
      <c r="AA109" s="537">
        <f>Imps!BY109</f>
        <v>43696.41666666641</v>
      </c>
      <c r="AB109" s="156">
        <f ca="1">Military!Z109</f>
        <v>3695</v>
      </c>
      <c r="AC109" s="57">
        <f ca="1">Production!H109</f>
        <v>4076517</v>
      </c>
      <c r="AE109" s="63">
        <f t="shared" si="8"/>
        <v>1000</v>
      </c>
      <c r="AF109" s="152">
        <f>ROUND(IF(AE109&gt;=300,1000+3*(AE109-300)^MIN(MAX(1.05/(AE109^0.019),1.09),1.119),1000-3*(300-AE109))*(1+IF(Overview!$B$14="Ants",ant_explore_penalty,0)+MIN(tech_explore_cost*Techs!Z109,tech_explore_cost2*Techs!AB109,tech_enchanted_lands_explore*Techs!AT109)),0)</f>
        <v>4787</v>
      </c>
      <c r="AG109" s="164">
        <f>ROUND(MAX(IF(AE109&gt;=300,5+0.003*(AE109-300)^1.07,5-300/AE109)+MIN(tech_explore_draft1*Techs!AA109,tech_explore_draft2*Techs!AB109),3),0)</f>
        <v>8</v>
      </c>
      <c r="AH109" s="26">
        <f t="shared" si="6"/>
        <v>0</v>
      </c>
      <c r="AI109" s="57">
        <f t="shared" si="7"/>
        <v>0</v>
      </c>
    </row>
    <row r="110" spans="1:35" s="25" customFormat="1">
      <c r="A110" s="514">
        <f>Rezone!J110</f>
        <v>108</v>
      </c>
      <c r="B110" s="75">
        <f>Construction!E110</f>
        <v>1000</v>
      </c>
      <c r="C110" s="53"/>
      <c r="D110" s="87">
        <f>Construction!F110</f>
        <v>0</v>
      </c>
      <c r="E110" s="45">
        <f>Construction!G110</f>
        <v>100</v>
      </c>
      <c r="F110" s="46">
        <f>Construction!H110</f>
        <v>150</v>
      </c>
      <c r="G110" s="47">
        <f>Construction!I110</f>
        <v>150</v>
      </c>
      <c r="H110" s="48">
        <f>Construction!J110</f>
        <v>100</v>
      </c>
      <c r="I110" s="33">
        <f>Construction!K110</f>
        <v>20</v>
      </c>
      <c r="J110" s="88">
        <f>Construction!L110</f>
        <v>100</v>
      </c>
      <c r="K110" s="16"/>
      <c r="L110" s="16"/>
      <c r="M110" s="16"/>
      <c r="N110" s="92">
        <f>Military!AB110</f>
        <v>0.2</v>
      </c>
      <c r="O110" s="105">
        <f ca="1">Population!I110</f>
        <v>1</v>
      </c>
      <c r="P110" s="92">
        <f ca="1">Imps!J110</f>
        <v>1</v>
      </c>
      <c r="Q110" s="63">
        <f t="shared" si="5"/>
        <v>1000</v>
      </c>
      <c r="R110" s="822">
        <f t="shared" si="9"/>
        <v>108</v>
      </c>
      <c r="S110" s="340"/>
      <c r="T110" s="348"/>
      <c r="U110" s="348"/>
      <c r="V110" s="348"/>
      <c r="W110" s="348"/>
      <c r="X110" s="348"/>
      <c r="Y110" s="348"/>
      <c r="Z110" s="357"/>
      <c r="AA110" s="569">
        <f>Imps!BY110</f>
        <v>43696.458333333074</v>
      </c>
      <c r="AB110" s="156">
        <f ca="1">Military!Z110</f>
        <v>3695</v>
      </c>
      <c r="AC110" s="73">
        <f ca="1">Production!H110</f>
        <v>4087168</v>
      </c>
      <c r="AD110" s="16"/>
      <c r="AE110" s="63">
        <f t="shared" si="8"/>
        <v>1000</v>
      </c>
      <c r="AF110" s="152">
        <f>ROUND(IF(AE110&gt;=300,1000+3*(AE110-300)^MIN(MAX(1.05/(AE110^0.019),1.09),1.119),1000-3*(300-AE110))*(1+IF(Overview!$B$14="Ants",ant_explore_penalty,0)+MIN(tech_explore_cost*Techs!Z110,tech_explore_cost2*Techs!AB110,tech_enchanted_lands_explore*Techs!AT110)),0)</f>
        <v>4787</v>
      </c>
      <c r="AG110" s="164">
        <f>ROUND(MAX(IF(AE110&gt;=300,5+0.003*(AE110-300)^1.07,5-300/AE110)+MIN(tech_explore_draft1*Techs!AA110,tech_explore_draft2*Techs!AB110),3),0)</f>
        <v>8</v>
      </c>
      <c r="AH110" s="24">
        <f t="shared" si="6"/>
        <v>0</v>
      </c>
      <c r="AI110" s="73">
        <f t="shared" si="7"/>
        <v>0</v>
      </c>
    </row>
    <row r="111" spans="1:35" s="12" customFormat="1" ht="12.75" customHeight="1">
      <c r="A111" s="515">
        <f>Rezone!J111</f>
        <v>109</v>
      </c>
      <c r="B111" s="51">
        <f>Construction!E111</f>
        <v>1000</v>
      </c>
      <c r="C111" s="53"/>
      <c r="D111" s="66">
        <f>Construction!F111</f>
        <v>0</v>
      </c>
      <c r="E111" s="18">
        <f>Construction!G111</f>
        <v>100</v>
      </c>
      <c r="F111" s="19">
        <f>Construction!H111</f>
        <v>150</v>
      </c>
      <c r="G111" s="20">
        <f>Construction!I111</f>
        <v>150</v>
      </c>
      <c r="H111" s="21">
        <f>Construction!J111</f>
        <v>100</v>
      </c>
      <c r="I111" s="201">
        <f>Construction!K111</f>
        <v>20</v>
      </c>
      <c r="J111" s="67">
        <f>Construction!L111</f>
        <v>100</v>
      </c>
      <c r="K111" s="16"/>
      <c r="L111" s="16"/>
      <c r="M111" s="16"/>
      <c r="N111" s="306">
        <f>Military!AB111</f>
        <v>0.2</v>
      </c>
      <c r="O111" s="58">
        <f ca="1">Population!I111</f>
        <v>1</v>
      </c>
      <c r="P111" s="306">
        <f ca="1">Imps!J111</f>
        <v>1</v>
      </c>
      <c r="Q111" s="286">
        <f t="shared" si="5"/>
        <v>1000</v>
      </c>
      <c r="R111" s="318">
        <f t="shared" si="9"/>
        <v>109</v>
      </c>
      <c r="S111" s="520"/>
      <c r="T111" s="349"/>
      <c r="U111" s="349"/>
      <c r="V111" s="349"/>
      <c r="W111" s="349"/>
      <c r="X111" s="349"/>
      <c r="Y111" s="349"/>
      <c r="Z111" s="374"/>
      <c r="AA111" s="570">
        <f>Imps!BY111</f>
        <v>43696.499999999738</v>
      </c>
      <c r="AB111" s="184">
        <f ca="1">Military!Z111</f>
        <v>3695</v>
      </c>
      <c r="AC111" s="55">
        <f ca="1">Production!H111</f>
        <v>4097819</v>
      </c>
      <c r="AD111" s="50"/>
      <c r="AE111" s="286">
        <f t="shared" si="8"/>
        <v>1000</v>
      </c>
      <c r="AF111" s="151">
        <f>ROUND(IF(AE111&gt;=300,1000+3*(AE111-300)^MIN(MAX(1.05/(AE111^0.019),1.09),1.119),1000-3*(300-AE111))*(1+IF(Overview!$B$14="Ants",ant_explore_penalty,0)+MIN(tech_explore_cost*Techs!Z111,tech_explore_cost2*Techs!AB111,tech_enchanted_lands_explore*Techs!AT111)),0)</f>
        <v>4787</v>
      </c>
      <c r="AG111" s="153">
        <f>ROUND(MAX(IF(AE111&gt;=300,5+0.003*(AE111-300)^1.07,5-300/AE111)+MIN(tech_explore_draft1*Techs!AA111,tech_explore_draft2*Techs!AB111),3),0)</f>
        <v>8</v>
      </c>
      <c r="AH111" s="13">
        <f t="shared" si="6"/>
        <v>0</v>
      </c>
      <c r="AI111" s="55">
        <f t="shared" si="7"/>
        <v>0</v>
      </c>
    </row>
    <row r="112" spans="1:35" s="15" customFormat="1">
      <c r="A112" s="516">
        <f>Rezone!J112</f>
        <v>110</v>
      </c>
      <c r="B112" s="74">
        <f>Construction!E112</f>
        <v>1000</v>
      </c>
      <c r="C112" s="53"/>
      <c r="D112" s="84">
        <f>Construction!F112</f>
        <v>0</v>
      </c>
      <c r="E112" s="41">
        <f>Construction!G112</f>
        <v>100</v>
      </c>
      <c r="F112" s="42">
        <f>Construction!H112</f>
        <v>150</v>
      </c>
      <c r="G112" s="43">
        <f>Construction!I112</f>
        <v>150</v>
      </c>
      <c r="H112" s="44">
        <f>Construction!J112</f>
        <v>100</v>
      </c>
      <c r="I112" s="33">
        <f>Construction!K112</f>
        <v>20</v>
      </c>
      <c r="J112" s="85">
        <f>Construction!L112</f>
        <v>100</v>
      </c>
      <c r="K112" s="16"/>
      <c r="L112" s="16"/>
      <c r="M112" s="16"/>
      <c r="N112" s="307">
        <f>Military!AB112</f>
        <v>0.2</v>
      </c>
      <c r="O112" s="104">
        <f ca="1">Population!I112</f>
        <v>1</v>
      </c>
      <c r="P112" s="307">
        <f ca="1">Imps!J112</f>
        <v>1</v>
      </c>
      <c r="Q112" s="63">
        <f t="shared" si="5"/>
        <v>1000</v>
      </c>
      <c r="R112" s="754">
        <f t="shared" si="9"/>
        <v>110</v>
      </c>
      <c r="S112" s="340"/>
      <c r="T112" s="348"/>
      <c r="U112" s="348"/>
      <c r="V112" s="348"/>
      <c r="W112" s="348"/>
      <c r="X112" s="348"/>
      <c r="Y112" s="348"/>
      <c r="Z112" s="357"/>
      <c r="AA112" s="571">
        <f>Imps!BY112</f>
        <v>43696.541666666402</v>
      </c>
      <c r="AB112" s="156">
        <f ca="1">Military!Z112</f>
        <v>3695</v>
      </c>
      <c r="AC112" s="71">
        <f ca="1">Production!H112</f>
        <v>4108470</v>
      </c>
      <c r="AD112" s="16"/>
      <c r="AE112" s="63">
        <f t="shared" si="8"/>
        <v>1000</v>
      </c>
      <c r="AF112" s="152">
        <f>ROUND(IF(AE112&gt;=300,1000+3*(AE112-300)^MIN(MAX(1.05/(AE112^0.019),1.09),1.119),1000-3*(300-AE112))*(1+IF(Overview!$B$14="Ants",ant_explore_penalty,0)+MIN(tech_explore_cost*Techs!Z112,tech_explore_cost2*Techs!AB112,tech_enchanted_lands_explore*Techs!AT112)),0)</f>
        <v>4787</v>
      </c>
      <c r="AG112" s="164">
        <f>ROUND(MAX(IF(AE112&gt;=300,5+0.003*(AE112-300)^1.07,5-300/AE112)+MIN(tech_explore_draft1*Techs!AA112,tech_explore_draft2*Techs!AB112),3),0)</f>
        <v>8</v>
      </c>
      <c r="AH112" s="23">
        <f t="shared" si="6"/>
        <v>0</v>
      </c>
      <c r="AI112" s="71">
        <f t="shared" si="7"/>
        <v>0</v>
      </c>
    </row>
    <row r="113" spans="1:35" s="16" customFormat="1">
      <c r="A113" s="513">
        <f>Rezone!J113</f>
        <v>111</v>
      </c>
      <c r="B113" s="53">
        <f>Construction!E113</f>
        <v>1000</v>
      </c>
      <c r="C113" s="53"/>
      <c r="D113" s="68">
        <f>Construction!F113</f>
        <v>0</v>
      </c>
      <c r="E113" s="29">
        <f>Construction!G113</f>
        <v>100</v>
      </c>
      <c r="F113" s="30">
        <f>Construction!H113</f>
        <v>150</v>
      </c>
      <c r="G113" s="31">
        <f>Construction!I113</f>
        <v>150</v>
      </c>
      <c r="H113" s="32">
        <f>Construction!J113</f>
        <v>100</v>
      </c>
      <c r="I113" s="33">
        <f>Construction!K113</f>
        <v>20</v>
      </c>
      <c r="J113" s="69">
        <f>Construction!L113</f>
        <v>100</v>
      </c>
      <c r="N113" s="91">
        <f>Military!AB113</f>
        <v>0.2</v>
      </c>
      <c r="O113" s="59">
        <f ca="1">Population!I113</f>
        <v>1</v>
      </c>
      <c r="P113" s="91">
        <f ca="1">Imps!J113</f>
        <v>1</v>
      </c>
      <c r="Q113" s="63">
        <f t="shared" si="5"/>
        <v>1000</v>
      </c>
      <c r="R113" s="634">
        <f t="shared" si="9"/>
        <v>111</v>
      </c>
      <c r="S113" s="340"/>
      <c r="T113" s="348"/>
      <c r="U113" s="348"/>
      <c r="V113" s="348"/>
      <c r="W113" s="348"/>
      <c r="X113" s="348"/>
      <c r="Y113" s="348"/>
      <c r="Z113" s="357"/>
      <c r="AA113" s="537">
        <f>Imps!BY113</f>
        <v>43696.583333333067</v>
      </c>
      <c r="AB113" s="156">
        <f ca="1">Military!Z113</f>
        <v>3695</v>
      </c>
      <c r="AC113" s="57">
        <f ca="1">Production!H113</f>
        <v>4119121</v>
      </c>
      <c r="AE113" s="63">
        <f t="shared" si="8"/>
        <v>1000</v>
      </c>
      <c r="AF113" s="152">
        <f>ROUND(IF(AE113&gt;=300,1000+3*(AE113-300)^MIN(MAX(1.05/(AE113^0.019),1.09),1.119),1000-3*(300-AE113))*(1+IF(Overview!$B$14="Ants",ant_explore_penalty,0)+MIN(tech_explore_cost*Techs!Z113,tech_explore_cost2*Techs!AB113,tech_enchanted_lands_explore*Techs!AT113)),0)</f>
        <v>4787</v>
      </c>
      <c r="AG113" s="164">
        <f>ROUND(MAX(IF(AE113&gt;=300,5+0.003*(AE113-300)^1.07,5-300/AE113)+MIN(tech_explore_draft1*Techs!AA113,tech_explore_draft2*Techs!AB113),3),0)</f>
        <v>8</v>
      </c>
      <c r="AH113" s="26">
        <f t="shared" si="6"/>
        <v>0</v>
      </c>
      <c r="AI113" s="57">
        <f t="shared" si="7"/>
        <v>0</v>
      </c>
    </row>
    <row r="114" spans="1:35" s="16" customFormat="1">
      <c r="A114" s="513">
        <f>Rezone!J114</f>
        <v>112</v>
      </c>
      <c r="B114" s="53">
        <f>Construction!E114</f>
        <v>1000</v>
      </c>
      <c r="C114" s="53"/>
      <c r="D114" s="68">
        <f>Construction!F114</f>
        <v>0</v>
      </c>
      <c r="E114" s="29">
        <f>Construction!G114</f>
        <v>100</v>
      </c>
      <c r="F114" s="30">
        <f>Construction!H114</f>
        <v>150</v>
      </c>
      <c r="G114" s="31">
        <f>Construction!I114</f>
        <v>150</v>
      </c>
      <c r="H114" s="32">
        <f>Construction!J114</f>
        <v>100</v>
      </c>
      <c r="I114" s="33">
        <f>Construction!K114</f>
        <v>20</v>
      </c>
      <c r="J114" s="69">
        <f>Construction!L114</f>
        <v>100</v>
      </c>
      <c r="N114" s="91">
        <f>Military!AB114</f>
        <v>0.2</v>
      </c>
      <c r="O114" s="59">
        <f ca="1">Population!I114</f>
        <v>1</v>
      </c>
      <c r="P114" s="91">
        <f ca="1">Imps!J114</f>
        <v>1</v>
      </c>
      <c r="Q114" s="63">
        <f t="shared" si="5"/>
        <v>1000</v>
      </c>
      <c r="R114" s="634">
        <f t="shared" si="9"/>
        <v>112</v>
      </c>
      <c r="S114" s="340"/>
      <c r="T114" s="348"/>
      <c r="U114" s="348"/>
      <c r="V114" s="348"/>
      <c r="W114" s="348"/>
      <c r="X114" s="348"/>
      <c r="Y114" s="348"/>
      <c r="Z114" s="357"/>
      <c r="AA114" s="537">
        <f>Imps!BY114</f>
        <v>43696.624999999731</v>
      </c>
      <c r="AB114" s="156">
        <f ca="1">Military!Z114</f>
        <v>3695</v>
      </c>
      <c r="AC114" s="57">
        <f ca="1">Production!H114</f>
        <v>4129772</v>
      </c>
      <c r="AE114" s="63">
        <f t="shared" si="8"/>
        <v>1000</v>
      </c>
      <c r="AF114" s="152">
        <f>ROUND(IF(AE114&gt;=300,1000+3*(AE114-300)^MIN(MAX(1.05/(AE114^0.019),1.09),1.119),1000-3*(300-AE114))*(1+IF(Overview!$B$14="Ants",ant_explore_penalty,0)+MIN(tech_explore_cost*Techs!Z114,tech_explore_cost2*Techs!AB114,tech_enchanted_lands_explore*Techs!AT114)),0)</f>
        <v>4787</v>
      </c>
      <c r="AG114" s="164">
        <f>ROUND(MAX(IF(AE114&gt;=300,5+0.003*(AE114-300)^1.07,5-300/AE114)+MIN(tech_explore_draft1*Techs!AA114,tech_explore_draft2*Techs!AB114),3),0)</f>
        <v>8</v>
      </c>
      <c r="AH114" s="26">
        <f t="shared" si="6"/>
        <v>0</v>
      </c>
      <c r="AI114" s="57">
        <f t="shared" si="7"/>
        <v>0</v>
      </c>
    </row>
    <row r="115" spans="1:35" s="16" customFormat="1">
      <c r="A115" s="513">
        <f>Rezone!J115</f>
        <v>113</v>
      </c>
      <c r="B115" s="53">
        <f>Construction!E115</f>
        <v>1000</v>
      </c>
      <c r="C115" s="53"/>
      <c r="D115" s="68">
        <f>Construction!F115</f>
        <v>0</v>
      </c>
      <c r="E115" s="29">
        <f>Construction!G115</f>
        <v>100</v>
      </c>
      <c r="F115" s="30">
        <f>Construction!H115</f>
        <v>150</v>
      </c>
      <c r="G115" s="31">
        <f>Construction!I115</f>
        <v>150</v>
      </c>
      <c r="H115" s="32">
        <f>Construction!J115</f>
        <v>100</v>
      </c>
      <c r="I115" s="33">
        <f>Construction!K115</f>
        <v>20</v>
      </c>
      <c r="J115" s="69">
        <f>Construction!L115</f>
        <v>100</v>
      </c>
      <c r="N115" s="91">
        <f>Military!AB115</f>
        <v>0.2</v>
      </c>
      <c r="O115" s="59">
        <f ca="1">Population!I115</f>
        <v>1</v>
      </c>
      <c r="P115" s="91">
        <f ca="1">Imps!J115</f>
        <v>1</v>
      </c>
      <c r="Q115" s="63">
        <f t="shared" si="5"/>
        <v>1000</v>
      </c>
      <c r="R115" s="634">
        <f t="shared" si="9"/>
        <v>113</v>
      </c>
      <c r="S115" s="340"/>
      <c r="T115" s="348"/>
      <c r="U115" s="348"/>
      <c r="V115" s="348"/>
      <c r="W115" s="348"/>
      <c r="X115" s="348"/>
      <c r="Y115" s="348"/>
      <c r="Z115" s="357"/>
      <c r="AA115" s="537">
        <f>Imps!BY115</f>
        <v>43696.666666666395</v>
      </c>
      <c r="AB115" s="156">
        <f ca="1">Military!Z115</f>
        <v>3695</v>
      </c>
      <c r="AC115" s="57">
        <f ca="1">Production!H115</f>
        <v>4140423</v>
      </c>
      <c r="AE115" s="63">
        <f t="shared" si="8"/>
        <v>1000</v>
      </c>
      <c r="AF115" s="152">
        <f>ROUND(IF(AE115&gt;=300,1000+3*(AE115-300)^MIN(MAX(1.05/(AE115^0.019),1.09),1.119),1000-3*(300-AE115))*(1+IF(Overview!$B$14="Ants",ant_explore_penalty,0)+MIN(tech_explore_cost*Techs!Z115,tech_explore_cost2*Techs!AB115,tech_enchanted_lands_explore*Techs!AT115)),0)</f>
        <v>4787</v>
      </c>
      <c r="AG115" s="164">
        <f>ROUND(MAX(IF(AE115&gt;=300,5+0.003*(AE115-300)^1.07,5-300/AE115)+MIN(tech_explore_draft1*Techs!AA115,tech_explore_draft2*Techs!AB115),3),0)</f>
        <v>8</v>
      </c>
      <c r="AH115" s="26">
        <f t="shared" si="6"/>
        <v>0</v>
      </c>
      <c r="AI115" s="57">
        <f t="shared" si="7"/>
        <v>0</v>
      </c>
    </row>
    <row r="116" spans="1:35" s="16" customFormat="1">
      <c r="A116" s="513">
        <f>Rezone!J116</f>
        <v>114</v>
      </c>
      <c r="B116" s="53">
        <f>Construction!E116</f>
        <v>1000</v>
      </c>
      <c r="C116" s="53"/>
      <c r="D116" s="68">
        <f>Construction!F116</f>
        <v>0</v>
      </c>
      <c r="E116" s="29">
        <f>Construction!G116</f>
        <v>100</v>
      </c>
      <c r="F116" s="30">
        <f>Construction!H116</f>
        <v>150</v>
      </c>
      <c r="G116" s="31">
        <f>Construction!I116</f>
        <v>150</v>
      </c>
      <c r="H116" s="32">
        <f>Construction!J116</f>
        <v>100</v>
      </c>
      <c r="I116" s="33">
        <f>Construction!K116</f>
        <v>20</v>
      </c>
      <c r="J116" s="69">
        <f>Construction!L116</f>
        <v>100</v>
      </c>
      <c r="N116" s="91">
        <f>Military!AB116</f>
        <v>0.2</v>
      </c>
      <c r="O116" s="59">
        <f ca="1">Population!I116</f>
        <v>1</v>
      </c>
      <c r="P116" s="251">
        <f ca="1">Imps!J116</f>
        <v>1</v>
      </c>
      <c r="Q116" s="63">
        <f t="shared" si="5"/>
        <v>1000</v>
      </c>
      <c r="R116" s="634">
        <f t="shared" si="9"/>
        <v>114</v>
      </c>
      <c r="S116" s="340"/>
      <c r="T116" s="348"/>
      <c r="U116" s="348"/>
      <c r="V116" s="348"/>
      <c r="W116" s="348"/>
      <c r="X116" s="348"/>
      <c r="Y116" s="348"/>
      <c r="Z116" s="357"/>
      <c r="AA116" s="537">
        <f>Imps!BY116</f>
        <v>43696.708333333059</v>
      </c>
      <c r="AB116" s="156">
        <f ca="1">Military!Z116</f>
        <v>3695</v>
      </c>
      <c r="AC116" s="57">
        <f ca="1">Production!H116</f>
        <v>4151074</v>
      </c>
      <c r="AE116" s="63">
        <f t="shared" si="8"/>
        <v>1000</v>
      </c>
      <c r="AF116" s="152">
        <f>ROUND(IF(AE116&gt;=300,1000+3*(AE116-300)^MIN(MAX(1.05/(AE116^0.019),1.09),1.119),1000-3*(300-AE116))*(1+IF(Overview!$B$14="Ants",ant_explore_penalty,0)+MIN(tech_explore_cost*Techs!Z116,tech_explore_cost2*Techs!AB116,tech_enchanted_lands_explore*Techs!AT116)),0)</f>
        <v>4787</v>
      </c>
      <c r="AG116" s="164">
        <f>ROUND(MAX(IF(AE116&gt;=300,5+0.003*(AE116-300)^1.07,5-300/AE116)+MIN(tech_explore_draft1*Techs!AA116,tech_explore_draft2*Techs!AB116),3),0)</f>
        <v>8</v>
      </c>
      <c r="AH116" s="26">
        <f t="shared" si="6"/>
        <v>0</v>
      </c>
      <c r="AI116" s="57">
        <f t="shared" si="7"/>
        <v>0</v>
      </c>
    </row>
    <row r="117" spans="1:35" s="16" customFormat="1">
      <c r="A117" s="513">
        <f>Rezone!J117</f>
        <v>115</v>
      </c>
      <c r="B117" s="53">
        <f>Construction!E117</f>
        <v>1000</v>
      </c>
      <c r="C117" s="53"/>
      <c r="D117" s="68">
        <f>Construction!F117</f>
        <v>0</v>
      </c>
      <c r="E117" s="29">
        <f>Construction!G117</f>
        <v>100</v>
      </c>
      <c r="F117" s="30">
        <f>Construction!H117</f>
        <v>150</v>
      </c>
      <c r="G117" s="31">
        <f>Construction!I117</f>
        <v>150</v>
      </c>
      <c r="H117" s="32">
        <f>Construction!J117</f>
        <v>100</v>
      </c>
      <c r="I117" s="33">
        <f>Construction!K117</f>
        <v>20</v>
      </c>
      <c r="J117" s="69">
        <f>Construction!L117</f>
        <v>100</v>
      </c>
      <c r="N117" s="91">
        <f>Military!AB117</f>
        <v>0.2</v>
      </c>
      <c r="O117" s="59">
        <f ca="1">Population!I117</f>
        <v>1</v>
      </c>
      <c r="P117" s="91">
        <f ca="1">Imps!J117</f>
        <v>1</v>
      </c>
      <c r="Q117" s="63">
        <f t="shared" si="5"/>
        <v>1000</v>
      </c>
      <c r="R117" s="634">
        <f t="shared" si="9"/>
        <v>115</v>
      </c>
      <c r="S117" s="340"/>
      <c r="T117" s="348"/>
      <c r="U117" s="348"/>
      <c r="V117" s="348"/>
      <c r="W117" s="348"/>
      <c r="X117" s="348"/>
      <c r="Y117" s="348"/>
      <c r="Z117" s="357"/>
      <c r="AA117" s="537">
        <f>Imps!BY117</f>
        <v>43696.749999999724</v>
      </c>
      <c r="AB117" s="156">
        <f ca="1">Military!Z117</f>
        <v>3695</v>
      </c>
      <c r="AC117" s="57">
        <f ca="1">Production!H117</f>
        <v>4161725</v>
      </c>
      <c r="AE117" s="63">
        <f t="shared" si="8"/>
        <v>1000</v>
      </c>
      <c r="AF117" s="152">
        <f>ROUND(IF(AE117&gt;=300,1000+3*(AE117-300)^MIN(MAX(1.05/(AE117^0.019),1.09),1.119),1000-3*(300-AE117))*(1+IF(Overview!$B$14="Ants",ant_explore_penalty,0)+MIN(tech_explore_cost*Techs!Z117,tech_explore_cost2*Techs!AB117,tech_enchanted_lands_explore*Techs!AT117)),0)</f>
        <v>4787</v>
      </c>
      <c r="AG117" s="164">
        <f>ROUND(MAX(IF(AE117&gt;=300,5+0.003*(AE117-300)^1.07,5-300/AE117)+MIN(tech_explore_draft1*Techs!AA117,tech_explore_draft2*Techs!AB117),3),0)</f>
        <v>8</v>
      </c>
      <c r="AH117" s="26">
        <f t="shared" si="6"/>
        <v>0</v>
      </c>
      <c r="AI117" s="57">
        <f t="shared" si="7"/>
        <v>0</v>
      </c>
    </row>
    <row r="118" spans="1:35" s="16" customFormat="1">
      <c r="A118" s="513">
        <f>Rezone!J118</f>
        <v>116</v>
      </c>
      <c r="B118" s="53">
        <f>Construction!E118</f>
        <v>1000</v>
      </c>
      <c r="C118" s="53"/>
      <c r="D118" s="68">
        <f>Construction!F118</f>
        <v>0</v>
      </c>
      <c r="E118" s="29">
        <f>Construction!G118</f>
        <v>100</v>
      </c>
      <c r="F118" s="30">
        <f>Construction!H118</f>
        <v>150</v>
      </c>
      <c r="G118" s="31">
        <f>Construction!I118</f>
        <v>150</v>
      </c>
      <c r="H118" s="32">
        <f>Construction!J118</f>
        <v>100</v>
      </c>
      <c r="I118" s="33">
        <f>Construction!K118</f>
        <v>20</v>
      </c>
      <c r="J118" s="69">
        <f>Construction!L118</f>
        <v>100</v>
      </c>
      <c r="N118" s="91">
        <f>Military!AB118</f>
        <v>0.2</v>
      </c>
      <c r="O118" s="59">
        <f ca="1">Population!I118</f>
        <v>1</v>
      </c>
      <c r="P118" s="91">
        <f ca="1">Imps!J118</f>
        <v>1</v>
      </c>
      <c r="Q118" s="63">
        <f t="shared" si="5"/>
        <v>1000</v>
      </c>
      <c r="R118" s="634">
        <f t="shared" si="9"/>
        <v>116</v>
      </c>
      <c r="S118" s="340"/>
      <c r="T118" s="348"/>
      <c r="U118" s="348"/>
      <c r="V118" s="348"/>
      <c r="W118" s="348"/>
      <c r="X118" s="348"/>
      <c r="Y118" s="348"/>
      <c r="Z118" s="357"/>
      <c r="AA118" s="537">
        <f>Imps!BY118</f>
        <v>43696.791666666388</v>
      </c>
      <c r="AB118" s="156">
        <f ca="1">Military!Z118</f>
        <v>3695</v>
      </c>
      <c r="AC118" s="57">
        <f ca="1">Production!H118</f>
        <v>4172376</v>
      </c>
      <c r="AE118" s="63">
        <f t="shared" si="8"/>
        <v>1000</v>
      </c>
      <c r="AF118" s="152">
        <f>ROUND(IF(AE118&gt;=300,1000+3*(AE118-300)^MIN(MAX(1.05/(AE118^0.019),1.09),1.119),1000-3*(300-AE118))*(1+IF(Overview!$B$14="Ants",ant_explore_penalty,0)+MIN(tech_explore_cost*Techs!Z118,tech_explore_cost2*Techs!AB118,tech_enchanted_lands_explore*Techs!AT118)),0)</f>
        <v>4787</v>
      </c>
      <c r="AG118" s="164">
        <f>ROUND(MAX(IF(AE118&gt;=300,5+0.003*(AE118-300)^1.07,5-300/AE118)+MIN(tech_explore_draft1*Techs!AA118,tech_explore_draft2*Techs!AB118),3),0)</f>
        <v>8</v>
      </c>
      <c r="AH118" s="26">
        <f t="shared" si="6"/>
        <v>0</v>
      </c>
      <c r="AI118" s="57">
        <f t="shared" si="7"/>
        <v>0</v>
      </c>
    </row>
    <row r="119" spans="1:35" s="16" customFormat="1">
      <c r="A119" s="513">
        <f>Rezone!J119</f>
        <v>117</v>
      </c>
      <c r="B119" s="53">
        <f>Construction!E119</f>
        <v>1000</v>
      </c>
      <c r="C119" s="53"/>
      <c r="D119" s="68">
        <f>Construction!F119</f>
        <v>0</v>
      </c>
      <c r="E119" s="29">
        <f>Construction!G119</f>
        <v>100</v>
      </c>
      <c r="F119" s="30">
        <f>Construction!H119</f>
        <v>150</v>
      </c>
      <c r="G119" s="31">
        <f>Construction!I119</f>
        <v>150</v>
      </c>
      <c r="H119" s="32">
        <f>Construction!J119</f>
        <v>100</v>
      </c>
      <c r="I119" s="33">
        <f>Construction!K119</f>
        <v>20</v>
      </c>
      <c r="J119" s="69">
        <f>Construction!L119</f>
        <v>100</v>
      </c>
      <c r="N119" s="91">
        <f>Military!AB119</f>
        <v>0.2</v>
      </c>
      <c r="O119" s="59">
        <f ca="1">Population!I119</f>
        <v>1</v>
      </c>
      <c r="P119" s="91">
        <f ca="1">Imps!J119</f>
        <v>1</v>
      </c>
      <c r="Q119" s="63">
        <f t="shared" si="5"/>
        <v>1000</v>
      </c>
      <c r="R119" s="634">
        <f t="shared" si="9"/>
        <v>117</v>
      </c>
      <c r="S119" s="340"/>
      <c r="T119" s="348"/>
      <c r="U119" s="348"/>
      <c r="V119" s="348"/>
      <c r="W119" s="348"/>
      <c r="X119" s="348"/>
      <c r="Y119" s="348"/>
      <c r="Z119" s="357"/>
      <c r="AA119" s="537">
        <f>Imps!BY119</f>
        <v>43696.833333333052</v>
      </c>
      <c r="AB119" s="156">
        <f ca="1">Military!Z119</f>
        <v>3695</v>
      </c>
      <c r="AC119" s="57">
        <f ca="1">Production!H119</f>
        <v>4183027</v>
      </c>
      <c r="AE119" s="63">
        <f t="shared" si="8"/>
        <v>1000</v>
      </c>
      <c r="AF119" s="152">
        <f>ROUND(IF(AE119&gt;=300,1000+3*(AE119-300)^MIN(MAX(1.05/(AE119^0.019),1.09),1.119),1000-3*(300-AE119))*(1+IF(Overview!$B$14="Ants",ant_explore_penalty,0)+MIN(tech_explore_cost*Techs!Z119,tech_explore_cost2*Techs!AB119,tech_enchanted_lands_explore*Techs!AT119)),0)</f>
        <v>4787</v>
      </c>
      <c r="AG119" s="164">
        <f>ROUND(MAX(IF(AE119&gt;=300,5+0.003*(AE119-300)^1.07,5-300/AE119)+MIN(tech_explore_draft1*Techs!AA119,tech_explore_draft2*Techs!AB119),3),0)</f>
        <v>8</v>
      </c>
      <c r="AH119" s="26">
        <f t="shared" si="6"/>
        <v>0</v>
      </c>
      <c r="AI119" s="57">
        <f t="shared" si="7"/>
        <v>0</v>
      </c>
    </row>
    <row r="120" spans="1:35" s="16" customFormat="1">
      <c r="A120" s="513">
        <f>Rezone!J120</f>
        <v>118</v>
      </c>
      <c r="B120" s="53">
        <f>Construction!E120</f>
        <v>1000</v>
      </c>
      <c r="C120" s="53"/>
      <c r="D120" s="68">
        <f>Construction!F120</f>
        <v>0</v>
      </c>
      <c r="E120" s="29">
        <f>Construction!G120</f>
        <v>100</v>
      </c>
      <c r="F120" s="30">
        <f>Construction!H120</f>
        <v>150</v>
      </c>
      <c r="G120" s="31">
        <f>Construction!I120</f>
        <v>150</v>
      </c>
      <c r="H120" s="32">
        <f>Construction!J120</f>
        <v>100</v>
      </c>
      <c r="I120" s="33">
        <f>Construction!K120</f>
        <v>20</v>
      </c>
      <c r="J120" s="69">
        <f>Construction!L120</f>
        <v>100</v>
      </c>
      <c r="N120" s="91">
        <f>Military!AB120</f>
        <v>0.2</v>
      </c>
      <c r="O120" s="59">
        <f ca="1">Population!I120</f>
        <v>1</v>
      </c>
      <c r="P120" s="91">
        <f ca="1">Imps!J120</f>
        <v>1</v>
      </c>
      <c r="Q120" s="63">
        <f t="shared" si="5"/>
        <v>1000</v>
      </c>
      <c r="R120" s="634">
        <f t="shared" si="9"/>
        <v>118</v>
      </c>
      <c r="S120" s="340"/>
      <c r="T120" s="348"/>
      <c r="U120" s="348"/>
      <c r="V120" s="348"/>
      <c r="W120" s="348"/>
      <c r="X120" s="348"/>
      <c r="Y120" s="348"/>
      <c r="Z120" s="357"/>
      <c r="AA120" s="537">
        <f>Imps!BY120</f>
        <v>43696.874999999716</v>
      </c>
      <c r="AB120" s="156">
        <f ca="1">Military!Z120</f>
        <v>3695</v>
      </c>
      <c r="AC120" s="57">
        <f ca="1">Production!H120</f>
        <v>4193678</v>
      </c>
      <c r="AE120" s="63">
        <f t="shared" si="8"/>
        <v>1000</v>
      </c>
      <c r="AF120" s="152">
        <f>ROUND(IF(AE120&gt;=300,1000+3*(AE120-300)^MIN(MAX(1.05/(AE120^0.019),1.09),1.119),1000-3*(300-AE120))*(1+IF(Overview!$B$14="Ants",ant_explore_penalty,0)+MIN(tech_explore_cost*Techs!Z120,tech_explore_cost2*Techs!AB120,tech_enchanted_lands_explore*Techs!AT120)),0)</f>
        <v>4787</v>
      </c>
      <c r="AG120" s="164">
        <f>ROUND(MAX(IF(AE120&gt;=300,5+0.003*(AE120-300)^1.07,5-300/AE120)+MIN(tech_explore_draft1*Techs!AA120,tech_explore_draft2*Techs!AB120),3),0)</f>
        <v>8</v>
      </c>
      <c r="AH120" s="26">
        <f t="shared" si="6"/>
        <v>0</v>
      </c>
      <c r="AI120" s="57">
        <f t="shared" si="7"/>
        <v>0</v>
      </c>
    </row>
    <row r="121" spans="1:35" s="16" customFormat="1">
      <c r="A121" s="513">
        <f>Rezone!J121</f>
        <v>119</v>
      </c>
      <c r="B121" s="53">
        <f>Construction!E121</f>
        <v>1000</v>
      </c>
      <c r="C121" s="53"/>
      <c r="D121" s="68">
        <f>Construction!F121</f>
        <v>0</v>
      </c>
      <c r="E121" s="29">
        <f>Construction!G121</f>
        <v>100</v>
      </c>
      <c r="F121" s="30">
        <f>Construction!H121</f>
        <v>150</v>
      </c>
      <c r="G121" s="31">
        <f>Construction!I121</f>
        <v>150</v>
      </c>
      <c r="H121" s="32">
        <f>Construction!J121</f>
        <v>100</v>
      </c>
      <c r="I121" s="33">
        <f>Construction!K121</f>
        <v>20</v>
      </c>
      <c r="J121" s="69">
        <f>Construction!L121</f>
        <v>100</v>
      </c>
      <c r="N121" s="91">
        <f>Military!AB121</f>
        <v>0.2</v>
      </c>
      <c r="O121" s="59">
        <f ca="1">Population!I121</f>
        <v>1</v>
      </c>
      <c r="P121" s="91">
        <f ca="1">Imps!J121</f>
        <v>1</v>
      </c>
      <c r="Q121" s="63">
        <f t="shared" si="5"/>
        <v>1000</v>
      </c>
      <c r="R121" s="634">
        <f t="shared" si="9"/>
        <v>119</v>
      </c>
      <c r="S121" s="340"/>
      <c r="T121" s="348"/>
      <c r="U121" s="348"/>
      <c r="V121" s="348"/>
      <c r="W121" s="348"/>
      <c r="X121" s="348"/>
      <c r="Y121" s="348"/>
      <c r="Z121" s="357"/>
      <c r="AA121" s="537">
        <f>Imps!BY121</f>
        <v>43696.91666666638</v>
      </c>
      <c r="AB121" s="156">
        <f ca="1">Military!Z121</f>
        <v>3695</v>
      </c>
      <c r="AC121" s="57">
        <f ca="1">Production!H121</f>
        <v>4204329</v>
      </c>
      <c r="AE121" s="63">
        <f t="shared" si="8"/>
        <v>1000</v>
      </c>
      <c r="AF121" s="152">
        <f>ROUND(IF(AE121&gt;=300,1000+3*(AE121-300)^MIN(MAX(1.05/(AE121^0.019),1.09),1.119),1000-3*(300-AE121))*(1+IF(Overview!$B$14="Ants",ant_explore_penalty,0)+MIN(tech_explore_cost*Techs!Z121,tech_explore_cost2*Techs!AB121,tech_enchanted_lands_explore*Techs!AT121)),0)</f>
        <v>4787</v>
      </c>
      <c r="AG121" s="164">
        <f>ROUND(MAX(IF(AE121&gt;=300,5+0.003*(AE121-300)^1.07,5-300/AE121)+MIN(tech_explore_draft1*Techs!AA121,tech_explore_draft2*Techs!AB121),3),0)</f>
        <v>8</v>
      </c>
      <c r="AH121" s="26">
        <f t="shared" si="6"/>
        <v>0</v>
      </c>
      <c r="AI121" s="57">
        <f t="shared" si="7"/>
        <v>0</v>
      </c>
    </row>
    <row r="122" spans="1:35" s="16" customFormat="1" ht="13.5" thickBot="1">
      <c r="A122" s="513">
        <f>Rezone!J122</f>
        <v>120</v>
      </c>
      <c r="B122" s="53">
        <f>Construction!E122</f>
        <v>1000</v>
      </c>
      <c r="C122" s="53"/>
      <c r="D122" s="68">
        <f>Construction!F122</f>
        <v>0</v>
      </c>
      <c r="E122" s="29">
        <f>Construction!G122</f>
        <v>100</v>
      </c>
      <c r="F122" s="30">
        <f>Construction!H122</f>
        <v>150</v>
      </c>
      <c r="G122" s="31">
        <f>Construction!I122</f>
        <v>150</v>
      </c>
      <c r="H122" s="32">
        <f>Construction!J122</f>
        <v>100</v>
      </c>
      <c r="I122" s="33">
        <f>Construction!K122</f>
        <v>20</v>
      </c>
      <c r="J122" s="69">
        <f>Construction!L122</f>
        <v>100</v>
      </c>
      <c r="N122" s="91">
        <f>Military!AB122</f>
        <v>0.2</v>
      </c>
      <c r="O122" s="59">
        <f ca="1">Population!I122</f>
        <v>1</v>
      </c>
      <c r="P122" s="91">
        <f ca="1">Imps!J122</f>
        <v>1</v>
      </c>
      <c r="Q122" s="63">
        <f t="shared" si="5"/>
        <v>1000</v>
      </c>
      <c r="R122" s="634">
        <f t="shared" si="9"/>
        <v>120</v>
      </c>
      <c r="S122" s="340"/>
      <c r="T122" s="348"/>
      <c r="U122" s="348"/>
      <c r="V122" s="348"/>
      <c r="W122" s="348"/>
      <c r="X122" s="348"/>
      <c r="Y122" s="348"/>
      <c r="Z122" s="357"/>
      <c r="AA122" s="537">
        <f>Imps!BY122</f>
        <v>43696.958333333045</v>
      </c>
      <c r="AB122" s="156">
        <f ca="1">Military!Z122</f>
        <v>3695</v>
      </c>
      <c r="AC122" s="57">
        <f ca="1">Production!H122</f>
        <v>4214980</v>
      </c>
      <c r="AE122" s="63">
        <f t="shared" si="8"/>
        <v>1000</v>
      </c>
      <c r="AF122" s="152">
        <f>ROUND(IF(AE122&gt;=300,1000+3*(AE122-300)^MIN(MAX(1.05/(AE122^0.019),1.09),1.119),1000-3*(300-AE122))*(1+IF(Overview!$B$14="Ants",ant_explore_penalty,0)+MIN(tech_explore_cost*Techs!Z122,tech_explore_cost2*Techs!AB122,tech_enchanted_lands_explore*Techs!AT122)),0)</f>
        <v>4787</v>
      </c>
      <c r="AG122" s="164">
        <f>ROUND(MAX(IF(AE122&gt;=300,5+0.003*(AE122-300)^1.07,5-300/AE122)+MIN(tech_explore_draft1*Techs!AA122,tech_explore_draft2*Techs!AB122),3),0)</f>
        <v>8</v>
      </c>
      <c r="AH122" s="26">
        <f t="shared" si="6"/>
        <v>0</v>
      </c>
      <c r="AI122" s="57">
        <f t="shared" si="7"/>
        <v>0</v>
      </c>
    </row>
    <row r="123" spans="1:35" s="111" customFormat="1" ht="14.25" thickTop="1" thickBot="1">
      <c r="A123" s="517">
        <f>Rezone!J123</f>
        <v>121</v>
      </c>
      <c r="B123" s="115">
        <f>Construction!E123</f>
        <v>1000</v>
      </c>
      <c r="C123" s="115"/>
      <c r="D123" s="118">
        <f>Construction!F123</f>
        <v>0</v>
      </c>
      <c r="E123" s="119">
        <f>Construction!G123</f>
        <v>100</v>
      </c>
      <c r="F123" s="120">
        <f>Construction!H123</f>
        <v>150</v>
      </c>
      <c r="G123" s="121">
        <f>Construction!I123</f>
        <v>150</v>
      </c>
      <c r="H123" s="122">
        <f>Construction!J123</f>
        <v>100</v>
      </c>
      <c r="I123" s="123">
        <f>Construction!K123</f>
        <v>20</v>
      </c>
      <c r="J123" s="124">
        <f>Construction!L123</f>
        <v>100</v>
      </c>
      <c r="L123" s="1472" t="s">
        <v>316</v>
      </c>
      <c r="M123" s="1475" t="s">
        <v>319</v>
      </c>
      <c r="N123" s="133">
        <f>Military!AB123</f>
        <v>0.2</v>
      </c>
      <c r="O123" s="136">
        <f ca="1">Population!I123</f>
        <v>1</v>
      </c>
      <c r="P123" s="133">
        <f ca="1">Imps!J123</f>
        <v>1</v>
      </c>
      <c r="Q123" s="116">
        <f t="shared" si="5"/>
        <v>1000</v>
      </c>
      <c r="R123" s="823">
        <f t="shared" si="9"/>
        <v>121</v>
      </c>
      <c r="S123" s="341"/>
      <c r="T123" s="350"/>
      <c r="U123" s="350"/>
      <c r="V123" s="350"/>
      <c r="W123" s="350"/>
      <c r="X123" s="350"/>
      <c r="Y123" s="350"/>
      <c r="Z123" s="359"/>
      <c r="AA123" s="572">
        <f>Imps!BY123</f>
        <v>43696.999999999709</v>
      </c>
      <c r="AB123" s="275">
        <f ca="1">Military!Z123</f>
        <v>3695</v>
      </c>
      <c r="AC123" s="109">
        <f ca="1">Production!H123</f>
        <v>4225631</v>
      </c>
      <c r="AE123" s="116">
        <f t="shared" si="8"/>
        <v>1000</v>
      </c>
      <c r="AF123" s="273">
        <f>ROUND(IF(AE123&gt;=300,1000+3*(AE123-300)^MIN(MAX(1.05/(AE123^0.019),1.09),1.119),1000-3*(300-AE123))*(1+IF(Overview!$B$14="Ants",ant_explore_penalty,0)+MIN(tech_explore_cost*Techs!Z123,tech_explore_cost2*Techs!AB123,tech_enchanted_lands_explore*Techs!AT123)),0)</f>
        <v>4787</v>
      </c>
      <c r="AG123" s="277">
        <f>ROUND(MAX(IF(AE123&gt;=300,5+0.003*(AE123-300)^1.07,5-300/AE123)+MIN(tech_explore_draft1*Techs!AA123,tech_explore_draft2*Techs!AB123),3),0)</f>
        <v>8</v>
      </c>
      <c r="AH123" s="108">
        <f t="shared" si="6"/>
        <v>0</v>
      </c>
      <c r="AI123" s="109">
        <f t="shared" si="7"/>
        <v>0</v>
      </c>
    </row>
    <row r="124" spans="1:35" s="16" customFormat="1" ht="13.5" thickTop="1">
      <c r="A124" s="513">
        <f>Rezone!J124</f>
        <v>122</v>
      </c>
      <c r="B124" s="53">
        <f>Construction!E124</f>
        <v>1000</v>
      </c>
      <c r="C124" s="53"/>
      <c r="D124" s="68">
        <f>Construction!F124</f>
        <v>0</v>
      </c>
      <c r="E124" s="29">
        <f>Construction!G124</f>
        <v>100</v>
      </c>
      <c r="F124" s="30">
        <f>Construction!H124</f>
        <v>150</v>
      </c>
      <c r="G124" s="31">
        <f>Construction!I124</f>
        <v>150</v>
      </c>
      <c r="H124" s="32">
        <f>Construction!J124</f>
        <v>100</v>
      </c>
      <c r="I124" s="33">
        <f>Construction!K124</f>
        <v>20</v>
      </c>
      <c r="J124" s="69">
        <f>Construction!L124</f>
        <v>100</v>
      </c>
      <c r="L124" s="1473"/>
      <c r="M124" s="1476"/>
      <c r="N124" s="91">
        <f>Military!AB124</f>
        <v>0.2</v>
      </c>
      <c r="O124" s="59">
        <f ca="1">Population!I124</f>
        <v>1</v>
      </c>
      <c r="P124" s="91">
        <f ca="1">Imps!J124</f>
        <v>1</v>
      </c>
      <c r="Q124" s="63">
        <f t="shared" si="5"/>
        <v>1000</v>
      </c>
      <c r="R124" s="634">
        <f t="shared" si="9"/>
        <v>122</v>
      </c>
      <c r="S124" s="340"/>
      <c r="T124" s="348"/>
      <c r="U124" s="348"/>
      <c r="V124" s="348"/>
      <c r="W124" s="348"/>
      <c r="X124" s="348"/>
      <c r="Y124" s="348"/>
      <c r="Z124" s="357"/>
      <c r="AA124" s="537">
        <f>Imps!BY124</f>
        <v>43697.041666666373</v>
      </c>
      <c r="AB124" s="156">
        <f ca="1">Military!Z124</f>
        <v>3695</v>
      </c>
      <c r="AC124" s="57">
        <f ca="1">Production!H124</f>
        <v>4236282</v>
      </c>
      <c r="AE124" s="63">
        <f t="shared" si="8"/>
        <v>1000</v>
      </c>
      <c r="AF124" s="152">
        <f>ROUND(IF(AE124&gt;=300,1000+3*(AE124-300)^MIN(MAX(1.05/(AE124^0.019),1.09),1.119),1000-3*(300-AE124))*(1+IF(Overview!$B$14="Ants",ant_explore_penalty,0)+MIN(tech_explore_cost*Techs!Z124,tech_explore_cost2*Techs!AB124,tech_enchanted_lands_explore*Techs!AT124)),0)</f>
        <v>4787</v>
      </c>
      <c r="AG124" s="164">
        <f>ROUND(MAX(IF(AE124&gt;=300,5+0.003*(AE124-300)^1.07,5-300/AE124)+MIN(tech_explore_draft1*Techs!AA124,tech_explore_draft2*Techs!AB124),3),0)</f>
        <v>8</v>
      </c>
      <c r="AH124" s="26">
        <f t="shared" si="6"/>
        <v>0</v>
      </c>
      <c r="AI124" s="57">
        <f t="shared" si="7"/>
        <v>0</v>
      </c>
    </row>
    <row r="125" spans="1:35" s="16" customFormat="1">
      <c r="A125" s="513">
        <f>Rezone!J125</f>
        <v>123</v>
      </c>
      <c r="B125" s="53">
        <f>Construction!E125</f>
        <v>1000</v>
      </c>
      <c r="C125" s="53"/>
      <c r="D125" s="68">
        <f>Construction!F125</f>
        <v>0</v>
      </c>
      <c r="E125" s="29">
        <f>Construction!G125</f>
        <v>100</v>
      </c>
      <c r="F125" s="30">
        <f>Construction!H125</f>
        <v>150</v>
      </c>
      <c r="G125" s="31">
        <f>Construction!I125</f>
        <v>150</v>
      </c>
      <c r="H125" s="32">
        <f>Construction!J125</f>
        <v>100</v>
      </c>
      <c r="I125" s="33">
        <f>Construction!K125</f>
        <v>20</v>
      </c>
      <c r="J125" s="69">
        <f>Construction!L125</f>
        <v>100</v>
      </c>
      <c r="L125" s="1474"/>
      <c r="M125" s="1477"/>
      <c r="N125" s="91">
        <f>Military!AB125</f>
        <v>0.2</v>
      </c>
      <c r="O125" s="59">
        <f ca="1">Population!I125</f>
        <v>1</v>
      </c>
      <c r="P125" s="91">
        <f ca="1">Imps!J125</f>
        <v>1</v>
      </c>
      <c r="Q125" s="63">
        <f t="shared" si="5"/>
        <v>1000</v>
      </c>
      <c r="R125" s="634">
        <f t="shared" si="9"/>
        <v>123</v>
      </c>
      <c r="S125" s="340"/>
      <c r="T125" s="348"/>
      <c r="U125" s="348"/>
      <c r="V125" s="348"/>
      <c r="W125" s="348"/>
      <c r="X125" s="348"/>
      <c r="Y125" s="348"/>
      <c r="Z125" s="357"/>
      <c r="AA125" s="537">
        <f>Imps!BY125</f>
        <v>43697.083333333037</v>
      </c>
      <c r="AB125" s="156">
        <f ca="1">Military!Z125</f>
        <v>3695</v>
      </c>
      <c r="AC125" s="57">
        <f ca="1">Production!H125</f>
        <v>4246933</v>
      </c>
      <c r="AE125" s="63">
        <f t="shared" si="8"/>
        <v>1000</v>
      </c>
      <c r="AF125" s="152">
        <f>ROUND(IF(AE125&gt;=300,1000+3*(AE125-300)^MIN(MAX(1.05/(AE125^0.019),1.09),1.119),1000-3*(300-AE125))*(1+IF(Overview!$B$14="Ants",ant_explore_penalty,0)+MIN(tech_explore_cost*Techs!Z125,tech_explore_cost2*Techs!AB125,tech_enchanted_lands_explore*Techs!AT125)),0)</f>
        <v>4787</v>
      </c>
      <c r="AG125" s="164">
        <f>ROUND(MAX(IF(AE125&gt;=300,5+0.003*(AE125-300)^1.07,5-300/AE125)+MIN(tech_explore_draft1*Techs!AA125,tech_explore_draft2*Techs!AB125),3),0)</f>
        <v>8</v>
      </c>
      <c r="AH125" s="26">
        <f t="shared" si="6"/>
        <v>0</v>
      </c>
      <c r="AI125" s="57">
        <f t="shared" si="7"/>
        <v>0</v>
      </c>
    </row>
    <row r="126" spans="1:35" s="16" customFormat="1">
      <c r="A126" s="513">
        <f>Rezone!J126</f>
        <v>124</v>
      </c>
      <c r="B126" s="53">
        <f>Construction!E126</f>
        <v>1000</v>
      </c>
      <c r="C126" s="53"/>
      <c r="D126" s="68">
        <f>Construction!F126</f>
        <v>0</v>
      </c>
      <c r="E126" s="29">
        <f>Construction!G126</f>
        <v>100</v>
      </c>
      <c r="F126" s="30">
        <f>Construction!H126</f>
        <v>150</v>
      </c>
      <c r="G126" s="31">
        <f>Construction!I126</f>
        <v>150</v>
      </c>
      <c r="H126" s="32">
        <f>Construction!J126</f>
        <v>100</v>
      </c>
      <c r="I126" s="33">
        <f>Construction!K126</f>
        <v>20</v>
      </c>
      <c r="J126" s="69">
        <f>Construction!L126</f>
        <v>100</v>
      </c>
      <c r="L126" s="70">
        <v>4</v>
      </c>
      <c r="M126" s="74">
        <v>299</v>
      </c>
      <c r="N126" s="91">
        <f>Military!AB126</f>
        <v>0.2</v>
      </c>
      <c r="O126" s="59">
        <f ca="1">Population!I126</f>
        <v>1</v>
      </c>
      <c r="P126" s="91">
        <f ca="1">Imps!J126</f>
        <v>1</v>
      </c>
      <c r="Q126" s="63">
        <f t="shared" si="5"/>
        <v>1000</v>
      </c>
      <c r="R126" s="634">
        <f t="shared" si="9"/>
        <v>124</v>
      </c>
      <c r="S126" s="340"/>
      <c r="T126" s="348"/>
      <c r="U126" s="348"/>
      <c r="V126" s="348"/>
      <c r="W126" s="348"/>
      <c r="X126" s="348"/>
      <c r="Y126" s="348"/>
      <c r="Z126" s="357"/>
      <c r="AA126" s="537">
        <f>Imps!BY126</f>
        <v>43697.124999999702</v>
      </c>
      <c r="AB126" s="156">
        <f ca="1">Military!Z126</f>
        <v>3695</v>
      </c>
      <c r="AC126" s="57">
        <f ca="1">Production!H126</f>
        <v>4257584</v>
      </c>
      <c r="AE126" s="63">
        <f t="shared" si="8"/>
        <v>1000</v>
      </c>
      <c r="AF126" s="152">
        <f>ROUND(IF(AE126&gt;=300,1000+3*(AE126-300)^MIN(MAX(1.05/(AE126^0.019),1.09),1.119),1000-3*(300-AE126))*(1+IF(Overview!$B$14="Ants",ant_explore_penalty,0)+MIN(tech_explore_cost*Techs!Z126,tech_explore_cost2*Techs!AB126,tech_enchanted_lands_explore*Techs!AT126)),0)</f>
        <v>4787</v>
      </c>
      <c r="AG126" s="164">
        <f>ROUND(MAX(IF(AE126&gt;=300,5+0.003*(AE126-300)^1.07,5-300/AE126)+MIN(tech_explore_draft1*Techs!AA126,tech_explore_draft2*Techs!AB126),3),0)</f>
        <v>8</v>
      </c>
      <c r="AH126" s="26">
        <f t="shared" si="6"/>
        <v>0</v>
      </c>
      <c r="AI126" s="57">
        <f t="shared" si="7"/>
        <v>0</v>
      </c>
    </row>
    <row r="127" spans="1:35" s="16" customFormat="1">
      <c r="A127" s="513">
        <f>Rezone!J127</f>
        <v>125</v>
      </c>
      <c r="B127" s="53">
        <f>Construction!E127</f>
        <v>1000</v>
      </c>
      <c r="C127" s="53"/>
      <c r="D127" s="68">
        <f>Construction!F127</f>
        <v>0</v>
      </c>
      <c r="E127" s="29">
        <f>Construction!G127</f>
        <v>100</v>
      </c>
      <c r="F127" s="30">
        <f>Construction!H127</f>
        <v>150</v>
      </c>
      <c r="G127" s="31">
        <f>Construction!I127</f>
        <v>150</v>
      </c>
      <c r="H127" s="32">
        <f>Construction!J127</f>
        <v>100</v>
      </c>
      <c r="I127" s="33">
        <f>Construction!K127</f>
        <v>20</v>
      </c>
      <c r="J127" s="69">
        <f>Construction!L127</f>
        <v>100</v>
      </c>
      <c r="L127" s="52">
        <v>5</v>
      </c>
      <c r="M127">
        <v>419</v>
      </c>
      <c r="N127" s="91">
        <f>Military!AB127</f>
        <v>0.2</v>
      </c>
      <c r="O127" s="59">
        <f ca="1">Population!I127</f>
        <v>1</v>
      </c>
      <c r="P127" s="91">
        <f ca="1">Imps!J127</f>
        <v>1</v>
      </c>
      <c r="Q127" s="63">
        <f t="shared" si="5"/>
        <v>1000</v>
      </c>
      <c r="R127" s="634">
        <f t="shared" si="9"/>
        <v>125</v>
      </c>
      <c r="S127" s="340"/>
      <c r="T127" s="348"/>
      <c r="U127" s="348"/>
      <c r="V127" s="348"/>
      <c r="W127" s="348"/>
      <c r="X127" s="348"/>
      <c r="Y127" s="348"/>
      <c r="Z127" s="357"/>
      <c r="AA127" s="537">
        <f>Imps!BY127</f>
        <v>43697.166666666366</v>
      </c>
      <c r="AB127" s="156">
        <f ca="1">Military!Z127</f>
        <v>3695</v>
      </c>
      <c r="AC127" s="57">
        <f ca="1">Production!H127</f>
        <v>4268235</v>
      </c>
      <c r="AE127" s="63">
        <f t="shared" si="8"/>
        <v>1000</v>
      </c>
      <c r="AF127" s="152">
        <f>ROUND(IF(AE127&gt;=300,1000+3*(AE127-300)^MIN(MAX(1.05/(AE127^0.019),1.09),1.119),1000-3*(300-AE127))*(1+IF(Overview!$B$14="Ants",ant_explore_penalty,0)+MIN(tech_explore_cost*Techs!Z127,tech_explore_cost2*Techs!AB127,tech_enchanted_lands_explore*Techs!AT127)),0)</f>
        <v>4787</v>
      </c>
      <c r="AG127" s="164">
        <f>ROUND(MAX(IF(AE127&gt;=300,5+0.003*(AE127-300)^1.07,5-300/AE127)+MIN(tech_explore_draft1*Techs!AA127,tech_explore_draft2*Techs!AB127),3),0)</f>
        <v>8</v>
      </c>
      <c r="AH127" s="26">
        <f t="shared" si="6"/>
        <v>0</v>
      </c>
      <c r="AI127" s="57">
        <f t="shared" si="7"/>
        <v>0</v>
      </c>
    </row>
    <row r="128" spans="1:35" s="16" customFormat="1">
      <c r="A128" s="513">
        <f>Rezone!J128</f>
        <v>126</v>
      </c>
      <c r="B128" s="53">
        <f>Construction!E128</f>
        <v>1000</v>
      </c>
      <c r="C128" s="53"/>
      <c r="D128" s="68">
        <f>Construction!F128</f>
        <v>0</v>
      </c>
      <c r="E128" s="29">
        <f>Construction!G128</f>
        <v>100</v>
      </c>
      <c r="F128" s="30">
        <f>Construction!H128</f>
        <v>150</v>
      </c>
      <c r="G128" s="31">
        <f>Construction!I128</f>
        <v>150</v>
      </c>
      <c r="H128" s="32">
        <f>Construction!J128</f>
        <v>100</v>
      </c>
      <c r="I128" s="33">
        <f>Construction!K128</f>
        <v>20</v>
      </c>
      <c r="J128" s="69">
        <f>Construction!L128</f>
        <v>100</v>
      </c>
      <c r="L128" s="52">
        <v>6</v>
      </c>
      <c r="M128">
        <v>632</v>
      </c>
      <c r="N128" s="91">
        <f>Military!AB128</f>
        <v>0.2</v>
      </c>
      <c r="O128" s="59">
        <f ca="1">Population!I128</f>
        <v>1</v>
      </c>
      <c r="P128" s="91">
        <f ca="1">Imps!J128</f>
        <v>1</v>
      </c>
      <c r="Q128" s="63">
        <f t="shared" si="5"/>
        <v>1000</v>
      </c>
      <c r="R128" s="634">
        <f t="shared" si="9"/>
        <v>126</v>
      </c>
      <c r="S128" s="340"/>
      <c r="T128" s="348"/>
      <c r="U128" s="348"/>
      <c r="V128" s="348"/>
      <c r="W128" s="348"/>
      <c r="X128" s="348"/>
      <c r="Y128" s="348"/>
      <c r="Z128" s="357"/>
      <c r="AA128" s="537">
        <f>Imps!BY128</f>
        <v>43697.20833333303</v>
      </c>
      <c r="AB128" s="156">
        <f ca="1">Military!Z128</f>
        <v>3695</v>
      </c>
      <c r="AC128" s="57">
        <f ca="1">Production!H128</f>
        <v>4278886</v>
      </c>
      <c r="AE128" s="63">
        <f t="shared" si="8"/>
        <v>1000</v>
      </c>
      <c r="AF128" s="152">
        <f>ROUND(IF(AE128&gt;=300,1000+3*(AE128-300)^MIN(MAX(1.05/(AE128^0.019),1.09),1.119),1000-3*(300-AE128))*(1+IF(Overview!$B$14="Ants",ant_explore_penalty,0)+MIN(tech_explore_cost*Techs!Z128,tech_explore_cost2*Techs!AB128,tech_enchanted_lands_explore*Techs!AT128)),0)</f>
        <v>4787</v>
      </c>
      <c r="AG128" s="164">
        <f>ROUND(MAX(IF(AE128&gt;=300,5+0.003*(AE128-300)^1.07,5-300/AE128)+MIN(tech_explore_draft1*Techs!AA128,tech_explore_draft2*Techs!AB128),3),0)</f>
        <v>8</v>
      </c>
      <c r="AH128" s="26">
        <f t="shared" si="6"/>
        <v>0</v>
      </c>
      <c r="AI128" s="57">
        <f t="shared" si="7"/>
        <v>0</v>
      </c>
    </row>
    <row r="129" spans="1:35" s="16" customFormat="1">
      <c r="A129" s="513">
        <f>Rezone!J129</f>
        <v>127</v>
      </c>
      <c r="B129" s="53">
        <f>Construction!E129</f>
        <v>1000</v>
      </c>
      <c r="C129" s="53"/>
      <c r="D129" s="68">
        <f>Construction!F129</f>
        <v>0</v>
      </c>
      <c r="E129" s="29">
        <f>Construction!G129</f>
        <v>100</v>
      </c>
      <c r="F129" s="30">
        <f>Construction!H129</f>
        <v>150</v>
      </c>
      <c r="G129" s="31">
        <f>Construction!I129</f>
        <v>150</v>
      </c>
      <c r="H129" s="32">
        <f>Construction!J129</f>
        <v>100</v>
      </c>
      <c r="I129" s="33">
        <f>Construction!K129</f>
        <v>20</v>
      </c>
      <c r="J129" s="69">
        <f>Construction!L129</f>
        <v>100</v>
      </c>
      <c r="L129" s="52">
        <v>7</v>
      </c>
      <c r="M129">
        <v>836</v>
      </c>
      <c r="N129" s="91">
        <f>Military!AB129</f>
        <v>0.2</v>
      </c>
      <c r="O129" s="59">
        <f ca="1">Population!I129</f>
        <v>1</v>
      </c>
      <c r="P129" s="91">
        <f ca="1">Imps!J129</f>
        <v>1</v>
      </c>
      <c r="Q129" s="63">
        <f t="shared" si="5"/>
        <v>1000</v>
      </c>
      <c r="R129" s="634">
        <f t="shared" si="9"/>
        <v>127</v>
      </c>
      <c r="S129" s="340"/>
      <c r="T129" s="348"/>
      <c r="U129" s="348"/>
      <c r="V129" s="348"/>
      <c r="W129" s="348"/>
      <c r="X129" s="348"/>
      <c r="Y129" s="348"/>
      <c r="Z129" s="357"/>
      <c r="AA129" s="537">
        <f>Imps!BY129</f>
        <v>43697.249999999694</v>
      </c>
      <c r="AB129" s="156">
        <f ca="1">Military!Z129</f>
        <v>3695</v>
      </c>
      <c r="AC129" s="57">
        <f ca="1">Production!H129</f>
        <v>4289537</v>
      </c>
      <c r="AE129" s="63">
        <f t="shared" si="8"/>
        <v>1000</v>
      </c>
      <c r="AF129" s="152">
        <f>ROUND(IF(AE129&gt;=300,1000+3*(AE129-300)^MIN(MAX(1.05/(AE129^0.019),1.09),1.119),1000-3*(300-AE129))*(1+IF(Overview!$B$14="Ants",ant_explore_penalty,0)+MIN(tech_explore_cost*Techs!Z129,tech_explore_cost2*Techs!AB129,tech_enchanted_lands_explore*Techs!AT129)),0)</f>
        <v>4787</v>
      </c>
      <c r="AG129" s="164">
        <f>ROUND(MAX(IF(AE129&gt;=300,5+0.003*(AE129-300)^1.07,5-300/AE129)+MIN(tech_explore_draft1*Techs!AA129,tech_explore_draft2*Techs!AB129),3),0)</f>
        <v>8</v>
      </c>
      <c r="AH129" s="26">
        <f t="shared" si="6"/>
        <v>0</v>
      </c>
      <c r="AI129" s="57">
        <f t="shared" si="7"/>
        <v>0</v>
      </c>
    </row>
    <row r="130" spans="1:35" s="16" customFormat="1">
      <c r="A130" s="513">
        <f>Rezone!J130</f>
        <v>128</v>
      </c>
      <c r="B130" s="53">
        <f>Construction!E130</f>
        <v>1000</v>
      </c>
      <c r="C130" s="53"/>
      <c r="D130" s="68">
        <f>Construction!F130</f>
        <v>0</v>
      </c>
      <c r="E130" s="29">
        <f>Construction!G130</f>
        <v>100</v>
      </c>
      <c r="F130" s="30">
        <f>Construction!H130</f>
        <v>150</v>
      </c>
      <c r="G130" s="31">
        <f>Construction!I130</f>
        <v>150</v>
      </c>
      <c r="H130" s="32">
        <f>Construction!J130</f>
        <v>100</v>
      </c>
      <c r="I130" s="33">
        <f>Construction!K130</f>
        <v>20</v>
      </c>
      <c r="J130" s="69">
        <f>Construction!L130</f>
        <v>100</v>
      </c>
      <c r="L130" s="52">
        <v>8</v>
      </c>
      <c r="M130">
        <v>1035</v>
      </c>
      <c r="N130" s="91">
        <f>Military!AB130</f>
        <v>0.2</v>
      </c>
      <c r="O130" s="59">
        <f ca="1">Population!I130</f>
        <v>1</v>
      </c>
      <c r="P130" s="91">
        <f ca="1">Imps!J130</f>
        <v>1</v>
      </c>
      <c r="Q130" s="63">
        <f t="shared" si="5"/>
        <v>1000</v>
      </c>
      <c r="R130" s="634">
        <f t="shared" si="9"/>
        <v>128</v>
      </c>
      <c r="S130" s="340"/>
      <c r="T130" s="348"/>
      <c r="U130" s="348"/>
      <c r="V130" s="348"/>
      <c r="W130" s="348"/>
      <c r="X130" s="348"/>
      <c r="Y130" s="348"/>
      <c r="Z130" s="357"/>
      <c r="AA130" s="537">
        <f>Imps!BY130</f>
        <v>43697.291666666359</v>
      </c>
      <c r="AB130" s="156">
        <f ca="1">Military!Z130</f>
        <v>3695</v>
      </c>
      <c r="AC130" s="57">
        <f ca="1">Production!H130</f>
        <v>4300188</v>
      </c>
      <c r="AE130" s="63">
        <f t="shared" si="8"/>
        <v>1000</v>
      </c>
      <c r="AF130" s="152">
        <f>ROUND(IF(AE130&gt;=300,1000+3*(AE130-300)^MIN(MAX(1.05/(AE130^0.019),1.09),1.119),1000-3*(300-AE130))*(1+IF(Overview!$B$14="Ants",ant_explore_penalty,0)+MIN(tech_explore_cost*Techs!Z130,tech_explore_cost2*Techs!AB130,tech_enchanted_lands_explore*Techs!AT130)),0)</f>
        <v>4787</v>
      </c>
      <c r="AG130" s="164">
        <f>ROUND(MAX(IF(AE130&gt;=300,5+0.003*(AE130-300)^1.07,5-300/AE130)+MIN(tech_explore_draft1*Techs!AA130,tech_explore_draft2*Techs!AB130),3),0)</f>
        <v>8</v>
      </c>
      <c r="AH130" s="26">
        <f t="shared" si="6"/>
        <v>0</v>
      </c>
      <c r="AI130" s="57">
        <f t="shared" si="7"/>
        <v>0</v>
      </c>
    </row>
    <row r="131" spans="1:35" s="16" customFormat="1">
      <c r="A131" s="513">
        <f>Rezone!J131</f>
        <v>129</v>
      </c>
      <c r="B131" s="53">
        <f>Construction!E131</f>
        <v>1000</v>
      </c>
      <c r="C131" s="53"/>
      <c r="D131" s="68">
        <f>Construction!F131</f>
        <v>0</v>
      </c>
      <c r="E131" s="29">
        <f>Construction!G131</f>
        <v>100</v>
      </c>
      <c r="F131" s="30">
        <f>Construction!H131</f>
        <v>150</v>
      </c>
      <c r="G131" s="31">
        <f>Construction!I131</f>
        <v>150</v>
      </c>
      <c r="H131" s="32">
        <f>Construction!J131</f>
        <v>100</v>
      </c>
      <c r="I131" s="33">
        <f>Construction!K131</f>
        <v>20</v>
      </c>
      <c r="J131" s="69">
        <f>Construction!L131</f>
        <v>100</v>
      </c>
      <c r="L131" s="52">
        <v>9</v>
      </c>
      <c r="M131">
        <v>1229</v>
      </c>
      <c r="N131" s="91">
        <f>Military!AB131</f>
        <v>0.2</v>
      </c>
      <c r="O131" s="59">
        <f ca="1">Population!I131</f>
        <v>1</v>
      </c>
      <c r="P131" s="91">
        <f ca="1">Imps!J131</f>
        <v>1</v>
      </c>
      <c r="Q131" s="63">
        <f>B131</f>
        <v>1000</v>
      </c>
      <c r="R131" s="634">
        <f t="shared" si="9"/>
        <v>129</v>
      </c>
      <c r="S131" s="340"/>
      <c r="T131" s="348"/>
      <c r="U131" s="348"/>
      <c r="V131" s="348"/>
      <c r="W131" s="348"/>
      <c r="X131" s="348"/>
      <c r="Y131" s="348"/>
      <c r="Z131" s="357"/>
      <c r="AA131" s="537">
        <f>Imps!BY131</f>
        <v>43697.333333333023</v>
      </c>
      <c r="AB131" s="156">
        <f ca="1">Military!Z131</f>
        <v>3695</v>
      </c>
      <c r="AC131" s="57">
        <f ca="1">Production!H131</f>
        <v>4310839</v>
      </c>
      <c r="AE131" s="63">
        <f t="shared" si="8"/>
        <v>1000</v>
      </c>
      <c r="AF131" s="152">
        <f>ROUND(IF(AE131&gt;=300,1000+3*(AE131-300)^MIN(MAX(1.05/(AE131^0.019),1.09),1.119),1000-3*(300-AE131))*(1+IF(Overview!$B$14="Ants",ant_explore_penalty,0)+MIN(tech_explore_cost*Techs!Z131,tech_explore_cost2*Techs!AB131,tech_enchanted_lands_explore*Techs!AT131)),0)</f>
        <v>4787</v>
      </c>
      <c r="AG131" s="164">
        <f>ROUND(MAX(IF(AE131&gt;=300,5+0.003*(AE131-300)^1.07,5-300/AE131)+MIN(tech_explore_draft1*Techs!AA131,tech_explore_draft2*Techs!AB131),3),0)</f>
        <v>8</v>
      </c>
      <c r="AH131" s="26">
        <f>SUM(T131:Z131)*AF131</f>
        <v>0</v>
      </c>
      <c r="AI131" s="57">
        <f>SUM(T131:Z131)*AG131</f>
        <v>0</v>
      </c>
    </row>
    <row r="132" spans="1:35" s="16" customFormat="1">
      <c r="A132" s="513">
        <f>Rezone!J132</f>
        <v>130</v>
      </c>
      <c r="B132" s="53">
        <f>Construction!E132</f>
        <v>1000</v>
      </c>
      <c r="C132" s="53"/>
      <c r="D132" s="68">
        <f>Construction!F132</f>
        <v>0</v>
      </c>
      <c r="E132" s="29">
        <f>Construction!G132</f>
        <v>100</v>
      </c>
      <c r="F132" s="30">
        <f>Construction!H132</f>
        <v>150</v>
      </c>
      <c r="G132" s="31">
        <f>Construction!I132</f>
        <v>150</v>
      </c>
      <c r="H132" s="32">
        <f>Construction!J132</f>
        <v>100</v>
      </c>
      <c r="I132" s="33">
        <f>Construction!K132</f>
        <v>20</v>
      </c>
      <c r="J132" s="69">
        <f>Construction!L132</f>
        <v>100</v>
      </c>
      <c r="L132" s="52">
        <v>10</v>
      </c>
      <c r="M132">
        <v>1421</v>
      </c>
      <c r="N132" s="91">
        <f>Military!AB132</f>
        <v>0.2</v>
      </c>
      <c r="O132" s="59">
        <f ca="1">Population!I132</f>
        <v>1</v>
      </c>
      <c r="P132" s="91">
        <f ca="1">Imps!J132</f>
        <v>1</v>
      </c>
      <c r="Q132" s="63">
        <f>B132</f>
        <v>1000</v>
      </c>
      <c r="R132" s="634">
        <f t="shared" si="9"/>
        <v>130</v>
      </c>
      <c r="S132" s="340"/>
      <c r="T132" s="348"/>
      <c r="U132" s="348"/>
      <c r="V132" s="348"/>
      <c r="W132" s="348"/>
      <c r="X132" s="348"/>
      <c r="Y132" s="348"/>
      <c r="Z132" s="357"/>
      <c r="AA132" s="537">
        <f>Imps!BY132</f>
        <v>43697.374999999687</v>
      </c>
      <c r="AB132" s="156">
        <f ca="1">Military!Z132</f>
        <v>3695</v>
      </c>
      <c r="AC132" s="57">
        <f ca="1">Production!H132</f>
        <v>4321490</v>
      </c>
      <c r="AE132" s="63">
        <f>B132-S132*20</f>
        <v>1000</v>
      </c>
      <c r="AF132" s="152">
        <f>ROUND(IF(AE132&gt;=300,1000+3*(AE132-300)^MIN(MAX(1.05/(AE132^0.019),1.09),1.119),1000-3*(300-AE132))*(1+IF(Overview!$B$14="Ants",ant_explore_penalty,0)+MIN(tech_explore_cost*Techs!Z132,tech_explore_cost2*Techs!AB132,tech_enchanted_lands_explore*Techs!AT132)),0)</f>
        <v>4787</v>
      </c>
      <c r="AG132" s="164">
        <f>ROUND(MAX(IF(AE132&gt;=300,5+0.003*(AE132-300)^1.07,5-300/AE132)+MIN(tech_explore_draft1*Techs!AA132,tech_explore_draft2*Techs!AB132),3),0)</f>
        <v>8</v>
      </c>
      <c r="AH132" s="26">
        <f>SUM(T132:Z132)*AF132</f>
        <v>0</v>
      </c>
      <c r="AI132" s="57">
        <f>SUM(T132:Z132)*AG132</f>
        <v>0</v>
      </c>
    </row>
    <row r="133" spans="1:35" s="16" customFormat="1">
      <c r="A133" s="513">
        <f>Rezone!J133</f>
        <v>131</v>
      </c>
      <c r="B133" s="53">
        <f>Construction!E133</f>
        <v>1000</v>
      </c>
      <c r="C133" s="53"/>
      <c r="D133" s="68">
        <f>Construction!F133</f>
        <v>0</v>
      </c>
      <c r="E133" s="29">
        <f>Construction!G133</f>
        <v>100</v>
      </c>
      <c r="F133" s="30">
        <f>Construction!H133</f>
        <v>150</v>
      </c>
      <c r="G133" s="31">
        <f>Construction!I133</f>
        <v>150</v>
      </c>
      <c r="H133" s="32">
        <f>Construction!J133</f>
        <v>100</v>
      </c>
      <c r="I133" s="33">
        <f>Construction!K133</f>
        <v>20</v>
      </c>
      <c r="J133" s="69">
        <f>Construction!L133</f>
        <v>100</v>
      </c>
      <c r="L133" s="52">
        <v>11</v>
      </c>
      <c r="M133">
        <v>1610</v>
      </c>
      <c r="N133" s="91">
        <f>Military!AB133</f>
        <v>0.2</v>
      </c>
      <c r="O133" s="59">
        <f ca="1">Population!I133</f>
        <v>1</v>
      </c>
      <c r="P133" s="91">
        <f ca="1">Imps!J133</f>
        <v>1</v>
      </c>
      <c r="Q133" s="63">
        <f>B133</f>
        <v>1000</v>
      </c>
      <c r="R133" s="634">
        <f t="shared" si="9"/>
        <v>131</v>
      </c>
      <c r="S133" s="340"/>
      <c r="T133" s="348"/>
      <c r="U133" s="348"/>
      <c r="V133" s="348"/>
      <c r="W133" s="348"/>
      <c r="X133" s="348"/>
      <c r="Y133" s="348"/>
      <c r="Z133" s="357"/>
      <c r="AA133" s="537">
        <f>Imps!BY133</f>
        <v>43697.416666666351</v>
      </c>
      <c r="AB133" s="156">
        <f ca="1">Military!Z133</f>
        <v>3695</v>
      </c>
      <c r="AC133" s="57">
        <f ca="1">Production!H133</f>
        <v>4332141</v>
      </c>
      <c r="AE133" s="63">
        <f>B133-S133*20</f>
        <v>1000</v>
      </c>
      <c r="AF133" s="152">
        <f>ROUND(IF(AE133&gt;=300,1000+3*(AE133-300)^MIN(MAX(1.05/(AE133^0.019),1.09),1.119),1000-3*(300-AE133))*(1+IF(Overview!$B$14="Ants",ant_explore_penalty,0)+MIN(tech_explore_cost*Techs!Z133,tech_explore_cost2*Techs!AB133,tech_enchanted_lands_explore*Techs!AT133)),0)</f>
        <v>4787</v>
      </c>
      <c r="AG133" s="164">
        <f>ROUND(MAX(IF(AE133&gt;=300,5+0.003*(AE133-300)^1.07,5-300/AE133)+MIN(tech_explore_draft1*Techs!AA133,tech_explore_draft2*Techs!AB133),3),0)</f>
        <v>8</v>
      </c>
      <c r="AH133" s="26">
        <f>SUM(T133:Z133)*AF133</f>
        <v>0</v>
      </c>
      <c r="AI133" s="57">
        <f>SUM(T133:Z133)*AG133</f>
        <v>0</v>
      </c>
    </row>
    <row r="134" spans="1:35" s="16" customFormat="1">
      <c r="A134" s="513">
        <f>Rezone!J134</f>
        <v>132</v>
      </c>
      <c r="B134" s="53">
        <f>Construction!E134</f>
        <v>1000</v>
      </c>
      <c r="C134" s="53"/>
      <c r="D134" s="68">
        <f>Construction!F134</f>
        <v>0</v>
      </c>
      <c r="E134" s="29">
        <f>Construction!G134</f>
        <v>100</v>
      </c>
      <c r="F134" s="30">
        <f>Construction!H134</f>
        <v>150</v>
      </c>
      <c r="G134" s="31">
        <f>Construction!I134</f>
        <v>150</v>
      </c>
      <c r="H134" s="32">
        <f>Construction!J134</f>
        <v>100</v>
      </c>
      <c r="I134" s="33">
        <f>Construction!K134</f>
        <v>20</v>
      </c>
      <c r="J134" s="69">
        <f>Construction!L134</f>
        <v>100</v>
      </c>
      <c r="L134" s="52">
        <v>12</v>
      </c>
      <c r="M134">
        <v>1798</v>
      </c>
      <c r="N134" s="91">
        <f>Military!AB134</f>
        <v>0.2</v>
      </c>
      <c r="O134" s="59">
        <f ca="1">Population!I134</f>
        <v>1</v>
      </c>
      <c r="P134" s="91">
        <f ca="1">Imps!J134</f>
        <v>1</v>
      </c>
      <c r="Q134" s="63">
        <f>B134</f>
        <v>1000</v>
      </c>
      <c r="R134" s="634">
        <f t="shared" si="9"/>
        <v>132</v>
      </c>
      <c r="S134" s="340"/>
      <c r="T134" s="348"/>
      <c r="U134" s="348"/>
      <c r="V134" s="348"/>
      <c r="W134" s="348"/>
      <c r="X134" s="348"/>
      <c r="Y134" s="348"/>
      <c r="Z134" s="357"/>
      <c r="AA134" s="537">
        <f>Imps!BY134</f>
        <v>43697.458333333016</v>
      </c>
      <c r="AB134" s="156">
        <f ca="1">Military!Z134</f>
        <v>3695</v>
      </c>
      <c r="AC134" s="57">
        <f ca="1">Production!H134</f>
        <v>4342792</v>
      </c>
      <c r="AE134" s="63">
        <f>B134-S134*20</f>
        <v>1000</v>
      </c>
      <c r="AF134" s="152">
        <f>ROUND(IF(AE134&gt;=300,1000+3*(AE134-300)^MIN(MAX(1.05/(AE134^0.019),1.09),1.119),1000-3*(300-AE134))*(1+IF(Overview!$B$14="Ants",ant_explore_penalty,0)+MIN(tech_explore_cost*Techs!Z134,tech_explore_cost2*Techs!AB134,tech_enchanted_lands_explore*Techs!AT134)),0)</f>
        <v>4787</v>
      </c>
      <c r="AG134" s="164">
        <f>ROUND(MAX(IF(AE134&gt;=300,5+0.003*(AE134-300)^1.07,5-300/AE134)+MIN(tech_explore_draft1*Techs!AA134,tech_explore_draft2*Techs!AB134),3),0)</f>
        <v>8</v>
      </c>
      <c r="AH134" s="26">
        <f>SUM(T134:Z134)*AF134</f>
        <v>0</v>
      </c>
      <c r="AI134" s="57">
        <f>SUM(T134:Z134)*AG134</f>
        <v>0</v>
      </c>
    </row>
    <row r="135" spans="1:35" s="12" customFormat="1">
      <c r="A135" s="515">
        <f>Rezone!J135</f>
        <v>133</v>
      </c>
      <c r="B135" s="51">
        <f>Construction!E135</f>
        <v>1000</v>
      </c>
      <c r="C135" s="51"/>
      <c r="D135" s="66">
        <f>Construction!F135</f>
        <v>0</v>
      </c>
      <c r="E135" s="18">
        <f>Construction!G135</f>
        <v>100</v>
      </c>
      <c r="F135" s="19">
        <f>Construction!H135</f>
        <v>150</v>
      </c>
      <c r="G135" s="20">
        <f>Construction!I135</f>
        <v>150</v>
      </c>
      <c r="H135" s="21">
        <f>Construction!J135</f>
        <v>100</v>
      </c>
      <c r="I135" s="201">
        <f>Construction!K135</f>
        <v>20</v>
      </c>
      <c r="J135" s="67">
        <f>Construction!L135</f>
        <v>100</v>
      </c>
      <c r="L135" s="52">
        <v>13</v>
      </c>
      <c r="M135">
        <v>1984</v>
      </c>
      <c r="N135" s="306">
        <f>Military!AB135</f>
        <v>0.2</v>
      </c>
      <c r="O135" s="58">
        <f ca="1">Population!I135</f>
        <v>0</v>
      </c>
      <c r="P135" s="306">
        <f ca="1">Imps!J135</f>
        <v>1</v>
      </c>
      <c r="Q135" s="286">
        <f>B135</f>
        <v>1000</v>
      </c>
      <c r="R135" s="318">
        <f t="shared" si="9"/>
        <v>133</v>
      </c>
      <c r="S135" s="520"/>
      <c r="T135" s="349"/>
      <c r="U135" s="349"/>
      <c r="V135" s="349"/>
      <c r="W135" s="349"/>
      <c r="X135" s="349"/>
      <c r="Y135" s="349"/>
      <c r="Z135" s="374"/>
      <c r="AA135" s="570">
        <f>Imps!BY135</f>
        <v>43697.49999999968</v>
      </c>
      <c r="AB135" s="184">
        <f ca="1">Military!Z135</f>
        <v>3695</v>
      </c>
      <c r="AC135" s="55">
        <f ca="1">Production!H135</f>
        <v>4353443</v>
      </c>
      <c r="AE135" s="286">
        <f>B135-S135*20</f>
        <v>1000</v>
      </c>
      <c r="AF135" s="151">
        <f>ROUND(IF(AE135&gt;=300,1000+3*(AE135-300)^MIN(MAX(1.05/(AE135^0.019),1.09),1.119),1000-3*(300-AE135))*(1+IF(Overview!$B$14="Ants",ant_explore_penalty,0)+MIN(tech_explore_cost*Techs!Z135,tech_explore_cost2*Techs!AB135,tech_enchanted_lands_explore*Techs!AT135)),0)</f>
        <v>4787</v>
      </c>
      <c r="AG135" s="153">
        <f>ROUND(MAX(IF(AE135&gt;=300,5+0.003*(AE135-300)^1.07,5-300/AE135)+MIN(tech_explore_draft1*Techs!AA135,tech_explore_draft2*Techs!AB135),3),0)</f>
        <v>8</v>
      </c>
      <c r="AH135" s="13">
        <f>SUM(T135:Z135)*AF135</f>
        <v>0</v>
      </c>
      <c r="AI135" s="55">
        <f>SUM(T135:Z135)*AG135</f>
        <v>0</v>
      </c>
    </row>
    <row r="1268" spans="2:24">
      <c r="B1268" s="1463" t="s">
        <v>332</v>
      </c>
      <c r="C1268" s="1463"/>
      <c r="L1268" s="17"/>
      <c r="M1268" s="17"/>
    </row>
    <row r="1269" spans="2:24">
      <c r="B1269" s="672">
        <f ca="1">Overview!E17</f>
        <v>1185</v>
      </c>
      <c r="C1269" s="672"/>
      <c r="L1269" s="17"/>
      <c r="M1269" s="17"/>
      <c r="X1269" s="35"/>
    </row>
  </sheetData>
  <mergeCells count="11">
    <mergeCell ref="AB1:AC1"/>
    <mergeCell ref="L51:L53"/>
    <mergeCell ref="M51:M53"/>
    <mergeCell ref="L1:Q1"/>
    <mergeCell ref="L15:M15"/>
    <mergeCell ref="L24:M24"/>
    <mergeCell ref="L96:M96"/>
    <mergeCell ref="L123:L125"/>
    <mergeCell ref="M123:M125"/>
    <mergeCell ref="B1268:C1268"/>
    <mergeCell ref="L87:M87"/>
  </mergeCells>
  <phoneticPr fontId="0" type="noConversion"/>
  <conditionalFormatting sqref="M25:M31 M97:M103">
    <cfRule type="expression" dxfId="76" priority="1" stopIfTrue="1">
      <formula>$M25&lt;$M16</formula>
    </cfRule>
    <cfRule type="expression" dxfId="75" priority="2" stopIfTrue="1">
      <formula>$M16&lt;$M25</formula>
    </cfRule>
  </conditionalFormatting>
  <conditionalFormatting sqref="C1269 D1268:IV1269 A1268:B1269">
    <cfRule type="expression" dxfId="74" priority="3" stopIfTrue="1">
      <formula>$B$1269&gt;144</formula>
    </cfRule>
  </conditionalFormatting>
  <conditionalFormatting sqref="IV64222:IV64923 IV8134:IV8198 IV496:IV1098 T18625:AI29793 AJ18582:IV29750 A1:XFD2 B12458:B20615 B547:C1267 B1270:C1337">
    <cfRule type="expression" dxfId="73" priority="4" stopIfTrue="1">
      <formula>ROW()-2=#REF!</formula>
    </cfRule>
  </conditionalFormatting>
  <conditionalFormatting sqref="L51:L88 L27:L31 L33:M49 L18:M22 L24:L25 L3:L16 M3:M14 AA3:AA135 A3:C135 K3:K135 N3:R135 L123:M135 L99:L103 M88 L105:M121 L90:M94 L96:L97 M16 M51:M86 AD3:IV135">
    <cfRule type="expression" dxfId="72" priority="5" stopIfTrue="1">
      <formula>ROW()-3=$B$1269</formula>
    </cfRule>
  </conditionalFormatting>
  <conditionalFormatting sqref="D3:J135 AB3:AC135 T3:Z135">
    <cfRule type="expression" dxfId="71" priority="6" stopIfTrue="1">
      <formula>OR(ROW()-3=$B$1269,D3&lt;0)</formula>
    </cfRule>
  </conditionalFormatting>
  <conditionalFormatting sqref="S3:S135">
    <cfRule type="expression" dxfId="70" priority="7" stopIfTrue="1">
      <formula>OR(ROW()-3=$B$1269,AND(S3&lt;&gt;1,S3&lt;&gt;""))</formula>
    </cfRule>
  </conditionalFormatting>
  <conditionalFormatting sqref="A1:XFD2">
    <cfRule type="expression" dxfId="69" priority="8" stopIfTrue="1">
      <formula>$B$1269&lt;1</formula>
    </cfRule>
  </conditionalFormatting>
  <dataValidations count="1">
    <dataValidation type="whole" operator="equal" allowBlank="1" showInputMessage="1" showErrorMessage="1" sqref="S3:S135">
      <formula1>1</formula1>
    </dataValidation>
  </dataValidations>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sheetPr codeName="Sheet6"/>
  <dimension ref="A1:EQ1269"/>
  <sheetViews>
    <sheetView topLeftCell="O1" zoomScale="85" workbookViewId="0">
      <pane ySplit="2" topLeftCell="A3" activePane="bottomLeft" state="frozenSplit"/>
      <selection activeCell="A3" sqref="A3"/>
      <selection pane="bottomLeft" activeCell="AK16" sqref="AK16"/>
    </sheetView>
  </sheetViews>
  <sheetFormatPr defaultRowHeight="12.75"/>
  <cols>
    <col min="1" max="1" width="5.140625" bestFit="1" customWidth="1"/>
    <col min="2" max="2" width="7" bestFit="1" customWidth="1"/>
    <col min="3" max="3" width="8.7109375" bestFit="1" customWidth="1"/>
    <col min="4" max="4" width="2.140625" bestFit="1" customWidth="1"/>
    <col min="5" max="5" width="10.42578125" bestFit="1" customWidth="1"/>
    <col min="6" max="6" width="12.28515625" bestFit="1" customWidth="1"/>
    <col min="7" max="7" width="10.28515625" bestFit="1" customWidth="1"/>
    <col min="8" max="8" width="12.42578125" bestFit="1" customWidth="1"/>
    <col min="9" max="9" width="10.28515625" bestFit="1" customWidth="1"/>
    <col min="10" max="10" width="13" bestFit="1" customWidth="1"/>
    <col min="11" max="11" width="10.5703125" bestFit="1" customWidth="1"/>
    <col min="12" max="12" width="3.42578125" customWidth="1"/>
    <col min="13" max="13" width="8.7109375" bestFit="1" customWidth="1"/>
    <col min="14" max="14" width="2.140625" bestFit="1" customWidth="1"/>
    <col min="15" max="15" width="6.140625" customWidth="1"/>
    <col min="16" max="16" width="10.7109375" bestFit="1" customWidth="1"/>
    <col min="17" max="17" width="7.5703125" bestFit="1" customWidth="1"/>
    <col min="18" max="18" width="8.85546875" bestFit="1" customWidth="1"/>
    <col min="19" max="19" width="7.140625" customWidth="1"/>
    <col min="20" max="20" width="8.28515625" style="1" customWidth="1"/>
    <col min="21" max="21" width="9" style="1049" customWidth="1"/>
    <col min="22" max="22" width="7.5703125" bestFit="1" customWidth="1"/>
    <col min="23" max="23" width="5.140625" bestFit="1" customWidth="1"/>
    <col min="24" max="24" width="4.85546875" bestFit="1" customWidth="1"/>
    <col min="25" max="25" width="8.42578125" bestFit="1" customWidth="1"/>
    <col min="26" max="26" width="8.140625" bestFit="1" customWidth="1"/>
    <col min="27" max="27" width="3.140625" customWidth="1"/>
    <col min="28" max="28" width="8.28515625" bestFit="1" customWidth="1"/>
    <col min="29" max="29" width="5.7109375" bestFit="1" customWidth="1"/>
    <col min="30" max="30" width="4.42578125" customWidth="1"/>
    <col min="31" max="31" width="5.7109375" bestFit="1" customWidth="1"/>
    <col min="32" max="32" width="9.42578125" bestFit="1" customWidth="1"/>
    <col min="33" max="33" width="12.28515625" bestFit="1" customWidth="1"/>
    <col min="34" max="34" width="10.42578125" bestFit="1" customWidth="1"/>
    <col min="35" max="35" width="12.28515625" bestFit="1" customWidth="1"/>
    <col min="36" max="36" width="5.7109375" bestFit="1" customWidth="1"/>
    <col min="37" max="37" width="7.85546875" bestFit="1" customWidth="1"/>
    <col min="38" max="38" width="10.5703125" bestFit="1" customWidth="1"/>
    <col min="39" max="39" width="4.85546875" customWidth="1"/>
    <col min="40" max="40" width="11.28515625" bestFit="1" customWidth="1"/>
    <col min="41" max="45" width="8.42578125" style="16" customWidth="1"/>
    <col min="46" max="46" width="5.85546875" bestFit="1" customWidth="1"/>
    <col min="47" max="47" width="9.28515625" bestFit="1" customWidth="1"/>
    <col min="48" max="48" width="7.7109375" bestFit="1" customWidth="1"/>
    <col min="49" max="52" width="7.7109375" customWidth="1"/>
    <col min="53" max="53" width="5.85546875" bestFit="1" customWidth="1"/>
    <col min="54" max="54" width="5.140625" bestFit="1" customWidth="1"/>
    <col min="55" max="55" width="5.7109375" bestFit="1" customWidth="1"/>
    <col min="56" max="56" width="8.140625" bestFit="1" customWidth="1"/>
    <col min="57" max="57" width="8.5703125" bestFit="1" customWidth="1"/>
    <col min="58" max="58" width="9.42578125" bestFit="1" customWidth="1"/>
    <col min="59" max="59" width="12.28515625" bestFit="1" customWidth="1"/>
    <col min="60" max="60" width="11.85546875" bestFit="1" customWidth="1"/>
    <col min="61" max="61" width="12.28515625" bestFit="1" customWidth="1"/>
    <col min="62" max="62" width="5.7109375" bestFit="1" customWidth="1"/>
    <col min="63" max="63" width="7.85546875" bestFit="1" customWidth="1"/>
    <col min="64" max="64" width="10.5703125" bestFit="1" customWidth="1"/>
    <col min="65" max="65" width="2.140625" bestFit="1" customWidth="1"/>
    <col min="66" max="67" width="6.42578125" bestFit="1" customWidth="1"/>
    <col min="68" max="68" width="7.5703125" bestFit="1" customWidth="1"/>
    <col min="69" max="69" width="7.28515625" bestFit="1" customWidth="1"/>
    <col min="70" max="71" width="7.28515625" customWidth="1"/>
    <col min="72" max="72" width="7.42578125" bestFit="1" customWidth="1"/>
    <col min="73" max="73" width="7.140625" bestFit="1" customWidth="1"/>
    <col min="74" max="76" width="7.140625" customWidth="1"/>
    <col min="77" max="77" width="7.140625" bestFit="1" customWidth="1"/>
    <col min="78" max="78" width="6.85546875" bestFit="1" customWidth="1"/>
    <col min="79" max="83" width="6.85546875" customWidth="1"/>
    <col min="84" max="84" width="7.140625" bestFit="1" customWidth="1"/>
    <col min="85" max="85" width="6.85546875" bestFit="1" customWidth="1"/>
    <col min="86" max="90" width="6.85546875" customWidth="1"/>
    <col min="91" max="91" width="5.7109375" bestFit="1" customWidth="1"/>
    <col min="92" max="92" width="7.7109375" bestFit="1" customWidth="1"/>
    <col min="93" max="93" width="5.7109375" bestFit="1" customWidth="1"/>
    <col min="94" max="94" width="6.140625" style="16" customWidth="1"/>
    <col min="95" max="95" width="7.42578125" bestFit="1" customWidth="1"/>
    <col min="96" max="96" width="6.42578125" bestFit="1" customWidth="1"/>
    <col min="97" max="99" width="6.42578125" customWidth="1"/>
    <col min="100" max="100" width="6.5703125" bestFit="1" customWidth="1"/>
    <col min="101" max="101" width="4.7109375" bestFit="1" customWidth="1"/>
    <col min="102" max="102" width="7" bestFit="1" customWidth="1"/>
    <col min="103" max="103" width="6" bestFit="1" customWidth="1"/>
    <col min="104" max="104" width="5.85546875" bestFit="1" customWidth="1"/>
    <col min="105" max="105" width="5.85546875" customWidth="1"/>
    <col min="106" max="106" width="9.42578125" bestFit="1" customWidth="1"/>
    <col min="107" max="107" width="4.7109375" bestFit="1" customWidth="1"/>
    <col min="108" max="108" width="6.28515625" customWidth="1"/>
    <col min="109" max="109" width="6.85546875" bestFit="1" customWidth="1"/>
    <col min="110" max="110" width="9.28515625" bestFit="1" customWidth="1"/>
    <col min="111" max="111" width="10.42578125" bestFit="1" customWidth="1"/>
    <col min="112" max="124" width="4.7109375" customWidth="1"/>
    <col min="125" max="125" width="8.5703125" bestFit="1" customWidth="1"/>
    <col min="126" max="126" width="10.140625" bestFit="1" customWidth="1"/>
    <col min="128" max="128" width="6.5703125" bestFit="1" customWidth="1"/>
    <col min="129" max="129" width="5.28515625" bestFit="1" customWidth="1"/>
    <col min="130" max="130" width="8.5703125" bestFit="1" customWidth="1"/>
    <col min="131" max="131" width="6" bestFit="1" customWidth="1"/>
    <col min="132" max="132" width="6.7109375" bestFit="1" customWidth="1"/>
    <col min="133" max="133" width="9.28515625" bestFit="1" customWidth="1"/>
    <col min="134" max="134" width="7" bestFit="1" customWidth="1"/>
    <col min="135" max="135" width="6" bestFit="1" customWidth="1"/>
    <col min="136" max="136" width="7.5703125" bestFit="1" customWidth="1"/>
    <col min="137" max="137" width="10.42578125" bestFit="1" customWidth="1"/>
    <col min="138" max="138" width="12.28515625" bestFit="1" customWidth="1"/>
    <col min="139" max="141" width="7.5703125" customWidth="1"/>
    <col min="143" max="143" width="8.7109375" bestFit="1" customWidth="1"/>
  </cols>
  <sheetData>
    <row r="1" spans="1:147" s="34" customFormat="1">
      <c r="E1" s="34" t="s">
        <v>22</v>
      </c>
      <c r="O1" s="1464" t="s">
        <v>31</v>
      </c>
      <c r="P1" s="1464"/>
      <c r="Q1" s="1464"/>
      <c r="R1" s="1482" t="s">
        <v>554</v>
      </c>
      <c r="S1" s="1464"/>
      <c r="T1" s="1051"/>
      <c r="U1" s="1464" t="s">
        <v>555</v>
      </c>
      <c r="V1" s="1464"/>
      <c r="W1" s="314"/>
      <c r="X1" s="1464" t="s">
        <v>24</v>
      </c>
      <c r="Y1" s="1464"/>
      <c r="Z1" s="1464"/>
      <c r="AA1" s="446"/>
      <c r="AF1" s="34" t="s">
        <v>193</v>
      </c>
      <c r="AN1" s="34" t="s">
        <v>80</v>
      </c>
      <c r="AO1" s="496"/>
      <c r="AP1" s="496"/>
      <c r="AQ1" s="496"/>
      <c r="AR1" s="496"/>
      <c r="AS1" s="496"/>
      <c r="AU1" s="34" t="s">
        <v>33</v>
      </c>
      <c r="BE1" s="34" t="s">
        <v>198</v>
      </c>
      <c r="BP1" s="1464" t="s">
        <v>571</v>
      </c>
      <c r="BQ1" s="1464"/>
      <c r="BR1" s="1464"/>
      <c r="BS1" s="1464"/>
      <c r="BT1" s="1464"/>
      <c r="BU1" s="1464"/>
      <c r="BV1" s="1464"/>
      <c r="BW1" s="1464"/>
      <c r="BX1" s="1464"/>
      <c r="BY1" s="1464"/>
      <c r="BZ1" s="1464"/>
      <c r="CA1" s="1464"/>
      <c r="CB1" s="1464"/>
      <c r="CC1" s="1464"/>
      <c r="CD1" s="1464"/>
      <c r="CE1" s="1464"/>
      <c r="CF1" s="1464"/>
      <c r="CG1" s="1464"/>
      <c r="CH1" s="1464"/>
      <c r="CI1" s="1464"/>
      <c r="CJ1" s="1464"/>
      <c r="CK1" s="1464"/>
      <c r="CL1" s="1464"/>
      <c r="CM1" s="1465"/>
      <c r="CN1" s="1465"/>
      <c r="CO1" s="1465"/>
      <c r="CP1" s="496"/>
      <c r="CQ1" s="1467" t="s">
        <v>313</v>
      </c>
      <c r="CR1" s="1406"/>
      <c r="CS1" s="1406"/>
      <c r="CT1" s="1406"/>
      <c r="CU1" s="1406"/>
      <c r="CV1" s="1406"/>
      <c r="CW1" s="446"/>
      <c r="CX1" s="446"/>
      <c r="CY1" s="49"/>
      <c r="CZ1" s="1350"/>
      <c r="DA1" s="1350"/>
      <c r="DB1" s="49"/>
      <c r="DC1" s="446"/>
      <c r="DD1" s="446"/>
      <c r="DE1" s="446"/>
      <c r="DF1" s="446"/>
      <c r="DG1" s="446"/>
      <c r="DH1" s="446"/>
      <c r="DI1" s="1349"/>
      <c r="DJ1" s="446"/>
      <c r="DK1" s="1349"/>
      <c r="DL1" s="446"/>
      <c r="DM1" s="446"/>
      <c r="DN1" s="446"/>
      <c r="DO1" s="446"/>
      <c r="DP1" s="446"/>
      <c r="DQ1" s="446"/>
      <c r="DR1" s="446"/>
      <c r="DS1" s="446"/>
      <c r="DT1" s="446"/>
      <c r="DX1" s="1464" t="s">
        <v>328</v>
      </c>
      <c r="DY1" s="1464"/>
      <c r="DZ1" s="1464"/>
      <c r="EA1" s="1465"/>
      <c r="EB1" s="1465"/>
      <c r="EC1" s="1465"/>
      <c r="ED1" s="1465"/>
      <c r="EE1" s="1465"/>
      <c r="EF1" s="1465"/>
      <c r="EG1" s="320"/>
      <c r="EH1" s="320"/>
      <c r="EI1" s="320"/>
      <c r="EJ1" s="320"/>
      <c r="EK1" s="320"/>
      <c r="EL1" s="320"/>
      <c r="EN1" s="1354"/>
      <c r="EO1" s="1464" t="s">
        <v>269</v>
      </c>
      <c r="EP1" s="1464"/>
      <c r="EQ1" s="34" t="s">
        <v>267</v>
      </c>
    </row>
    <row r="2" spans="1:147" s="825" customFormat="1" ht="13.5" thickBot="1">
      <c r="A2" s="825" t="s">
        <v>0</v>
      </c>
      <c r="B2" s="825" t="s">
        <v>22</v>
      </c>
      <c r="C2" s="825" t="s">
        <v>200</v>
      </c>
      <c r="E2" s="825" t="str">
        <f>Overview!$A$22</f>
        <v>Spearman</v>
      </c>
      <c r="F2" s="825" t="str">
        <f ca="1">Overview!$A$23</f>
        <v>Archer</v>
      </c>
      <c r="G2" s="825" t="str">
        <f ca="1">Overview!$A$24</f>
        <v>Knight</v>
      </c>
      <c r="H2" s="825" t="str">
        <f ca="1">Overview!$A$25</f>
        <v>Cavalry</v>
      </c>
      <c r="I2" s="825" t="s">
        <v>25</v>
      </c>
      <c r="J2" s="825" t="s">
        <v>26</v>
      </c>
      <c r="K2" s="825" t="s">
        <v>27</v>
      </c>
      <c r="M2" s="825" t="s">
        <v>244</v>
      </c>
      <c r="O2" s="1099" t="s">
        <v>201</v>
      </c>
      <c r="P2" s="825" t="s">
        <v>314</v>
      </c>
      <c r="Q2" s="825" t="s">
        <v>240</v>
      </c>
      <c r="R2" s="1045" t="s">
        <v>556</v>
      </c>
      <c r="S2" s="825" t="s">
        <v>553</v>
      </c>
      <c r="T2" s="825" t="s">
        <v>314</v>
      </c>
      <c r="U2" s="1100" t="s">
        <v>556</v>
      </c>
      <c r="V2" s="1101" t="s">
        <v>553</v>
      </c>
      <c r="W2" s="825" t="s">
        <v>1</v>
      </c>
      <c r="X2" s="825" t="s">
        <v>192</v>
      </c>
      <c r="Y2" s="825" t="s">
        <v>191</v>
      </c>
      <c r="Z2" s="825" t="s">
        <v>24</v>
      </c>
      <c r="AB2" s="825" t="s">
        <v>196</v>
      </c>
      <c r="AD2" s="825" t="s">
        <v>0</v>
      </c>
      <c r="AE2" s="825" t="s">
        <v>327</v>
      </c>
      <c r="AF2" s="825" t="str">
        <f>Overview!$A$22</f>
        <v>Spearman</v>
      </c>
      <c r="AG2" s="825" t="str">
        <f ca="1">Overview!$A$23</f>
        <v>Archer</v>
      </c>
      <c r="AH2" s="825" t="str">
        <f ca="1">Overview!$A$24</f>
        <v>Knight</v>
      </c>
      <c r="AI2" s="825" t="str">
        <f ca="1">Overview!$A$25</f>
        <v>Cavalry</v>
      </c>
      <c r="AJ2" s="825" t="s">
        <v>25</v>
      </c>
      <c r="AK2" s="825" t="s">
        <v>26</v>
      </c>
      <c r="AL2" s="825" t="s">
        <v>27</v>
      </c>
      <c r="AN2" s="825" t="s">
        <v>2</v>
      </c>
      <c r="AO2" s="1275" t="s">
        <v>3</v>
      </c>
      <c r="AP2" s="1188" t="s">
        <v>7</v>
      </c>
      <c r="AQ2" s="1188" t="s">
        <v>4</v>
      </c>
      <c r="AR2" s="1188" t="s">
        <v>12</v>
      </c>
      <c r="AS2" s="1188" t="s">
        <v>5</v>
      </c>
      <c r="AT2" s="1188" t="s">
        <v>85</v>
      </c>
      <c r="AU2" s="825" t="s">
        <v>2</v>
      </c>
      <c r="AV2" s="825" t="s">
        <v>3</v>
      </c>
      <c r="AW2" s="1188" t="s">
        <v>7</v>
      </c>
      <c r="AX2" s="1188" t="s">
        <v>4</v>
      </c>
      <c r="AY2" s="1188" t="s">
        <v>12</v>
      </c>
      <c r="AZ2" s="1188" t="s">
        <v>5</v>
      </c>
      <c r="BA2" s="1188" t="s">
        <v>85</v>
      </c>
      <c r="BB2" s="825" t="s">
        <v>0</v>
      </c>
      <c r="BC2" s="825" t="s">
        <v>327</v>
      </c>
      <c r="BD2" s="825" t="s">
        <v>24</v>
      </c>
      <c r="BE2" s="825" t="s">
        <v>24</v>
      </c>
      <c r="BF2" s="825" t="str">
        <f>Overview!$A$22</f>
        <v>Spearman</v>
      </c>
      <c r="BG2" s="825" t="str">
        <f ca="1">Overview!$A$23</f>
        <v>Archer</v>
      </c>
      <c r="BH2" s="825" t="str">
        <f ca="1">Overview!$A$24</f>
        <v>Knight</v>
      </c>
      <c r="BI2" s="825" t="str">
        <f ca="1">Overview!$A$25</f>
        <v>Cavalry</v>
      </c>
      <c r="BJ2" s="825" t="s">
        <v>25</v>
      </c>
      <c r="BK2" s="825" t="s">
        <v>26</v>
      </c>
      <c r="BL2" s="825" t="s">
        <v>27</v>
      </c>
      <c r="BN2" s="825" t="s">
        <v>246</v>
      </c>
      <c r="BO2" s="825" t="s">
        <v>371</v>
      </c>
      <c r="BP2" s="1188" t="s">
        <v>696</v>
      </c>
      <c r="BQ2" s="1188" t="s">
        <v>697</v>
      </c>
      <c r="BR2" s="1188" t="s">
        <v>715</v>
      </c>
      <c r="BS2" s="1188" t="s">
        <v>716</v>
      </c>
      <c r="BT2" s="1188" t="s">
        <v>698</v>
      </c>
      <c r="BU2" s="1188" t="s">
        <v>699</v>
      </c>
      <c r="BV2" s="1188" t="s">
        <v>701</v>
      </c>
      <c r="BW2" s="1188" t="s">
        <v>702</v>
      </c>
      <c r="BX2" s="1188" t="s">
        <v>703</v>
      </c>
      <c r="BY2" s="825" t="s">
        <v>572</v>
      </c>
      <c r="BZ2" s="825" t="s">
        <v>573</v>
      </c>
      <c r="CA2" s="1188" t="s">
        <v>705</v>
      </c>
      <c r="CB2" s="1188" t="s">
        <v>706</v>
      </c>
      <c r="CC2" s="1188" t="s">
        <v>707</v>
      </c>
      <c r="CD2" s="1188" t="s">
        <v>708</v>
      </c>
      <c r="CE2" s="1188" t="s">
        <v>709</v>
      </c>
      <c r="CF2" s="825" t="s">
        <v>574</v>
      </c>
      <c r="CG2" s="825" t="s">
        <v>575</v>
      </c>
      <c r="CH2" s="1188" t="s">
        <v>710</v>
      </c>
      <c r="CI2" s="1188" t="s">
        <v>711</v>
      </c>
      <c r="CJ2" s="1188" t="s">
        <v>712</v>
      </c>
      <c r="CK2" s="1188" t="s">
        <v>713</v>
      </c>
      <c r="CL2" s="1188" t="s">
        <v>714</v>
      </c>
      <c r="CM2" s="825" t="s">
        <v>25</v>
      </c>
      <c r="CN2" s="825" t="s">
        <v>245</v>
      </c>
      <c r="CO2" s="825" t="s">
        <v>576</v>
      </c>
      <c r="CQ2" s="825" t="str">
        <f>Construction!DF2</f>
        <v>Plain</v>
      </c>
      <c r="CR2" s="825" t="s">
        <v>312</v>
      </c>
      <c r="CS2" s="1188" t="s">
        <v>692</v>
      </c>
      <c r="CT2" s="1188" t="s">
        <v>693</v>
      </c>
      <c r="CU2" s="1188" t="s">
        <v>694</v>
      </c>
      <c r="CV2" s="825" t="s">
        <v>130</v>
      </c>
      <c r="CW2" s="1481" t="s">
        <v>131</v>
      </c>
      <c r="CX2" s="1481"/>
      <c r="CY2" s="825" t="s">
        <v>146</v>
      </c>
      <c r="CZ2" s="1355" t="s">
        <v>752</v>
      </c>
      <c r="DA2" s="1355" t="s">
        <v>756</v>
      </c>
      <c r="DB2" s="825" t="s">
        <v>138</v>
      </c>
      <c r="DC2" s="1481" t="s">
        <v>154</v>
      </c>
      <c r="DD2" s="1481"/>
      <c r="DE2" s="825" t="s">
        <v>345</v>
      </c>
      <c r="DF2" s="825" t="s">
        <v>346</v>
      </c>
      <c r="DG2" s="825" t="s">
        <v>350</v>
      </c>
      <c r="DH2" s="1188" t="s">
        <v>685</v>
      </c>
      <c r="DI2" s="1355" t="s">
        <v>624</v>
      </c>
      <c r="DJ2" s="825" t="s">
        <v>150</v>
      </c>
      <c r="DK2" s="1355" t="s">
        <v>753</v>
      </c>
      <c r="DL2" s="825" t="s">
        <v>579</v>
      </c>
      <c r="DM2" s="1188" t="s">
        <v>604</v>
      </c>
      <c r="DN2" s="1188" t="s">
        <v>686</v>
      </c>
      <c r="DO2" s="1188" t="s">
        <v>687</v>
      </c>
      <c r="DP2" s="1188" t="s">
        <v>695</v>
      </c>
      <c r="DQ2" s="1188" t="s">
        <v>688</v>
      </c>
      <c r="DR2" s="1188" t="s">
        <v>689</v>
      </c>
      <c r="DS2" s="1188" t="s">
        <v>690</v>
      </c>
      <c r="DT2" s="1188" t="s">
        <v>691</v>
      </c>
      <c r="DX2" s="825" t="s">
        <v>130</v>
      </c>
      <c r="DY2" s="825" t="s">
        <v>131</v>
      </c>
      <c r="DZ2" s="825" t="s">
        <v>95</v>
      </c>
      <c r="EA2" s="825" t="s">
        <v>146</v>
      </c>
      <c r="EB2" s="825" t="s">
        <v>99</v>
      </c>
      <c r="EC2" s="825" t="s">
        <v>138</v>
      </c>
      <c r="ED2" s="825" t="s">
        <v>97</v>
      </c>
      <c r="EE2" s="825" t="s">
        <v>154</v>
      </c>
      <c r="EF2" s="825" t="s">
        <v>102</v>
      </c>
      <c r="EG2" s="825" t="s">
        <v>350</v>
      </c>
      <c r="EH2" s="825" t="s">
        <v>351</v>
      </c>
      <c r="EI2" s="825" t="s">
        <v>347</v>
      </c>
      <c r="EM2" s="825" t="s">
        <v>244</v>
      </c>
      <c r="EN2" s="1355"/>
      <c r="EO2" s="825" t="s">
        <v>201</v>
      </c>
      <c r="EP2" s="825" t="s">
        <v>240</v>
      </c>
      <c r="EQ2" s="1355" t="s">
        <v>201</v>
      </c>
    </row>
    <row r="3" spans="1:147" s="1011" customFormat="1">
      <c r="A3" s="1068">
        <f>Rezone!J3</f>
        <v>1</v>
      </c>
      <c r="B3" s="1069">
        <f ca="1">SUM(E3:L3)+SUM($AF$3:AI3)+Z3</f>
        <v>4725</v>
      </c>
      <c r="C3" s="1070">
        <f ca="1">Population!G3</f>
        <v>0.3</v>
      </c>
      <c r="D3" s="1042"/>
      <c r="E3" s="538">
        <f>start_op_specs - BF3</f>
        <v>0</v>
      </c>
      <c r="F3" s="1011">
        <f>start_dp_specs - BG3+days_late*days_late_def_specs</f>
        <v>0</v>
      </c>
      <c r="G3" s="1011">
        <f>start_elite1s - BH3</f>
        <v>0</v>
      </c>
      <c r="H3" s="1011">
        <f>start_elite2s - BI3</f>
        <v>0</v>
      </c>
      <c r="I3" s="1080">
        <f>start_spies - BJ3</f>
        <v>0</v>
      </c>
      <c r="J3" s="1080">
        <f>start_wizards  - AL3 - BK3</f>
        <v>0</v>
      </c>
      <c r="K3" s="1071">
        <f>start_ams  - BL3</f>
        <v>0</v>
      </c>
      <c r="L3" s="1042"/>
      <c r="M3" s="1072">
        <f ca="1">Production!G3</f>
        <v>20900</v>
      </c>
      <c r="N3" s="1042"/>
      <c r="O3" s="1050">
        <f t="shared" ref="O3:O34" ca="1" si="0">E3*(spec_op+spirit*DR3)+G3*(elite1_op+dark_elf*DC3+beast*DN3+sacred*DP3+spirit*DS3+halfer*CZ3+norse*DI3)+H3*(elite2_op+icekin*DH3+woodie*CW3+ants*DM3+beast*DO3+sacred*DQ3+undead*DT3+lizzie*DA3)+kobold*DF3</f>
        <v>0</v>
      </c>
      <c r="P3" s="1073">
        <f ca="1">race_offense+Imps!AB3+ROUND(MIN(gn_bonus*Construction!BF3/Construction!$E3,gn_bonus_cap),4)+MAX(IF(Magic!$AN3&gt;0,warsong_bonus),IF(Magic!AP3&gt;0,howling_op_bonus),IF(Magic!AS3&gt;0,nightfall_bonus),IF(Magic!AT3&gt;0,crusade_bonus),IF(Magic!AU3&gt;0,killingrage_bonus),IF(Magic!AV3&gt;0,bloodrage_bonus)) + Production!O3/100*prestige_offense_bonus + MAX(tech_military_offense*Techs!AH3,tech_magical_weaponry_op*Techs!AV3)</f>
        <v>0.05</v>
      </c>
      <c r="Q3" s="1074">
        <f ca="1">O3*(1+P3)</f>
        <v>0</v>
      </c>
      <c r="R3" s="1050">
        <f ca="1">F3*(spec_dp+spirit*DR3)+G3*(elite1_dp+woodie*CV3+sylvan*CY3+gnome*DB3+dark_elf*DD3+icekin*DG3+orc*DJ3+nox*DL3+beast*DN3+sacred*DP3+spirit*DS3+blackorc*DK3)+H3*(elite2_dp+woodie*CX3+beast*DO3+sacred*DQ3) + fh_peas_dp*MIN(Population!C3,20*Construction!BD3)+kobold*DE3</f>
        <v>0</v>
      </c>
      <c r="S3" s="1074">
        <f t="shared" ref="S3:S34" ca="1" si="1">R3+Z3*IF(race="Ants",0.1,IF(race="Growth",0.01,1))</f>
        <v>4725</v>
      </c>
      <c r="T3" s="1075">
        <f ca="1">race_defense+Imps!AC3+ROUND(MIN(gt_bonus*Construction!BH3/Construction!$E3,gt_bonus_cap),4)+MAX(IF(Magic!AM3&gt;0,frenzy_bonus,IF(Magic!AQ3&gt;0,blizzard_bonus,IF(Magic!AP3&gt;0,howling_dp_bonus,IF(Magic!AI3&gt;0,ares_call_bonus)))),IF(Magic!AX3&gt;0,MIN(Construction!DF3/Construction!E3,0.2),0))</f>
        <v>0</v>
      </c>
      <c r="U3" s="1076">
        <f ca="1">R3 * (1 + T3)</f>
        <v>0</v>
      </c>
      <c r="V3" s="1077">
        <f ca="1">S3 * (1 + T3)</f>
        <v>4725</v>
      </c>
      <c r="W3" s="1077">
        <f>Construction!E3</f>
        <v>1000</v>
      </c>
      <c r="X3" s="1078"/>
      <c r="Y3" s="1079">
        <f>IF(Overview!$B$14="Growth",1,IF(X3&lt;&gt;"",X3,0.4))</f>
        <v>0.4</v>
      </c>
      <c r="Z3" s="236">
        <f ca="1">start_draftees - IF(race="Lux",AF3,SUM(AF3:AK3)) - BE3 + SUM(BF3:BL3) - Explore!AI3+MIN(13,days_late)*days_late_draftees</f>
        <v>4725</v>
      </c>
      <c r="AA3" s="1080"/>
      <c r="AB3" s="831">
        <f>(Construction!$BA3+Construction!BY3)/(Construction!$E3-Explore!S3*20)</f>
        <v>0</v>
      </c>
      <c r="AC3" s="1067"/>
      <c r="AD3" s="1067">
        <f>Rezone!J3</f>
        <v>1</v>
      </c>
      <c r="AE3" s="1081">
        <f>Explore!AA3</f>
        <v>43692</v>
      </c>
      <c r="AF3" s="1082"/>
      <c r="AG3" s="1083"/>
      <c r="AH3" s="1083"/>
      <c r="AI3" s="1083"/>
      <c r="AJ3" s="1083"/>
      <c r="AK3" s="1083"/>
      <c r="AL3" s="1084"/>
      <c r="AM3" s="1066"/>
      <c r="AN3" s="1069">
        <f ca="1">Production!$H3</f>
        <v>3936000</v>
      </c>
      <c r="AO3" s="686">
        <f ca="1">Production!$L3</f>
        <v>300000</v>
      </c>
      <c r="AP3" s="1080">
        <f ca="1">Production!J3</f>
        <v>302400</v>
      </c>
      <c r="AQ3" s="1080">
        <f ca="1">Production!M3</f>
        <v>20000</v>
      </c>
      <c r="AR3" s="1080">
        <f ca="1">Production!K3</f>
        <v>20000</v>
      </c>
      <c r="AS3" s="1080">
        <f ca="1">Production!I3</f>
        <v>50000</v>
      </c>
      <c r="AT3" s="1080">
        <f ca="1">Production!N3</f>
        <v>200</v>
      </c>
      <c r="AU3" s="1069">
        <f t="shared" ref="AU3:AU34" ca="1" si="2">$AF3*BP3+$AG3*BT3+$AH3*BY3+$AI3*CF3+AJ3*CM3+AK3*CN3+AL3*CO3</f>
        <v>0</v>
      </c>
      <c r="AV3" s="686">
        <f t="shared" ref="AV3:AV34" ca="1" si="3">$AF3*BQ3+$AG3*BU3+$AH3*BZ3+$AI3*CG3</f>
        <v>0</v>
      </c>
      <c r="AW3" s="686">
        <f ca="1">$AH3*CA3+$AI3*CH3</f>
        <v>0</v>
      </c>
      <c r="AX3" s="686">
        <f ca="1">$AG3*BW3+$AH3*CB3+$AI3*CI3</f>
        <v>0</v>
      </c>
      <c r="AY3" s="686">
        <f ca="1">$AF3*BR3+$AG3*BV3+$AH3*CC3+$AI3*CJ3</f>
        <v>0</v>
      </c>
      <c r="AZ3" s="686">
        <f ca="1">$AF3*BS3+$AG3*BX3+$AH3*CD3+$AI3*CK3</f>
        <v>0</v>
      </c>
      <c r="BA3" s="687">
        <f ca="1">$AH3*CE3+$AI3*CL3</f>
        <v>0</v>
      </c>
      <c r="BB3" s="1011">
        <v>1</v>
      </c>
      <c r="BC3" s="796">
        <f t="shared" ref="BC3:BC14" si="4">AE3</f>
        <v>43692</v>
      </c>
      <c r="BD3" s="1085">
        <f t="shared" ref="BD3:BD14" ca="1" si="5">$Z3</f>
        <v>4725</v>
      </c>
      <c r="BE3" s="1086"/>
      <c r="BF3" s="1083"/>
      <c r="BG3" s="1083"/>
      <c r="BH3" s="1083"/>
      <c r="BI3" s="1083"/>
      <c r="BJ3" s="1087"/>
      <c r="BK3" s="1087"/>
      <c r="BL3" s="1084"/>
      <c r="BN3" s="1088">
        <f>Construction!BM3/Construction!E3</f>
        <v>0</v>
      </c>
      <c r="BO3" s="1070">
        <f>Construction!BD3/Construction!E3</f>
        <v>0</v>
      </c>
      <c r="BP3" s="1069">
        <f>ROUNDUP((1-MIN(AB3*smithy_bonus,smithy_bonus_cap))*(1+Techs!AO3*tech_master_of_frugality)*spec_op_plat,0)</f>
        <v>275</v>
      </c>
      <c r="BQ3" s="1080">
        <f>ROUNDUP(IF(OR(race="Gnome",race="Imperial Gnome"),1,(1-MIN(AB3*smithy_bonus,smithy_bonus_cap))*(1+Techs!AO3*tech_master_of_frugality))*spec_op_ore,0)</f>
        <v>25</v>
      </c>
      <c r="BR3" s="1080">
        <f t="shared" ref="BR3:BR34" si="6">spec1_mana</f>
        <v>0</v>
      </c>
      <c r="BS3" s="1080">
        <f t="shared" ref="BS3:BS34" si="7">spec1_food</f>
        <v>0</v>
      </c>
      <c r="BT3" s="1080">
        <f ca="1">ROUNDUP((1-MIN(AB3*smithy_bonus,smithy_bonus_cap))*(1+Techs!AO3*tech_master_of_frugality)*spec_dp_plat,0)</f>
        <v>275</v>
      </c>
      <c r="BU3" s="1080">
        <f ca="1">ROUNDUP(IF(OR(race="Gnome",race="Imperial Gnome"),1,(1-MIN(AB3*smithy_bonus,smithy_bonus_cap))*(1+Techs!AO3*tech_master_of_frugality))*spec_dp_ore,0)</f>
        <v>10</v>
      </c>
      <c r="BV3" s="1080">
        <f t="shared" ref="BV3:BV34" ca="1" si="8">spec2_mana</f>
        <v>0</v>
      </c>
      <c r="BW3" s="1080">
        <f t="shared" ref="BW3:BW34" ca="1" si="9">spec2_gems</f>
        <v>0</v>
      </c>
      <c r="BX3" s="1080">
        <f t="shared" ref="BX3:BX34" ca="1" si="10">spec2_food</f>
        <v>0</v>
      </c>
      <c r="BY3" s="1080">
        <f ca="1">ROUNDUP((1-MIN(AB3*smithy_bonus,smithy_bonus_cap))*(1+Techs!AO3*tech_master_of_frugality)*elite1_plat,0)</f>
        <v>1000</v>
      </c>
      <c r="BZ3" s="1080">
        <f ca="1">ROUNDUP(IF(OR(race="Gnome",race="Imperial Gnome"),1,(1-MIN(AB3*smithy_bonus,smithy_bonus_cap))*(1+Techs!AO3*tech_master_of_frugality))*elite1_ore,0)</f>
        <v>75</v>
      </c>
      <c r="CA3" s="1080">
        <f t="shared" ref="CA3:CA34" ca="1" si="11">ROUNDUP((1-MIN(AB3*smithy_bonus,smithy_bonus_cap))*elite1_lumber,0)</f>
        <v>0</v>
      </c>
      <c r="CB3" s="1080">
        <f t="shared" ref="CB3:CB34" ca="1" si="12">elite1_gems</f>
        <v>0</v>
      </c>
      <c r="CC3" s="1080">
        <f t="shared" ref="CC3:CC34" ca="1" si="13">elite1_mana</f>
        <v>0</v>
      </c>
      <c r="CD3" s="1080">
        <f t="shared" ref="CD3:CD34" ca="1" si="14">elite1_food</f>
        <v>0</v>
      </c>
      <c r="CE3" s="1080">
        <f t="shared" ref="CE3:CE34" ca="1" si="15">elite1_boats</f>
        <v>0</v>
      </c>
      <c r="CF3" s="1080">
        <f ca="1">ROUNDUP((1-MIN(AB3*smithy_bonus,smithy_bonus_cap))*(1+Techs!AO3*tech_master_of_frugality)*elite2_plat,0)</f>
        <v>1250</v>
      </c>
      <c r="CG3" s="1080">
        <f ca="1">ROUNDUP(IF(OR(race="Gnome",race="Imperial Gnome"),1,(1-MIN(AB3*smithy_bonus,smithy_bonus_cap))*(1+Techs!AO3*tech_master_of_frugality))*elite2_ore,0)</f>
        <v>100</v>
      </c>
      <c r="CH3" s="1080">
        <f t="shared" ref="CH3:CH34" ca="1" si="16">ROUNDUP((1-MIN(AB3*smithy_bonus,smithy_bonus_cap))*elite2_lumber,0)</f>
        <v>0</v>
      </c>
      <c r="CI3" s="1080">
        <f t="shared" ref="CI3:CI34" ca="1" si="17">elite2_gems</f>
        <v>0</v>
      </c>
      <c r="CJ3" s="1080">
        <f t="shared" ref="CJ3:CJ34" ca="1" si="18">elite2_mana</f>
        <v>0</v>
      </c>
      <c r="CK3" s="1080">
        <f t="shared" ref="CK3:CK34" ca="1" si="19">elite2_food</f>
        <v>0</v>
      </c>
      <c r="CL3" s="1080">
        <f t="shared" ref="CL3:CL34" ca="1" si="20">elite2_boats</f>
        <v>0</v>
      </c>
      <c r="CM3" s="1080">
        <f>ROUNDUP((1+tech_spy_cost*Techs!AJ3)*spy_plat,0)</f>
        <v>500</v>
      </c>
      <c r="CN3" s="1080">
        <f>ROUNDUP((1+tech_wizard_cost*Techs!AM3-MIN(ROUND(wg_wiz_cost_bonus*BN3,4),wg_wiz_cost_cap))*wizard_plat,0)</f>
        <v>500</v>
      </c>
      <c r="CO3" s="236">
        <f>ROUNDUP((1+tech_wizard_cost*Techs!AM3-MIN(ROUND(wg_wiz_cost_bonus*BN3,4),wg_wiz_cost_cap))*archmage_plat,0)</f>
        <v>1000</v>
      </c>
      <c r="CQ3" s="1089">
        <f ca="1">Construction!DF3/Construction!E3</f>
        <v>0.28000000000000003</v>
      </c>
      <c r="CR3" s="1090">
        <f t="shared" ref="CR3:CR14" si="21">BN3</f>
        <v>0</v>
      </c>
      <c r="CS3" s="1090">
        <f>Construction!BK3/Construction!E3</f>
        <v>0.05</v>
      </c>
      <c r="CT3" s="1090">
        <f>Construction!BJ3/Construction!E3</f>
        <v>0</v>
      </c>
      <c r="CU3" s="1090">
        <f>Construction!AY3/Construction!E3</f>
        <v>0</v>
      </c>
      <c r="CV3" s="1032">
        <f t="shared" ref="CV3:CV34" ca="1" si="22">IF(mystic_cap="none",CQ3/mystic_bonus,MIN(mystic_cap,CQ3/mystic_bonus))</f>
        <v>1.4000000000000001</v>
      </c>
      <c r="CW3" s="1091">
        <f t="shared" ref="CW3:CW34" ca="1" si="23">IF(druid_op_cap="none",CQ3/druid_op_bonus,MIN(druid_op_cap,CQ3/druid_op_bonus))</f>
        <v>1.4000000000000001</v>
      </c>
      <c r="CX3" s="1091">
        <f t="shared" ref="CX3:CX34" ca="1" si="24">IF(druid_dp_cap="none",CQ3/druid_dp_bonus,MIN(druid_dp_cap,CQ3/druid_dp_bonus))</f>
        <v>1.4000000000000001</v>
      </c>
      <c r="CY3" s="1092">
        <f t="shared" ref="CY3:CY34" ca="1" si="25">MIN(dryad_cap,CQ3/dryad_bonus)</f>
        <v>1.4000000000000001</v>
      </c>
      <c r="CZ3" s="1092">
        <f t="shared" ref="CZ3:CZ34" si="26">MIN(staff_cap,EQ3*staff_bonus)</f>
        <v>0</v>
      </c>
      <c r="DA3" s="1092">
        <f t="shared" ref="DA3:DA34" ca="1" si="27">MIN(lizardman_cap,CQ3/lizardman_bonus)</f>
        <v>3</v>
      </c>
      <c r="DB3" s="1092">
        <f t="shared" ref="DB3:DB34" ca="1" si="28">MIN(rocka_cap,CQ3/rocka_bonus)</f>
        <v>1.4000000000000001</v>
      </c>
      <c r="DC3" s="1091">
        <f t="shared" ref="DC3:DC34" si="29">MIN(adept_op_cap,CR3/adept_op_bonus)</f>
        <v>0</v>
      </c>
      <c r="DD3" s="1093">
        <f>MIN(adept_dp_cap,CR3/adept_dp_bonus)</f>
        <v>0</v>
      </c>
      <c r="DE3" s="1094">
        <f>MIN(G3,H3)*2</f>
        <v>0</v>
      </c>
      <c r="DF3" s="1094">
        <f>MIN(E3,H3)*2</f>
        <v>0</v>
      </c>
      <c r="DG3" s="1032">
        <f t="shared" ref="DG3:DG34" ca="1" si="30">MIN(frost_mage_cap,CQ3/frost_mage_bonus)</f>
        <v>1.4000000000000001</v>
      </c>
      <c r="DH3" s="1095">
        <f>MIN(ice_elem_cap,EO3*ice_elem_bonus)</f>
        <v>0</v>
      </c>
      <c r="DI3" s="1095">
        <f>MIN(valkyrja_cap,Production!O3/valkyrja_bonus)</f>
        <v>1</v>
      </c>
      <c r="DJ3" s="1093">
        <f>MIN(voodoo_magi_cap,Production!O3/voodoo_magi_bonus)</f>
        <v>0.83333333333333337</v>
      </c>
      <c r="DK3" s="1093">
        <f>MIN(warlock_cap,Production!O3/warlock_bonus)</f>
        <v>1.25</v>
      </c>
      <c r="DL3" s="1093">
        <f ca="1">MIN(nox_nightshade_cap,Construction!DF3/Construction!E3/nox_nightshade_swamp_bonus)</f>
        <v>2.8000000000000003</v>
      </c>
      <c r="DM3" s="1091">
        <f t="shared" ref="DM3:DM34" si="31">MIN(flying_ant_cap,BO3/flying_ant_bonus)</f>
        <v>0</v>
      </c>
      <c r="DN3" s="1195">
        <f t="shared" ref="DN3:DN34" ca="1" si="32">MIN(goat_witch_cap,CQ3/goat_witch_bonus)</f>
        <v>2.8000000000000003</v>
      </c>
      <c r="DO3" s="1195">
        <f t="shared" ref="DO3:DO34" ca="1" si="33">MIN(minotaur_cap,CQ3/minotaur_bonus)</f>
        <v>2.8000000000000003</v>
      </c>
      <c r="DP3" s="1195">
        <f t="shared" ref="DP3:DP34" si="34">MIN(fanatic_cap,CS3/fanatic_bonus)</f>
        <v>1</v>
      </c>
      <c r="DQ3" s="1091">
        <f t="shared" ref="DQ3:DQ34" si="35">MIN(holy_warrior_cap,CT3/holy_warrior_bonus)</f>
        <v>0</v>
      </c>
      <c r="DR3" s="1195">
        <f t="shared" ref="DR3:DR34" si="36">MIN(banshee_cap,CU3/banshee_bonus)</f>
        <v>0</v>
      </c>
      <c r="DS3" s="1091">
        <f t="shared" ref="DS3:DS34" si="37">MIN(phantom_cap,CU3/phantom_bonus)</f>
        <v>0</v>
      </c>
      <c r="DT3" s="1195">
        <f>MIN(wraith_cap,EO3*wraith_bonus)</f>
        <v>0</v>
      </c>
      <c r="DX3" s="1032">
        <f ca="1">MIN(6,CV3+Races!$F$19)*1.8 +  IF(CV3+Races!$F$19&gt;6,(CV3+Races!$F$19-6)*0.2,0) - Races!$N$19</f>
        <v>2.5200000000000005</v>
      </c>
      <c r="DY3" s="1091">
        <f ca="1">1.8 * MIN(MAX(CW3+Races!$E$20,CX3+Races!$F$20),6)  +  0.45 * MIN(MIN(CW3+Races!$E$20,CX3+Races!$F$20),6)  +  0.2 * ( MAX(CW3+Races!$E$20-6,0) + MAX(CX3+Races!$F$20-6,0) )  -  Races!$N$20</f>
        <v>3.1500000000000012</v>
      </c>
      <c r="DZ3" s="236">
        <f t="shared" ref="DZ3:DZ34" ca="1" si="38">DX3*G3+DY3*H3</f>
        <v>0</v>
      </c>
      <c r="EA3" s="1096">
        <f ca="1">MIN(6,CY3+Races!$F$35)*1.8 +  IF(CY3+Races!$F$35&gt;6,(CY3+Races!$F$35-6)*0.2,0) - Races!$N$19</f>
        <v>0.72000000000000064</v>
      </c>
      <c r="EB3" s="236">
        <f t="shared" ref="EB3:EB34" ca="1" si="39">$DV$5*(DX3*G3)</f>
        <v>0</v>
      </c>
      <c r="EC3" s="1096">
        <f ca="1">1.8 * MIN(MAX(Races!$E$27,DB3+Races!$F$27),6)  +  0.45 * MIN(MIN(Races!$E$27,DB3+Races!$F$27),6)  +  0.2 * ( MAX(Races!$E$27-6,0) + MAX(DB3+Races!$F$27-6,0) )  -  Races!$N$20</f>
        <v>4.7700000000000005</v>
      </c>
      <c r="ED3" s="236">
        <f t="shared" ref="ED3:ED34" ca="1" si="40">$DV$6*(EC3*G3)</f>
        <v>0</v>
      </c>
      <c r="EE3" s="1096">
        <f>1.8 * MIN(MAX(DC3+Races!$E$47,DD3+Races!$F$47),6)  +  0.45 * MIN(MIN(DC3+Races!$E$47,DD3+Races!$F$47),6)  +  0.2 * ( MAX(DC3+Races!$E$47-6,0) + MAX(DD3+Races!$F$47-6,0) )  -  Races!$N$47</f>
        <v>0</v>
      </c>
      <c r="EF3" s="236">
        <f t="shared" ref="EF3:EF34" si="41">$DV$7*(EE3*G3)</f>
        <v>0</v>
      </c>
      <c r="EG3" s="1091">
        <f ca="1">1.8 * MIN(MAX(DG3+Races!$F$71,Races!$E$71),6)  +  0.45 * MIN(MIN(DG3+Races!$F$71,Races!$E$71),6)  +  0.2 * ( MAX(DG3+Races!$F$71-6,0) + MAX(Races!$E$71-6,0) )  -  Races!$N$71</f>
        <v>2.5200000000000014</v>
      </c>
      <c r="EH3" s="1091">
        <f>1.8 * MIN(MAX(DH3+Races!$E$71,Races!$F$71),6)  +  0.45 * MIN(MIN(DH3+Races!$E$71,Races!$F$71),6)  +  0.2 * ( MAX(DH3+Races!$E$71-6,0) + MAX(Races!$F$71-6,0) )  -  Races!$N$71</f>
        <v>0</v>
      </c>
      <c r="EI3" s="236">
        <f t="shared" ref="EI3:EI34" ca="1" si="42">EG3*G3+EH3*H3</f>
        <v>0</v>
      </c>
      <c r="EJ3" s="236"/>
      <c r="EK3" s="236"/>
      <c r="EL3" s="236"/>
      <c r="EM3" s="236">
        <f ca="1">Overview!$L$22*E3+Overview!$L$23*F3+Overview!$L$24*G3+Overview!$L$25*H3+Overview!$L$26*I3+Overview!$L$27*J3+Overview!$L$28*K3+Construction!E3*20+Construction!B3*5 + DZ3*$DV$4+EB3*$DV$5+ED3*$DV$6+EF3*$DV$7+EI3*$DV$9</f>
        <v>20900</v>
      </c>
      <c r="EO3" s="1097">
        <f>(J3+2*K3)/Construction!E3</f>
        <v>0</v>
      </c>
      <c r="EP3" s="1098">
        <f ca="1">EO3*(1+race_wizard_strength+tech_magical_weaponry_wiz*Techs!AV75)</f>
        <v>0</v>
      </c>
      <c r="EQ3" s="1011">
        <f>(I3+halfer*H3/3)/Construction!E3</f>
        <v>0</v>
      </c>
    </row>
    <row r="4" spans="1:147" s="170" customFormat="1">
      <c r="A4" s="629">
        <f>Rezone!J4</f>
        <v>2</v>
      </c>
      <c r="B4" s="152">
        <f ca="1">SUM(E4:L4)+SUM($AF$3:AI4)+Z4</f>
        <v>4835</v>
      </c>
      <c r="C4" s="171">
        <f ca="1">Population!G4</f>
        <v>0.31811826630479478</v>
      </c>
      <c r="E4" s="156">
        <f t="shared" ref="E4:I11" si="43">E3 - BF4</f>
        <v>0</v>
      </c>
      <c r="F4" s="170">
        <f t="shared" si="43"/>
        <v>0</v>
      </c>
      <c r="G4" s="170">
        <f t="shared" si="43"/>
        <v>0</v>
      </c>
      <c r="H4" s="170">
        <f t="shared" si="43"/>
        <v>0</v>
      </c>
      <c r="I4" s="170">
        <f t="shared" si="43"/>
        <v>0</v>
      </c>
      <c r="J4" s="170">
        <f t="shared" ref="J4:J14" si="44">J3  - AL4 - BK4</f>
        <v>0</v>
      </c>
      <c r="K4" s="157">
        <f t="shared" ref="K4:K14" si="45">K3 - BL4</f>
        <v>0</v>
      </c>
      <c r="M4" s="160">
        <f ca="1">Production!G4</f>
        <v>20900</v>
      </c>
      <c r="O4" s="234">
        <f t="shared" ca="1" si="0"/>
        <v>0</v>
      </c>
      <c r="P4" s="455">
        <f ca="1">race_offense+Imps!AB4+ROUND(MIN(gn_bonus*Construction!BF4/Construction!$E4,gn_bonus_cap),4)+MAX(IF(Magic!$AN4&gt;0,warsong_bonus),IF(Magic!AP4&gt;0,howling_op_bonus),IF(Magic!AS4&gt;0,nightfall_bonus),IF(Magic!AT4&gt;0,crusade_bonus),IF(Magic!AU4&gt;0,killingrage_bonus),IF(Magic!AV4&gt;0,bloodrage_bonus)) + Production!O4/100*prestige_offense_bonus + MAX(tech_military_offense*Techs!AH4,tech_magical_weaponry_op*Techs!AV4)</f>
        <v>0.05</v>
      </c>
      <c r="Q4" s="235">
        <f t="shared" ref="Q4:Q67" ca="1" si="46">O4*(1+P4)</f>
        <v>0</v>
      </c>
      <c r="R4" s="234">
        <f ca="1">F4*(spec_dp+spirit*DR4)+G4*(elite1_dp+woodie*CV4+sylvan*CY4+gnome*DB4+dark_elf*DD4+icekin*DG4+orc*DJ4+nox*DL4+beast*DN4+sacred*DP4+spirit*DS4+blackorc*DK4)+H4*(elite2_dp+woodie*CX4+beast*DO4+sacred*DQ4) + fh_peas_dp*MIN(Population!C4,20*Construction!BD4)+kobold*DE4</f>
        <v>0</v>
      </c>
      <c r="S4" s="235">
        <f t="shared" ca="1" si="1"/>
        <v>4835</v>
      </c>
      <c r="T4" s="1052">
        <f ca="1">race_defense+Imps!AC4+ROUND(MIN(gt_bonus*Construction!BH4/Construction!$E4,gt_bonus_cap),4)+MAX(IF(Magic!AM4&gt;0,frenzy_bonus,IF(Magic!AQ4&gt;0,blizzard_bonus,IF(Magic!AP4&gt;0,howling_dp_bonus,IF(Magic!AI4&gt;0,ares_call_bonus)))),IF(Magic!AX4&gt;0,MIN(Construction!DF4/Construction!E4,0.2),0))</f>
        <v>0</v>
      </c>
      <c r="U4" s="1046">
        <f t="shared" ref="U4:U67" ca="1" si="47">R4 * (1 + T4)</f>
        <v>0</v>
      </c>
      <c r="V4" s="308">
        <f t="shared" ref="V4:V67" ca="1" si="48">S4 * (1 + T4)</f>
        <v>4835</v>
      </c>
      <c r="W4" s="308">
        <f>Construction!E4</f>
        <v>1000</v>
      </c>
      <c r="X4" s="364"/>
      <c r="Y4" s="232">
        <f t="shared" ref="Y4:Y14" si="49">IF(X4&lt;&gt;"",X4,Y3)</f>
        <v>0.4</v>
      </c>
      <c r="Z4" s="166">
        <f ca="1">Z3+Population!Z3 - IF(race="Lux",AF4,SUM(AF4:AK4)) - BE4 + SUM(BF4:BL4) - Explore!AI4</f>
        <v>4835</v>
      </c>
      <c r="AA4" s="164"/>
      <c r="AB4" s="251">
        <f>(Construction!$BA4+Construction!BY4)/(Construction!$E4-Explore!S4*20)</f>
        <v>0</v>
      </c>
      <c r="AC4" s="629"/>
      <c r="AD4" s="798">
        <f>Rezone!J4</f>
        <v>2</v>
      </c>
      <c r="AE4" s="589">
        <f>Explore!AA4</f>
        <v>43692.041666666664</v>
      </c>
      <c r="AF4" s="352"/>
      <c r="AG4" s="345"/>
      <c r="AH4" s="345"/>
      <c r="AI4" s="345"/>
      <c r="AJ4" s="345"/>
      <c r="AK4" s="345"/>
      <c r="AL4" s="353"/>
      <c r="AN4" s="152">
        <f ca="1">Production!$H4</f>
        <v>3945720</v>
      </c>
      <c r="AO4" s="164">
        <f ca="1">Production!$L4</f>
        <v>300000</v>
      </c>
      <c r="AP4" s="164">
        <f ca="1">Production!J4</f>
        <v>301876</v>
      </c>
      <c r="AQ4" s="164">
        <f ca="1">Production!M4</f>
        <v>20000</v>
      </c>
      <c r="AR4" s="164">
        <f ca="1">Production!K4</f>
        <v>20850</v>
      </c>
      <c r="AS4" s="164">
        <f ca="1">Production!I4</f>
        <v>52603</v>
      </c>
      <c r="AT4" s="164">
        <f ca="1">Production!N4</f>
        <v>200</v>
      </c>
      <c r="AU4" s="152">
        <f t="shared" ca="1" si="2"/>
        <v>0</v>
      </c>
      <c r="AV4" s="164">
        <f t="shared" ca="1" si="3"/>
        <v>0</v>
      </c>
      <c r="AW4" s="164">
        <f t="shared" ref="AW4:AW67" ca="1" si="50">$AH4*CA4+$AI4*CH4</f>
        <v>0</v>
      </c>
      <c r="AX4" s="164">
        <f t="shared" ref="AX4:AX67" ca="1" si="51">$AG4*BW4+$AH4*CB4+$AI4*CI4</f>
        <v>0</v>
      </c>
      <c r="AY4" s="164">
        <f t="shared" ref="AY4:AY67" ca="1" si="52">$AF4*BR4+$AG4*BV4+$AH4*CC4+$AI4*CJ4</f>
        <v>0</v>
      </c>
      <c r="AZ4" s="164">
        <f t="shared" ref="AZ4:AZ67" ca="1" si="53">$AF4*BS4+$AG4*BX4+$AH4*CD4+$AI4*CK4</f>
        <v>0</v>
      </c>
      <c r="BA4" s="166">
        <f t="shared" ref="BA4:BA67" ca="1" si="54">$AH4*CE4+$AI4*CL4</f>
        <v>0</v>
      </c>
      <c r="BB4" s="170">
        <v>2</v>
      </c>
      <c r="BC4" s="532">
        <f t="shared" si="4"/>
        <v>43692.041666666664</v>
      </c>
      <c r="BD4" s="233">
        <f t="shared" ca="1" si="5"/>
        <v>4835</v>
      </c>
      <c r="BE4" s="830"/>
      <c r="BF4" s="345"/>
      <c r="BG4" s="345"/>
      <c r="BH4" s="345"/>
      <c r="BI4" s="345"/>
      <c r="BJ4" s="345"/>
      <c r="BK4" s="345"/>
      <c r="BL4" s="353"/>
      <c r="BN4" s="503">
        <f>Construction!BM4/Construction!E4</f>
        <v>0</v>
      </c>
      <c r="BO4" s="171">
        <f>Construction!BD4/Construction!E4</f>
        <v>0</v>
      </c>
      <c r="BP4" s="152">
        <f>ROUNDUP((1-MIN(AB4*smithy_bonus,smithy_bonus_cap))*(1+Techs!AO4*tech_master_of_frugality)*spec_op_plat,0)</f>
        <v>275</v>
      </c>
      <c r="BQ4" s="164">
        <f>ROUNDUP(IF(race="Gnome",1,(1-MIN(AB4*smithy_bonus,smithy_bonus_cap))*(1+Techs!AO4*tech_master_of_frugality))*spec_op_ore,0)</f>
        <v>25</v>
      </c>
      <c r="BR4" s="164">
        <f t="shared" si="6"/>
        <v>0</v>
      </c>
      <c r="BS4" s="164">
        <f t="shared" si="7"/>
        <v>0</v>
      </c>
      <c r="BT4" s="164">
        <f ca="1">ROUNDUP((1-MIN(AB4*smithy_bonus,smithy_bonus_cap))*(1+Techs!AO4*tech_master_of_frugality)*spec_dp_plat,0)</f>
        <v>275</v>
      </c>
      <c r="BU4" s="164">
        <f ca="1">ROUNDUP(IF(OR(race="Gnome",race="Imperial Gnome"),1,(1-MIN(AB4*smithy_bonus,smithy_bonus_cap))*(1+Techs!AO4*tech_master_of_frugality))*spec_dp_ore,0)</f>
        <v>10</v>
      </c>
      <c r="BV4" s="164">
        <f t="shared" ca="1" si="8"/>
        <v>0</v>
      </c>
      <c r="BW4" s="164">
        <f t="shared" ca="1" si="9"/>
        <v>0</v>
      </c>
      <c r="BX4" s="164">
        <f t="shared" ca="1" si="10"/>
        <v>0</v>
      </c>
      <c r="BY4" s="164">
        <f ca="1">ROUNDUP((1-MIN(AB4*smithy_bonus,smithy_bonus_cap))*(1+Techs!AO4*tech_master_of_frugality)*elite1_plat,0)</f>
        <v>1000</v>
      </c>
      <c r="BZ4" s="164">
        <f ca="1">ROUNDUP(IF(race="Gnome",1,(1-MIN(AB4*smithy_bonus,smithy_bonus_cap))*(1+Techs!AO4*tech_master_of_frugality))*elite1_ore,0)</f>
        <v>75</v>
      </c>
      <c r="CA4" s="164">
        <f t="shared" ca="1" si="11"/>
        <v>0</v>
      </c>
      <c r="CB4" s="164">
        <f t="shared" ca="1" si="12"/>
        <v>0</v>
      </c>
      <c r="CC4" s="164">
        <f t="shared" ca="1" si="13"/>
        <v>0</v>
      </c>
      <c r="CD4" s="164">
        <f t="shared" ca="1" si="14"/>
        <v>0</v>
      </c>
      <c r="CE4" s="164">
        <f t="shared" ca="1" si="15"/>
        <v>0</v>
      </c>
      <c r="CF4" s="164">
        <f ca="1">ROUNDUP((1-MIN(AB4*smithy_bonus,smithy_bonus_cap))*(1+Techs!AO4*tech_master_of_frugality)*elite2_plat,0)</f>
        <v>1250</v>
      </c>
      <c r="CG4" s="164">
        <f ca="1">ROUNDUP(IF(race="Gnome",1,(1-MIN(AB4*smithy_bonus,smithy_bonus_cap))*(1+Techs!AO4*tech_master_of_frugality))*elite2_ore,0)</f>
        <v>100</v>
      </c>
      <c r="CH4" s="164">
        <f t="shared" ca="1" si="16"/>
        <v>0</v>
      </c>
      <c r="CI4" s="164">
        <f t="shared" ca="1" si="17"/>
        <v>0</v>
      </c>
      <c r="CJ4" s="164">
        <f t="shared" ca="1" si="18"/>
        <v>0</v>
      </c>
      <c r="CK4" s="164">
        <f t="shared" ca="1" si="19"/>
        <v>0</v>
      </c>
      <c r="CL4" s="164">
        <f t="shared" ca="1" si="20"/>
        <v>0</v>
      </c>
      <c r="CM4" s="164">
        <f>ROUNDUP((1+tech_spy_cost*Techs!AJ4)*spy_plat,0)</f>
        <v>500</v>
      </c>
      <c r="CN4" s="164">
        <f>ROUNDUP((1+tech_wizard_cost*Techs!AM4-MIN(ROUND(wg_wiz_cost_bonus*BN4,4),wg_wiz_cost_cap))*wizard_plat,0)</f>
        <v>500</v>
      </c>
      <c r="CO4" s="166">
        <f>ROUNDUP((1+tech_wizard_cost*Techs!AM4-MIN(ROUND(wg_wiz_cost_bonus*BN4,4),wg_wiz_cost_cap))*archmage_plat,0)</f>
        <v>1000</v>
      </c>
      <c r="CQ4" s="461">
        <f ca="1">Construction!DF4/Construction!E4</f>
        <v>0.28000000000000003</v>
      </c>
      <c r="CR4" s="462">
        <f t="shared" si="21"/>
        <v>0</v>
      </c>
      <c r="CS4" s="462">
        <f>Construction!BK4/Construction!E4</f>
        <v>0.05</v>
      </c>
      <c r="CT4" s="462">
        <f>Construction!BJ4/Construction!E4</f>
        <v>0</v>
      </c>
      <c r="CU4" s="462">
        <f>Construction!AY4/Construction!E4</f>
        <v>0</v>
      </c>
      <c r="CV4" s="481">
        <f t="shared" ca="1" si="22"/>
        <v>1.4000000000000001</v>
      </c>
      <c r="CW4" s="482">
        <f t="shared" ca="1" si="23"/>
        <v>1.4000000000000001</v>
      </c>
      <c r="CX4" s="482">
        <f t="shared" ca="1" si="24"/>
        <v>1.4000000000000001</v>
      </c>
      <c r="CY4" s="483">
        <f t="shared" ca="1" si="25"/>
        <v>1.4000000000000001</v>
      </c>
      <c r="CZ4" s="483">
        <f t="shared" si="26"/>
        <v>0</v>
      </c>
      <c r="DA4" s="483">
        <f t="shared" ca="1" si="27"/>
        <v>3</v>
      </c>
      <c r="DB4" s="483">
        <f t="shared" ca="1" si="28"/>
        <v>1.4000000000000001</v>
      </c>
      <c r="DC4" s="482">
        <f t="shared" si="29"/>
        <v>0</v>
      </c>
      <c r="DD4" s="847">
        <f t="shared" ref="DD4:DD34" si="55">MIN(adept_dp_cap,CR4/adept_dp_bonus)</f>
        <v>0</v>
      </c>
      <c r="DE4" s="440">
        <f t="shared" ref="DE4:DE67" si="56">MIN(G4,H4)*2</f>
        <v>0</v>
      </c>
      <c r="DF4" s="440">
        <f t="shared" ref="DF4:DF67" si="57">MIN(E4,H4)*2</f>
        <v>0</v>
      </c>
      <c r="DG4" s="481">
        <f t="shared" ca="1" si="30"/>
        <v>1.4000000000000001</v>
      </c>
      <c r="DH4" s="450">
        <f t="shared" ref="DH4:DH34" si="58">MIN(ice_elem_cap,EO4*ice_elem_bonus)</f>
        <v>0</v>
      </c>
      <c r="DI4" s="450">
        <f>MIN(valkyrja_cap,Production!O4/valkyrja_bonus)</f>
        <v>1</v>
      </c>
      <c r="DJ4" s="847">
        <f>MIN(voodoo_magi_cap,Production!O4/voodoo_magi_bonus)</f>
        <v>0.83333333333333337</v>
      </c>
      <c r="DK4" s="847">
        <f>MIN(warlock_cap,Production!O4/warlock_bonus)</f>
        <v>1.25</v>
      </c>
      <c r="DL4" s="847">
        <f ca="1">MIN(nox_nightshade_cap,Construction!DF4/Construction!E4/nox_nightshade_swamp_bonus)</f>
        <v>2.8000000000000003</v>
      </c>
      <c r="DM4" s="482">
        <f t="shared" si="31"/>
        <v>0</v>
      </c>
      <c r="DN4" s="483">
        <f t="shared" ca="1" si="32"/>
        <v>2.8000000000000003</v>
      </c>
      <c r="DO4" s="483">
        <f t="shared" ca="1" si="33"/>
        <v>2.8000000000000003</v>
      </c>
      <c r="DP4" s="483">
        <f t="shared" si="34"/>
        <v>1</v>
      </c>
      <c r="DQ4" s="482">
        <f t="shared" si="35"/>
        <v>0</v>
      </c>
      <c r="DR4" s="483">
        <f t="shared" si="36"/>
        <v>0</v>
      </c>
      <c r="DS4" s="482">
        <f t="shared" si="37"/>
        <v>0</v>
      </c>
      <c r="DT4" s="483">
        <f t="shared" ref="DT4:DT34" si="59">MIN(wraith_cap,EO4*wraith_bonus)</f>
        <v>0</v>
      </c>
      <c r="DU4" t="s">
        <v>95</v>
      </c>
      <c r="DV4" t="b">
        <f t="shared" ref="DV4:DV20" si="60">race=DU4</f>
        <v>0</v>
      </c>
      <c r="DX4" s="481">
        <f ca="1">MIN(6,CV4+Races!$F$19)*1.8 +  IF(CV4+Races!$F$19&gt;6,(CV4+Races!$F$19-6)*0.2,0) - Races!$N$19</f>
        <v>2.5200000000000005</v>
      </c>
      <c r="DY4" s="482">
        <f ca="1">1.8 * MIN(MAX(CW4+Races!$E$20,CX4+Races!$F$20),6)  +  0.45 * MIN(MIN(CW4+Races!$E$20,CX4+Races!$F$20),6)  +  0.2 * ( MAX(CW4+Races!$E$20-6,0) + MAX(CX4+Races!$F$20-6,0) )  -  Races!$N$20</f>
        <v>3.1500000000000012</v>
      </c>
      <c r="DZ4" s="166">
        <f t="shared" ca="1" si="38"/>
        <v>0</v>
      </c>
      <c r="EA4" s="665">
        <f ca="1">MIN(6,CY4+Races!$F$35)*1.8 +  IF(CY4+Races!$F$35&gt;6,(CY4+Races!$F$35-6)*0.2,0) - Races!$N$19</f>
        <v>0.72000000000000064</v>
      </c>
      <c r="EB4" s="166">
        <f t="shared" ca="1" si="39"/>
        <v>0</v>
      </c>
      <c r="EC4" s="665">
        <f ca="1">1.8 * MIN(MAX(Races!$E$27,DB4+Races!$F$27),6)  +  0.45 * MIN(MIN(Races!$E$27,DB4+Races!$F$27),6)  +  0.2 * ( MAX(Races!$E$27-6,0) + MAX(DB4+Races!$F$27-6,0) )  -  Races!$N$20</f>
        <v>4.7700000000000005</v>
      </c>
      <c r="ED4" s="166">
        <f t="shared" ca="1" si="40"/>
        <v>0</v>
      </c>
      <c r="EE4" s="665">
        <f>1.8 * MIN(MAX(DC4+Races!$E$47,DD4+Races!$F$47),6)  +  0.45 * MIN(MIN(DC4+Races!$E$47,DD4+Races!$F$47),6)  +  0.2 * ( MAX(DC4+Races!$E$47-6,0) + MAX(DD4+Races!$F$47-6,0) )  -  Races!$N$47</f>
        <v>0</v>
      </c>
      <c r="EF4" s="166">
        <f t="shared" si="41"/>
        <v>0</v>
      </c>
      <c r="EG4" s="665">
        <f ca="1">1.8 * MIN(MAX(DG4+Races!$F$71,Races!$E$71),6)  +  0.45 * MIN(MIN(DG4+Races!$F$71,Races!$E$71),6)  +  0.2 * ( MAX(DG4+Races!$F$71-6,0) + MAX(Races!$E$71-6,0) )  -  Races!$N$71</f>
        <v>2.5200000000000014</v>
      </c>
      <c r="EH4" s="665">
        <f>1.8 * MIN(MAX(DH4+Races!$E$71,Races!$F$71),6)  +  0.45 * MIN(MIN(DH4+Races!$E$71,Races!$F$71),6)  +  0.2 * ( MAX(DH4+Races!$E$71-6,0) + MAX(Races!$F$71-6,0) )  -  Races!$N$71</f>
        <v>0</v>
      </c>
      <c r="EI4" s="166">
        <f t="shared" ca="1" si="42"/>
        <v>0</v>
      </c>
      <c r="EJ4" s="166"/>
      <c r="EK4" s="166"/>
      <c r="EL4" s="166"/>
      <c r="EM4" s="166">
        <f ca="1">Overview!$L$22*E4+Overview!$L$23*F4+Overview!$L$24*G4+Overview!$L$25*H4+Overview!$L$26*I4+Overview!$L$27*J4+Overview!$L$28*K4+Construction!E4*20+Construction!B4*5 + DZ4*$DV$4+EB4*$DV$5+ED4*$DV$6+EF4*$DV$7+EI4*$DV$9</f>
        <v>20900</v>
      </c>
      <c r="EO4" s="737">
        <f>(J4+2*K4)/Construction!E4</f>
        <v>0</v>
      </c>
      <c r="EP4" s="734">
        <f ca="1">EO4*(1+race_wizard_strength+tech_magical_weaponry_wiz*Techs!AV76)</f>
        <v>0</v>
      </c>
      <c r="EQ4" s="170">
        <f>(I4+halfer*H4/3)/Construction!E4</f>
        <v>0</v>
      </c>
    </row>
    <row r="5" spans="1:147" s="170" customFormat="1">
      <c r="A5" s="629">
        <f>Rezone!J5</f>
        <v>3</v>
      </c>
      <c r="B5" s="152">
        <f ca="1">SUM(E5:L5)+SUM($AF$3:AI5)+Z5</f>
        <v>4939</v>
      </c>
      <c r="C5" s="171">
        <f ca="1">Population!G5</f>
        <v>0.33643125050555794</v>
      </c>
      <c r="E5" s="156">
        <f t="shared" si="43"/>
        <v>0</v>
      </c>
      <c r="F5" s="170">
        <f t="shared" si="43"/>
        <v>0</v>
      </c>
      <c r="G5" s="170">
        <f t="shared" si="43"/>
        <v>0</v>
      </c>
      <c r="H5" s="170">
        <f t="shared" si="43"/>
        <v>0</v>
      </c>
      <c r="I5" s="170">
        <f t="shared" si="43"/>
        <v>0</v>
      </c>
      <c r="J5" s="170">
        <f t="shared" si="44"/>
        <v>0</v>
      </c>
      <c r="K5" s="157">
        <f t="shared" si="45"/>
        <v>0</v>
      </c>
      <c r="M5" s="160">
        <f ca="1">Production!G5</f>
        <v>20900</v>
      </c>
      <c r="O5" s="234">
        <f t="shared" ca="1" si="0"/>
        <v>0</v>
      </c>
      <c r="P5" s="455">
        <f ca="1">race_offense+Imps!AB5+ROUND(MIN(gn_bonus*Construction!BF5/Construction!$E5,gn_bonus_cap),4)+MAX(IF(Magic!$AN5&gt;0,warsong_bonus),IF(Magic!AP5&gt;0,howling_op_bonus),IF(Magic!AS5&gt;0,nightfall_bonus),IF(Magic!AT5&gt;0,crusade_bonus),IF(Magic!AU5&gt;0,killingrage_bonus),IF(Magic!AV5&gt;0,bloodrage_bonus)) + Production!O5/100*prestige_offense_bonus + MAX(tech_military_offense*Techs!AH5,tech_magical_weaponry_op*Techs!AV5)</f>
        <v>0.05</v>
      </c>
      <c r="Q5" s="235">
        <f t="shared" ca="1" si="46"/>
        <v>0</v>
      </c>
      <c r="R5" s="234">
        <f ca="1">F5*(spec_dp+spirit*DR5)+G5*(elite1_dp+woodie*CV5+sylvan*CY5+gnome*DB5+dark_elf*DD5+icekin*DG5+orc*DJ5+nox*DL5+beast*DN5+sacred*DP5+spirit*DS5+blackorc*DK5)+H5*(elite2_dp+woodie*CX5+beast*DO5+sacred*DQ5) + fh_peas_dp*MIN(Population!C5,20*Construction!BD5)+kobold*DE5</f>
        <v>0</v>
      </c>
      <c r="S5" s="235">
        <f t="shared" ca="1" si="1"/>
        <v>4939</v>
      </c>
      <c r="T5" s="1052">
        <f ca="1">race_defense+Imps!AC5+ROUND(MIN(gt_bonus*Construction!BH5/Construction!$E5,gt_bonus_cap),4)+MAX(IF(Magic!AM5&gt;0,frenzy_bonus,IF(Magic!AQ5&gt;0,blizzard_bonus,IF(Magic!AP5&gt;0,howling_dp_bonus,IF(Magic!AI5&gt;0,ares_call_bonus)))),IF(Magic!AX5&gt;0,MIN(Construction!DF5/Construction!E5,0.2),0))</f>
        <v>0</v>
      </c>
      <c r="U5" s="1046">
        <f t="shared" ca="1" si="47"/>
        <v>0</v>
      </c>
      <c r="V5" s="308">
        <f t="shared" ca="1" si="48"/>
        <v>4939</v>
      </c>
      <c r="W5" s="308">
        <f>Construction!E5</f>
        <v>1000</v>
      </c>
      <c r="X5" s="364"/>
      <c r="Y5" s="232">
        <f t="shared" si="49"/>
        <v>0.4</v>
      </c>
      <c r="Z5" s="166">
        <f ca="1">Z4+Population!Z4 - IF(race="Lux",AF5,SUM(AF5:AK5)) - BE5 + SUM(BF5:BL5) - Explore!AI5</f>
        <v>4939</v>
      </c>
      <c r="AA5" s="164"/>
      <c r="AB5" s="251">
        <f>(Construction!$BA5+Construction!BY5)/(Construction!$E5-Explore!S5*20)</f>
        <v>0</v>
      </c>
      <c r="AC5" s="629"/>
      <c r="AD5" s="798">
        <f>Rezone!J5</f>
        <v>3</v>
      </c>
      <c r="AE5" s="589">
        <f>Explore!AA5</f>
        <v>43692.083333333328</v>
      </c>
      <c r="AF5" s="352"/>
      <c r="AG5" s="345"/>
      <c r="AH5" s="345"/>
      <c r="AI5" s="345"/>
      <c r="AJ5" s="345"/>
      <c r="AK5" s="345"/>
      <c r="AL5" s="353"/>
      <c r="AN5" s="152">
        <f ca="1">Production!$H5</f>
        <v>3955440</v>
      </c>
      <c r="AO5" s="164">
        <f ca="1">Production!$L5</f>
        <v>300000</v>
      </c>
      <c r="AP5" s="164">
        <f ca="1">Production!J5</f>
        <v>301357</v>
      </c>
      <c r="AQ5" s="164">
        <f ca="1">Production!M5</f>
        <v>20000</v>
      </c>
      <c r="AR5" s="164">
        <f ca="1">Production!K5</f>
        <v>21683</v>
      </c>
      <c r="AS5" s="164">
        <f ca="1">Production!I5</f>
        <v>55317</v>
      </c>
      <c r="AT5" s="164">
        <f ca="1">Production!N5</f>
        <v>200</v>
      </c>
      <c r="AU5" s="152">
        <f t="shared" ca="1" si="2"/>
        <v>0</v>
      </c>
      <c r="AV5" s="164">
        <f t="shared" ca="1" si="3"/>
        <v>0</v>
      </c>
      <c r="AW5" s="164">
        <f t="shared" ca="1" si="50"/>
        <v>0</v>
      </c>
      <c r="AX5" s="164">
        <f t="shared" ca="1" si="51"/>
        <v>0</v>
      </c>
      <c r="AY5" s="164">
        <f t="shared" ca="1" si="52"/>
        <v>0</v>
      </c>
      <c r="AZ5" s="164">
        <f t="shared" ca="1" si="53"/>
        <v>0</v>
      </c>
      <c r="BA5" s="166">
        <f t="shared" ca="1" si="54"/>
        <v>0</v>
      </c>
      <c r="BB5" s="170">
        <v>3</v>
      </c>
      <c r="BC5" s="532">
        <f t="shared" si="4"/>
        <v>43692.083333333328</v>
      </c>
      <c r="BD5" s="233">
        <f t="shared" ca="1" si="5"/>
        <v>4939</v>
      </c>
      <c r="BE5" s="352"/>
      <c r="BF5" s="345"/>
      <c r="BG5" s="345"/>
      <c r="BH5" s="345"/>
      <c r="BI5" s="345"/>
      <c r="BJ5" s="345"/>
      <c r="BK5" s="345"/>
      <c r="BL5" s="353"/>
      <c r="BN5" s="503">
        <f>Construction!BM5/Construction!E5</f>
        <v>0</v>
      </c>
      <c r="BO5" s="171">
        <f>Construction!BD5/Construction!E5</f>
        <v>0</v>
      </c>
      <c r="BP5" s="152">
        <f>ROUNDUP((1-MIN(AB5*smithy_bonus,smithy_bonus_cap))*(1+Techs!AO5*tech_master_of_frugality)*spec_op_plat,0)</f>
        <v>275</v>
      </c>
      <c r="BQ5" s="164">
        <f>ROUNDUP(IF(race="Gnome",1,(1-MIN(AB5*smithy_bonus,smithy_bonus_cap))*(1+Techs!AO5*tech_master_of_frugality))*spec_op_ore,0)</f>
        <v>25</v>
      </c>
      <c r="BR5" s="164">
        <f t="shared" si="6"/>
        <v>0</v>
      </c>
      <c r="BS5" s="164">
        <f t="shared" si="7"/>
        <v>0</v>
      </c>
      <c r="BT5" s="164">
        <f ca="1">ROUNDUP((1-MIN(AB5*smithy_bonus,smithy_bonus_cap))*(1+Techs!AO5*tech_master_of_frugality)*spec_dp_plat,0)</f>
        <v>275</v>
      </c>
      <c r="BU5" s="164">
        <f ca="1">ROUNDUP(IF(OR(race="Gnome",race="Imperial Gnome"),1,(1-MIN(AB5*smithy_bonus,smithy_bonus_cap))*(1+Techs!AO5*tech_master_of_frugality))*spec_dp_ore,0)</f>
        <v>10</v>
      </c>
      <c r="BV5" s="164">
        <f t="shared" ca="1" si="8"/>
        <v>0</v>
      </c>
      <c r="BW5" s="164">
        <f t="shared" ca="1" si="9"/>
        <v>0</v>
      </c>
      <c r="BX5" s="164">
        <f t="shared" ca="1" si="10"/>
        <v>0</v>
      </c>
      <c r="BY5" s="164">
        <f ca="1">ROUNDUP((1-MIN(AB5*smithy_bonus,smithy_bonus_cap))*(1+Techs!AO5*tech_master_of_frugality)*elite1_plat,0)</f>
        <v>1000</v>
      </c>
      <c r="BZ5" s="164">
        <f ca="1">ROUNDUP(IF(race="Gnome",1,(1-MIN(AB5*smithy_bonus,smithy_bonus_cap))*(1+Techs!AO5*tech_master_of_frugality))*elite1_ore,0)</f>
        <v>75</v>
      </c>
      <c r="CA5" s="164">
        <f t="shared" ca="1" si="11"/>
        <v>0</v>
      </c>
      <c r="CB5" s="164">
        <f t="shared" ca="1" si="12"/>
        <v>0</v>
      </c>
      <c r="CC5" s="164">
        <f t="shared" ca="1" si="13"/>
        <v>0</v>
      </c>
      <c r="CD5" s="164">
        <f t="shared" ca="1" si="14"/>
        <v>0</v>
      </c>
      <c r="CE5" s="164">
        <f t="shared" ca="1" si="15"/>
        <v>0</v>
      </c>
      <c r="CF5" s="164">
        <f ca="1">ROUNDUP((1-MIN(AB5*smithy_bonus,smithy_bonus_cap))*(1+Techs!AO5*tech_master_of_frugality)*elite2_plat,0)</f>
        <v>1250</v>
      </c>
      <c r="CG5" s="164">
        <f ca="1">ROUNDUP(IF(race="Gnome",1,(1-MIN(AB5*smithy_bonus,smithy_bonus_cap))*(1+Techs!AO5*tech_master_of_frugality))*elite2_ore,0)</f>
        <v>100</v>
      </c>
      <c r="CH5" s="164">
        <f t="shared" ca="1" si="16"/>
        <v>0</v>
      </c>
      <c r="CI5" s="164">
        <f t="shared" ca="1" si="17"/>
        <v>0</v>
      </c>
      <c r="CJ5" s="164">
        <f t="shared" ca="1" si="18"/>
        <v>0</v>
      </c>
      <c r="CK5" s="164">
        <f t="shared" ca="1" si="19"/>
        <v>0</v>
      </c>
      <c r="CL5" s="164">
        <f t="shared" ca="1" si="20"/>
        <v>0</v>
      </c>
      <c r="CM5" s="164">
        <f>ROUNDUP((1+tech_spy_cost*Techs!AJ5)*spy_plat,0)</f>
        <v>500</v>
      </c>
      <c r="CN5" s="164">
        <f>ROUNDUP((1+tech_wizard_cost*Techs!AM5-MIN(ROUND(wg_wiz_cost_bonus*BN5,4),wg_wiz_cost_cap))*wizard_plat,0)</f>
        <v>500</v>
      </c>
      <c r="CO5" s="166">
        <f>ROUNDUP((1+tech_wizard_cost*Techs!AM5-MIN(ROUND(wg_wiz_cost_bonus*BN5,4),wg_wiz_cost_cap))*archmage_plat,0)</f>
        <v>1000</v>
      </c>
      <c r="CQ5" s="461">
        <f ca="1">Construction!DF5/Construction!E5</f>
        <v>0.28000000000000003</v>
      </c>
      <c r="CR5" s="462">
        <f t="shared" si="21"/>
        <v>0</v>
      </c>
      <c r="CS5" s="462">
        <f>Construction!BK5/Construction!E5</f>
        <v>0.05</v>
      </c>
      <c r="CT5" s="462">
        <f>Construction!BJ5/Construction!E5</f>
        <v>0</v>
      </c>
      <c r="CU5" s="462">
        <f>Construction!AY5/Construction!E5</f>
        <v>0</v>
      </c>
      <c r="CV5" s="481">
        <f t="shared" ca="1" si="22"/>
        <v>1.4000000000000001</v>
      </c>
      <c r="CW5" s="482">
        <f t="shared" ca="1" si="23"/>
        <v>1.4000000000000001</v>
      </c>
      <c r="CX5" s="482">
        <f t="shared" ca="1" si="24"/>
        <v>1.4000000000000001</v>
      </c>
      <c r="CY5" s="483">
        <f t="shared" ca="1" si="25"/>
        <v>1.4000000000000001</v>
      </c>
      <c r="CZ5" s="483">
        <f t="shared" si="26"/>
        <v>0</v>
      </c>
      <c r="DA5" s="483">
        <f t="shared" ca="1" si="27"/>
        <v>3</v>
      </c>
      <c r="DB5" s="483">
        <f t="shared" ca="1" si="28"/>
        <v>1.4000000000000001</v>
      </c>
      <c r="DC5" s="482">
        <f t="shared" si="29"/>
        <v>0</v>
      </c>
      <c r="DD5" s="847">
        <f t="shared" si="55"/>
        <v>0</v>
      </c>
      <c r="DE5" s="440">
        <f t="shared" si="56"/>
        <v>0</v>
      </c>
      <c r="DF5" s="440">
        <f t="shared" si="57"/>
        <v>0</v>
      </c>
      <c r="DG5" s="481">
        <f t="shared" ca="1" si="30"/>
        <v>1.4000000000000001</v>
      </c>
      <c r="DH5" s="450">
        <f t="shared" si="58"/>
        <v>0</v>
      </c>
      <c r="DI5" s="450">
        <f>MIN(valkyrja_cap,Production!O5/valkyrja_bonus)</f>
        <v>1</v>
      </c>
      <c r="DJ5" s="847">
        <f>MIN(voodoo_magi_cap,Production!O5/voodoo_magi_bonus)</f>
        <v>0.83333333333333337</v>
      </c>
      <c r="DK5" s="847">
        <f>MIN(warlock_cap,Production!O5/warlock_bonus)</f>
        <v>1.25</v>
      </c>
      <c r="DL5" s="847">
        <f ca="1">MIN(nox_nightshade_cap,Construction!DF5/Construction!E5/nox_nightshade_swamp_bonus)</f>
        <v>2.8000000000000003</v>
      </c>
      <c r="DM5" s="482">
        <f t="shared" si="31"/>
        <v>0</v>
      </c>
      <c r="DN5" s="483">
        <f t="shared" ca="1" si="32"/>
        <v>2.8000000000000003</v>
      </c>
      <c r="DO5" s="483">
        <f t="shared" ca="1" si="33"/>
        <v>2.8000000000000003</v>
      </c>
      <c r="DP5" s="483">
        <f t="shared" si="34"/>
        <v>1</v>
      </c>
      <c r="DQ5" s="482">
        <f t="shared" si="35"/>
        <v>0</v>
      </c>
      <c r="DR5" s="483">
        <f t="shared" si="36"/>
        <v>0</v>
      </c>
      <c r="DS5" s="482">
        <f t="shared" si="37"/>
        <v>0</v>
      </c>
      <c r="DT5" s="483">
        <f t="shared" si="59"/>
        <v>0</v>
      </c>
      <c r="DU5" t="s">
        <v>99</v>
      </c>
      <c r="DV5" t="b">
        <f t="shared" si="60"/>
        <v>0</v>
      </c>
      <c r="DX5" s="481">
        <f ca="1">MIN(6,CV5+Races!$F$19)*1.8 +  IF(CV5+Races!$F$19&gt;6,(CV5+Races!$F$19-6)*0.2,0) - Races!$N$19</f>
        <v>2.5200000000000005</v>
      </c>
      <c r="DY5" s="482">
        <f ca="1">1.8 * MIN(MAX(CW5+Races!$E$20,CX5+Races!$F$20),6)  +  0.45 * MIN(MIN(CW5+Races!$E$20,CX5+Races!$F$20),6)  +  0.2 * ( MAX(CW5+Races!$E$20-6,0) + MAX(CX5+Races!$F$20-6,0) )  -  Races!$N$20</f>
        <v>3.1500000000000012</v>
      </c>
      <c r="DZ5" s="166">
        <f t="shared" ca="1" si="38"/>
        <v>0</v>
      </c>
      <c r="EA5" s="665">
        <f ca="1">MIN(6,CY5+Races!$F$35)*1.8 +  IF(CY5+Races!$F$35&gt;6,(CY5+Races!$F$35-6)*0.2,0) - Races!$N$19</f>
        <v>0.72000000000000064</v>
      </c>
      <c r="EB5" s="166">
        <f t="shared" ca="1" si="39"/>
        <v>0</v>
      </c>
      <c r="EC5" s="665">
        <f ca="1">1.8 * MIN(MAX(Races!$E$27,DB5+Races!$F$27),6)  +  0.45 * MIN(MIN(Races!$E$27,DB5+Races!$F$27),6)  +  0.2 * ( MAX(Races!$E$27-6,0) + MAX(DB5+Races!$F$27-6,0) )  -  Races!$N$20</f>
        <v>4.7700000000000005</v>
      </c>
      <c r="ED5" s="166">
        <f t="shared" ca="1" si="40"/>
        <v>0</v>
      </c>
      <c r="EE5" s="665">
        <f>1.8 * MIN(MAX(DC5+Races!$E$47,DD5+Races!$F$47),6)  +  0.45 * MIN(MIN(DC5+Races!$E$47,DD5+Races!$F$47),6)  +  0.2 * ( MAX(DC5+Races!$E$47-6,0) + MAX(DD5+Races!$F$47-6,0) )  -  Races!$N$47</f>
        <v>0</v>
      </c>
      <c r="EF5" s="166">
        <f t="shared" si="41"/>
        <v>0</v>
      </c>
      <c r="EG5" s="665">
        <f ca="1">1.8 * MIN(MAX(DG5+Races!$F$71,Races!$E$71),6)  +  0.45 * MIN(MIN(DG5+Races!$F$71,Races!$E$71),6)  +  0.2 * ( MAX(DG5+Races!$F$71-6,0) + MAX(Races!$E$71-6,0) )  -  Races!$N$71</f>
        <v>2.5200000000000014</v>
      </c>
      <c r="EH5" s="665">
        <f>1.8 * MIN(MAX(DH5+Races!$E$71,Races!$F$71),6)  +  0.45 * MIN(MIN(DH5+Races!$E$71,Races!$F$71),6)  +  0.2 * ( MAX(DH5+Races!$E$71-6,0) + MAX(Races!$F$71-6,0) )  -  Races!$N$71</f>
        <v>0</v>
      </c>
      <c r="EI5" s="166">
        <f t="shared" ca="1" si="42"/>
        <v>0</v>
      </c>
      <c r="EJ5" s="166"/>
      <c r="EK5" s="166"/>
      <c r="EL5" s="166"/>
      <c r="EM5" s="166">
        <f ca="1">Overview!$L$22*E5+Overview!$L$23*F5+Overview!$L$24*G5+Overview!$L$25*H5+Overview!$L$26*I5+Overview!$L$27*J5+Overview!$L$28*K5+Construction!E5*20+Construction!B5*5 + DZ5*$DV$4+EB5*$DV$5+ED5*$DV$6+EF5*$DV$7+EI5*$DV$9</f>
        <v>20900</v>
      </c>
      <c r="EO5" s="737">
        <f>(J5+2*K5)/Construction!E5</f>
        <v>0</v>
      </c>
      <c r="EP5" s="734">
        <f ca="1">EO5*(1+race_wizard_strength+tech_magical_weaponry_wiz*Techs!AV77)</f>
        <v>0</v>
      </c>
      <c r="EQ5" s="170">
        <f>(I5+halfer*H5/3)/Construction!E5</f>
        <v>0</v>
      </c>
    </row>
    <row r="6" spans="1:147" s="16" customFormat="1">
      <c r="A6" s="629">
        <f>Rezone!J6</f>
        <v>4</v>
      </c>
      <c r="B6" s="152">
        <f ca="1">SUM(E6:L6)+SUM($AF$3:AI6)+Z6</f>
        <v>5036</v>
      </c>
      <c r="C6" s="97">
        <f ca="1">Population!G6</f>
        <v>0.35481069108514801</v>
      </c>
      <c r="E6" s="156">
        <f t="shared" si="43"/>
        <v>0</v>
      </c>
      <c r="F6" s="170">
        <f t="shared" si="43"/>
        <v>0</v>
      </c>
      <c r="G6" s="170">
        <f t="shared" si="43"/>
        <v>0</v>
      </c>
      <c r="H6" s="170">
        <f t="shared" si="43"/>
        <v>0</v>
      </c>
      <c r="I6" s="170">
        <f t="shared" si="43"/>
        <v>0</v>
      </c>
      <c r="J6" s="170">
        <f t="shared" si="44"/>
        <v>0</v>
      </c>
      <c r="K6" s="157">
        <f t="shared" si="45"/>
        <v>0</v>
      </c>
      <c r="M6" s="64">
        <f ca="1">Production!G6</f>
        <v>20900</v>
      </c>
      <c r="O6" s="234">
        <f t="shared" ca="1" si="0"/>
        <v>0</v>
      </c>
      <c r="P6" s="455">
        <f ca="1">race_offense+Imps!AB6+ROUND(MIN(gn_bonus*Construction!BF6/Construction!$E6,gn_bonus_cap),4)+MAX(IF(Magic!$AN6&gt;0,warsong_bonus),IF(Magic!AP6&gt;0,howling_op_bonus),IF(Magic!AS6&gt;0,nightfall_bonus),IF(Magic!AT6&gt;0,crusade_bonus),IF(Magic!AU6&gt;0,killingrage_bonus),IF(Magic!AV6&gt;0,bloodrage_bonus)) + Production!O6/100*prestige_offense_bonus + MAX(tech_military_offense*Techs!AH6,tech_magical_weaponry_op*Techs!AV6)</f>
        <v>0.05</v>
      </c>
      <c r="Q6" s="235">
        <f t="shared" ca="1" si="46"/>
        <v>0</v>
      </c>
      <c r="R6" s="234">
        <f ca="1">F6*(spec_dp+spirit*DR6)+G6*(elite1_dp+woodie*CV6+sylvan*CY6+gnome*DB6+dark_elf*DD6+icekin*DG6+orc*DJ6+nox*DL6+beast*DN6+sacred*DP6+spirit*DS6+blackorc*DK6)+H6*(elite2_dp+woodie*CX6+beast*DO6+sacred*DQ6) + fh_peas_dp*MIN(Population!C6,20*Construction!BD6)+kobold*DE6</f>
        <v>0</v>
      </c>
      <c r="S6" s="235">
        <f t="shared" ca="1" si="1"/>
        <v>5036</v>
      </c>
      <c r="T6" s="1052">
        <f ca="1">race_defense+Imps!AC6+ROUND(MIN(gt_bonus*Construction!BH6/Construction!$E6,gt_bonus_cap),4)+MAX(IF(Magic!AM6&gt;0,frenzy_bonus,IF(Magic!AQ6&gt;0,blizzard_bonus,IF(Magic!AP6&gt;0,howling_dp_bonus,IF(Magic!AI6&gt;0,ares_call_bonus)))),IF(Magic!AX6&gt;0,MIN(Construction!DF6/Construction!E6,0.2),0))</f>
        <v>0</v>
      </c>
      <c r="U6" s="1046">
        <f t="shared" ca="1" si="47"/>
        <v>0</v>
      </c>
      <c r="V6" s="308">
        <f t="shared" ca="1" si="48"/>
        <v>5036</v>
      </c>
      <c r="W6" s="310">
        <f>Construction!E6</f>
        <v>1000</v>
      </c>
      <c r="X6" s="367"/>
      <c r="Y6" s="146">
        <f t="shared" si="49"/>
        <v>0.4</v>
      </c>
      <c r="Z6" s="166">
        <f ca="1">Z5+Population!Z5 - IF(race="Lux",AF6,SUM(AF6:AK6)) - BE6 + SUM(BF6:BL6) - Explore!AI6</f>
        <v>5036</v>
      </c>
      <c r="AA6" s="164"/>
      <c r="AB6" s="91">
        <f>(Construction!$BA6+Construction!BY6)/(Construction!$E6-Explore!S6*20)</f>
        <v>0</v>
      </c>
      <c r="AC6" s="529"/>
      <c r="AD6" s="799">
        <f>Rezone!J6</f>
        <v>4</v>
      </c>
      <c r="AE6" s="589">
        <f>Explore!AA6</f>
        <v>43692.124999999993</v>
      </c>
      <c r="AF6" s="356"/>
      <c r="AG6" s="348"/>
      <c r="AH6" s="348"/>
      <c r="AI6" s="348"/>
      <c r="AJ6" s="348"/>
      <c r="AK6" s="348"/>
      <c r="AL6" s="357"/>
      <c r="AN6" s="56">
        <f ca="1">Production!$H6</f>
        <v>3965160</v>
      </c>
      <c r="AO6" s="26">
        <f ca="1">Production!$L6</f>
        <v>300000</v>
      </c>
      <c r="AP6" s="26">
        <f ca="1">Production!J6</f>
        <v>300843</v>
      </c>
      <c r="AQ6" s="26">
        <f ca="1">Production!M6</f>
        <v>20000</v>
      </c>
      <c r="AR6" s="26">
        <f ca="1">Production!K6</f>
        <v>22499</v>
      </c>
      <c r="AS6" s="26">
        <f ca="1">Production!I6</f>
        <v>58134</v>
      </c>
      <c r="AT6" s="26">
        <f ca="1">Production!N6</f>
        <v>200</v>
      </c>
      <c r="AU6" s="152">
        <f t="shared" ca="1" si="2"/>
        <v>0</v>
      </c>
      <c r="AV6" s="164">
        <f t="shared" ca="1" si="3"/>
        <v>0</v>
      </c>
      <c r="AW6" s="164">
        <f t="shared" ca="1" si="50"/>
        <v>0</v>
      </c>
      <c r="AX6" s="164">
        <f t="shared" ca="1" si="51"/>
        <v>0</v>
      </c>
      <c r="AY6" s="164">
        <f t="shared" ca="1" si="52"/>
        <v>0</v>
      </c>
      <c r="AZ6" s="164">
        <f t="shared" ca="1" si="53"/>
        <v>0</v>
      </c>
      <c r="BA6" s="166">
        <f t="shared" ca="1" si="54"/>
        <v>0</v>
      </c>
      <c r="BB6" s="16">
        <v>4</v>
      </c>
      <c r="BC6" s="574">
        <f t="shared" si="4"/>
        <v>43692.124999999993</v>
      </c>
      <c r="BD6" s="148">
        <f t="shared" ca="1" si="5"/>
        <v>5036</v>
      </c>
      <c r="BE6" s="356"/>
      <c r="BF6" s="348"/>
      <c r="BG6" s="348"/>
      <c r="BH6" s="348"/>
      <c r="BI6" s="348"/>
      <c r="BJ6" s="348"/>
      <c r="BK6" s="348"/>
      <c r="BL6" s="357"/>
      <c r="BN6" s="503">
        <f>Construction!BM6/Construction!E6</f>
        <v>0</v>
      </c>
      <c r="BO6" s="171">
        <f>Construction!BD6/Construction!E6</f>
        <v>0</v>
      </c>
      <c r="BP6" s="152">
        <f>ROUNDUP((1-MIN(AB6*smithy_bonus,smithy_bonus_cap))*(1+Techs!AO6*tech_master_of_frugality)*spec_op_plat,0)</f>
        <v>275</v>
      </c>
      <c r="BQ6" s="164">
        <f>ROUNDUP(IF(race="Gnome",1,(1-MIN(AB6*smithy_bonus,smithy_bonus_cap))*(1+Techs!AO6*tech_master_of_frugality))*spec_op_ore,0)</f>
        <v>25</v>
      </c>
      <c r="BR6" s="164">
        <f t="shared" si="6"/>
        <v>0</v>
      </c>
      <c r="BS6" s="164">
        <f t="shared" si="7"/>
        <v>0</v>
      </c>
      <c r="BT6" s="164">
        <f ca="1">ROUNDUP((1-MIN(AB6*smithy_bonus,smithy_bonus_cap))*(1+Techs!AO6*tech_master_of_frugality)*spec_dp_plat,0)</f>
        <v>275</v>
      </c>
      <c r="BU6" s="164">
        <f ca="1">ROUNDUP(IF(OR(race="Gnome",race="Imperial Gnome"),1,(1-MIN(AB6*smithy_bonus,smithy_bonus_cap))*(1+Techs!AO6*tech_master_of_frugality))*spec_dp_ore,0)</f>
        <v>10</v>
      </c>
      <c r="BV6" s="164">
        <f t="shared" ca="1" si="8"/>
        <v>0</v>
      </c>
      <c r="BW6" s="164">
        <f t="shared" ca="1" si="9"/>
        <v>0</v>
      </c>
      <c r="BX6" s="164">
        <f t="shared" ca="1" si="10"/>
        <v>0</v>
      </c>
      <c r="BY6" s="164">
        <f ca="1">ROUNDUP((1-MIN(AB6*smithy_bonus,smithy_bonus_cap))*(1+Techs!AO6*tech_master_of_frugality)*elite1_plat,0)</f>
        <v>1000</v>
      </c>
      <c r="BZ6" s="164">
        <f ca="1">ROUNDUP(IF(race="Gnome",1,(1-MIN(AB6*smithy_bonus,smithy_bonus_cap))*(1+Techs!AO6*tech_master_of_frugality))*elite1_ore,0)</f>
        <v>75</v>
      </c>
      <c r="CA6" s="164">
        <f t="shared" ca="1" si="11"/>
        <v>0</v>
      </c>
      <c r="CB6" s="164">
        <f t="shared" ca="1" si="12"/>
        <v>0</v>
      </c>
      <c r="CC6" s="164">
        <f t="shared" ca="1" si="13"/>
        <v>0</v>
      </c>
      <c r="CD6" s="164">
        <f t="shared" ca="1" si="14"/>
        <v>0</v>
      </c>
      <c r="CE6" s="164">
        <f t="shared" ca="1" si="15"/>
        <v>0</v>
      </c>
      <c r="CF6" s="164">
        <f ca="1">ROUNDUP((1-MIN(AB6*smithy_bonus,smithy_bonus_cap))*(1+Techs!AO6*tech_master_of_frugality)*elite2_plat,0)</f>
        <v>1250</v>
      </c>
      <c r="CG6" s="164">
        <f ca="1">ROUNDUP(IF(race="Gnome",1,(1-MIN(AB6*smithy_bonus,smithy_bonus_cap))*(1+Techs!AO6*tech_master_of_frugality))*elite2_ore,0)</f>
        <v>100</v>
      </c>
      <c r="CH6" s="164">
        <f t="shared" ca="1" si="16"/>
        <v>0</v>
      </c>
      <c r="CI6" s="164">
        <f t="shared" ca="1" si="17"/>
        <v>0</v>
      </c>
      <c r="CJ6" s="164">
        <f t="shared" ca="1" si="18"/>
        <v>0</v>
      </c>
      <c r="CK6" s="164">
        <f t="shared" ca="1" si="19"/>
        <v>0</v>
      </c>
      <c r="CL6" s="164">
        <f t="shared" ca="1" si="20"/>
        <v>0</v>
      </c>
      <c r="CM6" s="164">
        <f>ROUNDUP((1+tech_spy_cost*Techs!AJ6)*spy_plat,0)</f>
        <v>500</v>
      </c>
      <c r="CN6" s="164">
        <f>ROUNDUP((1+tech_wizard_cost*Techs!AM6-MIN(ROUND(wg_wiz_cost_bonus*BN6,4),wg_wiz_cost_cap))*wizard_plat,0)</f>
        <v>500</v>
      </c>
      <c r="CO6" s="166">
        <f>ROUNDUP((1+tech_wizard_cost*Techs!AM6-MIN(ROUND(wg_wiz_cost_bonus*BN6,4),wg_wiz_cost_cap))*archmage_plat,0)</f>
        <v>1000</v>
      </c>
      <c r="CQ6" s="465">
        <f ca="1">Construction!DF6/Construction!E6</f>
        <v>0.28000000000000003</v>
      </c>
      <c r="CR6" s="466">
        <f t="shared" si="21"/>
        <v>0</v>
      </c>
      <c r="CS6" s="466">
        <f>Construction!BK6/Construction!E6</f>
        <v>0.05</v>
      </c>
      <c r="CT6" s="466">
        <f>Construction!BJ6/Construction!E6</f>
        <v>0</v>
      </c>
      <c r="CU6" s="466">
        <f>Construction!AY6/Construction!E6</f>
        <v>0</v>
      </c>
      <c r="CV6" s="481">
        <f t="shared" ca="1" si="22"/>
        <v>1.4000000000000001</v>
      </c>
      <c r="CW6" s="482">
        <f t="shared" ca="1" si="23"/>
        <v>1.4000000000000001</v>
      </c>
      <c r="CX6" s="482">
        <f t="shared" ca="1" si="24"/>
        <v>1.4000000000000001</v>
      </c>
      <c r="CY6" s="483">
        <f t="shared" ca="1" si="25"/>
        <v>1.4000000000000001</v>
      </c>
      <c r="CZ6" s="483">
        <f t="shared" si="26"/>
        <v>0</v>
      </c>
      <c r="DA6" s="483">
        <f t="shared" ca="1" si="27"/>
        <v>3</v>
      </c>
      <c r="DB6" s="483">
        <f t="shared" ca="1" si="28"/>
        <v>1.4000000000000001</v>
      </c>
      <c r="DC6" s="482">
        <f t="shared" si="29"/>
        <v>0</v>
      </c>
      <c r="DD6" s="847">
        <f t="shared" si="55"/>
        <v>0</v>
      </c>
      <c r="DE6" s="440">
        <f t="shared" si="56"/>
        <v>0</v>
      </c>
      <c r="DF6" s="440">
        <f t="shared" si="57"/>
        <v>0</v>
      </c>
      <c r="DG6" s="481">
        <f t="shared" ca="1" si="30"/>
        <v>1.4000000000000001</v>
      </c>
      <c r="DH6" s="450">
        <f t="shared" si="58"/>
        <v>0</v>
      </c>
      <c r="DI6" s="450">
        <f>MIN(valkyrja_cap,Production!O6/valkyrja_bonus)</f>
        <v>1</v>
      </c>
      <c r="DJ6" s="847">
        <f>MIN(voodoo_magi_cap,Production!O6/voodoo_magi_bonus)</f>
        <v>0.83333333333333337</v>
      </c>
      <c r="DK6" s="847">
        <f>MIN(warlock_cap,Production!O6/warlock_bonus)</f>
        <v>1.25</v>
      </c>
      <c r="DL6" s="847">
        <f ca="1">MIN(nox_nightshade_cap,Construction!DF6/Construction!E6/nox_nightshade_swamp_bonus)</f>
        <v>2.8000000000000003</v>
      </c>
      <c r="DM6" s="482">
        <f t="shared" si="31"/>
        <v>0</v>
      </c>
      <c r="DN6" s="483">
        <f t="shared" ca="1" si="32"/>
        <v>2.8000000000000003</v>
      </c>
      <c r="DO6" s="483">
        <f t="shared" ca="1" si="33"/>
        <v>2.8000000000000003</v>
      </c>
      <c r="DP6" s="483">
        <f t="shared" si="34"/>
        <v>1</v>
      </c>
      <c r="DQ6" s="482">
        <f t="shared" si="35"/>
        <v>0</v>
      </c>
      <c r="DR6" s="483">
        <f t="shared" si="36"/>
        <v>0</v>
      </c>
      <c r="DS6" s="482">
        <f t="shared" si="37"/>
        <v>0</v>
      </c>
      <c r="DT6" s="483">
        <f t="shared" si="59"/>
        <v>0</v>
      </c>
      <c r="DU6" t="s">
        <v>97</v>
      </c>
      <c r="DV6" t="b">
        <f t="shared" si="60"/>
        <v>0</v>
      </c>
      <c r="DX6" s="487">
        <f ca="1">MIN(6,CV6+Races!$F$19)*1.8 +  IF(CV6+Races!$F$19&gt;6,(CV6+Races!$F$19-6)*0.2,0) - Races!$N$19</f>
        <v>2.5200000000000005</v>
      </c>
      <c r="DY6" s="488">
        <f ca="1">1.8 * MIN(MAX(CW6+Races!$E$20,CX6+Races!$F$20),6)  +  0.45 * MIN(MIN(CW6+Races!$E$20,CX6+Races!$F$20),6)  +  0.2 * ( MAX(CW6+Races!$E$20-6,0) + MAX(CX6+Races!$F$20-6,0) )  -  Races!$N$20</f>
        <v>3.1500000000000012</v>
      </c>
      <c r="DZ6" s="57">
        <f t="shared" ca="1" si="38"/>
        <v>0</v>
      </c>
      <c r="EA6" s="666">
        <f ca="1">MIN(6,CY6+Races!$F$35)*1.8 +  IF(CY6+Races!$F$35&gt;6,(CY6+Races!$F$35-6)*0.2,0) - Races!$N$19</f>
        <v>0.72000000000000064</v>
      </c>
      <c r="EB6" s="57">
        <f t="shared" ca="1" si="39"/>
        <v>0</v>
      </c>
      <c r="EC6" s="666">
        <f ca="1">1.8 * MIN(MAX(Races!$E$27,DB6+Races!$F$27),6)  +  0.45 * MIN(MIN(Races!$E$27,DB6+Races!$F$27),6)  +  0.2 * ( MAX(Races!$E$27-6,0) + MAX(DB6+Races!$F$27-6,0) )  -  Races!$N$20</f>
        <v>4.7700000000000005</v>
      </c>
      <c r="ED6" s="57">
        <f t="shared" ca="1" si="40"/>
        <v>0</v>
      </c>
      <c r="EE6" s="666">
        <f>1.8 * MIN(MAX(DC6+Races!$E$47,DD6+Races!$F$47),6)  +  0.45 * MIN(MIN(DC6+Races!$E$47,DD6+Races!$F$47),6)  +  0.2 * ( MAX(DC6+Races!$E$47-6,0) + MAX(DD6+Races!$F$47-6,0) )  -  Races!$N$47</f>
        <v>0</v>
      </c>
      <c r="EF6" s="57">
        <f t="shared" si="41"/>
        <v>0</v>
      </c>
      <c r="EG6" s="666">
        <f ca="1">1.8 * MIN(MAX(DG6+Races!$F$71,Races!$E$71),6)  +  0.45 * MIN(MIN(DG6+Races!$F$71,Races!$E$71),6)  +  0.2 * ( MAX(DG6+Races!$F$71-6,0) + MAX(Races!$E$71-6,0) )  -  Races!$N$71</f>
        <v>2.5200000000000014</v>
      </c>
      <c r="EH6" s="666">
        <f>1.8 * MIN(MAX(DH6+Races!$E$71,Races!$F$71),6)  +  0.45 * MIN(MIN(DH6+Races!$E$71,Races!$F$71),6)  +  0.2 * ( MAX(DH6+Races!$E$71-6,0) + MAX(Races!$F$71-6,0) )  -  Races!$N$71</f>
        <v>0</v>
      </c>
      <c r="EI6" s="57">
        <f t="shared" ca="1" si="42"/>
        <v>0</v>
      </c>
      <c r="EJ6" s="57"/>
      <c r="EK6" s="57"/>
      <c r="EL6" s="57"/>
      <c r="EM6" s="57">
        <f ca="1">Overview!$L$22*E6+Overview!$L$23*F6+Overview!$L$24*G6+Overview!$L$25*H6+Overview!$L$26*I6+Overview!$L$27*J6+Overview!$L$28*K6+Construction!E6*20+Construction!B6*5 + DZ6*$DV$4+EB6*$DV$5+ED6*$DV$6+EF6*$DV$7+EI6*$DV$9</f>
        <v>20900</v>
      </c>
      <c r="EO6" s="738">
        <f>(J6+2*K6)/Construction!E6</f>
        <v>0</v>
      </c>
      <c r="EP6" s="734">
        <f ca="1">EO6*(1+race_wizard_strength+tech_magical_weaponry_wiz*Techs!AV78)</f>
        <v>0</v>
      </c>
      <c r="EQ6" s="16">
        <f>(I6+halfer*H6/3)/Construction!E6</f>
        <v>0</v>
      </c>
    </row>
    <row r="7" spans="1:147" s="16" customFormat="1">
      <c r="A7" s="629">
        <f>Rezone!J7</f>
        <v>5</v>
      </c>
      <c r="B7" s="152">
        <f ca="1">SUM(E7:L7)+SUM($AF$3:AI7)+Z7</f>
        <v>5128</v>
      </c>
      <c r="C7" s="97">
        <f ca="1">Population!G7</f>
        <v>0.37333616356799765</v>
      </c>
      <c r="E7" s="156">
        <f t="shared" si="43"/>
        <v>0</v>
      </c>
      <c r="F7" s="170">
        <f t="shared" si="43"/>
        <v>0</v>
      </c>
      <c r="G7" s="170">
        <f t="shared" si="43"/>
        <v>0</v>
      </c>
      <c r="H7" s="170">
        <f t="shared" si="43"/>
        <v>0</v>
      </c>
      <c r="I7" s="170">
        <f t="shared" si="43"/>
        <v>0</v>
      </c>
      <c r="J7" s="170">
        <f t="shared" si="44"/>
        <v>0</v>
      </c>
      <c r="K7" s="157">
        <f t="shared" si="45"/>
        <v>0</v>
      </c>
      <c r="M7" s="64">
        <f ca="1">Production!G7</f>
        <v>20900</v>
      </c>
      <c r="O7" s="234">
        <f t="shared" ca="1" si="0"/>
        <v>0</v>
      </c>
      <c r="P7" s="455">
        <f ca="1">race_offense+Imps!AB7+ROUND(MIN(gn_bonus*Construction!BF7/Construction!$E7,gn_bonus_cap),4)+MAX(IF(Magic!$AN7&gt;0,warsong_bonus),IF(Magic!AP7&gt;0,howling_op_bonus),IF(Magic!AS7&gt;0,nightfall_bonus),IF(Magic!AT7&gt;0,crusade_bonus),IF(Magic!AU7&gt;0,killingrage_bonus),IF(Magic!AV7&gt;0,bloodrage_bonus)) + Production!O7/100*prestige_offense_bonus + MAX(tech_military_offense*Techs!AH7,tech_magical_weaponry_op*Techs!AV7)</f>
        <v>0.05</v>
      </c>
      <c r="Q7" s="235">
        <f t="shared" ca="1" si="46"/>
        <v>0</v>
      </c>
      <c r="R7" s="234">
        <f ca="1">F7*(spec_dp+spirit*DR7)+G7*(elite1_dp+woodie*CV7+sylvan*CY7+gnome*DB7+dark_elf*DD7+icekin*DG7+orc*DJ7+nox*DL7+beast*DN7+sacred*DP7+spirit*DS7+blackorc*DK7)+H7*(elite2_dp+woodie*CX7+beast*DO7+sacred*DQ7) + fh_peas_dp*MIN(Population!C7,20*Construction!BD7)+kobold*DE7</f>
        <v>0</v>
      </c>
      <c r="S7" s="235">
        <f t="shared" ca="1" si="1"/>
        <v>5128</v>
      </c>
      <c r="T7" s="1052">
        <f ca="1">race_defense+Imps!AC7+ROUND(MIN(gt_bonus*Construction!BH7/Construction!$E7,gt_bonus_cap),4)+MAX(IF(Magic!AM7&gt;0,frenzy_bonus,IF(Magic!AQ7&gt;0,blizzard_bonus,IF(Magic!AP7&gt;0,howling_dp_bonus,IF(Magic!AI7&gt;0,ares_call_bonus)))),IF(Magic!AX7&gt;0,MIN(Construction!DF7/Construction!E7,0.2),0))</f>
        <v>0</v>
      </c>
      <c r="U7" s="1046">
        <f t="shared" ca="1" si="47"/>
        <v>0</v>
      </c>
      <c r="V7" s="308">
        <f t="shared" ca="1" si="48"/>
        <v>5128</v>
      </c>
      <c r="W7" s="310">
        <f>Construction!E7</f>
        <v>1000</v>
      </c>
      <c r="X7" s="367"/>
      <c r="Y7" s="146">
        <f>IF(X7&lt;&gt;"",X7,Y6)</f>
        <v>0.4</v>
      </c>
      <c r="Z7" s="166">
        <f ca="1">Z6+Population!Z6 - IF(race="Lux",AF7,SUM(AF7:AK7)) - BE7 + SUM(BF7:BL7) - Explore!AI7</f>
        <v>5128</v>
      </c>
      <c r="AA7" s="164"/>
      <c r="AB7" s="91">
        <f>(Construction!$BA7+Construction!BY7)/(Construction!$E7-Explore!S7*20)</f>
        <v>0</v>
      </c>
      <c r="AC7" s="529"/>
      <c r="AD7" s="799">
        <f>Rezone!J7</f>
        <v>5</v>
      </c>
      <c r="AE7" s="589">
        <f>Explore!AA7</f>
        <v>43692.166666666657</v>
      </c>
      <c r="AF7" s="356"/>
      <c r="AG7" s="348"/>
      <c r="AH7" s="348"/>
      <c r="AI7" s="348"/>
      <c r="AJ7" s="348"/>
      <c r="AK7" s="348"/>
      <c r="AL7" s="357"/>
      <c r="AN7" s="56">
        <f ca="1">Production!$H7</f>
        <v>3974880</v>
      </c>
      <c r="AO7" s="26">
        <f ca="1">Production!$L7</f>
        <v>300000</v>
      </c>
      <c r="AP7" s="26">
        <f ca="1">Production!J7</f>
        <v>300335</v>
      </c>
      <c r="AQ7" s="26">
        <f ca="1">Production!M7</f>
        <v>20000</v>
      </c>
      <c r="AR7" s="26">
        <f ca="1">Production!K7</f>
        <v>23299</v>
      </c>
      <c r="AS7" s="26">
        <f ca="1">Production!I7</f>
        <v>61044</v>
      </c>
      <c r="AT7" s="26">
        <f ca="1">Production!N7</f>
        <v>200</v>
      </c>
      <c r="AU7" s="152">
        <f t="shared" ca="1" si="2"/>
        <v>0</v>
      </c>
      <c r="AV7" s="164">
        <f t="shared" ca="1" si="3"/>
        <v>0</v>
      </c>
      <c r="AW7" s="164">
        <f t="shared" ca="1" si="50"/>
        <v>0</v>
      </c>
      <c r="AX7" s="164">
        <f t="shared" ca="1" si="51"/>
        <v>0</v>
      </c>
      <c r="AY7" s="164">
        <f t="shared" ca="1" si="52"/>
        <v>0</v>
      </c>
      <c r="AZ7" s="164">
        <f t="shared" ca="1" si="53"/>
        <v>0</v>
      </c>
      <c r="BA7" s="166">
        <f t="shared" ca="1" si="54"/>
        <v>0</v>
      </c>
      <c r="BB7" s="16">
        <v>5</v>
      </c>
      <c r="BC7" s="574">
        <f t="shared" si="4"/>
        <v>43692.166666666657</v>
      </c>
      <c r="BD7" s="148">
        <f t="shared" ca="1" si="5"/>
        <v>5128</v>
      </c>
      <c r="BE7" s="356"/>
      <c r="BF7" s="348"/>
      <c r="BG7" s="348"/>
      <c r="BH7" s="348"/>
      <c r="BI7" s="348"/>
      <c r="BJ7" s="348"/>
      <c r="BK7" s="348"/>
      <c r="BL7" s="357"/>
      <c r="BN7" s="503">
        <f>Construction!BM7/Construction!E7</f>
        <v>0</v>
      </c>
      <c r="BO7" s="171">
        <f>Construction!BD7/Construction!E7</f>
        <v>0</v>
      </c>
      <c r="BP7" s="152">
        <f>ROUNDUP((1-MIN(AB7*smithy_bonus,smithy_bonus_cap))*(1+Techs!AO7*tech_master_of_frugality)*spec_op_plat,0)</f>
        <v>275</v>
      </c>
      <c r="BQ7" s="164">
        <f>ROUNDUP(IF(race="Gnome",1,(1-MIN(AB7*smithy_bonus,smithy_bonus_cap))*(1+Techs!AO7*tech_master_of_frugality))*spec_op_ore,0)</f>
        <v>25</v>
      </c>
      <c r="BR7" s="164">
        <f t="shared" si="6"/>
        <v>0</v>
      </c>
      <c r="BS7" s="164">
        <f t="shared" si="7"/>
        <v>0</v>
      </c>
      <c r="BT7" s="164">
        <f ca="1">ROUNDUP((1-MIN(AB7*smithy_bonus,smithy_bonus_cap))*(1+Techs!AO7*tech_master_of_frugality)*spec_dp_plat,0)</f>
        <v>275</v>
      </c>
      <c r="BU7" s="164">
        <f ca="1">ROUNDUP(IF(OR(race="Gnome",race="Imperial Gnome"),1,(1-MIN(AB7*smithy_bonus,smithy_bonus_cap))*(1+Techs!AO7*tech_master_of_frugality))*spec_dp_ore,0)</f>
        <v>10</v>
      </c>
      <c r="BV7" s="164">
        <f t="shared" ca="1" si="8"/>
        <v>0</v>
      </c>
      <c r="BW7" s="164">
        <f t="shared" ca="1" si="9"/>
        <v>0</v>
      </c>
      <c r="BX7" s="164">
        <f t="shared" ca="1" si="10"/>
        <v>0</v>
      </c>
      <c r="BY7" s="164">
        <f ca="1">ROUNDUP((1-MIN(AB7*smithy_bonus,smithy_bonus_cap))*(1+Techs!AO7*tech_master_of_frugality)*elite1_plat,0)</f>
        <v>1000</v>
      </c>
      <c r="BZ7" s="164">
        <f ca="1">ROUNDUP(IF(race="Gnome",1,(1-MIN(AB7*smithy_bonus,smithy_bonus_cap))*(1+Techs!AO7*tech_master_of_frugality))*elite1_ore,0)</f>
        <v>75</v>
      </c>
      <c r="CA7" s="164">
        <f t="shared" ca="1" si="11"/>
        <v>0</v>
      </c>
      <c r="CB7" s="164">
        <f t="shared" ca="1" si="12"/>
        <v>0</v>
      </c>
      <c r="CC7" s="164">
        <f t="shared" ca="1" si="13"/>
        <v>0</v>
      </c>
      <c r="CD7" s="164">
        <f t="shared" ca="1" si="14"/>
        <v>0</v>
      </c>
      <c r="CE7" s="164">
        <f t="shared" ca="1" si="15"/>
        <v>0</v>
      </c>
      <c r="CF7" s="164">
        <f ca="1">ROUNDUP((1-MIN(AB7*smithy_bonus,smithy_bonus_cap))*(1+Techs!AO7*tech_master_of_frugality)*elite2_plat,0)</f>
        <v>1250</v>
      </c>
      <c r="CG7" s="164">
        <f ca="1">ROUNDUP(IF(race="Gnome",1,(1-MIN(AB7*smithy_bonus,smithy_bonus_cap))*(1+Techs!AO7*tech_master_of_frugality))*elite2_ore,0)</f>
        <v>100</v>
      </c>
      <c r="CH7" s="164">
        <f t="shared" ca="1" si="16"/>
        <v>0</v>
      </c>
      <c r="CI7" s="164">
        <f t="shared" ca="1" si="17"/>
        <v>0</v>
      </c>
      <c r="CJ7" s="164">
        <f t="shared" ca="1" si="18"/>
        <v>0</v>
      </c>
      <c r="CK7" s="164">
        <f t="shared" ca="1" si="19"/>
        <v>0</v>
      </c>
      <c r="CL7" s="164">
        <f t="shared" ca="1" si="20"/>
        <v>0</v>
      </c>
      <c r="CM7" s="164">
        <f>ROUNDUP((1+tech_spy_cost*Techs!AJ7)*spy_plat,0)</f>
        <v>500</v>
      </c>
      <c r="CN7" s="164">
        <f>ROUNDUP((1+tech_wizard_cost*Techs!AM7-MIN(ROUND(wg_wiz_cost_bonus*BN7,4),wg_wiz_cost_cap))*wizard_plat,0)</f>
        <v>500</v>
      </c>
      <c r="CO7" s="166">
        <f>ROUNDUP((1+tech_wizard_cost*Techs!AM7-MIN(ROUND(wg_wiz_cost_bonus*BN7,4),wg_wiz_cost_cap))*archmage_plat,0)</f>
        <v>1000</v>
      </c>
      <c r="CQ7" s="465">
        <f ca="1">Construction!DF7/Construction!E7</f>
        <v>0.28000000000000003</v>
      </c>
      <c r="CR7" s="466">
        <f t="shared" si="21"/>
        <v>0</v>
      </c>
      <c r="CS7" s="466">
        <f>Construction!BK7/Construction!E7</f>
        <v>0.05</v>
      </c>
      <c r="CT7" s="466">
        <f>Construction!BJ7/Construction!E7</f>
        <v>0</v>
      </c>
      <c r="CU7" s="466">
        <f>Construction!AY7/Construction!E7</f>
        <v>0</v>
      </c>
      <c r="CV7" s="481">
        <f t="shared" ca="1" si="22"/>
        <v>1.4000000000000001</v>
      </c>
      <c r="CW7" s="482">
        <f t="shared" ca="1" si="23"/>
        <v>1.4000000000000001</v>
      </c>
      <c r="CX7" s="482">
        <f t="shared" ca="1" si="24"/>
        <v>1.4000000000000001</v>
      </c>
      <c r="CY7" s="483">
        <f t="shared" ca="1" si="25"/>
        <v>1.4000000000000001</v>
      </c>
      <c r="CZ7" s="483">
        <f t="shared" si="26"/>
        <v>0</v>
      </c>
      <c r="DA7" s="483">
        <f t="shared" ca="1" si="27"/>
        <v>3</v>
      </c>
      <c r="DB7" s="483">
        <f t="shared" ca="1" si="28"/>
        <v>1.4000000000000001</v>
      </c>
      <c r="DC7" s="482">
        <f t="shared" si="29"/>
        <v>0</v>
      </c>
      <c r="DD7" s="847">
        <f t="shared" si="55"/>
        <v>0</v>
      </c>
      <c r="DE7" s="440">
        <f t="shared" si="56"/>
        <v>0</v>
      </c>
      <c r="DF7" s="440">
        <f t="shared" si="57"/>
        <v>0</v>
      </c>
      <c r="DG7" s="481">
        <f t="shared" ca="1" si="30"/>
        <v>1.4000000000000001</v>
      </c>
      <c r="DH7" s="450">
        <f t="shared" si="58"/>
        <v>0</v>
      </c>
      <c r="DI7" s="450">
        <f>MIN(valkyrja_cap,Production!O7/valkyrja_bonus)</f>
        <v>1</v>
      </c>
      <c r="DJ7" s="847">
        <f>MIN(voodoo_magi_cap,Production!O7/voodoo_magi_bonus)</f>
        <v>0.83333333333333337</v>
      </c>
      <c r="DK7" s="847">
        <f>MIN(warlock_cap,Production!O7/warlock_bonus)</f>
        <v>1.25</v>
      </c>
      <c r="DL7" s="847">
        <f ca="1">MIN(nox_nightshade_cap,Construction!DF7/Construction!E7/nox_nightshade_swamp_bonus)</f>
        <v>2.8000000000000003</v>
      </c>
      <c r="DM7" s="482">
        <f t="shared" si="31"/>
        <v>0</v>
      </c>
      <c r="DN7" s="483">
        <f t="shared" ca="1" si="32"/>
        <v>2.8000000000000003</v>
      </c>
      <c r="DO7" s="483">
        <f t="shared" ca="1" si="33"/>
        <v>2.8000000000000003</v>
      </c>
      <c r="DP7" s="483">
        <f t="shared" si="34"/>
        <v>1</v>
      </c>
      <c r="DQ7" s="482">
        <f t="shared" si="35"/>
        <v>0</v>
      </c>
      <c r="DR7" s="483">
        <f t="shared" si="36"/>
        <v>0</v>
      </c>
      <c r="DS7" s="482">
        <f t="shared" si="37"/>
        <v>0</v>
      </c>
      <c r="DT7" s="483">
        <f t="shared" si="59"/>
        <v>0</v>
      </c>
      <c r="DU7" t="s">
        <v>102</v>
      </c>
      <c r="DV7" t="b">
        <f t="shared" si="60"/>
        <v>0</v>
      </c>
      <c r="DX7" s="487">
        <f ca="1">MIN(6,CV7+Races!$F$19)*1.8 +  IF(CV7+Races!$F$19&gt;6,(CV7+Races!$F$19-6)*0.2,0) - Races!$N$19</f>
        <v>2.5200000000000005</v>
      </c>
      <c r="DY7" s="488">
        <f ca="1">1.8 * MIN(MAX(CW7+Races!$E$20,CX7+Races!$F$20),6)  +  0.45 * MIN(MIN(CW7+Races!$E$20,CX7+Races!$F$20),6)  +  0.2 * ( MAX(CW7+Races!$E$20-6,0) + MAX(CX7+Races!$F$20-6,0) )  -  Races!$N$20</f>
        <v>3.1500000000000012</v>
      </c>
      <c r="DZ7" s="57">
        <f t="shared" ca="1" si="38"/>
        <v>0</v>
      </c>
      <c r="EA7" s="666">
        <f ca="1">MIN(6,CY7+Races!$F$35)*1.8 +  IF(CY7+Races!$F$35&gt;6,(CY7+Races!$F$35-6)*0.2,0) - Races!$N$19</f>
        <v>0.72000000000000064</v>
      </c>
      <c r="EB7" s="57">
        <f t="shared" ca="1" si="39"/>
        <v>0</v>
      </c>
      <c r="EC7" s="666">
        <f ca="1">1.8 * MIN(MAX(Races!$E$27,DB7+Races!$F$27),6)  +  0.45 * MIN(MIN(Races!$E$27,DB7+Races!$F$27),6)  +  0.2 * ( MAX(Races!$E$27-6,0) + MAX(DB7+Races!$F$27-6,0) )  -  Races!$N$20</f>
        <v>4.7700000000000005</v>
      </c>
      <c r="ED7" s="57">
        <f t="shared" ca="1" si="40"/>
        <v>0</v>
      </c>
      <c r="EE7" s="666">
        <f>1.8 * MIN(MAX(DC7+Races!$E$47,DD7+Races!$F$47),6)  +  0.45 * MIN(MIN(DC7+Races!$E$47,DD7+Races!$F$47),6)  +  0.2 * ( MAX(DC7+Races!$E$47-6,0) + MAX(DD7+Races!$F$47-6,0) )  -  Races!$N$47</f>
        <v>0</v>
      </c>
      <c r="EF7" s="57">
        <f t="shared" si="41"/>
        <v>0</v>
      </c>
      <c r="EG7" s="666">
        <f ca="1">1.8 * MIN(MAX(DG7+Races!$F$71,Races!$E$71),6)  +  0.45 * MIN(MIN(DG7+Races!$F$71,Races!$E$71),6)  +  0.2 * ( MAX(DG7+Races!$F$71-6,0) + MAX(Races!$E$71-6,0) )  -  Races!$N$71</f>
        <v>2.5200000000000014</v>
      </c>
      <c r="EH7" s="666">
        <f>1.8 * MIN(MAX(DH7+Races!$E$71,Races!$F$71),6)  +  0.45 * MIN(MIN(DH7+Races!$E$71,Races!$F$71),6)  +  0.2 * ( MAX(DH7+Races!$E$71-6,0) + MAX(Races!$F$71-6,0) )  -  Races!$N$71</f>
        <v>0</v>
      </c>
      <c r="EI7" s="57">
        <f t="shared" ca="1" si="42"/>
        <v>0</v>
      </c>
      <c r="EJ7" s="57"/>
      <c r="EK7" s="57"/>
      <c r="EL7" s="57"/>
      <c r="EM7" s="57">
        <f ca="1">Overview!$L$22*E7+Overview!$L$23*F7+Overview!$L$24*G7+Overview!$L$25*H7+Overview!$L$26*I7+Overview!$L$27*J7+Overview!$L$28*K7+Construction!E7*20+Construction!B7*5 + DZ7*$DV$4+EB7*$DV$5+ED7*$DV$6+EF7*$DV$7+EI7*$DV$9</f>
        <v>20900</v>
      </c>
      <c r="EO7" s="738">
        <f>(J7+2*K7)/Construction!E7</f>
        <v>0</v>
      </c>
      <c r="EP7" s="734">
        <f ca="1">EO7*(1+race_wizard_strength+tech_magical_weaponry_wiz*Techs!AV79)</f>
        <v>0</v>
      </c>
      <c r="EQ7" s="16">
        <f>(I7+halfer*H7/3)/Construction!E7</f>
        <v>0</v>
      </c>
    </row>
    <row r="8" spans="1:147" s="16" customFormat="1">
      <c r="A8" s="629">
        <f>Rezone!J8</f>
        <v>6</v>
      </c>
      <c r="B8" s="152">
        <f ca="1">SUM(E8:L8)+SUM($AF$3:AI8)+Z8</f>
        <v>5214</v>
      </c>
      <c r="C8" s="97">
        <f ca="1">Population!G8</f>
        <v>0.39187598694414916</v>
      </c>
      <c r="E8" s="156">
        <f t="shared" si="43"/>
        <v>0</v>
      </c>
      <c r="F8" s="170">
        <f t="shared" si="43"/>
        <v>0</v>
      </c>
      <c r="G8" s="170">
        <f t="shared" si="43"/>
        <v>0</v>
      </c>
      <c r="H8" s="170">
        <f t="shared" si="43"/>
        <v>0</v>
      </c>
      <c r="I8" s="170">
        <f t="shared" si="43"/>
        <v>0</v>
      </c>
      <c r="J8" s="170">
        <f t="shared" si="44"/>
        <v>0</v>
      </c>
      <c r="K8" s="157">
        <f t="shared" si="45"/>
        <v>0</v>
      </c>
      <c r="M8" s="64">
        <f ca="1">Production!G8</f>
        <v>20900</v>
      </c>
      <c r="O8" s="234">
        <f t="shared" ca="1" si="0"/>
        <v>0</v>
      </c>
      <c r="P8" s="455">
        <f ca="1">race_offense+Imps!AB8+ROUND(MIN(gn_bonus*Construction!BF8/Construction!$E8,gn_bonus_cap),4)+MAX(IF(Magic!$AN8&gt;0,warsong_bonus),IF(Magic!AP8&gt;0,howling_op_bonus),IF(Magic!AS8&gt;0,nightfall_bonus),IF(Magic!AT8&gt;0,crusade_bonus),IF(Magic!AU8&gt;0,killingrage_bonus),IF(Magic!AV8&gt;0,bloodrage_bonus)) + Production!O8/100*prestige_offense_bonus + MAX(tech_military_offense*Techs!AH8,tech_magical_weaponry_op*Techs!AV8)</f>
        <v>0.05</v>
      </c>
      <c r="Q8" s="235">
        <f t="shared" ca="1" si="46"/>
        <v>0</v>
      </c>
      <c r="R8" s="234">
        <f ca="1">F8*(spec_dp+spirit*DR8)+G8*(elite1_dp+woodie*CV8+sylvan*CY8+gnome*DB8+dark_elf*DD8+icekin*DG8+orc*DJ8+nox*DL8+beast*DN8+sacred*DP8+spirit*DS8+blackorc*DK8)+H8*(elite2_dp+woodie*CX8+beast*DO8+sacred*DQ8) + fh_peas_dp*MIN(Population!C8,20*Construction!BD8)+kobold*DE8</f>
        <v>0</v>
      </c>
      <c r="S8" s="235">
        <f t="shared" ca="1" si="1"/>
        <v>5214</v>
      </c>
      <c r="T8" s="1052">
        <f ca="1">race_defense+Imps!AC8+ROUND(MIN(gt_bonus*Construction!BH8/Construction!$E8,gt_bonus_cap),4)+MAX(IF(Magic!AM8&gt;0,frenzy_bonus,IF(Magic!AQ8&gt;0,blizzard_bonus,IF(Magic!AP8&gt;0,howling_dp_bonus,IF(Magic!AI8&gt;0,ares_call_bonus)))),IF(Magic!AX8&gt;0,MIN(Construction!DF8/Construction!E8,0.2),0))</f>
        <v>0</v>
      </c>
      <c r="U8" s="1046">
        <f t="shared" ca="1" si="47"/>
        <v>0</v>
      </c>
      <c r="V8" s="308">
        <f t="shared" ca="1" si="48"/>
        <v>5214</v>
      </c>
      <c r="W8" s="310">
        <f>Construction!E8</f>
        <v>1000</v>
      </c>
      <c r="X8" s="367"/>
      <c r="Y8" s="146">
        <f t="shared" si="49"/>
        <v>0.4</v>
      </c>
      <c r="Z8" s="166">
        <f ca="1">Z7+Population!Z7 - IF(race="Lux",AF8,SUM(AF8:AK8)) - BE8 + SUM(BF8:BL8) - Explore!AI8</f>
        <v>5214</v>
      </c>
      <c r="AA8" s="164"/>
      <c r="AB8" s="91">
        <f>(Construction!$BA8+Construction!BY8)/(Construction!$E8-Explore!S8*20)</f>
        <v>0</v>
      </c>
      <c r="AC8" s="529"/>
      <c r="AD8" s="799">
        <f>Rezone!J8</f>
        <v>6</v>
      </c>
      <c r="AE8" s="589">
        <f>Explore!AA8</f>
        <v>43692.208333333321</v>
      </c>
      <c r="AF8" s="356"/>
      <c r="AG8" s="348"/>
      <c r="AH8" s="348"/>
      <c r="AI8" s="348"/>
      <c r="AJ8" s="348"/>
      <c r="AK8" s="348"/>
      <c r="AL8" s="357"/>
      <c r="AN8" s="56">
        <f ca="1">Production!$H8</f>
        <v>3984600</v>
      </c>
      <c r="AO8" s="26">
        <f ca="1">Production!$L8</f>
        <v>300000</v>
      </c>
      <c r="AP8" s="26">
        <f ca="1">Production!J8</f>
        <v>299832</v>
      </c>
      <c r="AQ8" s="26">
        <f ca="1">Production!M8</f>
        <v>20000</v>
      </c>
      <c r="AR8" s="26">
        <f ca="1">Production!K8</f>
        <v>24083</v>
      </c>
      <c r="AS8" s="26">
        <f ca="1">Production!I8</f>
        <v>64040</v>
      </c>
      <c r="AT8" s="26">
        <f ca="1">Production!N8</f>
        <v>200</v>
      </c>
      <c r="AU8" s="152">
        <f t="shared" ca="1" si="2"/>
        <v>0</v>
      </c>
      <c r="AV8" s="164">
        <f t="shared" ca="1" si="3"/>
        <v>0</v>
      </c>
      <c r="AW8" s="164">
        <f t="shared" ca="1" si="50"/>
        <v>0</v>
      </c>
      <c r="AX8" s="164">
        <f t="shared" ca="1" si="51"/>
        <v>0</v>
      </c>
      <c r="AY8" s="164">
        <f t="shared" ca="1" si="52"/>
        <v>0</v>
      </c>
      <c r="AZ8" s="164">
        <f t="shared" ca="1" si="53"/>
        <v>0</v>
      </c>
      <c r="BA8" s="166">
        <f t="shared" ca="1" si="54"/>
        <v>0</v>
      </c>
      <c r="BB8" s="16">
        <v>6</v>
      </c>
      <c r="BC8" s="574">
        <f t="shared" si="4"/>
        <v>43692.208333333321</v>
      </c>
      <c r="BD8" s="148">
        <f t="shared" ca="1" si="5"/>
        <v>5214</v>
      </c>
      <c r="BE8" s="356"/>
      <c r="BF8" s="348"/>
      <c r="BG8" s="348"/>
      <c r="BH8" s="348"/>
      <c r="BI8" s="348"/>
      <c r="BJ8" s="348"/>
      <c r="BK8" s="348"/>
      <c r="BL8" s="357"/>
      <c r="BN8" s="503">
        <f>Construction!BM8/Construction!E8</f>
        <v>0</v>
      </c>
      <c r="BO8" s="171">
        <f>Construction!BD8/Construction!E8</f>
        <v>0</v>
      </c>
      <c r="BP8" s="152">
        <f>ROUNDUP((1-MIN(AB8*smithy_bonus,smithy_bonus_cap))*(1+Techs!AO8*tech_master_of_frugality)*spec_op_plat,0)</f>
        <v>275</v>
      </c>
      <c r="BQ8" s="164">
        <f>ROUNDUP(IF(race="Gnome",1,(1-MIN(AB8*smithy_bonus,smithy_bonus_cap))*(1+Techs!AO8*tech_master_of_frugality))*spec_op_ore,0)</f>
        <v>25</v>
      </c>
      <c r="BR8" s="164">
        <f t="shared" si="6"/>
        <v>0</v>
      </c>
      <c r="BS8" s="164">
        <f t="shared" si="7"/>
        <v>0</v>
      </c>
      <c r="BT8" s="164">
        <f ca="1">ROUNDUP((1-MIN(AB8*smithy_bonus,smithy_bonus_cap))*(1+Techs!AO8*tech_master_of_frugality)*spec_dp_plat,0)</f>
        <v>275</v>
      </c>
      <c r="BU8" s="164">
        <f ca="1">ROUNDUP(IF(OR(race="Gnome",race="Imperial Gnome"),1,(1-MIN(AB8*smithy_bonus,smithy_bonus_cap))*(1+Techs!AO8*tech_master_of_frugality))*spec_dp_ore,0)</f>
        <v>10</v>
      </c>
      <c r="BV8" s="164">
        <f t="shared" ca="1" si="8"/>
        <v>0</v>
      </c>
      <c r="BW8" s="164">
        <f t="shared" ca="1" si="9"/>
        <v>0</v>
      </c>
      <c r="BX8" s="164">
        <f t="shared" ca="1" si="10"/>
        <v>0</v>
      </c>
      <c r="BY8" s="164">
        <f ca="1">ROUNDUP((1-MIN(AB8*smithy_bonus,smithy_bonus_cap))*(1+Techs!AO8*tech_master_of_frugality)*elite1_plat,0)</f>
        <v>1000</v>
      </c>
      <c r="BZ8" s="164">
        <f ca="1">ROUNDUP(IF(race="Gnome",1,(1-MIN(AB8*smithy_bonus,smithy_bonus_cap))*(1+Techs!AO8*tech_master_of_frugality))*elite1_ore,0)</f>
        <v>75</v>
      </c>
      <c r="CA8" s="164">
        <f t="shared" ca="1" si="11"/>
        <v>0</v>
      </c>
      <c r="CB8" s="164">
        <f t="shared" ca="1" si="12"/>
        <v>0</v>
      </c>
      <c r="CC8" s="164">
        <f t="shared" ca="1" si="13"/>
        <v>0</v>
      </c>
      <c r="CD8" s="164">
        <f t="shared" ca="1" si="14"/>
        <v>0</v>
      </c>
      <c r="CE8" s="164">
        <f t="shared" ca="1" si="15"/>
        <v>0</v>
      </c>
      <c r="CF8" s="164">
        <f ca="1">ROUNDUP((1-MIN(AB8*smithy_bonus,smithy_bonus_cap))*(1+Techs!AO8*tech_master_of_frugality)*elite2_plat,0)</f>
        <v>1250</v>
      </c>
      <c r="CG8" s="164">
        <f ca="1">ROUNDUP(IF(race="Gnome",1,(1-MIN(AB8*smithy_bonus,smithy_bonus_cap))*(1+Techs!AO8*tech_master_of_frugality))*elite2_ore,0)</f>
        <v>100</v>
      </c>
      <c r="CH8" s="164">
        <f t="shared" ca="1" si="16"/>
        <v>0</v>
      </c>
      <c r="CI8" s="164">
        <f t="shared" ca="1" si="17"/>
        <v>0</v>
      </c>
      <c r="CJ8" s="164">
        <f t="shared" ca="1" si="18"/>
        <v>0</v>
      </c>
      <c r="CK8" s="164">
        <f t="shared" ca="1" si="19"/>
        <v>0</v>
      </c>
      <c r="CL8" s="164">
        <f t="shared" ca="1" si="20"/>
        <v>0</v>
      </c>
      <c r="CM8" s="164">
        <f>ROUNDUP((1+tech_spy_cost*Techs!AJ8)*spy_plat,0)</f>
        <v>500</v>
      </c>
      <c r="CN8" s="164">
        <f>ROUNDUP((1+tech_wizard_cost*Techs!AM8-MIN(ROUND(wg_wiz_cost_bonus*BN8,4),wg_wiz_cost_cap))*wizard_plat,0)</f>
        <v>500</v>
      </c>
      <c r="CO8" s="166">
        <f>ROUNDUP((1+tech_wizard_cost*Techs!AM8-MIN(ROUND(wg_wiz_cost_bonus*BN8,4),wg_wiz_cost_cap))*archmage_plat,0)</f>
        <v>1000</v>
      </c>
      <c r="CQ8" s="465">
        <f ca="1">Construction!DF8/Construction!E8</f>
        <v>0.28000000000000003</v>
      </c>
      <c r="CR8" s="466">
        <f t="shared" si="21"/>
        <v>0</v>
      </c>
      <c r="CS8" s="466">
        <f>Construction!BK8/Construction!E8</f>
        <v>0.05</v>
      </c>
      <c r="CT8" s="466">
        <f>Construction!BJ8/Construction!E8</f>
        <v>0</v>
      </c>
      <c r="CU8" s="466">
        <f>Construction!AY8/Construction!E8</f>
        <v>0</v>
      </c>
      <c r="CV8" s="481">
        <f t="shared" ca="1" si="22"/>
        <v>1.4000000000000001</v>
      </c>
      <c r="CW8" s="482">
        <f t="shared" ca="1" si="23"/>
        <v>1.4000000000000001</v>
      </c>
      <c r="CX8" s="482">
        <f t="shared" ca="1" si="24"/>
        <v>1.4000000000000001</v>
      </c>
      <c r="CY8" s="483">
        <f t="shared" ca="1" si="25"/>
        <v>1.4000000000000001</v>
      </c>
      <c r="CZ8" s="483">
        <f t="shared" si="26"/>
        <v>0</v>
      </c>
      <c r="DA8" s="483">
        <f t="shared" ca="1" si="27"/>
        <v>3</v>
      </c>
      <c r="DB8" s="483">
        <f t="shared" ca="1" si="28"/>
        <v>1.4000000000000001</v>
      </c>
      <c r="DC8" s="482">
        <f t="shared" si="29"/>
        <v>0</v>
      </c>
      <c r="DD8" s="847">
        <f t="shared" si="55"/>
        <v>0</v>
      </c>
      <c r="DE8" s="440">
        <f t="shared" si="56"/>
        <v>0</v>
      </c>
      <c r="DF8" s="440">
        <f t="shared" si="57"/>
        <v>0</v>
      </c>
      <c r="DG8" s="481">
        <f t="shared" ca="1" si="30"/>
        <v>1.4000000000000001</v>
      </c>
      <c r="DH8" s="450">
        <f t="shared" si="58"/>
        <v>0</v>
      </c>
      <c r="DI8" s="450">
        <f>MIN(valkyrja_cap,Production!O8/valkyrja_bonus)</f>
        <v>1</v>
      </c>
      <c r="DJ8" s="847">
        <f>MIN(voodoo_magi_cap,Production!O8/voodoo_magi_bonus)</f>
        <v>0.83333333333333337</v>
      </c>
      <c r="DK8" s="847">
        <f>MIN(warlock_cap,Production!O8/warlock_bonus)</f>
        <v>1.25</v>
      </c>
      <c r="DL8" s="847">
        <f ca="1">MIN(nox_nightshade_cap,Construction!DF8/Construction!E8/nox_nightshade_swamp_bonus)</f>
        <v>2.8000000000000003</v>
      </c>
      <c r="DM8" s="482">
        <f t="shared" si="31"/>
        <v>0</v>
      </c>
      <c r="DN8" s="483">
        <f t="shared" ca="1" si="32"/>
        <v>2.8000000000000003</v>
      </c>
      <c r="DO8" s="483">
        <f t="shared" ca="1" si="33"/>
        <v>2.8000000000000003</v>
      </c>
      <c r="DP8" s="483">
        <f t="shared" si="34"/>
        <v>1</v>
      </c>
      <c r="DQ8" s="482">
        <f t="shared" si="35"/>
        <v>0</v>
      </c>
      <c r="DR8" s="483">
        <f t="shared" si="36"/>
        <v>0</v>
      </c>
      <c r="DS8" s="482">
        <f t="shared" si="37"/>
        <v>0</v>
      </c>
      <c r="DT8" s="483">
        <f t="shared" si="59"/>
        <v>0</v>
      </c>
      <c r="DU8" s="16" t="s">
        <v>106</v>
      </c>
      <c r="DV8" t="b">
        <f t="shared" si="60"/>
        <v>0</v>
      </c>
      <c r="DX8" s="487">
        <f ca="1">MIN(6,CV8+Races!$F$19)*1.8 +  IF(CV8+Races!$F$19&gt;6,(CV8+Races!$F$19-6)*0.2,0) - Races!$N$19</f>
        <v>2.5200000000000005</v>
      </c>
      <c r="DY8" s="488">
        <f ca="1">1.8 * MIN(MAX(CW8+Races!$E$20,CX8+Races!$F$20),6)  +  0.45 * MIN(MIN(CW8+Races!$E$20,CX8+Races!$F$20),6)  +  0.2 * ( MAX(CW8+Races!$E$20-6,0) + MAX(CX8+Races!$F$20-6,0) )  -  Races!$N$20</f>
        <v>3.1500000000000012</v>
      </c>
      <c r="DZ8" s="57">
        <f t="shared" ca="1" si="38"/>
        <v>0</v>
      </c>
      <c r="EA8" s="666">
        <f ca="1">MIN(6,CY8+Races!$F$35)*1.8 +  IF(CY8+Races!$F$35&gt;6,(CY8+Races!$F$35-6)*0.2,0) - Races!$N$19</f>
        <v>0.72000000000000064</v>
      </c>
      <c r="EB8" s="57">
        <f t="shared" ca="1" si="39"/>
        <v>0</v>
      </c>
      <c r="EC8" s="666">
        <f ca="1">1.8 * MIN(MAX(Races!$E$27,DB8+Races!$F$27),6)  +  0.45 * MIN(MIN(Races!$E$27,DB8+Races!$F$27),6)  +  0.2 * ( MAX(Races!$E$27-6,0) + MAX(DB8+Races!$F$27-6,0) )  -  Races!$N$20</f>
        <v>4.7700000000000005</v>
      </c>
      <c r="ED8" s="57">
        <f t="shared" ca="1" si="40"/>
        <v>0</v>
      </c>
      <c r="EE8" s="666">
        <f>1.8 * MIN(MAX(DC8+Races!$E$47,DD8+Races!$F$47),6)  +  0.45 * MIN(MIN(DC8+Races!$E$47,DD8+Races!$F$47),6)  +  0.2 * ( MAX(DC8+Races!$E$47-6,0) + MAX(DD8+Races!$F$47-6,0) )  -  Races!$N$47</f>
        <v>0</v>
      </c>
      <c r="EF8" s="57">
        <f t="shared" si="41"/>
        <v>0</v>
      </c>
      <c r="EG8" s="666">
        <f ca="1">1.8 * MIN(MAX(DG8+Races!$F$71,Races!$E$71),6)  +  0.45 * MIN(MIN(DG8+Races!$F$71,Races!$E$71),6)  +  0.2 * ( MAX(DG8+Races!$F$71-6,0) + MAX(Races!$E$71-6,0) )  -  Races!$N$71</f>
        <v>2.5200000000000014</v>
      </c>
      <c r="EH8" s="666">
        <f>1.8 * MIN(MAX(DH8+Races!$E$71,Races!$F$71),6)  +  0.45 * MIN(MIN(DH8+Races!$E$71,Races!$F$71),6)  +  0.2 * ( MAX(DH8+Races!$E$71-6,0) + MAX(Races!$F$71-6,0) )  -  Races!$N$71</f>
        <v>0</v>
      </c>
      <c r="EI8" s="57">
        <f t="shared" ca="1" si="42"/>
        <v>0</v>
      </c>
      <c r="EJ8" s="57"/>
      <c r="EK8" s="57"/>
      <c r="EL8" s="57"/>
      <c r="EM8" s="57">
        <f ca="1">Overview!$L$22*E8+Overview!$L$23*F8+Overview!$L$24*G8+Overview!$L$25*H8+Overview!$L$26*I8+Overview!$L$27*J8+Overview!$L$28*K8+Construction!E8*20+Construction!B8*5 + DZ8*$DV$4+EB8*$DV$5+ED8*$DV$6+EF8*$DV$7+EI8*$DV$9</f>
        <v>20900</v>
      </c>
      <c r="EO8" s="738">
        <f>(J8+2*K8)/Construction!E8</f>
        <v>0</v>
      </c>
      <c r="EP8" s="734">
        <f ca="1">EO8*(1+race_wizard_strength+tech_magical_weaponry_wiz*Techs!AV80)</f>
        <v>0</v>
      </c>
      <c r="EQ8" s="16">
        <f>(I8+halfer*H8/3)/Construction!E8</f>
        <v>0</v>
      </c>
    </row>
    <row r="9" spans="1:147" s="16" customFormat="1">
      <c r="A9" s="629">
        <f>Rezone!J9</f>
        <v>7</v>
      </c>
      <c r="B9" s="152">
        <f ca="1">SUM(E9:L9)+SUM($AF$3:AI9)+Z9</f>
        <v>5295</v>
      </c>
      <c r="C9" s="97">
        <f ca="1">Population!G9</f>
        <v>0.41044385700491687</v>
      </c>
      <c r="E9" s="156">
        <f t="shared" si="43"/>
        <v>0</v>
      </c>
      <c r="F9" s="170">
        <f t="shared" si="43"/>
        <v>0</v>
      </c>
      <c r="G9" s="170">
        <f t="shared" si="43"/>
        <v>0</v>
      </c>
      <c r="H9" s="170">
        <f t="shared" si="43"/>
        <v>0</v>
      </c>
      <c r="I9" s="170">
        <f t="shared" si="43"/>
        <v>0</v>
      </c>
      <c r="J9" s="170">
        <f t="shared" si="44"/>
        <v>0</v>
      </c>
      <c r="K9" s="157">
        <f t="shared" si="45"/>
        <v>0</v>
      </c>
      <c r="M9" s="64">
        <f ca="1">Production!G9</f>
        <v>20900</v>
      </c>
      <c r="O9" s="234">
        <f t="shared" ca="1" si="0"/>
        <v>0</v>
      </c>
      <c r="P9" s="455">
        <f ca="1">race_offense+Imps!AB9+ROUND(MIN(gn_bonus*Construction!BF9/Construction!$E9,gn_bonus_cap),4)+MAX(IF(Magic!$AN9&gt;0,warsong_bonus),IF(Magic!AP9&gt;0,howling_op_bonus),IF(Magic!AS9&gt;0,nightfall_bonus),IF(Magic!AT9&gt;0,crusade_bonus),IF(Magic!AU9&gt;0,killingrage_bonus),IF(Magic!AV9&gt;0,bloodrage_bonus)) + Production!O9/100*prestige_offense_bonus + MAX(tech_military_offense*Techs!AH9,tech_magical_weaponry_op*Techs!AV9)</f>
        <v>0.05</v>
      </c>
      <c r="Q9" s="235">
        <f t="shared" ca="1" si="46"/>
        <v>0</v>
      </c>
      <c r="R9" s="234">
        <f ca="1">F9*(spec_dp+spirit*DR9)+G9*(elite1_dp+woodie*CV9+sylvan*CY9+gnome*DB9+dark_elf*DD9+icekin*DG9+orc*DJ9+nox*DL9+beast*DN9+sacred*DP9+spirit*DS9+blackorc*DK9)+H9*(elite2_dp+woodie*CX9+beast*DO9+sacred*DQ9) + fh_peas_dp*MIN(Population!C9,20*Construction!BD9)+kobold*DE9</f>
        <v>0</v>
      </c>
      <c r="S9" s="235">
        <f t="shared" ca="1" si="1"/>
        <v>5295</v>
      </c>
      <c r="T9" s="1052">
        <f ca="1">race_defense+Imps!AC9+ROUND(MIN(gt_bonus*Construction!BH9/Construction!$E9,gt_bonus_cap),4)+MAX(IF(Magic!AM9&gt;0,frenzy_bonus,IF(Magic!AQ9&gt;0,blizzard_bonus,IF(Magic!AP9&gt;0,howling_dp_bonus,IF(Magic!AI9&gt;0,ares_call_bonus)))),IF(Magic!AX9&gt;0,MIN(Construction!DF9/Construction!E9,0.2),0))</f>
        <v>0</v>
      </c>
      <c r="U9" s="1046">
        <f t="shared" ca="1" si="47"/>
        <v>0</v>
      </c>
      <c r="V9" s="308">
        <f t="shared" ca="1" si="48"/>
        <v>5295</v>
      </c>
      <c r="W9" s="310">
        <f>Construction!E9</f>
        <v>1000</v>
      </c>
      <c r="X9" s="367"/>
      <c r="Y9" s="146">
        <f t="shared" si="49"/>
        <v>0.4</v>
      </c>
      <c r="Z9" s="166">
        <f ca="1">Z8+Population!Z8 - IF(race="Lux",AF9,SUM(AF9:AK9)) - BE9 + SUM(BF9:BL9) - Explore!AI9</f>
        <v>5295</v>
      </c>
      <c r="AA9" s="164"/>
      <c r="AB9" s="91">
        <f>(Construction!$BA9+Construction!BY9)/(Construction!$E9-Explore!S9*20)</f>
        <v>0</v>
      </c>
      <c r="AC9" s="529"/>
      <c r="AD9" s="799">
        <f>Rezone!J9</f>
        <v>7</v>
      </c>
      <c r="AE9" s="589">
        <f>Explore!AA9</f>
        <v>43692.249999999985</v>
      </c>
      <c r="AF9" s="356"/>
      <c r="AG9" s="348"/>
      <c r="AH9" s="348"/>
      <c r="AI9" s="348"/>
      <c r="AJ9" s="348"/>
      <c r="AK9" s="348"/>
      <c r="AL9" s="357"/>
      <c r="AN9" s="56">
        <f ca="1">Production!$H9</f>
        <v>3994320</v>
      </c>
      <c r="AO9" s="26">
        <f ca="1">Production!$L9</f>
        <v>300000</v>
      </c>
      <c r="AP9" s="26">
        <f ca="1">Production!J9</f>
        <v>299334</v>
      </c>
      <c r="AQ9" s="26">
        <f ca="1">Production!M9</f>
        <v>20000</v>
      </c>
      <c r="AR9" s="26">
        <f ca="1">Production!K9</f>
        <v>24851</v>
      </c>
      <c r="AS9" s="26">
        <f ca="1">Production!I9</f>
        <v>67113</v>
      </c>
      <c r="AT9" s="26">
        <f ca="1">Production!N9</f>
        <v>200</v>
      </c>
      <c r="AU9" s="152">
        <f t="shared" ca="1" si="2"/>
        <v>0</v>
      </c>
      <c r="AV9" s="164">
        <f t="shared" ca="1" si="3"/>
        <v>0</v>
      </c>
      <c r="AW9" s="164">
        <f t="shared" ca="1" si="50"/>
        <v>0</v>
      </c>
      <c r="AX9" s="164">
        <f t="shared" ca="1" si="51"/>
        <v>0</v>
      </c>
      <c r="AY9" s="164">
        <f t="shared" ca="1" si="52"/>
        <v>0</v>
      </c>
      <c r="AZ9" s="164">
        <f t="shared" ca="1" si="53"/>
        <v>0</v>
      </c>
      <c r="BA9" s="166">
        <f t="shared" ca="1" si="54"/>
        <v>0</v>
      </c>
      <c r="BB9" s="16">
        <v>7</v>
      </c>
      <c r="BC9" s="574">
        <f t="shared" si="4"/>
        <v>43692.249999999985</v>
      </c>
      <c r="BD9" s="148">
        <f t="shared" ca="1" si="5"/>
        <v>5295</v>
      </c>
      <c r="BE9" s="356"/>
      <c r="BF9" s="348"/>
      <c r="BG9" s="348"/>
      <c r="BH9" s="348"/>
      <c r="BI9" s="348"/>
      <c r="BJ9" s="348"/>
      <c r="BK9" s="348"/>
      <c r="BL9" s="357"/>
      <c r="BN9" s="503">
        <f>Construction!BM9/Construction!E9</f>
        <v>0</v>
      </c>
      <c r="BO9" s="171">
        <f>Construction!BD9/Construction!E9</f>
        <v>0</v>
      </c>
      <c r="BP9" s="152">
        <f>ROUNDUP((1-MIN(AB9*smithy_bonus,smithy_bonus_cap))*(1+Techs!AO9*tech_master_of_frugality)*spec_op_plat,0)</f>
        <v>275</v>
      </c>
      <c r="BQ9" s="164">
        <f>ROUNDUP(IF(race="Gnome",1,(1-MIN(AB9*smithy_bonus,smithy_bonus_cap))*(1+Techs!AO9*tech_master_of_frugality))*spec_op_ore,0)</f>
        <v>25</v>
      </c>
      <c r="BR9" s="164">
        <f t="shared" si="6"/>
        <v>0</v>
      </c>
      <c r="BS9" s="164">
        <f t="shared" si="7"/>
        <v>0</v>
      </c>
      <c r="BT9" s="164">
        <f ca="1">ROUNDUP((1-MIN(AB9*smithy_bonus,smithy_bonus_cap))*(1+Techs!AO9*tech_master_of_frugality)*spec_dp_plat,0)</f>
        <v>275</v>
      </c>
      <c r="BU9" s="164">
        <f ca="1">ROUNDUP(IF(OR(race="Gnome",race="Imperial Gnome"),1,(1-MIN(AB9*smithy_bonus,smithy_bonus_cap))*(1+Techs!AO9*tech_master_of_frugality))*spec_dp_ore,0)</f>
        <v>10</v>
      </c>
      <c r="BV9" s="164">
        <f t="shared" ca="1" si="8"/>
        <v>0</v>
      </c>
      <c r="BW9" s="164">
        <f t="shared" ca="1" si="9"/>
        <v>0</v>
      </c>
      <c r="BX9" s="164">
        <f t="shared" ca="1" si="10"/>
        <v>0</v>
      </c>
      <c r="BY9" s="164">
        <f ca="1">ROUNDUP((1-MIN(AB9*smithy_bonus,smithy_bonus_cap))*(1+Techs!AO9*tech_master_of_frugality)*elite1_plat,0)</f>
        <v>1000</v>
      </c>
      <c r="BZ9" s="164">
        <f ca="1">ROUNDUP(IF(race="Gnome",1,(1-MIN(AB9*smithy_bonus,smithy_bonus_cap))*(1+Techs!AO9*tech_master_of_frugality))*elite1_ore,0)</f>
        <v>75</v>
      </c>
      <c r="CA9" s="164">
        <f t="shared" ca="1" si="11"/>
        <v>0</v>
      </c>
      <c r="CB9" s="164">
        <f t="shared" ca="1" si="12"/>
        <v>0</v>
      </c>
      <c r="CC9" s="164">
        <f t="shared" ca="1" si="13"/>
        <v>0</v>
      </c>
      <c r="CD9" s="164">
        <f t="shared" ca="1" si="14"/>
        <v>0</v>
      </c>
      <c r="CE9" s="164">
        <f t="shared" ca="1" si="15"/>
        <v>0</v>
      </c>
      <c r="CF9" s="164">
        <f ca="1">ROUNDUP((1-MIN(AB9*smithy_bonus,smithy_bonus_cap))*(1+Techs!AO9*tech_master_of_frugality)*elite2_plat,0)</f>
        <v>1250</v>
      </c>
      <c r="CG9" s="164">
        <f ca="1">ROUNDUP(IF(race="Gnome",1,(1-MIN(AB9*smithy_bonus,smithy_bonus_cap))*(1+Techs!AO9*tech_master_of_frugality))*elite2_ore,0)</f>
        <v>100</v>
      </c>
      <c r="CH9" s="164">
        <f t="shared" ca="1" si="16"/>
        <v>0</v>
      </c>
      <c r="CI9" s="164">
        <f t="shared" ca="1" si="17"/>
        <v>0</v>
      </c>
      <c r="CJ9" s="164">
        <f t="shared" ca="1" si="18"/>
        <v>0</v>
      </c>
      <c r="CK9" s="164">
        <f t="shared" ca="1" si="19"/>
        <v>0</v>
      </c>
      <c r="CL9" s="164">
        <f t="shared" ca="1" si="20"/>
        <v>0</v>
      </c>
      <c r="CM9" s="164">
        <f>ROUNDUP((1+tech_spy_cost*Techs!AJ9)*spy_plat,0)</f>
        <v>500</v>
      </c>
      <c r="CN9" s="164">
        <f>ROUNDUP((1+tech_wizard_cost*Techs!AM9-MIN(ROUND(wg_wiz_cost_bonus*BN9,4),wg_wiz_cost_cap))*wizard_plat,0)</f>
        <v>500</v>
      </c>
      <c r="CO9" s="166">
        <f>ROUNDUP((1+tech_wizard_cost*Techs!AM9-MIN(ROUND(wg_wiz_cost_bonus*BN9,4),wg_wiz_cost_cap))*archmage_plat,0)</f>
        <v>1000</v>
      </c>
      <c r="CQ9" s="465">
        <f ca="1">Construction!DF9/Construction!E9</f>
        <v>0.28000000000000003</v>
      </c>
      <c r="CR9" s="466">
        <f t="shared" si="21"/>
        <v>0</v>
      </c>
      <c r="CS9" s="466">
        <f>Construction!BK9/Construction!E9</f>
        <v>0.05</v>
      </c>
      <c r="CT9" s="466">
        <f>Construction!BJ9/Construction!E9</f>
        <v>0</v>
      </c>
      <c r="CU9" s="466">
        <f>Construction!AY9/Construction!E9</f>
        <v>0</v>
      </c>
      <c r="CV9" s="481">
        <f t="shared" ca="1" si="22"/>
        <v>1.4000000000000001</v>
      </c>
      <c r="CW9" s="482">
        <f t="shared" ca="1" si="23"/>
        <v>1.4000000000000001</v>
      </c>
      <c r="CX9" s="482">
        <f t="shared" ca="1" si="24"/>
        <v>1.4000000000000001</v>
      </c>
      <c r="CY9" s="483">
        <f t="shared" ca="1" si="25"/>
        <v>1.4000000000000001</v>
      </c>
      <c r="CZ9" s="483">
        <f t="shared" si="26"/>
        <v>0</v>
      </c>
      <c r="DA9" s="483">
        <f t="shared" ca="1" si="27"/>
        <v>3</v>
      </c>
      <c r="DB9" s="483">
        <f t="shared" ca="1" si="28"/>
        <v>1.4000000000000001</v>
      </c>
      <c r="DC9" s="482">
        <f t="shared" si="29"/>
        <v>0</v>
      </c>
      <c r="DD9" s="847">
        <f t="shared" si="55"/>
        <v>0</v>
      </c>
      <c r="DE9" s="440">
        <f t="shared" si="56"/>
        <v>0</v>
      </c>
      <c r="DF9" s="440">
        <f t="shared" si="57"/>
        <v>0</v>
      </c>
      <c r="DG9" s="481">
        <f t="shared" ca="1" si="30"/>
        <v>1.4000000000000001</v>
      </c>
      <c r="DH9" s="450">
        <f t="shared" si="58"/>
        <v>0</v>
      </c>
      <c r="DI9" s="450">
        <f>MIN(valkyrja_cap,Production!O9/valkyrja_bonus)</f>
        <v>1</v>
      </c>
      <c r="DJ9" s="847">
        <f>MIN(voodoo_magi_cap,Production!O9/voodoo_magi_bonus)</f>
        <v>0.83333333333333337</v>
      </c>
      <c r="DK9" s="847">
        <f>MIN(warlock_cap,Production!O9/warlock_bonus)</f>
        <v>1.25</v>
      </c>
      <c r="DL9" s="847">
        <f ca="1">MIN(nox_nightshade_cap,Construction!DF9/Construction!E9/nox_nightshade_swamp_bonus)</f>
        <v>2.8000000000000003</v>
      </c>
      <c r="DM9" s="482">
        <f t="shared" si="31"/>
        <v>0</v>
      </c>
      <c r="DN9" s="483">
        <f t="shared" ca="1" si="32"/>
        <v>2.8000000000000003</v>
      </c>
      <c r="DO9" s="483">
        <f t="shared" ca="1" si="33"/>
        <v>2.8000000000000003</v>
      </c>
      <c r="DP9" s="483">
        <f t="shared" si="34"/>
        <v>1</v>
      </c>
      <c r="DQ9" s="482">
        <f t="shared" si="35"/>
        <v>0</v>
      </c>
      <c r="DR9" s="483">
        <f t="shared" si="36"/>
        <v>0</v>
      </c>
      <c r="DS9" s="482">
        <f t="shared" si="37"/>
        <v>0</v>
      </c>
      <c r="DT9" s="483">
        <f t="shared" si="59"/>
        <v>0</v>
      </c>
      <c r="DU9" s="16" t="s">
        <v>347</v>
      </c>
      <c r="DV9" t="b">
        <f t="shared" si="60"/>
        <v>0</v>
      </c>
      <c r="DX9" s="487">
        <f ca="1">MIN(6,CV9+Races!$F$19)*1.8 +  IF(CV9+Races!$F$19&gt;6,(CV9+Races!$F$19-6)*0.2,0) - Races!$N$19</f>
        <v>2.5200000000000005</v>
      </c>
      <c r="DY9" s="488">
        <f ca="1">1.8 * MIN(MAX(CW9+Races!$E$20,CX9+Races!$F$20),6)  +  0.45 * MIN(MIN(CW9+Races!$E$20,CX9+Races!$F$20),6)  +  0.2 * ( MAX(CW9+Races!$E$20-6,0) + MAX(CX9+Races!$F$20-6,0) )  -  Races!$N$20</f>
        <v>3.1500000000000012</v>
      </c>
      <c r="DZ9" s="57">
        <f t="shared" ca="1" si="38"/>
        <v>0</v>
      </c>
      <c r="EA9" s="666">
        <f ca="1">MIN(6,CY9+Races!$F$35)*1.8 +  IF(CY9+Races!$F$35&gt;6,(CY9+Races!$F$35-6)*0.2,0) - Races!$N$19</f>
        <v>0.72000000000000064</v>
      </c>
      <c r="EB9" s="57">
        <f t="shared" ca="1" si="39"/>
        <v>0</v>
      </c>
      <c r="EC9" s="666">
        <f ca="1">1.8 * MIN(MAX(Races!$E$27,DB9+Races!$F$27),6)  +  0.45 * MIN(MIN(Races!$E$27,DB9+Races!$F$27),6)  +  0.2 * ( MAX(Races!$E$27-6,0) + MAX(DB9+Races!$F$27-6,0) )  -  Races!$N$20</f>
        <v>4.7700000000000005</v>
      </c>
      <c r="ED9" s="57">
        <f t="shared" ca="1" si="40"/>
        <v>0</v>
      </c>
      <c r="EE9" s="666">
        <f>1.8 * MIN(MAX(DC9+Races!$E$47,DD9+Races!$F$47),6)  +  0.45 * MIN(MIN(DC9+Races!$E$47,DD9+Races!$F$47),6)  +  0.2 * ( MAX(DC9+Races!$E$47-6,0) + MAX(DD9+Races!$F$47-6,0) )  -  Races!$N$47</f>
        <v>0</v>
      </c>
      <c r="EF9" s="57">
        <f t="shared" si="41"/>
        <v>0</v>
      </c>
      <c r="EG9" s="666">
        <f ca="1">1.8 * MIN(MAX(DG9+Races!$F$71,Races!$E$71),6)  +  0.45 * MIN(MIN(DG9+Races!$F$71,Races!$E$71),6)  +  0.2 * ( MAX(DG9+Races!$F$71-6,0) + MAX(Races!$E$71-6,0) )  -  Races!$N$71</f>
        <v>2.5200000000000014</v>
      </c>
      <c r="EH9" s="666">
        <f>1.8 * MIN(MAX(DH9+Races!$E$71,Races!$F$71),6)  +  0.45 * MIN(MIN(DH9+Races!$E$71,Races!$F$71),6)  +  0.2 * ( MAX(DH9+Races!$E$71-6,0) + MAX(Races!$F$71-6,0) )  -  Races!$N$71</f>
        <v>0</v>
      </c>
      <c r="EI9" s="57">
        <f t="shared" ca="1" si="42"/>
        <v>0</v>
      </c>
      <c r="EJ9" s="57"/>
      <c r="EK9" s="57"/>
      <c r="EL9" s="57"/>
      <c r="EM9" s="57">
        <f ca="1">Overview!$L$22*E9+Overview!$L$23*F9+Overview!$L$24*G9+Overview!$L$25*H9+Overview!$L$26*I9+Overview!$L$27*J9+Overview!$L$28*K9+Construction!E9*20+Construction!B9*5 + DZ9*$DV$4+EB9*$DV$5+ED9*$DV$6+EF9*$DV$7+EI9*$DV$9</f>
        <v>20900</v>
      </c>
      <c r="EO9" s="738">
        <f>(J9+2*K9)/Construction!E9</f>
        <v>0</v>
      </c>
      <c r="EP9" s="734">
        <f ca="1">EO9*(1+race_wizard_strength+tech_magical_weaponry_wiz*Techs!AV81)</f>
        <v>0</v>
      </c>
      <c r="EQ9" s="16">
        <f>(I9+halfer*H9/3)/Construction!E9</f>
        <v>0</v>
      </c>
    </row>
    <row r="10" spans="1:147" s="16" customFormat="1">
      <c r="A10" s="629">
        <f>Rezone!J10</f>
        <v>8</v>
      </c>
      <c r="B10" s="152">
        <f ca="1">SUM(E10:L10)+SUM($AF$3:AI10)+Z10</f>
        <v>5295</v>
      </c>
      <c r="C10" s="97">
        <f ca="1">Population!G10</f>
        <v>0.42291032603748957</v>
      </c>
      <c r="E10" s="156">
        <f t="shared" si="43"/>
        <v>0</v>
      </c>
      <c r="F10" s="170">
        <f t="shared" si="43"/>
        <v>0</v>
      </c>
      <c r="G10" s="170">
        <f t="shared" si="43"/>
        <v>0</v>
      </c>
      <c r="H10" s="170">
        <f t="shared" si="43"/>
        <v>0</v>
      </c>
      <c r="I10" s="170">
        <f t="shared" si="43"/>
        <v>0</v>
      </c>
      <c r="J10" s="170">
        <f t="shared" si="44"/>
        <v>0</v>
      </c>
      <c r="K10" s="157">
        <f t="shared" si="45"/>
        <v>0</v>
      </c>
      <c r="M10" s="64">
        <f ca="1">Production!G10</f>
        <v>20900</v>
      </c>
      <c r="O10" s="234">
        <f t="shared" ca="1" si="0"/>
        <v>0</v>
      </c>
      <c r="P10" s="455">
        <f ca="1">race_offense+Imps!AB10+ROUND(MIN(gn_bonus*Construction!BF10/Construction!$E10,gn_bonus_cap),4)+MAX(IF(Magic!$AN10&gt;0,warsong_bonus),IF(Magic!AP10&gt;0,howling_op_bonus),IF(Magic!AS10&gt;0,nightfall_bonus),IF(Magic!AT10&gt;0,crusade_bonus),IF(Magic!AU10&gt;0,killingrage_bonus),IF(Magic!AV10&gt;0,bloodrage_bonus)) + Production!O10/100*prestige_offense_bonus + MAX(tech_military_offense*Techs!AH10,tech_magical_weaponry_op*Techs!AV10)</f>
        <v>0.05</v>
      </c>
      <c r="Q10" s="235">
        <f t="shared" ca="1" si="46"/>
        <v>0</v>
      </c>
      <c r="R10" s="234">
        <f ca="1">F10*(spec_dp+spirit*DR10)+G10*(elite1_dp+woodie*CV10+sylvan*CY10+gnome*DB10+dark_elf*DD10+icekin*DG10+orc*DJ10+nox*DL10+beast*DN10+sacred*DP10+spirit*DS10+blackorc*DK10)+H10*(elite2_dp+woodie*CX10+beast*DO10+sacred*DQ10) + fh_peas_dp*MIN(Population!C10,20*Construction!BD10)+kobold*DE10</f>
        <v>0</v>
      </c>
      <c r="S10" s="235">
        <f t="shared" ca="1" si="1"/>
        <v>5295</v>
      </c>
      <c r="T10" s="1052">
        <f ca="1">race_defense+Imps!AC10+ROUND(MIN(gt_bonus*Construction!BH10/Construction!$E10,gt_bonus_cap),4)+MAX(IF(Magic!AM10&gt;0,frenzy_bonus,IF(Magic!AQ10&gt;0,blizzard_bonus,IF(Magic!AP10&gt;0,howling_dp_bonus,IF(Magic!AI10&gt;0,ares_call_bonus)))),IF(Magic!AX10&gt;0,MIN(Construction!DF10/Construction!E10,0.2),0))</f>
        <v>0</v>
      </c>
      <c r="U10" s="1046">
        <f t="shared" ca="1" si="47"/>
        <v>0</v>
      </c>
      <c r="V10" s="308">
        <f t="shared" ca="1" si="48"/>
        <v>5295</v>
      </c>
      <c r="W10" s="310">
        <f>Construction!E10</f>
        <v>1000</v>
      </c>
      <c r="X10" s="367"/>
      <c r="Y10" s="146">
        <f t="shared" si="49"/>
        <v>0.4</v>
      </c>
      <c r="Z10" s="166">
        <f ca="1">Z9+Population!Z9 - IF(race="Lux",AF10,SUM(AF10:AK10)) - BE10 + SUM(BF10:BL10) - Explore!AI10</f>
        <v>5295</v>
      </c>
      <c r="AA10" s="164"/>
      <c r="AB10" s="91">
        <f>(Construction!$BA10+Construction!BY10)/(Construction!$E10-Explore!S10*20)</f>
        <v>0</v>
      </c>
      <c r="AC10" s="529"/>
      <c r="AD10" s="799">
        <f>Rezone!J10</f>
        <v>8</v>
      </c>
      <c r="AE10" s="589">
        <f>Explore!AA10</f>
        <v>43692.29166666665</v>
      </c>
      <c r="AF10" s="356"/>
      <c r="AG10" s="348"/>
      <c r="AH10" s="348"/>
      <c r="AI10" s="348"/>
      <c r="AJ10" s="348"/>
      <c r="AK10" s="348"/>
      <c r="AL10" s="357"/>
      <c r="AN10" s="56">
        <f ca="1">Production!$H10</f>
        <v>4004040</v>
      </c>
      <c r="AO10" s="26">
        <f ca="1">Production!$L10</f>
        <v>300000</v>
      </c>
      <c r="AP10" s="26">
        <f ca="1">Production!J10</f>
        <v>298841</v>
      </c>
      <c r="AQ10" s="26">
        <f ca="1">Production!M10</f>
        <v>20000</v>
      </c>
      <c r="AR10" s="26">
        <f ca="1">Production!K10</f>
        <v>25604</v>
      </c>
      <c r="AS10" s="26">
        <f ca="1">Production!I10</f>
        <v>70257</v>
      </c>
      <c r="AT10" s="26">
        <f ca="1">Production!N10</f>
        <v>200</v>
      </c>
      <c r="AU10" s="152">
        <f t="shared" ca="1" si="2"/>
        <v>0</v>
      </c>
      <c r="AV10" s="164">
        <f t="shared" ca="1" si="3"/>
        <v>0</v>
      </c>
      <c r="AW10" s="164">
        <f t="shared" ca="1" si="50"/>
        <v>0</v>
      </c>
      <c r="AX10" s="164">
        <f t="shared" ca="1" si="51"/>
        <v>0</v>
      </c>
      <c r="AY10" s="164">
        <f t="shared" ca="1" si="52"/>
        <v>0</v>
      </c>
      <c r="AZ10" s="164">
        <f t="shared" ca="1" si="53"/>
        <v>0</v>
      </c>
      <c r="BA10" s="166">
        <f t="shared" ca="1" si="54"/>
        <v>0</v>
      </c>
      <c r="BB10" s="16">
        <v>8</v>
      </c>
      <c r="BC10" s="574">
        <f t="shared" si="4"/>
        <v>43692.29166666665</v>
      </c>
      <c r="BD10" s="148">
        <f t="shared" ca="1" si="5"/>
        <v>5295</v>
      </c>
      <c r="BE10" s="356"/>
      <c r="BF10" s="348"/>
      <c r="BG10" s="348"/>
      <c r="BH10" s="348"/>
      <c r="BI10" s="348"/>
      <c r="BJ10" s="348"/>
      <c r="BK10" s="348"/>
      <c r="BL10" s="357"/>
      <c r="BN10" s="503">
        <f>Construction!BM10/Construction!E10</f>
        <v>0</v>
      </c>
      <c r="BO10" s="171">
        <f>Construction!BD10/Construction!E10</f>
        <v>0</v>
      </c>
      <c r="BP10" s="152">
        <f>ROUNDUP((1-MIN(AB10*smithy_bonus,smithy_bonus_cap))*(1+Techs!AO10*tech_master_of_frugality)*spec_op_plat,0)</f>
        <v>275</v>
      </c>
      <c r="BQ10" s="164">
        <f>ROUNDUP(IF(race="Gnome",1,(1-MIN(AB10*smithy_bonus,smithy_bonus_cap))*(1+Techs!AO10*tech_master_of_frugality))*spec_op_ore,0)</f>
        <v>25</v>
      </c>
      <c r="BR10" s="164">
        <f t="shared" si="6"/>
        <v>0</v>
      </c>
      <c r="BS10" s="164">
        <f t="shared" si="7"/>
        <v>0</v>
      </c>
      <c r="BT10" s="164">
        <f ca="1">ROUNDUP((1-MIN(AB10*smithy_bonus,smithy_bonus_cap))*(1+Techs!AO10*tech_master_of_frugality)*spec_dp_plat,0)</f>
        <v>275</v>
      </c>
      <c r="BU10" s="164">
        <f ca="1">ROUNDUP(IF(OR(race="Gnome",race="Imperial Gnome"),1,(1-MIN(AB10*smithy_bonus,smithy_bonus_cap))*(1+Techs!AO10*tech_master_of_frugality))*spec_dp_ore,0)</f>
        <v>10</v>
      </c>
      <c r="BV10" s="164">
        <f t="shared" ca="1" si="8"/>
        <v>0</v>
      </c>
      <c r="BW10" s="164">
        <f t="shared" ca="1" si="9"/>
        <v>0</v>
      </c>
      <c r="BX10" s="164">
        <f t="shared" ca="1" si="10"/>
        <v>0</v>
      </c>
      <c r="BY10" s="164">
        <f ca="1">ROUNDUP((1-MIN(AB10*smithy_bonus,smithy_bonus_cap))*(1+Techs!AO10*tech_master_of_frugality)*elite1_plat,0)</f>
        <v>1000</v>
      </c>
      <c r="BZ10" s="164">
        <f ca="1">ROUNDUP(IF(race="Gnome",1,(1-MIN(AB10*smithy_bonus,smithy_bonus_cap))*(1+Techs!AO10*tech_master_of_frugality))*elite1_ore,0)</f>
        <v>75</v>
      </c>
      <c r="CA10" s="164">
        <f t="shared" ca="1" si="11"/>
        <v>0</v>
      </c>
      <c r="CB10" s="164">
        <f t="shared" ca="1" si="12"/>
        <v>0</v>
      </c>
      <c r="CC10" s="164">
        <f t="shared" ca="1" si="13"/>
        <v>0</v>
      </c>
      <c r="CD10" s="164">
        <f t="shared" ca="1" si="14"/>
        <v>0</v>
      </c>
      <c r="CE10" s="164">
        <f t="shared" ca="1" si="15"/>
        <v>0</v>
      </c>
      <c r="CF10" s="164">
        <f ca="1">ROUNDUP((1-MIN(AB10*smithy_bonus,smithy_bonus_cap))*(1+Techs!AO10*tech_master_of_frugality)*elite2_plat,0)</f>
        <v>1250</v>
      </c>
      <c r="CG10" s="164">
        <f ca="1">ROUNDUP(IF(race="Gnome",1,(1-MIN(AB10*smithy_bonus,smithy_bonus_cap))*(1+Techs!AO10*tech_master_of_frugality))*elite2_ore,0)</f>
        <v>100</v>
      </c>
      <c r="CH10" s="164">
        <f t="shared" ca="1" si="16"/>
        <v>0</v>
      </c>
      <c r="CI10" s="164">
        <f t="shared" ca="1" si="17"/>
        <v>0</v>
      </c>
      <c r="CJ10" s="164">
        <f t="shared" ca="1" si="18"/>
        <v>0</v>
      </c>
      <c r="CK10" s="164">
        <f t="shared" ca="1" si="19"/>
        <v>0</v>
      </c>
      <c r="CL10" s="164">
        <f t="shared" ca="1" si="20"/>
        <v>0</v>
      </c>
      <c r="CM10" s="164">
        <f>ROUNDUP((1+tech_spy_cost*Techs!AJ10)*spy_plat,0)</f>
        <v>500</v>
      </c>
      <c r="CN10" s="164">
        <f>ROUNDUP((1+tech_wizard_cost*Techs!AM10-MIN(ROUND(wg_wiz_cost_bonus*BN10,4),wg_wiz_cost_cap))*wizard_plat,0)</f>
        <v>500</v>
      </c>
      <c r="CO10" s="166">
        <f>ROUNDUP((1+tech_wizard_cost*Techs!AM10-MIN(ROUND(wg_wiz_cost_bonus*BN10,4),wg_wiz_cost_cap))*archmage_plat,0)</f>
        <v>1000</v>
      </c>
      <c r="CQ10" s="465">
        <f ca="1">Construction!DF10/Construction!E10</f>
        <v>0.28000000000000003</v>
      </c>
      <c r="CR10" s="466">
        <f t="shared" si="21"/>
        <v>0</v>
      </c>
      <c r="CS10" s="466">
        <f>Construction!BK10/Construction!E10</f>
        <v>0.05</v>
      </c>
      <c r="CT10" s="466">
        <f>Construction!BJ10/Construction!E10</f>
        <v>0</v>
      </c>
      <c r="CU10" s="466">
        <f>Construction!AY10/Construction!E10</f>
        <v>0</v>
      </c>
      <c r="CV10" s="481">
        <f t="shared" ca="1" si="22"/>
        <v>1.4000000000000001</v>
      </c>
      <c r="CW10" s="482">
        <f t="shared" ca="1" si="23"/>
        <v>1.4000000000000001</v>
      </c>
      <c r="CX10" s="482">
        <f t="shared" ca="1" si="24"/>
        <v>1.4000000000000001</v>
      </c>
      <c r="CY10" s="483">
        <f ca="1">MIN(dryad_cap,CQ10/dryad_bonus)</f>
        <v>1.4000000000000001</v>
      </c>
      <c r="CZ10" s="483">
        <f t="shared" si="26"/>
        <v>0</v>
      </c>
      <c r="DA10" s="483">
        <f t="shared" ca="1" si="27"/>
        <v>3</v>
      </c>
      <c r="DB10" s="483">
        <f t="shared" ca="1" si="28"/>
        <v>1.4000000000000001</v>
      </c>
      <c r="DC10" s="482">
        <f t="shared" si="29"/>
        <v>0</v>
      </c>
      <c r="DD10" s="847">
        <f t="shared" si="55"/>
        <v>0</v>
      </c>
      <c r="DE10" s="440">
        <f t="shared" si="56"/>
        <v>0</v>
      </c>
      <c r="DF10" s="440">
        <f t="shared" si="57"/>
        <v>0</v>
      </c>
      <c r="DG10" s="481">
        <f t="shared" ca="1" si="30"/>
        <v>1.4000000000000001</v>
      </c>
      <c r="DH10" s="450">
        <f t="shared" si="58"/>
        <v>0</v>
      </c>
      <c r="DI10" s="450">
        <f>MIN(valkyrja_cap,Production!O10/valkyrja_bonus)</f>
        <v>1</v>
      </c>
      <c r="DJ10" s="847">
        <f>MIN(voodoo_magi_cap,Production!O10/voodoo_magi_bonus)</f>
        <v>0.83333333333333337</v>
      </c>
      <c r="DK10" s="847">
        <f>MIN(warlock_cap,Production!O10/warlock_bonus)</f>
        <v>1.25</v>
      </c>
      <c r="DL10" s="847">
        <f ca="1">MIN(nox_nightshade_cap,Construction!DF10/Construction!E10/nox_nightshade_swamp_bonus)</f>
        <v>2.8000000000000003</v>
      </c>
      <c r="DM10" s="482">
        <f t="shared" si="31"/>
        <v>0</v>
      </c>
      <c r="DN10" s="483">
        <f t="shared" ca="1" si="32"/>
        <v>2.8000000000000003</v>
      </c>
      <c r="DO10" s="483">
        <f t="shared" ca="1" si="33"/>
        <v>2.8000000000000003</v>
      </c>
      <c r="DP10" s="483">
        <f t="shared" si="34"/>
        <v>1</v>
      </c>
      <c r="DQ10" s="482">
        <f t="shared" si="35"/>
        <v>0</v>
      </c>
      <c r="DR10" s="483">
        <f t="shared" si="36"/>
        <v>0</v>
      </c>
      <c r="DS10" s="482">
        <f t="shared" si="37"/>
        <v>0</v>
      </c>
      <c r="DT10" s="483">
        <f t="shared" si="59"/>
        <v>0</v>
      </c>
      <c r="DU10" s="16" t="s">
        <v>150</v>
      </c>
      <c r="DV10" s="16" t="b">
        <f>race=DU10</f>
        <v>0</v>
      </c>
      <c r="DX10" s="487">
        <f ca="1">MIN(6,CV10+Races!$F$19)*1.8 +  IF(CV10+Races!$F$19&gt;6,(CV10+Races!$F$19-6)*0.2,0) - Races!$N$19</f>
        <v>2.5200000000000005</v>
      </c>
      <c r="DY10" s="488">
        <f ca="1">1.8 * MIN(MAX(CW10+Races!$E$20,CX10+Races!$F$20),6)  +  0.45 * MIN(MIN(CW10+Races!$E$20,CX10+Races!$F$20),6)  +  0.2 * ( MAX(CW10+Races!$E$20-6,0) + MAX(CX10+Races!$F$20-6,0) )  -  Races!$N$20</f>
        <v>3.1500000000000012</v>
      </c>
      <c r="DZ10" s="57">
        <f t="shared" ca="1" si="38"/>
        <v>0</v>
      </c>
      <c r="EA10" s="666">
        <f ca="1">MIN(6,CY10+Races!$F$35)*1.8 +  IF(CY10+Races!$F$35&gt;6,(CY10+Races!$F$35-6)*0.2,0) - Races!$N$19</f>
        <v>0.72000000000000064</v>
      </c>
      <c r="EB10" s="57">
        <f t="shared" ca="1" si="39"/>
        <v>0</v>
      </c>
      <c r="EC10" s="666">
        <f ca="1">1.8 * MIN(MAX(Races!$E$27,DB10+Races!$F$27),6)  +  0.45 * MIN(MIN(Races!$E$27,DB10+Races!$F$27),6)  +  0.2 * ( MAX(Races!$E$27-6,0) + MAX(DB10+Races!$F$27-6,0) )  -  Races!$N$20</f>
        <v>4.7700000000000005</v>
      </c>
      <c r="ED10" s="57">
        <f t="shared" ca="1" si="40"/>
        <v>0</v>
      </c>
      <c r="EE10" s="666">
        <f>1.8 * MIN(MAX(DC10+Races!$E$47,DD10+Races!$F$47),6)  +  0.45 * MIN(MIN(DC10+Races!$E$47,DD10+Races!$F$47),6)  +  0.2 * ( MAX(DC10+Races!$E$47-6,0) + MAX(DD10+Races!$F$47-6,0) )  -  Races!$N$47</f>
        <v>0</v>
      </c>
      <c r="EF10" s="57">
        <f t="shared" si="41"/>
        <v>0</v>
      </c>
      <c r="EG10" s="666">
        <f ca="1">1.8 * MIN(MAX(DG10+Races!$F$71,Races!$E$71),6)  +  0.45 * MIN(MIN(DG10+Races!$F$71,Races!$E$71),6)  +  0.2 * ( MAX(DG10+Races!$F$71-6,0) + MAX(Races!$E$71-6,0) )  -  Races!$N$71</f>
        <v>2.5200000000000014</v>
      </c>
      <c r="EH10" s="666">
        <f>1.8 * MIN(MAX(DH10+Races!$E$71,Races!$F$71),6)  +  0.45 * MIN(MIN(DH10+Races!$E$71,Races!$F$71),6)  +  0.2 * ( MAX(DH10+Races!$E$71-6,0) + MAX(Races!$F$71-6,0) )  -  Races!$N$71</f>
        <v>0</v>
      </c>
      <c r="EI10" s="57">
        <f t="shared" ca="1" si="42"/>
        <v>0</v>
      </c>
      <c r="EJ10" s="57"/>
      <c r="EK10" s="57"/>
      <c r="EL10" s="57"/>
      <c r="EM10" s="57">
        <f ca="1">Overview!$L$22*E10+Overview!$L$23*F10+Overview!$L$24*G10+Overview!$L$25*H10+Overview!$L$26*I10+Overview!$L$27*J10+Overview!$L$28*K10+Construction!E10*20+Construction!B10*5 + DZ10*$DV$4+EB10*$DV$5+ED10*$DV$6+EF10*$DV$7+EI10*$DV$9</f>
        <v>20900</v>
      </c>
      <c r="EO10" s="738">
        <f>(J10+2*K10)/Construction!E10</f>
        <v>0</v>
      </c>
      <c r="EP10" s="734">
        <f ca="1">EO10*(1+race_wizard_strength+tech_magical_weaponry_wiz*Techs!AV82)</f>
        <v>0</v>
      </c>
      <c r="EQ10" s="16">
        <f>(I10+halfer*H10/3)/Construction!E10</f>
        <v>0</v>
      </c>
    </row>
    <row r="11" spans="1:147" s="16" customFormat="1">
      <c r="A11" s="629">
        <f>Rezone!J11</f>
        <v>9</v>
      </c>
      <c r="B11" s="152">
        <f ca="1">SUM(E11:L11)+SUM($AF3:AI11)+Z11</f>
        <v>5295</v>
      </c>
      <c r="C11" s="97">
        <f ca="1">Population!G11</f>
        <v>0.43547575408465417</v>
      </c>
      <c r="E11" s="156">
        <f t="shared" si="43"/>
        <v>0</v>
      </c>
      <c r="F11" s="170">
        <f t="shared" si="43"/>
        <v>0</v>
      </c>
      <c r="G11" s="170">
        <f t="shared" si="43"/>
        <v>0</v>
      </c>
      <c r="H11" s="170">
        <f t="shared" si="43"/>
        <v>0</v>
      </c>
      <c r="I11" s="170">
        <f t="shared" si="43"/>
        <v>0</v>
      </c>
      <c r="J11" s="170">
        <f t="shared" si="44"/>
        <v>0</v>
      </c>
      <c r="K11" s="157">
        <f t="shared" si="45"/>
        <v>0</v>
      </c>
      <c r="M11" s="64">
        <f ca="1">Production!G11</f>
        <v>20900</v>
      </c>
      <c r="O11" s="234">
        <f t="shared" ca="1" si="0"/>
        <v>0</v>
      </c>
      <c r="P11" s="455">
        <f ca="1">race_offense+Imps!AB11+ROUND(MIN(gn_bonus*Construction!BF11/Construction!$E11,gn_bonus_cap),4)+MAX(IF(Magic!$AN11&gt;0,warsong_bonus),IF(Magic!AP11&gt;0,howling_op_bonus),IF(Magic!AS11&gt;0,nightfall_bonus),IF(Magic!AT11&gt;0,crusade_bonus),IF(Magic!AU11&gt;0,killingrage_bonus),IF(Magic!AV11&gt;0,bloodrage_bonus)) + Production!O11/100*prestige_offense_bonus + MAX(tech_military_offense*Techs!AH11,tech_magical_weaponry_op*Techs!AV11)</f>
        <v>0.05</v>
      </c>
      <c r="Q11" s="235">
        <f t="shared" ca="1" si="46"/>
        <v>0</v>
      </c>
      <c r="R11" s="234">
        <f ca="1">F11*(spec_dp+spirit*DR11)+G11*(elite1_dp+woodie*CV11+sylvan*CY11+gnome*DB11+dark_elf*DD11+icekin*DG11+orc*DJ11+nox*DL11+beast*DN11+sacred*DP11+spirit*DS11+blackorc*DK11)+H11*(elite2_dp+woodie*CX11+beast*DO11+sacred*DQ11) + fh_peas_dp*MIN(Population!C11,20*Construction!BD11)+kobold*DE11</f>
        <v>0</v>
      </c>
      <c r="S11" s="235">
        <f t="shared" ca="1" si="1"/>
        <v>5295</v>
      </c>
      <c r="T11" s="1052">
        <f ca="1">race_defense+Imps!AC11+ROUND(MIN(gt_bonus*Construction!BH11/Construction!$E11,gt_bonus_cap),4)+MAX(IF(Magic!AM11&gt;0,frenzy_bonus,IF(Magic!AQ11&gt;0,blizzard_bonus,IF(Magic!AP11&gt;0,howling_dp_bonus,IF(Magic!AI11&gt;0,ares_call_bonus)))),IF(Magic!AX11&gt;0,MIN(Construction!DF11/Construction!E11,0.2),0))</f>
        <v>0</v>
      </c>
      <c r="U11" s="1046">
        <f t="shared" ca="1" si="47"/>
        <v>0</v>
      </c>
      <c r="V11" s="308">
        <f t="shared" ca="1" si="48"/>
        <v>5295</v>
      </c>
      <c r="W11" s="310">
        <f>Construction!E11</f>
        <v>1000</v>
      </c>
      <c r="X11" s="367"/>
      <c r="Y11" s="146">
        <f t="shared" si="49"/>
        <v>0.4</v>
      </c>
      <c r="Z11" s="166">
        <f ca="1">Z10+Population!Z10 - IF(race="Lux",AF11,SUM(AF11:AK11)) - BE11 + SUM(BF11:BL11) - Explore!AI11</f>
        <v>5295</v>
      </c>
      <c r="AA11" s="164"/>
      <c r="AB11" s="91">
        <f>(Construction!$BA11+Construction!BY11)/(Construction!$E11-Explore!S11*20)</f>
        <v>0</v>
      </c>
      <c r="AC11" s="529"/>
      <c r="AD11" s="799">
        <f>Rezone!J11</f>
        <v>9</v>
      </c>
      <c r="AE11" s="589">
        <f>Explore!AA11</f>
        <v>43692.333333333314</v>
      </c>
      <c r="AF11" s="356"/>
      <c r="AG11" s="348"/>
      <c r="AH11" s="348"/>
      <c r="AI11" s="348"/>
      <c r="AJ11" s="348"/>
      <c r="AK11" s="348"/>
      <c r="AL11" s="357"/>
      <c r="AN11" s="56">
        <f ca="1">Production!$H11</f>
        <v>4013760</v>
      </c>
      <c r="AO11" s="26">
        <f ca="1">Production!$L11</f>
        <v>300000</v>
      </c>
      <c r="AP11" s="26">
        <f ca="1">Production!J11</f>
        <v>298353</v>
      </c>
      <c r="AQ11" s="26">
        <f ca="1">Production!M11</f>
        <v>20000</v>
      </c>
      <c r="AR11" s="26">
        <f ca="1">Production!K11</f>
        <v>26342</v>
      </c>
      <c r="AS11" s="26">
        <f ca="1">Production!I11</f>
        <v>73464</v>
      </c>
      <c r="AT11" s="26">
        <f ca="1">Production!N11</f>
        <v>200</v>
      </c>
      <c r="AU11" s="152">
        <f t="shared" ca="1" si="2"/>
        <v>0</v>
      </c>
      <c r="AV11" s="164">
        <f t="shared" ca="1" si="3"/>
        <v>0</v>
      </c>
      <c r="AW11" s="164">
        <f t="shared" ca="1" si="50"/>
        <v>0</v>
      </c>
      <c r="AX11" s="164">
        <f t="shared" ca="1" si="51"/>
        <v>0</v>
      </c>
      <c r="AY11" s="164">
        <f t="shared" ca="1" si="52"/>
        <v>0</v>
      </c>
      <c r="AZ11" s="164">
        <f t="shared" ca="1" si="53"/>
        <v>0</v>
      </c>
      <c r="BA11" s="166">
        <f t="shared" ca="1" si="54"/>
        <v>0</v>
      </c>
      <c r="BB11" s="16">
        <v>9</v>
      </c>
      <c r="BC11" s="574">
        <f t="shared" si="4"/>
        <v>43692.333333333314</v>
      </c>
      <c r="BD11" s="148">
        <f t="shared" ca="1" si="5"/>
        <v>5295</v>
      </c>
      <c r="BE11" s="356"/>
      <c r="BF11" s="348"/>
      <c r="BG11" s="348"/>
      <c r="BH11" s="348"/>
      <c r="BI11" s="348"/>
      <c r="BJ11" s="348"/>
      <c r="BK11" s="348"/>
      <c r="BL11" s="357"/>
      <c r="BN11" s="503">
        <f>Construction!BM11/Construction!E11</f>
        <v>0</v>
      </c>
      <c r="BO11" s="171">
        <f>Construction!BD11/Construction!E11</f>
        <v>0</v>
      </c>
      <c r="BP11" s="152">
        <f>ROUNDUP((1-MIN(AB11*smithy_bonus,smithy_bonus_cap))*(1+Techs!AO11*tech_master_of_frugality)*spec_op_plat,0)</f>
        <v>275</v>
      </c>
      <c r="BQ11" s="164">
        <f>ROUNDUP(IF(race="Gnome",1,(1-MIN(AB11*smithy_bonus,smithy_bonus_cap))*(1+Techs!AO11*tech_master_of_frugality))*spec_op_ore,0)</f>
        <v>25</v>
      </c>
      <c r="BR11" s="164">
        <f t="shared" si="6"/>
        <v>0</v>
      </c>
      <c r="BS11" s="164">
        <f t="shared" si="7"/>
        <v>0</v>
      </c>
      <c r="BT11" s="164">
        <f ca="1">ROUNDUP((1-MIN(AB11*smithy_bonus,smithy_bonus_cap))*(1+Techs!AO11*tech_master_of_frugality)*spec_dp_plat,0)</f>
        <v>275</v>
      </c>
      <c r="BU11" s="164">
        <f ca="1">ROUNDUP(IF(OR(race="Gnome",race="Imperial Gnome"),1,(1-MIN(AB11*smithy_bonus,smithy_bonus_cap))*(1+Techs!AO11*tech_master_of_frugality))*spec_dp_ore,0)</f>
        <v>10</v>
      </c>
      <c r="BV11" s="164">
        <f t="shared" ca="1" si="8"/>
        <v>0</v>
      </c>
      <c r="BW11" s="164">
        <f t="shared" ca="1" si="9"/>
        <v>0</v>
      </c>
      <c r="BX11" s="164">
        <f t="shared" ca="1" si="10"/>
        <v>0</v>
      </c>
      <c r="BY11" s="164">
        <f ca="1">ROUNDUP((1-MIN(AB11*smithy_bonus,smithy_bonus_cap))*(1+Techs!AO11*tech_master_of_frugality)*elite1_plat,0)</f>
        <v>1000</v>
      </c>
      <c r="BZ11" s="164">
        <f ca="1">ROUNDUP(IF(race="Gnome",1,(1-MIN(AB11*smithy_bonus,smithy_bonus_cap))*(1+Techs!AO11*tech_master_of_frugality))*elite1_ore,0)</f>
        <v>75</v>
      </c>
      <c r="CA11" s="164">
        <f t="shared" ca="1" si="11"/>
        <v>0</v>
      </c>
      <c r="CB11" s="164">
        <f t="shared" ca="1" si="12"/>
        <v>0</v>
      </c>
      <c r="CC11" s="164">
        <f t="shared" ca="1" si="13"/>
        <v>0</v>
      </c>
      <c r="CD11" s="164">
        <f t="shared" ca="1" si="14"/>
        <v>0</v>
      </c>
      <c r="CE11" s="164">
        <f t="shared" ca="1" si="15"/>
        <v>0</v>
      </c>
      <c r="CF11" s="164">
        <f ca="1">ROUNDUP((1-MIN(AB11*smithy_bonus,smithy_bonus_cap))*(1+Techs!AO11*tech_master_of_frugality)*elite2_plat,0)</f>
        <v>1250</v>
      </c>
      <c r="CG11" s="164">
        <f ca="1">ROUNDUP(IF(race="Gnome",1,(1-MIN(AB11*smithy_bonus,smithy_bonus_cap))*(1+Techs!AO11*tech_master_of_frugality))*elite2_ore,0)</f>
        <v>100</v>
      </c>
      <c r="CH11" s="164">
        <f t="shared" ca="1" si="16"/>
        <v>0</v>
      </c>
      <c r="CI11" s="164">
        <f t="shared" ca="1" si="17"/>
        <v>0</v>
      </c>
      <c r="CJ11" s="164">
        <f t="shared" ca="1" si="18"/>
        <v>0</v>
      </c>
      <c r="CK11" s="164">
        <f t="shared" ca="1" si="19"/>
        <v>0</v>
      </c>
      <c r="CL11" s="164">
        <f t="shared" ca="1" si="20"/>
        <v>0</v>
      </c>
      <c r="CM11" s="164">
        <f>ROUNDUP((1+tech_spy_cost*Techs!AJ11)*spy_plat,0)</f>
        <v>500</v>
      </c>
      <c r="CN11" s="164">
        <f>ROUNDUP((1+tech_wizard_cost*Techs!AM11-MIN(ROUND(wg_wiz_cost_bonus*BN11,4),wg_wiz_cost_cap))*wizard_plat,0)</f>
        <v>500</v>
      </c>
      <c r="CO11" s="166">
        <f>ROUNDUP((1+tech_wizard_cost*Techs!AM11-MIN(ROUND(wg_wiz_cost_bonus*BN11,4),wg_wiz_cost_cap))*archmage_plat,0)</f>
        <v>1000</v>
      </c>
      <c r="CQ11" s="465">
        <f ca="1">Construction!DF11/Construction!E11</f>
        <v>0.28000000000000003</v>
      </c>
      <c r="CR11" s="466">
        <f t="shared" si="21"/>
        <v>0</v>
      </c>
      <c r="CS11" s="466">
        <f>Construction!BK11/Construction!E11</f>
        <v>0.05</v>
      </c>
      <c r="CT11" s="466">
        <f>Construction!BJ11/Construction!E11</f>
        <v>0</v>
      </c>
      <c r="CU11" s="466">
        <f>Construction!AY11/Construction!E11</f>
        <v>0</v>
      </c>
      <c r="CV11" s="481">
        <f t="shared" ca="1" si="22"/>
        <v>1.4000000000000001</v>
      </c>
      <c r="CW11" s="482">
        <f t="shared" ca="1" si="23"/>
        <v>1.4000000000000001</v>
      </c>
      <c r="CX11" s="482">
        <f t="shared" ca="1" si="24"/>
        <v>1.4000000000000001</v>
      </c>
      <c r="CY11" s="483">
        <f t="shared" ca="1" si="25"/>
        <v>1.4000000000000001</v>
      </c>
      <c r="CZ11" s="483">
        <f t="shared" si="26"/>
        <v>0</v>
      </c>
      <c r="DA11" s="483">
        <f t="shared" ca="1" si="27"/>
        <v>3</v>
      </c>
      <c r="DB11" s="483">
        <f t="shared" ca="1" si="28"/>
        <v>1.4000000000000001</v>
      </c>
      <c r="DC11" s="482">
        <f t="shared" si="29"/>
        <v>0</v>
      </c>
      <c r="DD11" s="847">
        <f t="shared" si="55"/>
        <v>0</v>
      </c>
      <c r="DE11" s="440">
        <f t="shared" si="56"/>
        <v>0</v>
      </c>
      <c r="DF11" s="440">
        <f t="shared" si="57"/>
        <v>0</v>
      </c>
      <c r="DG11" s="481">
        <f t="shared" ca="1" si="30"/>
        <v>1.4000000000000001</v>
      </c>
      <c r="DH11" s="450">
        <f t="shared" si="58"/>
        <v>0</v>
      </c>
      <c r="DI11" s="450">
        <f>MIN(valkyrja_cap,Production!O11/valkyrja_bonus)</f>
        <v>1</v>
      </c>
      <c r="DJ11" s="847">
        <f>MIN(voodoo_magi_cap,Production!O11/voodoo_magi_bonus)</f>
        <v>0.83333333333333337</v>
      </c>
      <c r="DK11" s="847">
        <f>MIN(warlock_cap,Production!O11/warlock_bonus)</f>
        <v>1.25</v>
      </c>
      <c r="DL11" s="847">
        <f ca="1">MIN(nox_nightshade_cap,Construction!DF11/Construction!E11/nox_nightshade_swamp_bonus)</f>
        <v>2.8000000000000003</v>
      </c>
      <c r="DM11" s="482">
        <f t="shared" si="31"/>
        <v>0</v>
      </c>
      <c r="DN11" s="483">
        <f t="shared" ca="1" si="32"/>
        <v>2.8000000000000003</v>
      </c>
      <c r="DO11" s="483">
        <f t="shared" ca="1" si="33"/>
        <v>2.8000000000000003</v>
      </c>
      <c r="DP11" s="483">
        <f t="shared" si="34"/>
        <v>1</v>
      </c>
      <c r="DQ11" s="482">
        <f t="shared" si="35"/>
        <v>0</v>
      </c>
      <c r="DR11" s="483">
        <f t="shared" si="36"/>
        <v>0</v>
      </c>
      <c r="DS11" s="482">
        <f t="shared" si="37"/>
        <v>0</v>
      </c>
      <c r="DT11" s="483">
        <f t="shared" si="59"/>
        <v>0</v>
      </c>
      <c r="DU11" s="107" t="s">
        <v>579</v>
      </c>
      <c r="DV11" s="16" t="b">
        <f t="shared" si="60"/>
        <v>0</v>
      </c>
      <c r="DX11" s="487">
        <f ca="1">MIN(6,CV11+Races!$F$19)*1.8 +  IF(CV11+Races!$F$19&gt;6,(CV11+Races!$F$19-6)*0.2,0) - Races!$N$19</f>
        <v>2.5200000000000005</v>
      </c>
      <c r="DY11" s="488">
        <f ca="1">1.8 * MIN(MAX(CW11+Races!$E$20,CX11+Races!$F$20),6)  +  0.45 * MIN(MIN(CW11+Races!$E$20,CX11+Races!$F$20),6)  +  0.2 * ( MAX(CW11+Races!$E$20-6,0) + MAX(CX11+Races!$F$20-6,0) )  -  Races!$N$20</f>
        <v>3.1500000000000012</v>
      </c>
      <c r="DZ11" s="57">
        <f t="shared" ca="1" si="38"/>
        <v>0</v>
      </c>
      <c r="EA11" s="666">
        <f ca="1">MIN(6,CY11+Races!$F$35)*1.8 +  IF(CY11+Races!$F$35&gt;6,(CY11+Races!$F$35-6)*0.2,0) - Races!$N$19</f>
        <v>0.72000000000000064</v>
      </c>
      <c r="EB11" s="57">
        <f t="shared" ca="1" si="39"/>
        <v>0</v>
      </c>
      <c r="EC11" s="666">
        <f ca="1">1.8 * MIN(MAX(Races!$E$27,DB11+Races!$F$27),6)  +  0.45 * MIN(MIN(Races!$E$27,DB11+Races!$F$27),6)  +  0.2 * ( MAX(Races!$E$27-6,0) + MAX(DB11+Races!$F$27-6,0) )  -  Races!$N$20</f>
        <v>4.7700000000000005</v>
      </c>
      <c r="ED11" s="57">
        <f t="shared" ca="1" si="40"/>
        <v>0</v>
      </c>
      <c r="EE11" s="666">
        <f>1.8 * MIN(MAX(DC11+Races!$E$47,DD11+Races!$F$47),6)  +  0.45 * MIN(MIN(DC11+Races!$E$47,DD11+Races!$F$47),6)  +  0.2 * ( MAX(DC11+Races!$E$47-6,0) + MAX(DD11+Races!$F$47-6,0) )  -  Races!$N$47</f>
        <v>0</v>
      </c>
      <c r="EF11" s="57">
        <f t="shared" si="41"/>
        <v>0</v>
      </c>
      <c r="EG11" s="666">
        <f ca="1">1.8 * MIN(MAX(DG11+Races!$F$71,Races!$E$71),6)  +  0.45 * MIN(MIN(DG11+Races!$F$71,Races!$E$71),6)  +  0.2 * ( MAX(DG11+Races!$F$71-6,0) + MAX(Races!$E$71-6,0) )  -  Races!$N$71</f>
        <v>2.5200000000000014</v>
      </c>
      <c r="EH11" s="666">
        <f>1.8 * MIN(MAX(DH11+Races!$E$71,Races!$F$71),6)  +  0.45 * MIN(MIN(DH11+Races!$E$71,Races!$F$71),6)  +  0.2 * ( MAX(DH11+Races!$E$71-6,0) + MAX(Races!$F$71-6,0) )  -  Races!$N$71</f>
        <v>0</v>
      </c>
      <c r="EI11" s="57">
        <f t="shared" ca="1" si="42"/>
        <v>0</v>
      </c>
      <c r="EJ11" s="57"/>
      <c r="EK11" s="57"/>
      <c r="EL11" s="57"/>
      <c r="EM11" s="57">
        <f ca="1">Overview!$L$22*E11+Overview!$L$23*F11+Overview!$L$24*G11+Overview!$L$25*H11+Overview!$L$26*I11+Overview!$L$27*J11+Overview!$L$28*K11+Construction!E11*20+Construction!B11*5 + DZ11*$DV$4+EB11*$DV$5+ED11*$DV$6+EF11*$DV$7+EI11*$DV$9</f>
        <v>20900</v>
      </c>
      <c r="EO11" s="738">
        <f>(J11+2*K11)/Construction!E11</f>
        <v>0</v>
      </c>
      <c r="EP11" s="734">
        <f ca="1">EO11*(1+race_wizard_strength+tech_magical_weaponry_wiz*Techs!AV83)</f>
        <v>0</v>
      </c>
      <c r="EQ11" s="16">
        <f>(I11+halfer*H11/3)/Construction!E11</f>
        <v>0</v>
      </c>
    </row>
    <row r="12" spans="1:147" s="16" customFormat="1">
      <c r="A12" s="629">
        <f>Rezone!J12</f>
        <v>10</v>
      </c>
      <c r="B12" s="152">
        <f ca="1">SUM(E12:L12)+SUM(AF4:AG12)+SUM(AH$3:AI12)+Z12</f>
        <v>5295</v>
      </c>
      <c r="C12" s="97">
        <f ca="1">Population!G12</f>
        <v>0.44812461459106029</v>
      </c>
      <c r="E12" s="156">
        <f t="shared" ref="E12:E14" si="61">E11 - BF12 + AF3</f>
        <v>0</v>
      </c>
      <c r="F12" s="170">
        <f t="shared" ref="F12:F14" si="62">F11 - BG12 + AG3</f>
        <v>0</v>
      </c>
      <c r="G12" s="170">
        <f t="shared" ref="G12:I14" si="63">G11 - BH12</f>
        <v>0</v>
      </c>
      <c r="H12" s="170">
        <f t="shared" si="63"/>
        <v>0</v>
      </c>
      <c r="I12" s="170">
        <f t="shared" si="63"/>
        <v>0</v>
      </c>
      <c r="J12" s="170">
        <f t="shared" si="44"/>
        <v>0</v>
      </c>
      <c r="K12" s="157">
        <f t="shared" si="45"/>
        <v>0</v>
      </c>
      <c r="M12" s="64">
        <f ca="1">Production!G12</f>
        <v>20900</v>
      </c>
      <c r="O12" s="234">
        <f t="shared" ca="1" si="0"/>
        <v>0</v>
      </c>
      <c r="P12" s="455">
        <f ca="1">race_offense+Imps!AB12+ROUND(MIN(gn_bonus*Construction!BF12/Construction!$E12,gn_bonus_cap),4)+MAX(IF(Magic!$AN12&gt;0,warsong_bonus),IF(Magic!AP12&gt;0,howling_op_bonus),IF(Magic!AS12&gt;0,nightfall_bonus),IF(Magic!AT12&gt;0,crusade_bonus),IF(Magic!AU12&gt;0,killingrage_bonus),IF(Magic!AV12&gt;0,bloodrage_bonus)) + Production!O12/100*prestige_offense_bonus + MAX(tech_military_offense*Techs!AH12,tech_magical_weaponry_op*Techs!AV12)</f>
        <v>0.05</v>
      </c>
      <c r="Q12" s="235">
        <f t="shared" ca="1" si="46"/>
        <v>0</v>
      </c>
      <c r="R12" s="234">
        <f ca="1">F12*(spec_dp+spirit*DR12)+G12*(elite1_dp+woodie*CV12+sylvan*CY12+gnome*DB12+dark_elf*DD12+icekin*DG12+orc*DJ12+nox*DL12+beast*DN12+sacred*DP12+spirit*DS12+blackorc*DK12)+H12*(elite2_dp+woodie*CX12+beast*DO12+sacred*DQ12) + fh_peas_dp*MIN(Population!C12,20*Construction!BD12)+kobold*DE12</f>
        <v>0</v>
      </c>
      <c r="S12" s="235">
        <f t="shared" ca="1" si="1"/>
        <v>5295</v>
      </c>
      <c r="T12" s="1052">
        <f ca="1">race_defense+Imps!AC12+ROUND(MIN(gt_bonus*Construction!BH12/Construction!$E12,gt_bonus_cap),4)+MAX(IF(Magic!AM12&gt;0,frenzy_bonus,IF(Magic!AQ12&gt;0,blizzard_bonus,IF(Magic!AP12&gt;0,howling_dp_bonus,IF(Magic!AI12&gt;0,ares_call_bonus)))),IF(Magic!AX12&gt;0,MIN(Construction!DF12/Construction!E12,0.2),0))</f>
        <v>0</v>
      </c>
      <c r="U12" s="1046">
        <f t="shared" ca="1" si="47"/>
        <v>0</v>
      </c>
      <c r="V12" s="308">
        <f t="shared" ca="1" si="48"/>
        <v>5295</v>
      </c>
      <c r="W12" s="310">
        <f>Construction!E12</f>
        <v>1000</v>
      </c>
      <c r="X12" s="367"/>
      <c r="Y12" s="146">
        <f t="shared" si="49"/>
        <v>0.4</v>
      </c>
      <c r="Z12" s="166">
        <f ca="1">Z11+Population!Z11 - IF(race="Lux",AF12,SUM(AF12:AK12)) - BE12 + SUM(BF12:BL12) - Explore!AI12</f>
        <v>5295</v>
      </c>
      <c r="AA12" s="164"/>
      <c r="AB12" s="91">
        <f>(Construction!$BA12+Construction!BY12)/(Construction!$E12-Explore!S12*20)</f>
        <v>0</v>
      </c>
      <c r="AC12" s="529"/>
      <c r="AD12" s="799">
        <f>Rezone!J12</f>
        <v>10</v>
      </c>
      <c r="AE12" s="589">
        <f>Explore!AA12</f>
        <v>43692.374999999978</v>
      </c>
      <c r="AF12" s="356"/>
      <c r="AG12" s="348"/>
      <c r="AH12" s="348"/>
      <c r="AI12" s="348"/>
      <c r="AJ12" s="348"/>
      <c r="AK12" s="348"/>
      <c r="AL12" s="357"/>
      <c r="AN12" s="56">
        <f ca="1">Production!$H12</f>
        <v>4023480</v>
      </c>
      <c r="AO12" s="26">
        <f ca="1">Production!$L12</f>
        <v>300000</v>
      </c>
      <c r="AP12" s="26">
        <f ca="1">Production!J12</f>
        <v>297869</v>
      </c>
      <c r="AQ12" s="26">
        <f ca="1">Production!M12</f>
        <v>20000</v>
      </c>
      <c r="AR12" s="26">
        <f ca="1">Production!K12</f>
        <v>27065</v>
      </c>
      <c r="AS12" s="26">
        <f ca="1">Production!I12</f>
        <v>76730</v>
      </c>
      <c r="AT12" s="26">
        <f ca="1">Production!N12</f>
        <v>200</v>
      </c>
      <c r="AU12" s="152">
        <f t="shared" ca="1" si="2"/>
        <v>0</v>
      </c>
      <c r="AV12" s="164">
        <f t="shared" ca="1" si="3"/>
        <v>0</v>
      </c>
      <c r="AW12" s="164">
        <f t="shared" ca="1" si="50"/>
        <v>0</v>
      </c>
      <c r="AX12" s="164">
        <f t="shared" ca="1" si="51"/>
        <v>0</v>
      </c>
      <c r="AY12" s="164">
        <f t="shared" ca="1" si="52"/>
        <v>0</v>
      </c>
      <c r="AZ12" s="164">
        <f t="shared" ca="1" si="53"/>
        <v>0</v>
      </c>
      <c r="BA12" s="166">
        <f t="shared" ca="1" si="54"/>
        <v>0</v>
      </c>
      <c r="BB12" s="16">
        <v>10</v>
      </c>
      <c r="BC12" s="574">
        <f t="shared" si="4"/>
        <v>43692.374999999978</v>
      </c>
      <c r="BD12" s="148">
        <f t="shared" ca="1" si="5"/>
        <v>5295</v>
      </c>
      <c r="BE12" s="356"/>
      <c r="BF12" s="348"/>
      <c r="BG12" s="348"/>
      <c r="BH12" s="348"/>
      <c r="BI12" s="348"/>
      <c r="BJ12" s="348"/>
      <c r="BK12" s="348"/>
      <c r="BL12" s="357"/>
      <c r="BN12" s="503">
        <f>Construction!BM12/Construction!E12</f>
        <v>0</v>
      </c>
      <c r="BO12" s="171">
        <f>Construction!BD12/Construction!E12</f>
        <v>0</v>
      </c>
      <c r="BP12" s="152">
        <f>ROUNDUP((1-MIN(AB12*smithy_bonus,smithy_bonus_cap))*(1+Techs!AO12*tech_master_of_frugality)*spec_op_plat,0)</f>
        <v>275</v>
      </c>
      <c r="BQ12" s="164">
        <f>ROUNDUP(IF(race="Gnome",1,(1-MIN(AB12*smithy_bonus,smithy_bonus_cap))*(1+Techs!AO12*tech_master_of_frugality))*spec_op_ore,0)</f>
        <v>25</v>
      </c>
      <c r="BR12" s="164">
        <f t="shared" si="6"/>
        <v>0</v>
      </c>
      <c r="BS12" s="164">
        <f t="shared" si="7"/>
        <v>0</v>
      </c>
      <c r="BT12" s="164">
        <f ca="1">ROUNDUP((1-MIN(AB12*smithy_bonus,smithy_bonus_cap))*(1+Techs!AO12*tech_master_of_frugality)*spec_dp_plat,0)</f>
        <v>275</v>
      </c>
      <c r="BU12" s="164">
        <f ca="1">ROUNDUP(IF(OR(race="Gnome",race="Imperial Gnome"),1,(1-MIN(AB12*smithy_bonus,smithy_bonus_cap))*(1+Techs!AO12*tech_master_of_frugality))*spec_dp_ore,0)</f>
        <v>10</v>
      </c>
      <c r="BV12" s="164">
        <f t="shared" ca="1" si="8"/>
        <v>0</v>
      </c>
      <c r="BW12" s="164">
        <f t="shared" ca="1" si="9"/>
        <v>0</v>
      </c>
      <c r="BX12" s="164">
        <f t="shared" ca="1" si="10"/>
        <v>0</v>
      </c>
      <c r="BY12" s="164">
        <f ca="1">ROUNDUP((1-MIN(AB12*smithy_bonus,smithy_bonus_cap))*(1+Techs!AO12*tech_master_of_frugality)*elite1_plat,0)</f>
        <v>1000</v>
      </c>
      <c r="BZ12" s="164">
        <f ca="1">ROUNDUP(IF(race="Gnome",1,(1-MIN(AB12*smithy_bonus,smithy_bonus_cap))*(1+Techs!AO12*tech_master_of_frugality))*elite1_ore,0)</f>
        <v>75</v>
      </c>
      <c r="CA12" s="164">
        <f t="shared" ca="1" si="11"/>
        <v>0</v>
      </c>
      <c r="CB12" s="164">
        <f t="shared" ca="1" si="12"/>
        <v>0</v>
      </c>
      <c r="CC12" s="164">
        <f t="shared" ca="1" si="13"/>
        <v>0</v>
      </c>
      <c r="CD12" s="164">
        <f t="shared" ca="1" si="14"/>
        <v>0</v>
      </c>
      <c r="CE12" s="164">
        <f t="shared" ca="1" si="15"/>
        <v>0</v>
      </c>
      <c r="CF12" s="164">
        <f ca="1">ROUNDUP((1-MIN(AB12*smithy_bonus,smithy_bonus_cap))*(1+Techs!AO12*tech_master_of_frugality)*elite2_plat,0)</f>
        <v>1250</v>
      </c>
      <c r="CG12" s="164">
        <f ca="1">ROUNDUP(IF(race="Gnome",1,(1-MIN(AB12*smithy_bonus,smithy_bonus_cap))*(1+Techs!AO12*tech_master_of_frugality))*elite2_ore,0)</f>
        <v>100</v>
      </c>
      <c r="CH12" s="164">
        <f t="shared" ca="1" si="16"/>
        <v>0</v>
      </c>
      <c r="CI12" s="164">
        <f t="shared" ca="1" si="17"/>
        <v>0</v>
      </c>
      <c r="CJ12" s="164">
        <f t="shared" ca="1" si="18"/>
        <v>0</v>
      </c>
      <c r="CK12" s="164">
        <f t="shared" ca="1" si="19"/>
        <v>0</v>
      </c>
      <c r="CL12" s="164">
        <f t="shared" ca="1" si="20"/>
        <v>0</v>
      </c>
      <c r="CM12" s="164">
        <f>ROUNDUP((1+tech_spy_cost*Techs!AJ12)*spy_plat,0)</f>
        <v>500</v>
      </c>
      <c r="CN12" s="164">
        <f>ROUNDUP((1+tech_wizard_cost*Techs!AM12-MIN(ROUND(wg_wiz_cost_bonus*BN12,4),wg_wiz_cost_cap))*wizard_plat,0)</f>
        <v>500</v>
      </c>
      <c r="CO12" s="166">
        <f>ROUNDUP((1+tech_wizard_cost*Techs!AM12-MIN(ROUND(wg_wiz_cost_bonus*BN12,4),wg_wiz_cost_cap))*archmage_plat,0)</f>
        <v>1000</v>
      </c>
      <c r="CQ12" s="465">
        <f ca="1">Construction!DF12/Construction!E12</f>
        <v>0.28000000000000003</v>
      </c>
      <c r="CR12" s="466">
        <f t="shared" si="21"/>
        <v>0</v>
      </c>
      <c r="CS12" s="466">
        <f>Construction!BK12/Construction!E12</f>
        <v>0.05</v>
      </c>
      <c r="CT12" s="466">
        <f>Construction!BJ12/Construction!E12</f>
        <v>0</v>
      </c>
      <c r="CU12" s="466">
        <f>Construction!AY12/Construction!E12</f>
        <v>0</v>
      </c>
      <c r="CV12" s="481">
        <f t="shared" ca="1" si="22"/>
        <v>1.4000000000000001</v>
      </c>
      <c r="CW12" s="482">
        <f t="shared" ca="1" si="23"/>
        <v>1.4000000000000001</v>
      </c>
      <c r="CX12" s="482">
        <f t="shared" ca="1" si="24"/>
        <v>1.4000000000000001</v>
      </c>
      <c r="CY12" s="483">
        <f t="shared" ca="1" si="25"/>
        <v>1.4000000000000001</v>
      </c>
      <c r="CZ12" s="483">
        <f t="shared" si="26"/>
        <v>0</v>
      </c>
      <c r="DA12" s="483">
        <f t="shared" ca="1" si="27"/>
        <v>3</v>
      </c>
      <c r="DB12" s="483">
        <f t="shared" ca="1" si="28"/>
        <v>1.4000000000000001</v>
      </c>
      <c r="DC12" s="482">
        <f t="shared" si="29"/>
        <v>0</v>
      </c>
      <c r="DD12" s="847">
        <f t="shared" si="55"/>
        <v>0</v>
      </c>
      <c r="DE12" s="440">
        <f t="shared" si="56"/>
        <v>0</v>
      </c>
      <c r="DF12" s="440">
        <f t="shared" si="57"/>
        <v>0</v>
      </c>
      <c r="DG12" s="481">
        <f t="shared" ca="1" si="30"/>
        <v>1.4000000000000001</v>
      </c>
      <c r="DH12" s="450">
        <f t="shared" si="58"/>
        <v>0</v>
      </c>
      <c r="DI12" s="450">
        <f>MIN(valkyrja_cap,Production!O12/valkyrja_bonus)</f>
        <v>1</v>
      </c>
      <c r="DJ12" s="847">
        <f>MIN(voodoo_magi_cap,Production!O12/voodoo_magi_bonus)</f>
        <v>0.83333333333333337</v>
      </c>
      <c r="DK12" s="847">
        <f>MIN(warlock_cap,Production!O12/warlock_bonus)</f>
        <v>1.25</v>
      </c>
      <c r="DL12" s="847">
        <f ca="1">MIN(nox_nightshade_cap,Construction!DF12/Construction!E12/nox_nightshade_swamp_bonus)</f>
        <v>2.8000000000000003</v>
      </c>
      <c r="DM12" s="482">
        <f t="shared" si="31"/>
        <v>0</v>
      </c>
      <c r="DN12" s="483">
        <f t="shared" ca="1" si="32"/>
        <v>2.8000000000000003</v>
      </c>
      <c r="DO12" s="483">
        <f t="shared" ca="1" si="33"/>
        <v>2.8000000000000003</v>
      </c>
      <c r="DP12" s="483">
        <f t="shared" si="34"/>
        <v>1</v>
      </c>
      <c r="DQ12" s="482">
        <f t="shared" si="35"/>
        <v>0</v>
      </c>
      <c r="DR12" s="483">
        <f t="shared" si="36"/>
        <v>0</v>
      </c>
      <c r="DS12" s="482">
        <f t="shared" si="37"/>
        <v>0</v>
      </c>
      <c r="DT12" s="483">
        <f t="shared" si="59"/>
        <v>0</v>
      </c>
      <c r="DU12" s="1194" t="s">
        <v>604</v>
      </c>
      <c r="DV12" s="16" t="b">
        <f t="shared" si="60"/>
        <v>0</v>
      </c>
      <c r="DX12" s="487">
        <f ca="1">MIN(6,CV12+Races!$F$19)*1.8 +  IF(CV12+Races!$F$19&gt;6,(CV12+Races!$F$19-6)*0.2,0) - Races!$N$19</f>
        <v>2.5200000000000005</v>
      </c>
      <c r="DY12" s="488">
        <f ca="1">1.8 * MIN(MAX(CW12+Races!$E$20,CX12+Races!$F$20),6)  +  0.45 * MIN(MIN(CW12+Races!$E$20,CX12+Races!$F$20),6)  +  0.2 * ( MAX(CW12+Races!$E$20-6,0) + MAX(CX12+Races!$F$20-6,0) )  -  Races!$N$20</f>
        <v>3.1500000000000012</v>
      </c>
      <c r="DZ12" s="57">
        <f t="shared" ca="1" si="38"/>
        <v>0</v>
      </c>
      <c r="EA12" s="666">
        <f ca="1">MIN(6,CY12+Races!$F$35)*1.8 +  IF(CY12+Races!$F$35&gt;6,(CY12+Races!$F$35-6)*0.2,0) - Races!$N$19</f>
        <v>0.72000000000000064</v>
      </c>
      <c r="EB12" s="57">
        <f t="shared" ca="1" si="39"/>
        <v>0</v>
      </c>
      <c r="EC12" s="666">
        <f ca="1">1.8 * MIN(MAX(Races!$E$27,DB12+Races!$F$27),6)  +  0.45 * MIN(MIN(Races!$E$27,DB12+Races!$F$27),6)  +  0.2 * ( MAX(Races!$E$27-6,0) + MAX(DB12+Races!$F$27-6,0) )  -  Races!$N$20</f>
        <v>4.7700000000000005</v>
      </c>
      <c r="ED12" s="57">
        <f t="shared" ca="1" si="40"/>
        <v>0</v>
      </c>
      <c r="EE12" s="666">
        <f>1.8 * MIN(MAX(DC12+Races!$E$47,DD12+Races!$F$47),6)  +  0.45 * MIN(MIN(DC12+Races!$E$47,DD12+Races!$F$47),6)  +  0.2 * ( MAX(DC12+Races!$E$47-6,0) + MAX(DD12+Races!$F$47-6,0) )  -  Races!$N$47</f>
        <v>0</v>
      </c>
      <c r="EF12" s="57">
        <f t="shared" si="41"/>
        <v>0</v>
      </c>
      <c r="EG12" s="666">
        <f ca="1">1.8 * MIN(MAX(DG12+Races!$F$71,Races!$E$71),6)  +  0.45 * MIN(MIN(DG12+Races!$F$71,Races!$E$71),6)  +  0.2 * ( MAX(DG12+Races!$F$71-6,0) + MAX(Races!$E$71-6,0) )  -  Races!$N$71</f>
        <v>2.5200000000000014</v>
      </c>
      <c r="EH12" s="666">
        <f>1.8 * MIN(MAX(DH12+Races!$E$71,Races!$F$71),6)  +  0.45 * MIN(MIN(DH12+Races!$E$71,Races!$F$71),6)  +  0.2 * ( MAX(DH12+Races!$E$71-6,0) + MAX(Races!$F$71-6,0) )  -  Races!$N$71</f>
        <v>0</v>
      </c>
      <c r="EI12" s="57">
        <f t="shared" ca="1" si="42"/>
        <v>0</v>
      </c>
      <c r="EJ12" s="57"/>
      <c r="EK12" s="57"/>
      <c r="EL12" s="57"/>
      <c r="EM12" s="57">
        <f ca="1">Overview!$L$22*E12+Overview!$L$23*F12+Overview!$L$24*G12+Overview!$L$25*H12+Overview!$L$26*I12+Overview!$L$27*J12+Overview!$L$28*K12+Construction!E12*20+Construction!B12*5 + DZ12*$DV$4+EB12*$DV$5+ED12*$DV$6+EF12*$DV$7+EI12*$DV$9</f>
        <v>20900</v>
      </c>
      <c r="EO12" s="738">
        <f>(J12+2*K12)/Construction!E12</f>
        <v>0</v>
      </c>
      <c r="EP12" s="734">
        <f ca="1">EO12*(1+race_wizard_strength+tech_magical_weaponry_wiz*Techs!AV84)</f>
        <v>0</v>
      </c>
      <c r="EQ12" s="16">
        <f>(I12+halfer*H12/3)/Construction!E12</f>
        <v>0</v>
      </c>
    </row>
    <row r="13" spans="1:147" s="16" customFormat="1">
      <c r="A13" s="629">
        <f>Rezone!J13</f>
        <v>11</v>
      </c>
      <c r="B13" s="152">
        <f ca="1">SUM(E13:L13)+SUM(AF5:AG13)+SUM(AH$3:AI13)+Z13</f>
        <v>5295</v>
      </c>
      <c r="C13" s="97">
        <f ca="1">Population!G13</f>
        <v>0.46084095353322907</v>
      </c>
      <c r="E13" s="156">
        <f>E12 - BF13 + AF4</f>
        <v>0</v>
      </c>
      <c r="F13" s="170">
        <f t="shared" si="62"/>
        <v>0</v>
      </c>
      <c r="G13" s="170">
        <f t="shared" si="63"/>
        <v>0</v>
      </c>
      <c r="H13" s="170">
        <f t="shared" si="63"/>
        <v>0</v>
      </c>
      <c r="I13" s="170">
        <f t="shared" si="63"/>
        <v>0</v>
      </c>
      <c r="J13" s="170">
        <f t="shared" si="44"/>
        <v>0</v>
      </c>
      <c r="K13" s="157">
        <f t="shared" si="45"/>
        <v>0</v>
      </c>
      <c r="M13" s="64">
        <f ca="1">Production!G13</f>
        <v>20900</v>
      </c>
      <c r="O13" s="234">
        <f t="shared" ca="1" si="0"/>
        <v>0</v>
      </c>
      <c r="P13" s="455">
        <f ca="1">race_offense+Imps!AB13+ROUND(MIN(gn_bonus*Construction!BF13/Construction!$E13,gn_bonus_cap),4)+MAX(IF(Magic!$AN13&gt;0,warsong_bonus),IF(Magic!AP13&gt;0,howling_op_bonus),IF(Magic!AS13&gt;0,nightfall_bonus),IF(Magic!AT13&gt;0,crusade_bonus),IF(Magic!AU13&gt;0,killingrage_bonus),IF(Magic!AV13&gt;0,bloodrage_bonus)) + Production!O13/100*prestige_offense_bonus + MAX(tech_military_offense*Techs!AH13,tech_magical_weaponry_op*Techs!AV13)</f>
        <v>0.05</v>
      </c>
      <c r="Q13" s="235">
        <f t="shared" ca="1" si="46"/>
        <v>0</v>
      </c>
      <c r="R13" s="234">
        <f ca="1">F13*(spec_dp+spirit*DR13)+G13*(elite1_dp+woodie*CV13+sylvan*CY13+gnome*DB13+dark_elf*DD13+icekin*DG13+orc*DJ13+nox*DL13+beast*DN13+sacred*DP13+spirit*DS13+blackorc*DK13)+H13*(elite2_dp+woodie*CX13+beast*DO13+sacred*DQ13) + fh_peas_dp*MIN(Population!C13,20*Construction!BD13)+kobold*DE13</f>
        <v>0</v>
      </c>
      <c r="S13" s="235">
        <f t="shared" ca="1" si="1"/>
        <v>5295</v>
      </c>
      <c r="T13" s="1052">
        <f ca="1">race_defense+Imps!AC13+ROUND(MIN(gt_bonus*Construction!BH13/Construction!$E13,gt_bonus_cap),4)+MAX(IF(Magic!AM13&gt;0,frenzy_bonus,IF(Magic!AQ13&gt;0,blizzard_bonus,IF(Magic!AP13&gt;0,howling_dp_bonus,IF(Magic!AI13&gt;0,ares_call_bonus)))),IF(Magic!AX13&gt;0,MIN(Construction!DF13/Construction!E13,0.2),0))</f>
        <v>0</v>
      </c>
      <c r="U13" s="1046">
        <f t="shared" ca="1" si="47"/>
        <v>0</v>
      </c>
      <c r="V13" s="308">
        <f t="shared" ca="1" si="48"/>
        <v>5295</v>
      </c>
      <c r="W13" s="310">
        <f>Construction!E13</f>
        <v>1000</v>
      </c>
      <c r="X13" s="367"/>
      <c r="Y13" s="146">
        <f t="shared" si="49"/>
        <v>0.4</v>
      </c>
      <c r="Z13" s="166">
        <f ca="1">Z12+Population!Z12 - IF(race="Lux",AF13,SUM(AF13:AK13)) - BE13 + SUM(BF13:BL13) - Explore!AI13</f>
        <v>5295</v>
      </c>
      <c r="AA13" s="164"/>
      <c r="AB13" s="91">
        <f>(Construction!$BA13+Construction!BY13)/(Construction!$E13-Explore!S13*20)</f>
        <v>0</v>
      </c>
      <c r="AC13" s="529"/>
      <c r="AD13" s="799">
        <f>Rezone!J13</f>
        <v>11</v>
      </c>
      <c r="AE13" s="589">
        <f>Explore!AA13</f>
        <v>43692.416666666642</v>
      </c>
      <c r="AF13" s="356"/>
      <c r="AG13" s="348"/>
      <c r="AH13" s="348"/>
      <c r="AI13" s="348"/>
      <c r="AJ13" s="348"/>
      <c r="AK13" s="348"/>
      <c r="AL13" s="357"/>
      <c r="AN13" s="56">
        <f ca="1">Production!$H13</f>
        <v>4033200</v>
      </c>
      <c r="AO13" s="26">
        <f ca="1">Production!$L13</f>
        <v>300000</v>
      </c>
      <c r="AP13" s="26">
        <f ca="1">Production!J13</f>
        <v>297390</v>
      </c>
      <c r="AQ13" s="26">
        <f ca="1">Production!M13</f>
        <v>20000</v>
      </c>
      <c r="AR13" s="26">
        <f ca="1">Production!K13</f>
        <v>27774</v>
      </c>
      <c r="AS13" s="26">
        <f ca="1">Production!I13</f>
        <v>80049</v>
      </c>
      <c r="AT13" s="26">
        <f ca="1">Production!N13</f>
        <v>200</v>
      </c>
      <c r="AU13" s="152">
        <f t="shared" ca="1" si="2"/>
        <v>0</v>
      </c>
      <c r="AV13" s="164">
        <f t="shared" ca="1" si="3"/>
        <v>0</v>
      </c>
      <c r="AW13" s="164">
        <f t="shared" ca="1" si="50"/>
        <v>0</v>
      </c>
      <c r="AX13" s="164">
        <f t="shared" ca="1" si="51"/>
        <v>0</v>
      </c>
      <c r="AY13" s="164">
        <f t="shared" ca="1" si="52"/>
        <v>0</v>
      </c>
      <c r="AZ13" s="164">
        <f t="shared" ca="1" si="53"/>
        <v>0</v>
      </c>
      <c r="BA13" s="166">
        <f t="shared" ca="1" si="54"/>
        <v>0</v>
      </c>
      <c r="BB13" s="16">
        <v>11</v>
      </c>
      <c r="BC13" s="574">
        <f t="shared" si="4"/>
        <v>43692.416666666642</v>
      </c>
      <c r="BD13" s="148">
        <f t="shared" ca="1" si="5"/>
        <v>5295</v>
      </c>
      <c r="BE13" s="356"/>
      <c r="BF13" s="348"/>
      <c r="BG13" s="348"/>
      <c r="BH13" s="348"/>
      <c r="BI13" s="348"/>
      <c r="BJ13" s="348"/>
      <c r="BK13" s="348"/>
      <c r="BL13" s="357"/>
      <c r="BN13" s="503">
        <f>Construction!BM13/Construction!E13</f>
        <v>0</v>
      </c>
      <c r="BO13" s="171">
        <f>Construction!BD13/Construction!E13</f>
        <v>0</v>
      </c>
      <c r="BP13" s="152">
        <f>ROUNDUP((1-MIN(AB13*smithy_bonus,smithy_bonus_cap))*(1+Techs!AO13*tech_master_of_frugality)*spec_op_plat,0)</f>
        <v>275</v>
      </c>
      <c r="BQ13" s="164">
        <f>ROUNDUP(IF(race="Gnome",1,(1-MIN(AB13*smithy_bonus,smithy_bonus_cap))*(1+Techs!AO13*tech_master_of_frugality))*spec_op_ore,0)</f>
        <v>25</v>
      </c>
      <c r="BR13" s="164">
        <f t="shared" si="6"/>
        <v>0</v>
      </c>
      <c r="BS13" s="164">
        <f t="shared" si="7"/>
        <v>0</v>
      </c>
      <c r="BT13" s="164">
        <f ca="1">ROUNDUP((1-MIN(AB13*smithy_bonus,smithy_bonus_cap))*(1+Techs!AO13*tech_master_of_frugality)*spec_dp_plat,0)</f>
        <v>275</v>
      </c>
      <c r="BU13" s="164">
        <f ca="1">ROUNDUP(IF(OR(race="Gnome",race="Imperial Gnome"),1,(1-MIN(AB13*smithy_bonus,smithy_bonus_cap))*(1+Techs!AO13*tech_master_of_frugality))*spec_dp_ore,0)</f>
        <v>10</v>
      </c>
      <c r="BV13" s="164">
        <f t="shared" ca="1" si="8"/>
        <v>0</v>
      </c>
      <c r="BW13" s="164">
        <f t="shared" ca="1" si="9"/>
        <v>0</v>
      </c>
      <c r="BX13" s="164">
        <f t="shared" ca="1" si="10"/>
        <v>0</v>
      </c>
      <c r="BY13" s="164">
        <f ca="1">ROUNDUP((1-MIN(AB13*smithy_bonus,smithy_bonus_cap))*(1+Techs!AO13*tech_master_of_frugality)*elite1_plat,0)</f>
        <v>1000</v>
      </c>
      <c r="BZ13" s="164">
        <f ca="1">ROUNDUP(IF(race="Gnome",1,(1-MIN(AB13*smithy_bonus,smithy_bonus_cap))*(1+Techs!AO13*tech_master_of_frugality))*elite1_ore,0)</f>
        <v>75</v>
      </c>
      <c r="CA13" s="164">
        <f t="shared" ca="1" si="11"/>
        <v>0</v>
      </c>
      <c r="CB13" s="164">
        <f t="shared" ca="1" si="12"/>
        <v>0</v>
      </c>
      <c r="CC13" s="164">
        <f t="shared" ca="1" si="13"/>
        <v>0</v>
      </c>
      <c r="CD13" s="164">
        <f t="shared" ca="1" si="14"/>
        <v>0</v>
      </c>
      <c r="CE13" s="164">
        <f t="shared" ca="1" si="15"/>
        <v>0</v>
      </c>
      <c r="CF13" s="164">
        <f ca="1">ROUNDUP((1-MIN(AB13*smithy_bonus,smithy_bonus_cap))*(1+Techs!AO13*tech_master_of_frugality)*elite2_plat,0)</f>
        <v>1250</v>
      </c>
      <c r="CG13" s="164">
        <f ca="1">ROUNDUP(IF(race="Gnome",1,(1-MIN(AB13*smithy_bonus,smithy_bonus_cap))*(1+Techs!AO13*tech_master_of_frugality))*elite2_ore,0)</f>
        <v>100</v>
      </c>
      <c r="CH13" s="164">
        <f t="shared" ca="1" si="16"/>
        <v>0</v>
      </c>
      <c r="CI13" s="164">
        <f t="shared" ca="1" si="17"/>
        <v>0</v>
      </c>
      <c r="CJ13" s="164">
        <f t="shared" ca="1" si="18"/>
        <v>0</v>
      </c>
      <c r="CK13" s="164">
        <f t="shared" ca="1" si="19"/>
        <v>0</v>
      </c>
      <c r="CL13" s="164">
        <f t="shared" ca="1" si="20"/>
        <v>0</v>
      </c>
      <c r="CM13" s="164">
        <f>ROUNDUP((1+tech_spy_cost*Techs!AJ13)*spy_plat,0)</f>
        <v>500</v>
      </c>
      <c r="CN13" s="164">
        <f>ROUNDUP((1+tech_wizard_cost*Techs!AM13-MIN(ROUND(wg_wiz_cost_bonus*BN13,4),wg_wiz_cost_cap))*wizard_plat,0)</f>
        <v>500</v>
      </c>
      <c r="CO13" s="166">
        <f>ROUNDUP((1+tech_wizard_cost*Techs!AM13-MIN(ROUND(wg_wiz_cost_bonus*BN13,4),wg_wiz_cost_cap))*archmage_plat,0)</f>
        <v>1000</v>
      </c>
      <c r="CQ13" s="465">
        <f ca="1">Construction!DF13/Construction!E13</f>
        <v>0.28000000000000003</v>
      </c>
      <c r="CR13" s="466">
        <f t="shared" si="21"/>
        <v>0</v>
      </c>
      <c r="CS13" s="466">
        <f>Construction!BK13/Construction!E13</f>
        <v>0.05</v>
      </c>
      <c r="CT13" s="466">
        <f>Construction!BJ13/Construction!E13</f>
        <v>0</v>
      </c>
      <c r="CU13" s="466">
        <f>Construction!AY13/Construction!E13</f>
        <v>0</v>
      </c>
      <c r="CV13" s="481">
        <f t="shared" ca="1" si="22"/>
        <v>1.4000000000000001</v>
      </c>
      <c r="CW13" s="482">
        <f t="shared" ca="1" si="23"/>
        <v>1.4000000000000001</v>
      </c>
      <c r="CX13" s="482">
        <f t="shared" ca="1" si="24"/>
        <v>1.4000000000000001</v>
      </c>
      <c r="CY13" s="483">
        <f t="shared" ca="1" si="25"/>
        <v>1.4000000000000001</v>
      </c>
      <c r="CZ13" s="483">
        <f t="shared" si="26"/>
        <v>0</v>
      </c>
      <c r="DA13" s="483">
        <f t="shared" ca="1" si="27"/>
        <v>3</v>
      </c>
      <c r="DB13" s="483">
        <f t="shared" ca="1" si="28"/>
        <v>1.4000000000000001</v>
      </c>
      <c r="DC13" s="482">
        <f t="shared" si="29"/>
        <v>0</v>
      </c>
      <c r="DD13" s="847">
        <f t="shared" si="55"/>
        <v>0</v>
      </c>
      <c r="DE13" s="440">
        <f t="shared" si="56"/>
        <v>0</v>
      </c>
      <c r="DF13" s="440">
        <f t="shared" si="57"/>
        <v>0</v>
      </c>
      <c r="DG13" s="481">
        <f t="shared" ca="1" si="30"/>
        <v>1.4000000000000001</v>
      </c>
      <c r="DH13" s="450">
        <f t="shared" si="58"/>
        <v>0</v>
      </c>
      <c r="DI13" s="450">
        <f>MIN(valkyrja_cap,Production!O13/valkyrja_bonus)</f>
        <v>1</v>
      </c>
      <c r="DJ13" s="847">
        <f>MIN(voodoo_magi_cap,Production!O13/voodoo_magi_bonus)</f>
        <v>0.83333333333333337</v>
      </c>
      <c r="DK13" s="847">
        <f>MIN(warlock_cap,Production!O13/warlock_bonus)</f>
        <v>1.25</v>
      </c>
      <c r="DL13" s="847">
        <f ca="1">MIN(nox_nightshade_cap,Construction!DF13/Construction!E13/nox_nightshade_swamp_bonus)</f>
        <v>2.8000000000000003</v>
      </c>
      <c r="DM13" s="482">
        <f t="shared" si="31"/>
        <v>0</v>
      </c>
      <c r="DN13" s="483">
        <f t="shared" ca="1" si="32"/>
        <v>2.8000000000000003</v>
      </c>
      <c r="DO13" s="483">
        <f t="shared" ca="1" si="33"/>
        <v>2.8000000000000003</v>
      </c>
      <c r="DP13" s="483">
        <f t="shared" si="34"/>
        <v>1</v>
      </c>
      <c r="DQ13" s="482">
        <f t="shared" si="35"/>
        <v>0</v>
      </c>
      <c r="DR13" s="483">
        <f t="shared" si="36"/>
        <v>0</v>
      </c>
      <c r="DS13" s="482">
        <f t="shared" si="37"/>
        <v>0</v>
      </c>
      <c r="DT13" s="483">
        <f t="shared" si="59"/>
        <v>0</v>
      </c>
      <c r="DU13" s="1194" t="s">
        <v>614</v>
      </c>
      <c r="DV13" s="16" t="b">
        <f t="shared" si="60"/>
        <v>0</v>
      </c>
      <c r="DX13" s="487">
        <f ca="1">MIN(6,CV13+Races!$F$19)*1.8 +  IF(CV13+Races!$F$19&gt;6,(CV13+Races!$F$19-6)*0.2,0) - Races!$N$19</f>
        <v>2.5200000000000005</v>
      </c>
      <c r="DY13" s="488">
        <f ca="1">1.8 * MIN(MAX(CW13+Races!$E$20,CX13+Races!$F$20),6)  +  0.45 * MIN(MIN(CW13+Races!$E$20,CX13+Races!$F$20),6)  +  0.2 * ( MAX(CW13+Races!$E$20-6,0) + MAX(CX13+Races!$F$20-6,0) )  -  Races!$N$20</f>
        <v>3.1500000000000012</v>
      </c>
      <c r="DZ13" s="57">
        <f t="shared" ca="1" si="38"/>
        <v>0</v>
      </c>
      <c r="EA13" s="666">
        <f ca="1">MIN(6,CY13+Races!$F$35)*1.8 +  IF(CY13+Races!$F$35&gt;6,(CY13+Races!$F$35-6)*0.2,0) - Races!$N$19</f>
        <v>0.72000000000000064</v>
      </c>
      <c r="EB13" s="57">
        <f t="shared" ca="1" si="39"/>
        <v>0</v>
      </c>
      <c r="EC13" s="666">
        <f ca="1">1.8 * MIN(MAX(Races!$E$27,DB13+Races!$F$27),6)  +  0.45 * MIN(MIN(Races!$E$27,DB13+Races!$F$27),6)  +  0.2 * ( MAX(Races!$E$27-6,0) + MAX(DB13+Races!$F$27-6,0) )  -  Races!$N$20</f>
        <v>4.7700000000000005</v>
      </c>
      <c r="ED13" s="57">
        <f t="shared" ca="1" si="40"/>
        <v>0</v>
      </c>
      <c r="EE13" s="666">
        <f>1.8 * MIN(MAX(DC13+Races!$E$47,DD13+Races!$F$47),6)  +  0.45 * MIN(MIN(DC13+Races!$E$47,DD13+Races!$F$47),6)  +  0.2 * ( MAX(DC13+Races!$E$47-6,0) + MAX(DD13+Races!$F$47-6,0) )  -  Races!$N$47</f>
        <v>0</v>
      </c>
      <c r="EF13" s="57">
        <f t="shared" si="41"/>
        <v>0</v>
      </c>
      <c r="EG13" s="666">
        <f ca="1">1.8 * MIN(MAX(DG13+Races!$F$71,Races!$E$71),6)  +  0.45 * MIN(MIN(DG13+Races!$F$71,Races!$E$71),6)  +  0.2 * ( MAX(DG13+Races!$F$71-6,0) + MAX(Races!$E$71-6,0) )  -  Races!$N$71</f>
        <v>2.5200000000000014</v>
      </c>
      <c r="EH13" s="666">
        <f>1.8 * MIN(MAX(DH13+Races!$E$71,Races!$F$71),6)  +  0.45 * MIN(MIN(DH13+Races!$E$71,Races!$F$71),6)  +  0.2 * ( MAX(DH13+Races!$E$71-6,0) + MAX(Races!$F$71-6,0) )  -  Races!$N$71</f>
        <v>0</v>
      </c>
      <c r="EI13" s="57">
        <f t="shared" ca="1" si="42"/>
        <v>0</v>
      </c>
      <c r="EJ13" s="57"/>
      <c r="EK13" s="57"/>
      <c r="EL13" s="57"/>
      <c r="EM13" s="57">
        <f ca="1">Overview!$L$22*E13+Overview!$L$23*F13+Overview!$L$24*G13+Overview!$L$25*H13+Overview!$L$26*I13+Overview!$L$27*J13+Overview!$L$28*K13+Construction!E13*20+Construction!B13*5 + DZ13*$DV$4+EB13*$DV$5+ED13*$DV$6+EF13*$DV$7+EI13*$DV$9</f>
        <v>20900</v>
      </c>
      <c r="EO13" s="738">
        <f>(J13+2*K13)/Construction!E13</f>
        <v>0</v>
      </c>
      <c r="EP13" s="734">
        <f ca="1">EO13*(1+race_wizard_strength+tech_magical_weaponry_wiz*Techs!AV85)</f>
        <v>0</v>
      </c>
      <c r="EQ13" s="16">
        <f>(I13+halfer*H13/3)/Construction!E13</f>
        <v>0</v>
      </c>
    </row>
    <row r="14" spans="1:147" s="170" customFormat="1">
      <c r="A14" s="629">
        <f>Rezone!J14</f>
        <v>12</v>
      </c>
      <c r="B14" s="152">
        <f ca="1">SUM(E14:L14)+SUM(AF6:AG14)+SUM(AH3:AI14)+Z14</f>
        <v>5295</v>
      </c>
      <c r="C14" s="171">
        <f ca="1">Population!G14</f>
        <v>0.47360846803443063</v>
      </c>
      <c r="E14" s="156">
        <f t="shared" si="61"/>
        <v>0</v>
      </c>
      <c r="F14" s="170">
        <f t="shared" si="62"/>
        <v>0</v>
      </c>
      <c r="G14" s="170">
        <f t="shared" si="63"/>
        <v>0</v>
      </c>
      <c r="H14" s="170">
        <f t="shared" si="63"/>
        <v>0</v>
      </c>
      <c r="I14" s="170">
        <f t="shared" si="63"/>
        <v>0</v>
      </c>
      <c r="J14" s="170">
        <f t="shared" si="44"/>
        <v>0</v>
      </c>
      <c r="K14" s="157">
        <f t="shared" si="45"/>
        <v>0</v>
      </c>
      <c r="M14" s="160">
        <f ca="1">Production!G14</f>
        <v>20900</v>
      </c>
      <c r="O14" s="234">
        <f t="shared" ca="1" si="0"/>
        <v>0</v>
      </c>
      <c r="P14" s="455">
        <f ca="1">race_offense+Imps!AB14+ROUND(MIN(gn_bonus*Construction!BF14/Construction!$E14,gn_bonus_cap),4)+MAX(IF(Magic!$AN14&gt;0,warsong_bonus),IF(Magic!AP14&gt;0,howling_op_bonus),IF(Magic!AS14&gt;0,nightfall_bonus),IF(Magic!AT14&gt;0,crusade_bonus),IF(Magic!AU14&gt;0,killingrage_bonus),IF(Magic!AV14&gt;0,bloodrage_bonus)) + Production!O14/100*prestige_offense_bonus + MAX(tech_military_offense*Techs!AH14,tech_magical_weaponry_op*Techs!AV14)</f>
        <v>0.05</v>
      </c>
      <c r="Q14" s="235">
        <f t="shared" ca="1" si="46"/>
        <v>0</v>
      </c>
      <c r="R14" s="234">
        <f ca="1">F14*(spec_dp+spirit*DR14)+G14*(elite1_dp+woodie*CV14+sylvan*CY14+gnome*DB14+dark_elf*DD14+icekin*DG14+orc*DJ14+nox*DL14+beast*DN14+sacred*DP14+spirit*DS14+blackorc*DK14)+H14*(elite2_dp+woodie*CX14+beast*DO14+sacred*DQ14) + fh_peas_dp*MIN(Population!C14,20*Construction!BD14)+kobold*DE14</f>
        <v>0</v>
      </c>
      <c r="S14" s="235">
        <f t="shared" ca="1" si="1"/>
        <v>5295</v>
      </c>
      <c r="T14" s="1052">
        <f ca="1">race_defense+Imps!AC14+ROUND(MIN(gt_bonus*Construction!BH14/Construction!$E14,gt_bonus_cap),4)+MAX(IF(Magic!AM14&gt;0,frenzy_bonus,IF(Magic!AQ14&gt;0,blizzard_bonus,IF(Magic!AP14&gt;0,howling_dp_bonus,IF(Magic!AI14&gt;0,ares_call_bonus)))),IF(Magic!AX14&gt;0,MIN(Construction!DF14/Construction!E14,0.2),0))</f>
        <v>0</v>
      </c>
      <c r="U14" s="1046">
        <f t="shared" ca="1" si="47"/>
        <v>0</v>
      </c>
      <c r="V14" s="308">
        <f t="shared" ca="1" si="48"/>
        <v>5295</v>
      </c>
      <c r="W14" s="308">
        <f>Construction!E14</f>
        <v>1000</v>
      </c>
      <c r="X14" s="364"/>
      <c r="Y14" s="232">
        <f t="shared" si="49"/>
        <v>0.4</v>
      </c>
      <c r="Z14" s="166">
        <f ca="1">Z13+Population!Z13 - IF(race="Lux",AF14,SUM(AF14:AK14)) - BE14 + SUM(BF14:BL14) - Explore!AI14</f>
        <v>5295</v>
      </c>
      <c r="AA14" s="164"/>
      <c r="AB14" s="251">
        <f>(Construction!$BA14+Construction!BY14)/(Construction!$E14-Explore!S14*20)</f>
        <v>0</v>
      </c>
      <c r="AC14" s="629"/>
      <c r="AD14" s="798">
        <f>Rezone!J14</f>
        <v>12</v>
      </c>
      <c r="AE14" s="589">
        <f>Explore!AA14</f>
        <v>43692.458333333307</v>
      </c>
      <c r="AF14" s="352"/>
      <c r="AG14" s="345"/>
      <c r="AH14" s="345"/>
      <c r="AI14" s="345"/>
      <c r="AJ14" s="345"/>
      <c r="AK14" s="345"/>
      <c r="AL14" s="353"/>
      <c r="AN14" s="152">
        <f ca="1">Production!$H14</f>
        <v>4042920</v>
      </c>
      <c r="AO14" s="164">
        <f ca="1">Production!$L14</f>
        <v>300000</v>
      </c>
      <c r="AP14" s="164">
        <f ca="1">Production!J14</f>
        <v>296916</v>
      </c>
      <c r="AQ14" s="164">
        <f ca="1">Production!M14</f>
        <v>20000</v>
      </c>
      <c r="AR14" s="164">
        <f ca="1">Production!K14</f>
        <v>28469</v>
      </c>
      <c r="AS14" s="164">
        <f ca="1">Production!I14</f>
        <v>83416</v>
      </c>
      <c r="AT14" s="164">
        <f ca="1">Production!N14</f>
        <v>200</v>
      </c>
      <c r="AU14" s="152">
        <f t="shared" ca="1" si="2"/>
        <v>0</v>
      </c>
      <c r="AV14" s="164">
        <f t="shared" ca="1" si="3"/>
        <v>0</v>
      </c>
      <c r="AW14" s="164">
        <f t="shared" ca="1" si="50"/>
        <v>0</v>
      </c>
      <c r="AX14" s="164">
        <f t="shared" ca="1" si="51"/>
        <v>0</v>
      </c>
      <c r="AY14" s="164">
        <f t="shared" ca="1" si="52"/>
        <v>0</v>
      </c>
      <c r="AZ14" s="164">
        <f t="shared" ca="1" si="53"/>
        <v>0</v>
      </c>
      <c r="BA14" s="166">
        <f t="shared" ca="1" si="54"/>
        <v>0</v>
      </c>
      <c r="BB14" s="170">
        <v>12</v>
      </c>
      <c r="BC14" s="532">
        <f t="shared" si="4"/>
        <v>43692.458333333307</v>
      </c>
      <c r="BD14" s="233">
        <f t="shared" ca="1" si="5"/>
        <v>5295</v>
      </c>
      <c r="BE14" s="352"/>
      <c r="BF14" s="345"/>
      <c r="BG14" s="345"/>
      <c r="BH14" s="345"/>
      <c r="BI14" s="345"/>
      <c r="BJ14" s="345"/>
      <c r="BK14" s="345"/>
      <c r="BL14" s="353"/>
      <c r="BN14" s="503">
        <f>Construction!BM14/Construction!E14</f>
        <v>0</v>
      </c>
      <c r="BO14" s="171">
        <f>Construction!BD14/Construction!E14</f>
        <v>0</v>
      </c>
      <c r="BP14" s="152">
        <f>ROUNDUP((1-MIN(AB14*smithy_bonus,smithy_bonus_cap))*(1+Techs!AO14*tech_master_of_frugality)*spec_op_plat,0)</f>
        <v>275</v>
      </c>
      <c r="BQ14" s="164">
        <f>ROUNDUP(IF(race="Gnome",1,(1-MIN(AB14*smithy_bonus,smithy_bonus_cap))*(1+Techs!AO14*tech_master_of_frugality))*spec_op_ore,0)</f>
        <v>25</v>
      </c>
      <c r="BR14" s="164">
        <f t="shared" si="6"/>
        <v>0</v>
      </c>
      <c r="BS14" s="164">
        <f t="shared" si="7"/>
        <v>0</v>
      </c>
      <c r="BT14" s="164">
        <f ca="1">ROUNDUP((1-MIN(AB14*smithy_bonus,smithy_bonus_cap))*(1+Techs!AO14*tech_master_of_frugality)*spec_dp_plat,0)</f>
        <v>275</v>
      </c>
      <c r="BU14" s="164">
        <f ca="1">ROUNDUP(IF(OR(race="Gnome",race="Imperial Gnome"),1,(1-MIN(AB14*smithy_bonus,smithy_bonus_cap))*(1+Techs!AO14*tech_master_of_frugality))*spec_dp_ore,0)</f>
        <v>10</v>
      </c>
      <c r="BV14" s="164">
        <f t="shared" ca="1" si="8"/>
        <v>0</v>
      </c>
      <c r="BW14" s="164">
        <f t="shared" ca="1" si="9"/>
        <v>0</v>
      </c>
      <c r="BX14" s="164">
        <f t="shared" ca="1" si="10"/>
        <v>0</v>
      </c>
      <c r="BY14" s="164">
        <f ca="1">ROUNDUP((1-MIN(AB14*smithy_bonus,smithy_bonus_cap))*(1+Techs!AO14*tech_master_of_frugality)*elite1_plat,0)</f>
        <v>1000</v>
      </c>
      <c r="BZ14" s="164">
        <f ca="1">ROUNDUP(IF(race="Gnome",1,(1-MIN(AB14*smithy_bonus,smithy_bonus_cap))*(1+Techs!AO14*tech_master_of_frugality))*elite1_ore,0)</f>
        <v>75</v>
      </c>
      <c r="CA14" s="164">
        <f t="shared" ca="1" si="11"/>
        <v>0</v>
      </c>
      <c r="CB14" s="164">
        <f t="shared" ca="1" si="12"/>
        <v>0</v>
      </c>
      <c r="CC14" s="164">
        <f t="shared" ca="1" si="13"/>
        <v>0</v>
      </c>
      <c r="CD14" s="164">
        <f t="shared" ca="1" si="14"/>
        <v>0</v>
      </c>
      <c r="CE14" s="164">
        <f t="shared" ca="1" si="15"/>
        <v>0</v>
      </c>
      <c r="CF14" s="164">
        <f ca="1">ROUNDUP((1-MIN(AB14*smithy_bonus,smithy_bonus_cap))*(1+Techs!AO14*tech_master_of_frugality)*elite2_plat,0)</f>
        <v>1250</v>
      </c>
      <c r="CG14" s="164">
        <f ca="1">ROUNDUP(IF(race="Gnome",1,(1-MIN(AB14*smithy_bonus,smithy_bonus_cap))*(1+Techs!AO14*tech_master_of_frugality))*elite2_ore,0)</f>
        <v>100</v>
      </c>
      <c r="CH14" s="164">
        <f t="shared" ca="1" si="16"/>
        <v>0</v>
      </c>
      <c r="CI14" s="164">
        <f t="shared" ca="1" si="17"/>
        <v>0</v>
      </c>
      <c r="CJ14" s="164">
        <f t="shared" ca="1" si="18"/>
        <v>0</v>
      </c>
      <c r="CK14" s="164">
        <f t="shared" ca="1" si="19"/>
        <v>0</v>
      </c>
      <c r="CL14" s="164">
        <f t="shared" ca="1" si="20"/>
        <v>0</v>
      </c>
      <c r="CM14" s="164">
        <f>ROUNDUP((1+tech_spy_cost*Techs!AJ14)*spy_plat,0)</f>
        <v>500</v>
      </c>
      <c r="CN14" s="164">
        <f>ROUNDUP((1+tech_wizard_cost*Techs!AM14-MIN(ROUND(wg_wiz_cost_bonus*BN14,4),wg_wiz_cost_cap))*wizard_plat,0)</f>
        <v>500</v>
      </c>
      <c r="CO14" s="166">
        <f>ROUNDUP((1+tech_wizard_cost*Techs!AM14-MIN(ROUND(wg_wiz_cost_bonus*BN14,4),wg_wiz_cost_cap))*archmage_plat,0)</f>
        <v>1000</v>
      </c>
      <c r="CQ14" s="461">
        <f ca="1">Construction!DF14/Construction!E14</f>
        <v>0.28000000000000003</v>
      </c>
      <c r="CR14" s="462">
        <f t="shared" si="21"/>
        <v>0</v>
      </c>
      <c r="CS14" s="462">
        <f>Construction!BK14/Construction!E14</f>
        <v>0.05</v>
      </c>
      <c r="CT14" s="462">
        <f>Construction!BJ14/Construction!E14</f>
        <v>0</v>
      </c>
      <c r="CU14" s="462">
        <f>Construction!AY14/Construction!E14</f>
        <v>0</v>
      </c>
      <c r="CV14" s="481">
        <f t="shared" ca="1" si="22"/>
        <v>1.4000000000000001</v>
      </c>
      <c r="CW14" s="482">
        <f t="shared" ca="1" si="23"/>
        <v>1.4000000000000001</v>
      </c>
      <c r="CX14" s="482">
        <f t="shared" ca="1" si="24"/>
        <v>1.4000000000000001</v>
      </c>
      <c r="CY14" s="483">
        <f t="shared" ca="1" si="25"/>
        <v>1.4000000000000001</v>
      </c>
      <c r="CZ14" s="483">
        <f t="shared" si="26"/>
        <v>0</v>
      </c>
      <c r="DA14" s="483">
        <f t="shared" ca="1" si="27"/>
        <v>3</v>
      </c>
      <c r="DB14" s="483">
        <f t="shared" ca="1" si="28"/>
        <v>1.4000000000000001</v>
      </c>
      <c r="DC14" s="482">
        <f t="shared" si="29"/>
        <v>0</v>
      </c>
      <c r="DD14" s="847">
        <f t="shared" si="55"/>
        <v>0</v>
      </c>
      <c r="DE14" s="440">
        <f t="shared" si="56"/>
        <v>0</v>
      </c>
      <c r="DF14" s="440">
        <f t="shared" si="57"/>
        <v>0</v>
      </c>
      <c r="DG14" s="481">
        <f t="shared" ca="1" si="30"/>
        <v>1.4000000000000001</v>
      </c>
      <c r="DH14" s="450">
        <f t="shared" si="58"/>
        <v>0</v>
      </c>
      <c r="DI14" s="450">
        <f>MIN(valkyrja_cap,Production!O14/valkyrja_bonus)</f>
        <v>1</v>
      </c>
      <c r="DJ14" s="847">
        <f>MIN(voodoo_magi_cap,Production!O14/voodoo_magi_bonus)</f>
        <v>0.83333333333333337</v>
      </c>
      <c r="DK14" s="847">
        <f>MIN(warlock_cap,Production!O14/warlock_bonus)</f>
        <v>1.25</v>
      </c>
      <c r="DL14" s="847">
        <f ca="1">MIN(nox_nightshade_cap,Construction!DF14/Construction!E14/nox_nightshade_swamp_bonus)</f>
        <v>2.8000000000000003</v>
      </c>
      <c r="DM14" s="482">
        <f t="shared" si="31"/>
        <v>0</v>
      </c>
      <c r="DN14" s="483">
        <f t="shared" ca="1" si="32"/>
        <v>2.8000000000000003</v>
      </c>
      <c r="DO14" s="483">
        <f t="shared" ca="1" si="33"/>
        <v>2.8000000000000003</v>
      </c>
      <c r="DP14" s="483">
        <f t="shared" si="34"/>
        <v>1</v>
      </c>
      <c r="DQ14" s="482">
        <f t="shared" si="35"/>
        <v>0</v>
      </c>
      <c r="DR14" s="483">
        <f t="shared" si="36"/>
        <v>0</v>
      </c>
      <c r="DS14" s="482">
        <f t="shared" si="37"/>
        <v>0</v>
      </c>
      <c r="DT14" s="483">
        <f t="shared" si="59"/>
        <v>0</v>
      </c>
      <c r="DU14" s="1194" t="s">
        <v>629</v>
      </c>
      <c r="DV14" s="16" t="b">
        <f t="shared" si="60"/>
        <v>0</v>
      </c>
      <c r="DX14" s="481">
        <f ca="1">MIN(6,CV14+Races!$F$19)*1.8 +  IF(CV14+Races!$F$19&gt;6,(CV14+Races!$F$19-6)*0.2,0) - Races!$N$19</f>
        <v>2.5200000000000005</v>
      </c>
      <c r="DY14" s="482">
        <f ca="1">1.8 * MIN(MAX(CW14+Races!$E$20,CX14+Races!$F$20),6)  +  0.45 * MIN(MIN(CW14+Races!$E$20,CX14+Races!$F$20),6)  +  0.2 * ( MAX(CW14+Races!$E$20-6,0) + MAX(CX14+Races!$F$20-6,0) )  -  Races!$N$20</f>
        <v>3.1500000000000012</v>
      </c>
      <c r="DZ14" s="166">
        <f t="shared" ca="1" si="38"/>
        <v>0</v>
      </c>
      <c r="EA14" s="665">
        <f ca="1">MIN(6,CY14+Races!$F$35)*1.8 +  IF(CY14+Races!$F$35&gt;6,(CY14+Races!$F$35-6)*0.2,0) - Races!$N$19</f>
        <v>0.72000000000000064</v>
      </c>
      <c r="EB14" s="166">
        <f t="shared" ca="1" si="39"/>
        <v>0</v>
      </c>
      <c r="EC14" s="665">
        <f ca="1">1.8 * MIN(MAX(Races!$E$27,DB14+Races!$F$27),6)  +  0.45 * MIN(MIN(Races!$E$27,DB14+Races!$F$27),6)  +  0.2 * ( MAX(Races!$E$27-6,0) + MAX(DB14+Races!$F$27-6,0) )  -  Races!$N$20</f>
        <v>4.7700000000000005</v>
      </c>
      <c r="ED14" s="166">
        <f t="shared" ca="1" si="40"/>
        <v>0</v>
      </c>
      <c r="EE14" s="665">
        <f>1.8 * MIN(MAX(DC14+Races!$E$47,DD14+Races!$F$47),6)  +  0.45 * MIN(MIN(DC14+Races!$E$47,DD14+Races!$F$47),6)  +  0.2 * ( MAX(DC14+Races!$E$47-6,0) + MAX(DD14+Races!$F$47-6,0) )  -  Races!$N$47</f>
        <v>0</v>
      </c>
      <c r="EF14" s="166">
        <f t="shared" si="41"/>
        <v>0</v>
      </c>
      <c r="EG14" s="665">
        <f ca="1">1.8 * MIN(MAX(DG14+Races!$F$71,Races!$E$71),6)  +  0.45 * MIN(MIN(DG14+Races!$F$71,Races!$E$71),6)  +  0.2 * ( MAX(DG14+Races!$F$71-6,0) + MAX(Races!$E$71-6,0) )  -  Races!$N$71</f>
        <v>2.5200000000000014</v>
      </c>
      <c r="EH14" s="665">
        <f>1.8 * MIN(MAX(DH14+Races!$E$71,Races!$F$71),6)  +  0.45 * MIN(MIN(DH14+Races!$E$71,Races!$F$71),6)  +  0.2 * ( MAX(DH14+Races!$E$71-6,0) + MAX(Races!$F$71-6,0) )  -  Races!$N$71</f>
        <v>0</v>
      </c>
      <c r="EI14" s="166">
        <f t="shared" ca="1" si="42"/>
        <v>0</v>
      </c>
      <c r="EJ14" s="166"/>
      <c r="EK14" s="166"/>
      <c r="EL14" s="166"/>
      <c r="EM14" s="166">
        <f ca="1">Overview!$L$22*E14+Overview!$L$23*F14+Overview!$L$24*G14+Overview!$L$25*H14+Overview!$L$26*I14+Overview!$L$27*J14+Overview!$L$28*K14+Construction!E14*20+Construction!B14*5 + DZ14*$DV$4+EB14*$DV$5+ED14*$DV$6+EF14*$DV$7+EI14*$DV$9</f>
        <v>20900</v>
      </c>
      <c r="EO14" s="737">
        <f>(J14+2*K14)/Construction!E14</f>
        <v>0</v>
      </c>
      <c r="EP14" s="734">
        <f ca="1">EO14*(1+race_wizard_strength+tech_magical_weaponry_wiz*Techs!AV86)</f>
        <v>0</v>
      </c>
      <c r="EQ14" s="170">
        <f>(I14+halfer*H14/3)/Construction!E14</f>
        <v>0</v>
      </c>
    </row>
    <row r="15" spans="1:147" s="163" customFormat="1">
      <c r="A15" s="319">
        <f>Rezone!J15</f>
        <v>13</v>
      </c>
      <c r="B15" s="151">
        <f ca="1">SUM(E15:K15)+SUM(AF7:AG15)+SUM(AH4:AL15)+Z15+Explore!AL15</f>
        <v>5295</v>
      </c>
      <c r="C15" s="162">
        <f ca="1">Population!G15</f>
        <v>0.48641058878414878</v>
      </c>
      <c r="E15" s="184">
        <f t="shared" ref="E15:E46" si="64">E14 - BF15 + AF6 - IF(race="Lux",AG15+AH15,0)</f>
        <v>0</v>
      </c>
      <c r="F15" s="163">
        <f t="shared" ref="F15:F46" si="65">F14 - BG15 + IF(race="Lux",AG3,AG6) - IF(race="Lux",AI15,0)</f>
        <v>0</v>
      </c>
      <c r="G15" s="163">
        <f t="shared" ref="G15:G46" si="66">G14 + AH3 - BH15 - IF(race="Lux",AI15,0)</f>
        <v>0</v>
      </c>
      <c r="H15" s="163">
        <f t="shared" ref="H15:H46" si="67">H14 + AI3 - BI15</f>
        <v>0</v>
      </c>
      <c r="I15" s="163">
        <f t="shared" ref="I15:I46" si="68">I14 + AJ3 - BJ15</f>
        <v>0</v>
      </c>
      <c r="J15" s="163">
        <f t="shared" ref="J15:J46" si="69">J14 + AK3 - AL15 - BK15</f>
        <v>0</v>
      </c>
      <c r="K15" s="185">
        <f t="shared" ref="K15:K46" si="70">K14 + AL3 - BL15</f>
        <v>0</v>
      </c>
      <c r="M15" s="203">
        <f ca="1">Production!G15</f>
        <v>21900</v>
      </c>
      <c r="O15" s="227">
        <f t="shared" ca="1" si="0"/>
        <v>0</v>
      </c>
      <c r="P15" s="447">
        <f ca="1">race_offense+Imps!AB15+ROUND(MIN(gn_bonus*Construction!BF15/Construction!$E15,gn_bonus_cap),4)+MAX(IF(Magic!$AN15&gt;0,warsong_bonus),IF(Magic!AP15&gt;0,howling_op_bonus),IF(Magic!AS15&gt;0,nightfall_bonus),IF(Magic!AT15&gt;0,crusade_bonus),IF(Magic!AU15&gt;0,killingrage_bonus),IF(Magic!AV15&gt;0,bloodrage_bonus)) + Production!O15/100*prestige_offense_bonus + MAX(tech_military_offense*Techs!AH15,tech_magical_weaponry_op*Techs!AV15)</f>
        <v>0.05</v>
      </c>
      <c r="Q15" s="229">
        <f t="shared" ca="1" si="46"/>
        <v>0</v>
      </c>
      <c r="R15" s="227">
        <f ca="1">F15*(spec_dp+spirit*DR15)+G15*(elite1_dp+woodie*CV15+sylvan*CY15+gnome*DB15+dark_elf*DD15+icekin*DG15+orc*DJ15+nox*DL15+beast*DN15+sacred*DP15+spirit*DS15+blackorc*DK15)+H15*(elite2_dp+woodie*CX15+beast*DO15+sacred*DQ15) + fh_peas_dp*MIN(Population!C15,20*Construction!BD15)+kobold*DE15</f>
        <v>0</v>
      </c>
      <c r="S15" s="229">
        <f t="shared" ca="1" si="1"/>
        <v>3695</v>
      </c>
      <c r="T15" s="1178">
        <f ca="1">race_defense+Imps!AC15+ROUND(MIN(gt_bonus*Construction!BH15/Construction!$E15,gt_bonus_cap),4)+MAX(IF(Magic!AM15&gt;0,frenzy_bonus,IF(Magic!AQ15&gt;0,blizzard_bonus,IF(Magic!AP15&gt;0,howling_dp_bonus,IF(Magic!AI15&gt;0,ares_call_bonus)))),IF(Magic!AX15&gt;0,MIN(Construction!DF15/Construction!E15,0.2),0))</f>
        <v>0</v>
      </c>
      <c r="U15" s="1047">
        <f t="shared" ca="1" si="47"/>
        <v>0</v>
      </c>
      <c r="V15" s="228">
        <f ca="1">S15 * (1 + T15)</f>
        <v>3695</v>
      </c>
      <c r="W15" s="228">
        <f>Construction!E15</f>
        <v>1000</v>
      </c>
      <c r="X15" s="365"/>
      <c r="Y15" s="230">
        <f>IF(X15&lt;&gt;"",X15,Y14)</f>
        <v>0.4</v>
      </c>
      <c r="Z15" s="158">
        <f ca="1">Z14+Population!Z14 - IF(race="Lux",AF15,SUM(AF15:AK15)) - BE15 + SUM(BF15:BL15) - Explore!AI15</f>
        <v>3695</v>
      </c>
      <c r="AA15" s="153"/>
      <c r="AB15" s="305">
        <f>(Construction!$BA15+Construction!BY15)/(Construction!$E15-Explore!S15*20)</f>
        <v>0.2</v>
      </c>
      <c r="AC15" s="710"/>
      <c r="AD15" s="800">
        <f>Rezone!J15</f>
        <v>13</v>
      </c>
      <c r="AE15" s="588">
        <f>Explore!AA15</f>
        <v>43692.499999999971</v>
      </c>
      <c r="AF15" s="371"/>
      <c r="AG15" s="346"/>
      <c r="AH15" s="346">
        <v>1000</v>
      </c>
      <c r="AI15" s="346">
        <v>400</v>
      </c>
      <c r="AJ15" s="346">
        <v>100</v>
      </c>
      <c r="AK15" s="346">
        <v>100</v>
      </c>
      <c r="AL15" s="372"/>
      <c r="AN15" s="151">
        <f ca="1">Production!$H15</f>
        <v>3058809</v>
      </c>
      <c r="AO15" s="153">
        <f ca="1">Production!$L15</f>
        <v>231000</v>
      </c>
      <c r="AP15" s="153">
        <f ca="1">Production!J15</f>
        <v>296447</v>
      </c>
      <c r="AQ15" s="153">
        <f ca="1">Production!M15</f>
        <v>20000</v>
      </c>
      <c r="AR15" s="153">
        <f ca="1">Production!K15</f>
        <v>29150</v>
      </c>
      <c r="AS15" s="153">
        <f ca="1">Production!I15</f>
        <v>86827</v>
      </c>
      <c r="AT15" s="153">
        <f ca="1">Production!N15</f>
        <v>200</v>
      </c>
      <c r="AU15" s="151">
        <f t="shared" ca="1" si="2"/>
        <v>1000000</v>
      </c>
      <c r="AV15" s="153">
        <f t="shared" ca="1" si="3"/>
        <v>69000</v>
      </c>
      <c r="AW15" s="153">
        <f t="shared" ca="1" si="50"/>
        <v>0</v>
      </c>
      <c r="AX15" s="153">
        <f t="shared" ca="1" si="51"/>
        <v>0</v>
      </c>
      <c r="AY15" s="153">
        <f t="shared" ca="1" si="52"/>
        <v>0</v>
      </c>
      <c r="AZ15" s="153">
        <f t="shared" ca="1" si="53"/>
        <v>0</v>
      </c>
      <c r="BA15" s="158">
        <f t="shared" ca="1" si="54"/>
        <v>0</v>
      </c>
      <c r="BB15" s="163">
        <v>13</v>
      </c>
      <c r="BC15" s="677">
        <f t="shared" ref="BC15:BC67" si="71">AE15</f>
        <v>43692.499999999971</v>
      </c>
      <c r="BD15" s="231">
        <f t="shared" ref="BD15:BD67" ca="1" si="72">$Z15</f>
        <v>3695</v>
      </c>
      <c r="BE15" s="371"/>
      <c r="BF15" s="346"/>
      <c r="BG15" s="346"/>
      <c r="BH15" s="346"/>
      <c r="BI15" s="346"/>
      <c r="BJ15" s="346"/>
      <c r="BK15" s="346"/>
      <c r="BL15" s="372"/>
      <c r="BN15" s="502">
        <f>Construction!BM15/Construction!E15</f>
        <v>0</v>
      </c>
      <c r="BO15" s="162">
        <f>Construction!BD15/Construction!E15</f>
        <v>0</v>
      </c>
      <c r="BP15" s="151">
        <f>ROUNDUP((1-MIN(AB15*smithy_bonus,smithy_bonus_cap))*(1+Techs!AO15*tech_master_of_frugality)*spec_op_plat,0)</f>
        <v>165</v>
      </c>
      <c r="BQ15" s="153">
        <f>ROUNDUP(IF(race="Gnome",1,(1-MIN(AB15*smithy_bonus,smithy_bonus_cap))*(1+Techs!AO15*tech_master_of_frugality))*spec_op_ore,0)</f>
        <v>15</v>
      </c>
      <c r="BR15" s="153">
        <f t="shared" si="6"/>
        <v>0</v>
      </c>
      <c r="BS15" s="153">
        <f t="shared" si="7"/>
        <v>0</v>
      </c>
      <c r="BT15" s="153">
        <f ca="1">ROUNDUP((1-MIN(AB15*smithy_bonus,smithy_bonus_cap))*(1+Techs!AO15*tech_master_of_frugality)*spec_dp_plat,0)</f>
        <v>165</v>
      </c>
      <c r="BU15" s="153">
        <f ca="1">ROUNDUP(IF(OR(race="Gnome",race="Imperial Gnome"),1,(1-MIN(AB15*smithy_bonus,smithy_bonus_cap))*(1+Techs!AO15*tech_master_of_frugality))*spec_dp_ore,0)</f>
        <v>6</v>
      </c>
      <c r="BV15" s="153">
        <f t="shared" ca="1" si="8"/>
        <v>0</v>
      </c>
      <c r="BW15" s="153">
        <f t="shared" ca="1" si="9"/>
        <v>0</v>
      </c>
      <c r="BX15" s="153">
        <f t="shared" ca="1" si="10"/>
        <v>0</v>
      </c>
      <c r="BY15" s="153">
        <f ca="1">ROUNDUP((1-MIN(AB15*smithy_bonus,smithy_bonus_cap))*(1+Techs!AO15*tech_master_of_frugality)*elite1_plat,0)</f>
        <v>600</v>
      </c>
      <c r="BZ15" s="153">
        <f ca="1">ROUNDUP(IF(race="Gnome",1,(1-MIN(AB15*smithy_bonus,smithy_bonus_cap))*(1+Techs!AO15*tech_master_of_frugality))*elite1_ore,0)</f>
        <v>45</v>
      </c>
      <c r="CA15" s="153">
        <f t="shared" ca="1" si="11"/>
        <v>0</v>
      </c>
      <c r="CB15" s="153">
        <f t="shared" ca="1" si="12"/>
        <v>0</v>
      </c>
      <c r="CC15" s="153">
        <f t="shared" ca="1" si="13"/>
        <v>0</v>
      </c>
      <c r="CD15" s="153">
        <f t="shared" ca="1" si="14"/>
        <v>0</v>
      </c>
      <c r="CE15" s="153">
        <f t="shared" ca="1" si="15"/>
        <v>0</v>
      </c>
      <c r="CF15" s="153">
        <f ca="1">ROUNDUP((1-MIN(AB15*smithy_bonus,smithy_bonus_cap))*(1+Techs!AO15*tech_master_of_frugality)*elite2_plat,0)</f>
        <v>750</v>
      </c>
      <c r="CG15" s="153">
        <f ca="1">ROUNDUP(IF(race="Gnome",1,(1-MIN(AB15*smithy_bonus,smithy_bonus_cap))*(1+Techs!AO15*tech_master_of_frugality))*elite2_ore,0)</f>
        <v>60</v>
      </c>
      <c r="CH15" s="153">
        <f t="shared" ca="1" si="16"/>
        <v>0</v>
      </c>
      <c r="CI15" s="153">
        <f t="shared" ca="1" si="17"/>
        <v>0</v>
      </c>
      <c r="CJ15" s="153">
        <f t="shared" ca="1" si="18"/>
        <v>0</v>
      </c>
      <c r="CK15" s="153">
        <f t="shared" ca="1" si="19"/>
        <v>0</v>
      </c>
      <c r="CL15" s="153">
        <f t="shared" ca="1" si="20"/>
        <v>0</v>
      </c>
      <c r="CM15" s="153">
        <f>ROUNDUP((1+tech_spy_cost*Techs!AJ15)*spy_plat,0)</f>
        <v>500</v>
      </c>
      <c r="CN15" s="153">
        <f>ROUNDUP((1+tech_wizard_cost*Techs!AM15-MIN(ROUND(wg_wiz_cost_bonus*BN15,4),wg_wiz_cost_cap))*wizard_plat,0)</f>
        <v>500</v>
      </c>
      <c r="CO15" s="158">
        <f>ROUNDUP((1+tech_wizard_cost*Techs!AM15-MIN(ROUND(wg_wiz_cost_bonus*BN15,4),wg_wiz_cost_cap))*archmage_plat,0)</f>
        <v>1000</v>
      </c>
      <c r="CQ15" s="459">
        <f ca="1">Construction!DF15/Construction!E15</f>
        <v>0.28000000000000003</v>
      </c>
      <c r="CR15" s="460">
        <f t="shared" ref="CR15:CR67" si="73">BN15</f>
        <v>0</v>
      </c>
      <c r="CS15" s="460">
        <f>Construction!BK15/Construction!E15</f>
        <v>0.05</v>
      </c>
      <c r="CT15" s="460">
        <f>Construction!BJ15/Construction!E15</f>
        <v>0</v>
      </c>
      <c r="CU15" s="460">
        <f>Construction!AY15/Construction!E15</f>
        <v>0</v>
      </c>
      <c r="CV15" s="478">
        <f t="shared" ca="1" si="22"/>
        <v>1.4000000000000001</v>
      </c>
      <c r="CW15" s="479">
        <f t="shared" ca="1" si="23"/>
        <v>1.4000000000000001</v>
      </c>
      <c r="CX15" s="479">
        <f t="shared" ca="1" si="24"/>
        <v>1.4000000000000001</v>
      </c>
      <c r="CY15" s="480">
        <f t="shared" ca="1" si="25"/>
        <v>1.4000000000000001</v>
      </c>
      <c r="CZ15" s="480">
        <f t="shared" si="26"/>
        <v>0</v>
      </c>
      <c r="DA15" s="480">
        <f t="shared" ca="1" si="27"/>
        <v>3</v>
      </c>
      <c r="DB15" s="480">
        <f t="shared" ca="1" si="28"/>
        <v>1.4000000000000001</v>
      </c>
      <c r="DC15" s="479">
        <f t="shared" si="29"/>
        <v>0</v>
      </c>
      <c r="DD15" s="849">
        <f t="shared" si="55"/>
        <v>0</v>
      </c>
      <c r="DE15" s="731">
        <f t="shared" si="56"/>
        <v>0</v>
      </c>
      <c r="DF15" s="731">
        <f t="shared" si="57"/>
        <v>0</v>
      </c>
      <c r="DG15" s="478">
        <f t="shared" ca="1" si="30"/>
        <v>1.4000000000000001</v>
      </c>
      <c r="DH15" s="448">
        <f t="shared" si="58"/>
        <v>0</v>
      </c>
      <c r="DI15" s="448">
        <f>MIN(valkyrja_cap,Production!O15/valkyrja_bonus)</f>
        <v>1</v>
      </c>
      <c r="DJ15" s="849">
        <f>MIN(voodoo_magi_cap,Production!O15/voodoo_magi_bonus)</f>
        <v>0.83333333333333337</v>
      </c>
      <c r="DK15" s="849">
        <f>MIN(warlock_cap,Production!O15/warlock_bonus)</f>
        <v>1.25</v>
      </c>
      <c r="DL15" s="849">
        <f ca="1">MIN(nox_nightshade_cap,Construction!DF15/Construction!E15/nox_nightshade_swamp_bonus)</f>
        <v>2.8000000000000003</v>
      </c>
      <c r="DM15" s="479">
        <f t="shared" si="31"/>
        <v>0</v>
      </c>
      <c r="DN15" s="480">
        <f t="shared" ca="1" si="32"/>
        <v>2.8000000000000003</v>
      </c>
      <c r="DO15" s="480">
        <f t="shared" ca="1" si="33"/>
        <v>2.8000000000000003</v>
      </c>
      <c r="DP15" s="480">
        <f t="shared" si="34"/>
        <v>1</v>
      </c>
      <c r="DQ15" s="479">
        <f t="shared" si="35"/>
        <v>0</v>
      </c>
      <c r="DR15" s="480">
        <f t="shared" si="36"/>
        <v>0</v>
      </c>
      <c r="DS15" s="479">
        <f t="shared" si="37"/>
        <v>0</v>
      </c>
      <c r="DT15" s="480">
        <f t="shared" si="59"/>
        <v>0</v>
      </c>
      <c r="DU15" s="163" t="s">
        <v>104</v>
      </c>
      <c r="DV15" s="12" t="b">
        <f t="shared" si="60"/>
        <v>0</v>
      </c>
      <c r="DX15" s="478">
        <f ca="1">MIN(6,CV15+Races!$F$19)*1.8 +  IF(CV15+Races!$F$19&gt;6,(CV15+Races!$F$19-6)*0.2,0) - Races!$N$19</f>
        <v>2.5200000000000005</v>
      </c>
      <c r="DY15" s="479">
        <f ca="1">1.8 * MIN(MAX(CW15+Races!$E$20,CX15+Races!$F$20),6)  +  0.45 * MIN(MIN(CW15+Races!$E$20,CX15+Races!$F$20),6)  +  0.2 * ( MAX(CW15+Races!$E$20-6,0) + MAX(CX15+Races!$F$20-6,0) )  -  Races!$N$20</f>
        <v>3.1500000000000012</v>
      </c>
      <c r="DZ15" s="158">
        <f t="shared" ca="1" si="38"/>
        <v>0</v>
      </c>
      <c r="EA15" s="664">
        <f ca="1">MIN(6,CY15+Races!$F$35)*1.8 +  IF(CY15+Races!$F$35&gt;6,(CY15+Races!$F$35-6)*0.2,0) - Races!$N$19</f>
        <v>0.72000000000000064</v>
      </c>
      <c r="EB15" s="158">
        <f t="shared" ca="1" si="39"/>
        <v>0</v>
      </c>
      <c r="EC15" s="664">
        <f ca="1">1.8 * MIN(MAX(Races!$E$27,DB15+Races!$F$27),6)  +  0.45 * MIN(MIN(Races!$E$27,DB15+Races!$F$27),6)  +  0.2 * ( MAX(Races!$E$27-6,0) + MAX(DB15+Races!$F$27-6,0) )  -  Races!$N$20</f>
        <v>4.7700000000000005</v>
      </c>
      <c r="ED15" s="158">
        <f t="shared" ca="1" si="40"/>
        <v>0</v>
      </c>
      <c r="EE15" s="664">
        <f>1.8 * MIN(MAX(DC15+Races!$E$47,DD15+Races!$F$47),6)  +  0.45 * MIN(MIN(DC15+Races!$E$47,DD15+Races!$F$47),6)  +  0.2 * ( MAX(DC15+Races!$E$47-6,0) + MAX(DD15+Races!$F$47-6,0) )  -  Races!$N$47</f>
        <v>0</v>
      </c>
      <c r="EF15" s="158">
        <f t="shared" si="41"/>
        <v>0</v>
      </c>
      <c r="EG15" s="664">
        <f ca="1">1.8 * MIN(MAX(DG15+Races!$F$71,Races!$E$71),6)  +  0.45 * MIN(MIN(DG15+Races!$F$71,Races!$E$71),6)  +  0.2 * ( MAX(DG15+Races!$F$71-6,0) + MAX(Races!$E$71-6,0) )  -  Races!$N$71</f>
        <v>2.5200000000000014</v>
      </c>
      <c r="EH15" s="664">
        <f>1.8 * MIN(MAX(DH15+Races!$E$71,Races!$F$71),6)  +  0.45 * MIN(MIN(DH15+Races!$E$71,Races!$F$71),6)  +  0.2 * ( MAX(DH15+Races!$E$71-6,0) + MAX(Races!$F$71-6,0) )  -  Races!$N$71</f>
        <v>0</v>
      </c>
      <c r="EI15" s="158">
        <f t="shared" ca="1" si="42"/>
        <v>0</v>
      </c>
      <c r="EJ15" s="158"/>
      <c r="EK15" s="158"/>
      <c r="EL15" s="158"/>
      <c r="EM15" s="158">
        <f ca="1">Overview!$L$22*E15+Overview!$L$23*F15+Overview!$L$24*G15+Overview!$L$25*H15+Overview!$L$26*I15+Overview!$L$27*J15+Overview!$L$28*K15+Construction!E15*20+Construction!B15*5 + DZ15*$DV$4+EB15*$DV$5+ED15*$DV$6+EF15*$DV$7+EI15*$DV$9</f>
        <v>21900</v>
      </c>
      <c r="EO15" s="739">
        <f>(J15+2*K15)/Construction!E15</f>
        <v>0</v>
      </c>
      <c r="EP15" s="735">
        <f ca="1">EO15*(1+race_wizard_strength+tech_magical_weaponry_wiz*Techs!AV87)</f>
        <v>0</v>
      </c>
      <c r="EQ15" s="163">
        <f>(I15+halfer*H15/3)/Construction!E15</f>
        <v>0</v>
      </c>
    </row>
    <row r="16" spans="1:147" s="170" customFormat="1">
      <c r="A16" s="629">
        <f>Rezone!J16</f>
        <v>14</v>
      </c>
      <c r="B16" s="152">
        <f ca="1">SUM(E16:K16)+SUM(AF8:AG16)+SUM(AH5:AL16)+Z16+Explore!AL16</f>
        <v>5295</v>
      </c>
      <c r="C16" s="171">
        <f ca="1">Population!G16</f>
        <v>0.49923056539115884</v>
      </c>
      <c r="E16" s="156">
        <f t="shared" si="64"/>
        <v>0</v>
      </c>
      <c r="F16" s="170">
        <f t="shared" si="65"/>
        <v>0</v>
      </c>
      <c r="G16" s="170">
        <f t="shared" si="66"/>
        <v>0</v>
      </c>
      <c r="H16" s="170">
        <f t="shared" si="67"/>
        <v>0</v>
      </c>
      <c r="I16" s="170">
        <f t="shared" si="68"/>
        <v>0</v>
      </c>
      <c r="J16" s="170">
        <f t="shared" si="69"/>
        <v>0</v>
      </c>
      <c r="K16" s="157">
        <f t="shared" si="70"/>
        <v>0</v>
      </c>
      <c r="M16" s="160">
        <f ca="1">Production!G16</f>
        <v>21900</v>
      </c>
      <c r="O16" s="234">
        <f t="shared" ca="1" si="0"/>
        <v>0</v>
      </c>
      <c r="P16" s="455">
        <f ca="1">race_offense+Imps!AB16+ROUND(MIN(gn_bonus*Construction!BF16/Construction!$E16,gn_bonus_cap),4)+MAX(IF(Magic!$AN16&gt;0,warsong_bonus),IF(Magic!AP16&gt;0,howling_op_bonus),IF(Magic!AS16&gt;0,nightfall_bonus),IF(Magic!AT16&gt;0,crusade_bonus),IF(Magic!AU16&gt;0,killingrage_bonus),IF(Magic!AV16&gt;0,bloodrage_bonus)) + Production!O16/100*prestige_offense_bonus + MAX(tech_military_offense*Techs!AH16,tech_magical_weaponry_op*Techs!AV16)</f>
        <v>0.05</v>
      </c>
      <c r="Q16" s="235">
        <f t="shared" ca="1" si="46"/>
        <v>0</v>
      </c>
      <c r="R16" s="234">
        <f ca="1">F16*(spec_dp+spirit*DR16)+G16*(elite1_dp+woodie*CV16+sylvan*CY16+gnome*DB16+dark_elf*DD16+icekin*DG16+orc*DJ16+nox*DL16+beast*DN16+sacred*DP16+spirit*DS16+blackorc*DK16)+H16*(elite2_dp+woodie*CX16+beast*DO16+sacred*DQ16) + fh_peas_dp*MIN(Population!C16,20*Construction!BD16)+kobold*DE16</f>
        <v>0</v>
      </c>
      <c r="S16" s="235">
        <f t="shared" ca="1" si="1"/>
        <v>3695</v>
      </c>
      <c r="T16" s="1052">
        <f ca="1">race_defense+Imps!AC16+ROUND(MIN(gt_bonus*Construction!BH16/Construction!$E16,gt_bonus_cap),4)+MAX(IF(Magic!AM16&gt;0,frenzy_bonus,IF(Magic!AQ16&gt;0,blizzard_bonus,IF(Magic!AP16&gt;0,howling_dp_bonus,IF(Magic!AI16&gt;0,ares_call_bonus)))),IF(Magic!AX16&gt;0,MIN(Construction!DF16/Construction!E16,0.2),0))</f>
        <v>0</v>
      </c>
      <c r="U16" s="1046">
        <f t="shared" ca="1" si="47"/>
        <v>0</v>
      </c>
      <c r="V16" s="308">
        <f t="shared" ca="1" si="48"/>
        <v>3695</v>
      </c>
      <c r="W16" s="308">
        <f>Construction!E16</f>
        <v>1000</v>
      </c>
      <c r="X16" s="364"/>
      <c r="Y16" s="232">
        <f t="shared" ref="Y16:Y74" si="74">IF(X16&lt;&gt;"",X16,Y15)</f>
        <v>0.4</v>
      </c>
      <c r="Z16" s="166">
        <f ca="1">Z15+Population!Z15 - IF(race="Lux",AF16,SUM(AF16:AK16)) - BE16 + SUM(BF16:BL16) - Explore!AI16</f>
        <v>3695</v>
      </c>
      <c r="AA16" s="164"/>
      <c r="AB16" s="251">
        <f>(Construction!$BA16+Construction!BY16)/(Construction!$E16-Explore!S16*20)</f>
        <v>0.2</v>
      </c>
      <c r="AC16" s="629"/>
      <c r="AD16" s="798">
        <f>Rezone!J16</f>
        <v>14</v>
      </c>
      <c r="AE16" s="589">
        <f>Explore!AA16</f>
        <v>43692.541666666635</v>
      </c>
      <c r="AF16" s="352"/>
      <c r="AG16" s="345"/>
      <c r="AH16" s="345"/>
      <c r="AI16" s="345"/>
      <c r="AJ16" s="345"/>
      <c r="AK16" s="345"/>
      <c r="AL16" s="353"/>
      <c r="AN16" s="152">
        <f ca="1">Production!$H16</f>
        <v>3073904</v>
      </c>
      <c r="AO16" s="164">
        <f ca="1">Production!$L16</f>
        <v>231000</v>
      </c>
      <c r="AP16" s="164">
        <f ca="1">Production!J16</f>
        <v>295983</v>
      </c>
      <c r="AQ16" s="164">
        <f ca="1">Production!M16</f>
        <v>20000</v>
      </c>
      <c r="AR16" s="164">
        <f ca="1">Production!K16</f>
        <v>29817</v>
      </c>
      <c r="AS16" s="164">
        <f ca="1">Production!I16</f>
        <v>90277</v>
      </c>
      <c r="AT16" s="164">
        <f ca="1">Production!N16</f>
        <v>200</v>
      </c>
      <c r="AU16" s="152">
        <f t="shared" ca="1" si="2"/>
        <v>0</v>
      </c>
      <c r="AV16" s="164">
        <f t="shared" ca="1" si="3"/>
        <v>0</v>
      </c>
      <c r="AW16" s="164">
        <f t="shared" ca="1" si="50"/>
        <v>0</v>
      </c>
      <c r="AX16" s="164">
        <f t="shared" ca="1" si="51"/>
        <v>0</v>
      </c>
      <c r="AY16" s="164">
        <f t="shared" ca="1" si="52"/>
        <v>0</v>
      </c>
      <c r="AZ16" s="164">
        <f t="shared" ca="1" si="53"/>
        <v>0</v>
      </c>
      <c r="BA16" s="166">
        <f t="shared" ca="1" si="54"/>
        <v>0</v>
      </c>
      <c r="BB16" s="170">
        <v>14</v>
      </c>
      <c r="BC16" s="532">
        <f t="shared" si="71"/>
        <v>43692.541666666635</v>
      </c>
      <c r="BD16" s="233">
        <f t="shared" ca="1" si="72"/>
        <v>3695</v>
      </c>
      <c r="BE16" s="352"/>
      <c r="BF16" s="345"/>
      <c r="BG16" s="345"/>
      <c r="BH16" s="345"/>
      <c r="BI16" s="345"/>
      <c r="BJ16" s="345"/>
      <c r="BK16" s="345"/>
      <c r="BL16" s="353"/>
      <c r="BN16" s="503">
        <f>Construction!BM16/Construction!E16</f>
        <v>0</v>
      </c>
      <c r="BO16" s="171">
        <f>Construction!BD16/Construction!E16</f>
        <v>0</v>
      </c>
      <c r="BP16" s="152">
        <f>ROUNDUP((1-MIN(AB16*smithy_bonus,smithy_bonus_cap))*(1+Techs!AO16*tech_master_of_frugality)*spec_op_plat,0)</f>
        <v>165</v>
      </c>
      <c r="BQ16" s="164">
        <f>ROUNDUP(IF(race="Gnome",1,(1-MIN(AB16*smithy_bonus,smithy_bonus_cap))*(1+Techs!AO16*tech_master_of_frugality))*spec_op_ore,0)</f>
        <v>15</v>
      </c>
      <c r="BR16" s="164">
        <f t="shared" si="6"/>
        <v>0</v>
      </c>
      <c r="BS16" s="164">
        <f t="shared" si="7"/>
        <v>0</v>
      </c>
      <c r="BT16" s="164">
        <f ca="1">ROUNDUP((1-MIN(AB16*smithy_bonus,smithy_bonus_cap))*(1+Techs!AO16*tech_master_of_frugality)*spec_dp_plat,0)</f>
        <v>165</v>
      </c>
      <c r="BU16" s="164">
        <f ca="1">ROUNDUP(IF(OR(race="Gnome",race="Imperial Gnome"),1,(1-MIN(AB16*smithy_bonus,smithy_bonus_cap))*(1+Techs!AO16*tech_master_of_frugality))*spec_dp_ore,0)</f>
        <v>6</v>
      </c>
      <c r="BV16" s="164">
        <f t="shared" ca="1" si="8"/>
        <v>0</v>
      </c>
      <c r="BW16" s="164">
        <f t="shared" ca="1" si="9"/>
        <v>0</v>
      </c>
      <c r="BX16" s="164">
        <f t="shared" ca="1" si="10"/>
        <v>0</v>
      </c>
      <c r="BY16" s="164">
        <f ca="1">ROUNDUP((1-MIN(AB16*smithy_bonus,smithy_bonus_cap))*(1+Techs!AO16*tech_master_of_frugality)*elite1_plat,0)</f>
        <v>600</v>
      </c>
      <c r="BZ16" s="164">
        <f ca="1">ROUNDUP(IF(race="Gnome",1,(1-MIN(AB16*smithy_bonus,smithy_bonus_cap))*(1+Techs!AO16*tech_master_of_frugality))*elite1_ore,0)</f>
        <v>45</v>
      </c>
      <c r="CA16" s="164">
        <f t="shared" ca="1" si="11"/>
        <v>0</v>
      </c>
      <c r="CB16" s="164">
        <f t="shared" ca="1" si="12"/>
        <v>0</v>
      </c>
      <c r="CC16" s="164">
        <f t="shared" ca="1" si="13"/>
        <v>0</v>
      </c>
      <c r="CD16" s="164">
        <f t="shared" ca="1" si="14"/>
        <v>0</v>
      </c>
      <c r="CE16" s="164">
        <f t="shared" ca="1" si="15"/>
        <v>0</v>
      </c>
      <c r="CF16" s="164">
        <f ca="1">ROUNDUP((1-MIN(AB16*smithy_bonus,smithy_bonus_cap))*(1+Techs!AO16*tech_master_of_frugality)*elite2_plat,0)</f>
        <v>750</v>
      </c>
      <c r="CG16" s="164">
        <f ca="1">ROUNDUP(IF(race="Gnome",1,(1-MIN(AB16*smithy_bonus,smithy_bonus_cap))*(1+Techs!AO16*tech_master_of_frugality))*elite2_ore,0)</f>
        <v>60</v>
      </c>
      <c r="CH16" s="164">
        <f t="shared" ca="1" si="16"/>
        <v>0</v>
      </c>
      <c r="CI16" s="164">
        <f t="shared" ca="1" si="17"/>
        <v>0</v>
      </c>
      <c r="CJ16" s="164">
        <f t="shared" ca="1" si="18"/>
        <v>0</v>
      </c>
      <c r="CK16" s="164">
        <f t="shared" ca="1" si="19"/>
        <v>0</v>
      </c>
      <c r="CL16" s="164">
        <f t="shared" ca="1" si="20"/>
        <v>0</v>
      </c>
      <c r="CM16" s="164">
        <f>ROUNDUP((1+tech_spy_cost*Techs!AJ16)*spy_plat,0)</f>
        <v>500</v>
      </c>
      <c r="CN16" s="164">
        <f>ROUNDUP((1+tech_wizard_cost*Techs!AM16-MIN(ROUND(wg_wiz_cost_bonus*BN16,4),wg_wiz_cost_cap))*wizard_plat,0)</f>
        <v>500</v>
      </c>
      <c r="CO16" s="166">
        <f>ROUNDUP((1+tech_wizard_cost*Techs!AM16-MIN(ROUND(wg_wiz_cost_bonus*BN16,4),wg_wiz_cost_cap))*archmage_plat,0)</f>
        <v>1000</v>
      </c>
      <c r="CQ16" s="461">
        <f ca="1">Construction!DF16/Construction!E16</f>
        <v>0.28000000000000003</v>
      </c>
      <c r="CR16" s="462">
        <f t="shared" si="73"/>
        <v>0</v>
      </c>
      <c r="CS16" s="462">
        <f>Construction!BK16/Construction!E16</f>
        <v>0.05</v>
      </c>
      <c r="CT16" s="462">
        <f>Construction!BJ16/Construction!E16</f>
        <v>0</v>
      </c>
      <c r="CU16" s="462">
        <f>Construction!AY16/Construction!E16</f>
        <v>0</v>
      </c>
      <c r="CV16" s="481">
        <f t="shared" ca="1" si="22"/>
        <v>1.4000000000000001</v>
      </c>
      <c r="CW16" s="482">
        <f t="shared" ca="1" si="23"/>
        <v>1.4000000000000001</v>
      </c>
      <c r="CX16" s="482">
        <f t="shared" ca="1" si="24"/>
        <v>1.4000000000000001</v>
      </c>
      <c r="CY16" s="483">
        <f t="shared" ca="1" si="25"/>
        <v>1.4000000000000001</v>
      </c>
      <c r="CZ16" s="483">
        <f t="shared" si="26"/>
        <v>0</v>
      </c>
      <c r="DA16" s="483">
        <f t="shared" ca="1" si="27"/>
        <v>3</v>
      </c>
      <c r="DB16" s="483">
        <f t="shared" ca="1" si="28"/>
        <v>1.4000000000000001</v>
      </c>
      <c r="DC16" s="482">
        <f t="shared" si="29"/>
        <v>0</v>
      </c>
      <c r="DD16" s="847">
        <f t="shared" si="55"/>
        <v>0</v>
      </c>
      <c r="DE16" s="440">
        <f t="shared" si="56"/>
        <v>0</v>
      </c>
      <c r="DF16" s="440">
        <f t="shared" si="57"/>
        <v>0</v>
      </c>
      <c r="DG16" s="481">
        <f t="shared" ca="1" si="30"/>
        <v>1.4000000000000001</v>
      </c>
      <c r="DH16" s="450">
        <f t="shared" si="58"/>
        <v>0</v>
      </c>
      <c r="DI16" s="450">
        <f>MIN(valkyrja_cap,Production!O16/valkyrja_bonus)</f>
        <v>1</v>
      </c>
      <c r="DJ16" s="847">
        <f>MIN(voodoo_magi_cap,Production!O16/voodoo_magi_bonus)</f>
        <v>0.83333333333333337</v>
      </c>
      <c r="DK16" s="847">
        <f>MIN(warlock_cap,Production!O16/warlock_bonus)</f>
        <v>1.25</v>
      </c>
      <c r="DL16" s="847">
        <f ca="1">MIN(nox_nightshade_cap,Construction!DF16/Construction!E16/nox_nightshade_swamp_bonus)</f>
        <v>2.8000000000000003</v>
      </c>
      <c r="DM16" s="482">
        <f t="shared" si="31"/>
        <v>0</v>
      </c>
      <c r="DN16" s="483">
        <f t="shared" ca="1" si="32"/>
        <v>2.8000000000000003</v>
      </c>
      <c r="DO16" s="483">
        <f t="shared" ca="1" si="33"/>
        <v>2.8000000000000003</v>
      </c>
      <c r="DP16" s="483">
        <f t="shared" si="34"/>
        <v>1</v>
      </c>
      <c r="DQ16" s="482">
        <f t="shared" si="35"/>
        <v>0</v>
      </c>
      <c r="DR16" s="483">
        <f t="shared" si="36"/>
        <v>0</v>
      </c>
      <c r="DS16" s="482">
        <f t="shared" si="37"/>
        <v>0</v>
      </c>
      <c r="DT16" s="483">
        <f t="shared" si="59"/>
        <v>0</v>
      </c>
      <c r="DU16" s="449" t="s">
        <v>103</v>
      </c>
      <c r="DV16" s="16" t="b">
        <f t="shared" si="60"/>
        <v>0</v>
      </c>
      <c r="DX16" s="481">
        <f ca="1">MIN(6,CV16+Races!$F$19)*1.8 +  IF(CV16+Races!$F$19&gt;6,(CV16+Races!$F$19-6)*0.2,0) - Races!$N$19</f>
        <v>2.5200000000000005</v>
      </c>
      <c r="DY16" s="482">
        <f ca="1">1.8 * MIN(MAX(CW16+Races!$E$20,CX16+Races!$F$20),6)  +  0.45 * MIN(MIN(CW16+Races!$E$20,CX16+Races!$F$20),6)  +  0.2 * ( MAX(CW16+Races!$E$20-6,0) + MAX(CX16+Races!$F$20-6,0) )  -  Races!$N$20</f>
        <v>3.1500000000000012</v>
      </c>
      <c r="DZ16" s="166">
        <f t="shared" ca="1" si="38"/>
        <v>0</v>
      </c>
      <c r="EA16" s="665">
        <f ca="1">MIN(6,CY16+Races!$F$35)*1.8 +  IF(CY16+Races!$F$35&gt;6,(CY16+Races!$F$35-6)*0.2,0) - Races!$N$19</f>
        <v>0.72000000000000064</v>
      </c>
      <c r="EB16" s="166">
        <f t="shared" ca="1" si="39"/>
        <v>0</v>
      </c>
      <c r="EC16" s="665">
        <f ca="1">1.8 * MIN(MAX(Races!$E$27,DB16+Races!$F$27),6)  +  0.45 * MIN(MIN(Races!$E$27,DB16+Races!$F$27),6)  +  0.2 * ( MAX(Races!$E$27-6,0) + MAX(DB16+Races!$F$27-6,0) )  -  Races!$N$20</f>
        <v>4.7700000000000005</v>
      </c>
      <c r="ED16" s="166">
        <f t="shared" ca="1" si="40"/>
        <v>0</v>
      </c>
      <c r="EE16" s="665">
        <f>1.8 * MIN(MAX(DC16+Races!$E$47,DD16+Races!$F$47),6)  +  0.45 * MIN(MIN(DC16+Races!$E$47,DD16+Races!$F$47),6)  +  0.2 * ( MAX(DC16+Races!$E$47-6,0) + MAX(DD16+Races!$F$47-6,0) )  -  Races!$N$47</f>
        <v>0</v>
      </c>
      <c r="EF16" s="166">
        <f t="shared" si="41"/>
        <v>0</v>
      </c>
      <c r="EG16" s="665">
        <f ca="1">1.8 * MIN(MAX(DG16+Races!$F$71,Races!$E$71),6)  +  0.45 * MIN(MIN(DG16+Races!$F$71,Races!$E$71),6)  +  0.2 * ( MAX(DG16+Races!$F$71-6,0) + MAX(Races!$E$71-6,0) )  -  Races!$N$71</f>
        <v>2.5200000000000014</v>
      </c>
      <c r="EH16" s="665">
        <f>1.8 * MIN(MAX(DH16+Races!$E$71,Races!$F$71),6)  +  0.45 * MIN(MIN(DH16+Races!$E$71,Races!$F$71),6)  +  0.2 * ( MAX(DH16+Races!$E$71-6,0) + MAX(Races!$F$71-6,0) )  -  Races!$N$71</f>
        <v>0</v>
      </c>
      <c r="EI16" s="166">
        <f t="shared" ca="1" si="42"/>
        <v>0</v>
      </c>
      <c r="EJ16" s="166"/>
      <c r="EK16" s="166"/>
      <c r="EL16" s="166"/>
      <c r="EM16" s="166">
        <f ca="1">Overview!$L$22*E16+Overview!$L$23*F16+Overview!$L$24*G16+Overview!$L$25*H16+Overview!$L$26*I16+Overview!$L$27*J16+Overview!$L$28*K16+Construction!E16*20+Construction!B16*5 + DZ16*$DV$4+EB16*$DV$5+ED16*$DV$6+EF16*$DV$7+EI16*$DV$9</f>
        <v>21900</v>
      </c>
      <c r="EO16" s="737">
        <f>(J16+2*K16)/Construction!E16</f>
        <v>0</v>
      </c>
      <c r="EP16" s="734">
        <f ca="1">EO16*(1+race_wizard_strength+tech_magical_weaponry_wiz*Techs!AV88)</f>
        <v>0</v>
      </c>
      <c r="EQ16" s="170">
        <f>(I16+halfer*H16/3)/Construction!E16</f>
        <v>0</v>
      </c>
    </row>
    <row r="17" spans="1:147" s="170" customFormat="1">
      <c r="A17" s="629">
        <f>Rezone!J17</f>
        <v>15</v>
      </c>
      <c r="B17" s="152">
        <f ca="1">SUM(E17:K17)+SUM(AF9:AG17)+SUM(AH6:AL17)+Z17+Explore!AL17</f>
        <v>5295</v>
      </c>
      <c r="C17" s="171">
        <f ca="1">Population!G17</f>
        <v>0.5120515537441096</v>
      </c>
      <c r="E17" s="156">
        <f t="shared" si="64"/>
        <v>0</v>
      </c>
      <c r="F17" s="170">
        <f t="shared" si="65"/>
        <v>0</v>
      </c>
      <c r="G17" s="170">
        <f t="shared" si="66"/>
        <v>0</v>
      </c>
      <c r="H17" s="170">
        <f t="shared" si="67"/>
        <v>0</v>
      </c>
      <c r="I17" s="170">
        <f t="shared" si="68"/>
        <v>0</v>
      </c>
      <c r="J17" s="170">
        <f t="shared" si="69"/>
        <v>0</v>
      </c>
      <c r="K17" s="157">
        <f t="shared" si="70"/>
        <v>0</v>
      </c>
      <c r="M17" s="160">
        <f ca="1">Production!G17</f>
        <v>21900</v>
      </c>
      <c r="O17" s="234">
        <f t="shared" ca="1" si="0"/>
        <v>0</v>
      </c>
      <c r="P17" s="455">
        <f ca="1">race_offense+Imps!AB17+ROUND(MIN(gn_bonus*Construction!BF17/Construction!$E17,gn_bonus_cap),4)+MAX(IF(Magic!$AN17&gt;0,warsong_bonus),IF(Magic!AP17&gt;0,howling_op_bonus),IF(Magic!AS17&gt;0,nightfall_bonus),IF(Magic!AT17&gt;0,crusade_bonus),IF(Magic!AU17&gt;0,killingrage_bonus),IF(Magic!AV17&gt;0,bloodrage_bonus)) + Production!O17/100*prestige_offense_bonus + MAX(tech_military_offense*Techs!AH17,tech_magical_weaponry_op*Techs!AV17)</f>
        <v>0.05</v>
      </c>
      <c r="Q17" s="235">
        <f t="shared" ca="1" si="46"/>
        <v>0</v>
      </c>
      <c r="R17" s="234">
        <f ca="1">F17*(spec_dp+spirit*DR17)+G17*(elite1_dp+woodie*CV17+sylvan*CY17+gnome*DB17+dark_elf*DD17+icekin*DG17+orc*DJ17+nox*DL17+beast*DN17+sacred*DP17+spirit*DS17+blackorc*DK17)+H17*(elite2_dp+woodie*CX17+beast*DO17+sacred*DQ17) + fh_peas_dp*MIN(Population!C17,20*Construction!BD17)+kobold*DE17</f>
        <v>0</v>
      </c>
      <c r="S17" s="235">
        <f t="shared" ca="1" si="1"/>
        <v>3695</v>
      </c>
      <c r="T17" s="1052">
        <f ca="1">race_defense+Imps!AC17+ROUND(MIN(gt_bonus*Construction!BH17/Construction!$E17,gt_bonus_cap),4)+MAX(IF(Magic!AM17&gt;0,frenzy_bonus,IF(Magic!AQ17&gt;0,blizzard_bonus,IF(Magic!AP17&gt;0,howling_dp_bonus,IF(Magic!AI17&gt;0,ares_call_bonus)))),IF(Magic!AX17&gt;0,MIN(Construction!DF17/Construction!E17,0.2),0))</f>
        <v>0</v>
      </c>
      <c r="U17" s="1046">
        <f t="shared" ca="1" si="47"/>
        <v>0</v>
      </c>
      <c r="V17" s="308">
        <f t="shared" ca="1" si="48"/>
        <v>3695</v>
      </c>
      <c r="W17" s="308">
        <f>Construction!E17</f>
        <v>1000</v>
      </c>
      <c r="X17" s="364"/>
      <c r="Y17" s="232">
        <f t="shared" si="74"/>
        <v>0.4</v>
      </c>
      <c r="Z17" s="166">
        <f ca="1">Z16+Population!Z16 - IF(race="Lux",AF17,SUM(AF17:AK17)) - BE17 + SUM(BF17:BL17) - Explore!AI17</f>
        <v>3695</v>
      </c>
      <c r="AA17" s="164"/>
      <c r="AB17" s="251">
        <f>(Construction!$BA17+Construction!BY17)/(Construction!$E17-Explore!S17*20)</f>
        <v>0.2</v>
      </c>
      <c r="AC17" s="629"/>
      <c r="AD17" s="798">
        <f>Rezone!J17</f>
        <v>15</v>
      </c>
      <c r="AE17" s="589">
        <f>Explore!AA17</f>
        <v>43692.583333333299</v>
      </c>
      <c r="AF17" s="352"/>
      <c r="AG17" s="345"/>
      <c r="AH17" s="345"/>
      <c r="AI17" s="345"/>
      <c r="AJ17" s="345"/>
      <c r="AK17" s="345"/>
      <c r="AL17" s="353"/>
      <c r="AN17" s="152">
        <f ca="1">Production!$H17</f>
        <v>3088244</v>
      </c>
      <c r="AO17" s="164">
        <f ca="1">Production!$L17</f>
        <v>231000</v>
      </c>
      <c r="AP17" s="164">
        <f ca="1">Production!J17</f>
        <v>295523</v>
      </c>
      <c r="AQ17" s="164">
        <f ca="1">Production!M17</f>
        <v>20000</v>
      </c>
      <c r="AR17" s="164">
        <f ca="1">Production!K17</f>
        <v>30471</v>
      </c>
      <c r="AS17" s="164">
        <f ca="1">Production!I17</f>
        <v>93763</v>
      </c>
      <c r="AT17" s="164">
        <f ca="1">Production!N17</f>
        <v>200</v>
      </c>
      <c r="AU17" s="152">
        <f t="shared" ca="1" si="2"/>
        <v>0</v>
      </c>
      <c r="AV17" s="164">
        <f t="shared" ca="1" si="3"/>
        <v>0</v>
      </c>
      <c r="AW17" s="164">
        <f t="shared" ca="1" si="50"/>
        <v>0</v>
      </c>
      <c r="AX17" s="164">
        <f t="shared" ca="1" si="51"/>
        <v>0</v>
      </c>
      <c r="AY17" s="164">
        <f t="shared" ca="1" si="52"/>
        <v>0</v>
      </c>
      <c r="AZ17" s="164">
        <f t="shared" ca="1" si="53"/>
        <v>0</v>
      </c>
      <c r="BA17" s="166">
        <f t="shared" ca="1" si="54"/>
        <v>0</v>
      </c>
      <c r="BB17" s="170">
        <v>15</v>
      </c>
      <c r="BC17" s="532">
        <f t="shared" si="71"/>
        <v>43692.583333333299</v>
      </c>
      <c r="BD17" s="233">
        <f t="shared" ca="1" si="72"/>
        <v>3695</v>
      </c>
      <c r="BE17" s="352"/>
      <c r="BF17" s="345"/>
      <c r="BG17" s="345"/>
      <c r="BH17" s="345"/>
      <c r="BI17" s="345"/>
      <c r="BJ17" s="345"/>
      <c r="BK17" s="345"/>
      <c r="BL17" s="353"/>
      <c r="BN17" s="503">
        <f>Construction!BM17/Construction!E17</f>
        <v>0</v>
      </c>
      <c r="BO17" s="171">
        <f>Construction!BD17/Construction!E17</f>
        <v>0</v>
      </c>
      <c r="BP17" s="152">
        <f>ROUNDUP((1-MIN(AB17*smithy_bonus,smithy_bonus_cap))*(1+Techs!AO17*tech_master_of_frugality)*spec_op_plat,0)</f>
        <v>165</v>
      </c>
      <c r="BQ17" s="164">
        <f>ROUNDUP(IF(race="Gnome",1,(1-MIN(AB17*smithy_bonus,smithy_bonus_cap))*(1+Techs!AO17*tech_master_of_frugality))*spec_op_ore,0)</f>
        <v>15</v>
      </c>
      <c r="BR17" s="164">
        <f t="shared" si="6"/>
        <v>0</v>
      </c>
      <c r="BS17" s="164">
        <f t="shared" si="7"/>
        <v>0</v>
      </c>
      <c r="BT17" s="164">
        <f ca="1">ROUNDUP((1-MIN(AB17*smithy_bonus,smithy_bonus_cap))*(1+Techs!AO17*tech_master_of_frugality)*spec_dp_plat,0)</f>
        <v>165</v>
      </c>
      <c r="BU17" s="164">
        <f ca="1">ROUNDUP(IF(OR(race="Gnome",race="Imperial Gnome"),1,(1-MIN(AB17*smithy_bonus,smithy_bonus_cap))*(1+Techs!AO17*tech_master_of_frugality))*spec_dp_ore,0)</f>
        <v>6</v>
      </c>
      <c r="BV17" s="164">
        <f t="shared" ca="1" si="8"/>
        <v>0</v>
      </c>
      <c r="BW17" s="164">
        <f t="shared" ca="1" si="9"/>
        <v>0</v>
      </c>
      <c r="BX17" s="164">
        <f t="shared" ca="1" si="10"/>
        <v>0</v>
      </c>
      <c r="BY17" s="164">
        <f ca="1">ROUNDUP((1-MIN(AB17*smithy_bonus,smithy_bonus_cap))*(1+Techs!AO17*tech_master_of_frugality)*elite1_plat,0)</f>
        <v>600</v>
      </c>
      <c r="BZ17" s="164">
        <f ca="1">ROUNDUP(IF(race="Gnome",1,(1-MIN(AB17*smithy_bonus,smithy_bonus_cap))*(1+Techs!AO17*tech_master_of_frugality))*elite1_ore,0)</f>
        <v>45</v>
      </c>
      <c r="CA17" s="164">
        <f t="shared" ca="1" si="11"/>
        <v>0</v>
      </c>
      <c r="CB17" s="164">
        <f t="shared" ca="1" si="12"/>
        <v>0</v>
      </c>
      <c r="CC17" s="164">
        <f t="shared" ca="1" si="13"/>
        <v>0</v>
      </c>
      <c r="CD17" s="164">
        <f t="shared" ca="1" si="14"/>
        <v>0</v>
      </c>
      <c r="CE17" s="164">
        <f t="shared" ca="1" si="15"/>
        <v>0</v>
      </c>
      <c r="CF17" s="164">
        <f ca="1">ROUNDUP((1-MIN(AB17*smithy_bonus,smithy_bonus_cap))*(1+Techs!AO17*tech_master_of_frugality)*elite2_plat,0)</f>
        <v>750</v>
      </c>
      <c r="CG17" s="164">
        <f ca="1">ROUNDUP(IF(race="Gnome",1,(1-MIN(AB17*smithy_bonus,smithy_bonus_cap))*(1+Techs!AO17*tech_master_of_frugality))*elite2_ore,0)</f>
        <v>60</v>
      </c>
      <c r="CH17" s="164">
        <f t="shared" ca="1" si="16"/>
        <v>0</v>
      </c>
      <c r="CI17" s="164">
        <f t="shared" ca="1" si="17"/>
        <v>0</v>
      </c>
      <c r="CJ17" s="164">
        <f t="shared" ca="1" si="18"/>
        <v>0</v>
      </c>
      <c r="CK17" s="164">
        <f t="shared" ca="1" si="19"/>
        <v>0</v>
      </c>
      <c r="CL17" s="164">
        <f t="shared" ca="1" si="20"/>
        <v>0</v>
      </c>
      <c r="CM17" s="164">
        <f>ROUNDUP((1+tech_spy_cost*Techs!AJ17)*spy_plat,0)</f>
        <v>500</v>
      </c>
      <c r="CN17" s="164">
        <f>ROUNDUP((1+tech_wizard_cost*Techs!AM17-MIN(ROUND(wg_wiz_cost_bonus*BN17,4),wg_wiz_cost_cap))*wizard_plat,0)</f>
        <v>500</v>
      </c>
      <c r="CO17" s="166">
        <f>ROUNDUP((1+tech_wizard_cost*Techs!AM17-MIN(ROUND(wg_wiz_cost_bonus*BN17,4),wg_wiz_cost_cap))*archmage_plat,0)</f>
        <v>1000</v>
      </c>
      <c r="CQ17" s="461">
        <f ca="1">Construction!DF17/Construction!E17</f>
        <v>0.28000000000000003</v>
      </c>
      <c r="CR17" s="462">
        <f t="shared" si="73"/>
        <v>0</v>
      </c>
      <c r="CS17" s="462">
        <f>Construction!BK17/Construction!E17</f>
        <v>0.05</v>
      </c>
      <c r="CT17" s="462">
        <f>Construction!BJ17/Construction!E17</f>
        <v>0</v>
      </c>
      <c r="CU17" s="462">
        <f>Construction!AY17/Construction!E17</f>
        <v>0</v>
      </c>
      <c r="CV17" s="481">
        <f t="shared" ca="1" si="22"/>
        <v>1.4000000000000001</v>
      </c>
      <c r="CW17" s="482">
        <f t="shared" ca="1" si="23"/>
        <v>1.4000000000000001</v>
      </c>
      <c r="CX17" s="482">
        <f t="shared" ca="1" si="24"/>
        <v>1.4000000000000001</v>
      </c>
      <c r="CY17" s="483">
        <f t="shared" ca="1" si="25"/>
        <v>1.4000000000000001</v>
      </c>
      <c r="CZ17" s="483">
        <f t="shared" si="26"/>
        <v>0</v>
      </c>
      <c r="DA17" s="483">
        <f t="shared" ca="1" si="27"/>
        <v>3</v>
      </c>
      <c r="DB17" s="483">
        <f t="shared" ca="1" si="28"/>
        <v>1.4000000000000001</v>
      </c>
      <c r="DC17" s="482">
        <f t="shared" si="29"/>
        <v>0</v>
      </c>
      <c r="DD17" s="847">
        <f t="shared" si="55"/>
        <v>0</v>
      </c>
      <c r="DE17" s="440">
        <f t="shared" si="56"/>
        <v>0</v>
      </c>
      <c r="DF17" s="440">
        <f t="shared" si="57"/>
        <v>0</v>
      </c>
      <c r="DG17" s="481">
        <f t="shared" ca="1" si="30"/>
        <v>1.4000000000000001</v>
      </c>
      <c r="DH17" s="450">
        <f t="shared" si="58"/>
        <v>0</v>
      </c>
      <c r="DI17" s="450">
        <f>MIN(valkyrja_cap,Production!O17/valkyrja_bonus)</f>
        <v>1</v>
      </c>
      <c r="DJ17" s="847">
        <f>MIN(voodoo_magi_cap,Production!O17/voodoo_magi_bonus)</f>
        <v>0.83333333333333337</v>
      </c>
      <c r="DK17" s="847">
        <f>MIN(warlock_cap,Production!O17/warlock_bonus)</f>
        <v>1.25</v>
      </c>
      <c r="DL17" s="847">
        <f ca="1">MIN(nox_nightshade_cap,Construction!DF17/Construction!E17/nox_nightshade_swamp_bonus)</f>
        <v>2.8000000000000003</v>
      </c>
      <c r="DM17" s="482">
        <f t="shared" si="31"/>
        <v>0</v>
      </c>
      <c r="DN17" s="483">
        <f t="shared" ca="1" si="32"/>
        <v>2.8000000000000003</v>
      </c>
      <c r="DO17" s="483">
        <f t="shared" ca="1" si="33"/>
        <v>2.8000000000000003</v>
      </c>
      <c r="DP17" s="483">
        <f t="shared" si="34"/>
        <v>1</v>
      </c>
      <c r="DQ17" s="482">
        <f t="shared" si="35"/>
        <v>0</v>
      </c>
      <c r="DR17" s="483">
        <f t="shared" si="36"/>
        <v>0</v>
      </c>
      <c r="DS17" s="482">
        <f t="shared" si="37"/>
        <v>0</v>
      </c>
      <c r="DT17" s="483">
        <f t="shared" si="59"/>
        <v>0</v>
      </c>
      <c r="DU17" s="1390" t="s">
        <v>96</v>
      </c>
      <c r="DV17" s="16" t="b">
        <f t="shared" si="60"/>
        <v>0</v>
      </c>
      <c r="DX17" s="481">
        <f ca="1">MIN(6,CV17+Races!$F$19)*1.8 +  IF(CV17+Races!$F$19&gt;6,(CV17+Races!$F$19-6)*0.2,0) - Races!$N$19</f>
        <v>2.5200000000000005</v>
      </c>
      <c r="DY17" s="482">
        <f ca="1">1.8 * MIN(MAX(CW17+Races!$E$20,CX17+Races!$F$20),6)  +  0.45 * MIN(MIN(CW17+Races!$E$20,CX17+Races!$F$20),6)  +  0.2 * ( MAX(CW17+Races!$E$20-6,0) + MAX(CX17+Races!$F$20-6,0) )  -  Races!$N$20</f>
        <v>3.1500000000000012</v>
      </c>
      <c r="DZ17" s="166">
        <f t="shared" ca="1" si="38"/>
        <v>0</v>
      </c>
      <c r="EA17" s="665">
        <f ca="1">MIN(6,CY17+Races!$F$35)*1.8 +  IF(CY17+Races!$F$35&gt;6,(CY17+Races!$F$35-6)*0.2,0) - Races!$N$19</f>
        <v>0.72000000000000064</v>
      </c>
      <c r="EB17" s="166">
        <f t="shared" ca="1" si="39"/>
        <v>0</v>
      </c>
      <c r="EC17" s="665">
        <f ca="1">1.8 * MIN(MAX(Races!$E$27,DB17+Races!$F$27),6)  +  0.45 * MIN(MIN(Races!$E$27,DB17+Races!$F$27),6)  +  0.2 * ( MAX(Races!$E$27-6,0) + MAX(DB17+Races!$F$27-6,0) )  -  Races!$N$20</f>
        <v>4.7700000000000005</v>
      </c>
      <c r="ED17" s="166">
        <f t="shared" ca="1" si="40"/>
        <v>0</v>
      </c>
      <c r="EE17" s="665">
        <f>1.8 * MIN(MAX(DC17+Races!$E$47,DD17+Races!$F$47),6)  +  0.45 * MIN(MIN(DC17+Races!$E$47,DD17+Races!$F$47),6)  +  0.2 * ( MAX(DC17+Races!$E$47-6,0) + MAX(DD17+Races!$F$47-6,0) )  -  Races!$N$47</f>
        <v>0</v>
      </c>
      <c r="EF17" s="166">
        <f t="shared" si="41"/>
        <v>0</v>
      </c>
      <c r="EG17" s="665">
        <f ca="1">1.8 * MIN(MAX(DG17+Races!$F$71,Races!$E$71),6)  +  0.45 * MIN(MIN(DG17+Races!$F$71,Races!$E$71),6)  +  0.2 * ( MAX(DG17+Races!$F$71-6,0) + MAX(Races!$E$71-6,0) )  -  Races!$N$71</f>
        <v>2.5200000000000014</v>
      </c>
      <c r="EH17" s="665">
        <f>1.8 * MIN(MAX(DH17+Races!$E$71,Races!$F$71),6)  +  0.45 * MIN(MIN(DH17+Races!$E$71,Races!$F$71),6)  +  0.2 * ( MAX(DH17+Races!$E$71-6,0) + MAX(Races!$F$71-6,0) )  -  Races!$N$71</f>
        <v>0</v>
      </c>
      <c r="EI17" s="166">
        <f t="shared" ca="1" si="42"/>
        <v>0</v>
      </c>
      <c r="EJ17" s="166"/>
      <c r="EK17" s="166"/>
      <c r="EL17" s="166"/>
      <c r="EM17" s="166">
        <f ca="1">Overview!$L$22*E17+Overview!$L$23*F17+Overview!$L$24*G17+Overview!$L$25*H17+Overview!$L$26*I17+Overview!$L$27*J17+Overview!$L$28*K17+Construction!E17*20+Construction!B17*5 + DZ17*$DV$4+EB17*$DV$5+ED17*$DV$6+EF17*$DV$7+EI17*$DV$9</f>
        <v>21900</v>
      </c>
      <c r="EO17" s="737">
        <f>(J17+2*K17)/Construction!E17</f>
        <v>0</v>
      </c>
      <c r="EP17" s="734">
        <f ca="1">EO17*(1+race_wizard_strength+tech_magical_weaponry_wiz*Techs!AV89)</f>
        <v>0</v>
      </c>
      <c r="EQ17" s="170">
        <f>(I17+halfer*H17/3)/Construction!E17</f>
        <v>0</v>
      </c>
    </row>
    <row r="18" spans="1:147" s="16" customFormat="1">
      <c r="A18" s="629">
        <f>Rezone!J18</f>
        <v>16</v>
      </c>
      <c r="B18" s="56">
        <f ca="1">SUM(E18:K18)+SUM(AF10:AG18)+SUM(AH7:AL18)+Z18+Explore!AL18</f>
        <v>5295</v>
      </c>
      <c r="C18" s="97">
        <f ca="1">Population!G18</f>
        <v>0.52485670441543453</v>
      </c>
      <c r="E18" s="52">
        <f t="shared" si="64"/>
        <v>0</v>
      </c>
      <c r="F18" s="16">
        <f t="shared" si="65"/>
        <v>0</v>
      </c>
      <c r="G18" s="16">
        <f t="shared" si="66"/>
        <v>0</v>
      </c>
      <c r="H18" s="16">
        <f t="shared" si="67"/>
        <v>0</v>
      </c>
      <c r="I18" s="16">
        <f t="shared" si="68"/>
        <v>0</v>
      </c>
      <c r="J18" s="16">
        <f t="shared" si="69"/>
        <v>0</v>
      </c>
      <c r="K18" s="53">
        <f t="shared" si="70"/>
        <v>0</v>
      </c>
      <c r="M18" s="64">
        <f ca="1">Production!G18</f>
        <v>21900</v>
      </c>
      <c r="O18" s="234">
        <f t="shared" ca="1" si="0"/>
        <v>0</v>
      </c>
      <c r="P18" s="455">
        <f ca="1">race_offense+Imps!AB18+ROUND(MIN(gn_bonus*Construction!BF18/Construction!$E18,gn_bonus_cap),4)+MAX(IF(Magic!$AN18&gt;0,warsong_bonus),IF(Magic!AP18&gt;0,howling_op_bonus),IF(Magic!AS18&gt;0,nightfall_bonus),IF(Magic!AT18&gt;0,crusade_bonus),IF(Magic!AU18&gt;0,killingrage_bonus),IF(Magic!AV18&gt;0,bloodrage_bonus)) + Production!O18/100*prestige_offense_bonus + MAX(tech_military_offense*Techs!AH18,tech_magical_weaponry_op*Techs!AV18)</f>
        <v>0.05</v>
      </c>
      <c r="Q18" s="235">
        <f t="shared" ca="1" si="46"/>
        <v>0</v>
      </c>
      <c r="R18" s="234">
        <f ca="1">F18*(spec_dp+spirit*DR18)+G18*(elite1_dp+woodie*CV18+sylvan*CY18+gnome*DB18+dark_elf*DD18+icekin*DG18+orc*DJ18+nox*DL18+beast*DN18+sacred*DP18+spirit*DS18+blackorc*DK18)+H18*(elite2_dp+woodie*CX18+beast*DO18+sacred*DQ18) + fh_peas_dp*MIN(Population!C18,20*Construction!BD18)+kobold*DE18</f>
        <v>0</v>
      </c>
      <c r="S18" s="235">
        <f t="shared" ca="1" si="1"/>
        <v>3695</v>
      </c>
      <c r="T18" s="1052">
        <f ca="1">race_defense+Imps!AC18+ROUND(MIN(gt_bonus*Construction!BH18/Construction!$E18,gt_bonus_cap),4)+MAX(IF(Magic!AM18&gt;0,frenzy_bonus,IF(Magic!AQ18&gt;0,blizzard_bonus,IF(Magic!AP18&gt;0,howling_dp_bonus,IF(Magic!AI18&gt;0,ares_call_bonus)))),IF(Magic!AX18&gt;0,MIN(Construction!DF18/Construction!E18,0.2),0))</f>
        <v>0</v>
      </c>
      <c r="U18" s="1046">
        <f t="shared" ca="1" si="47"/>
        <v>0</v>
      </c>
      <c r="V18" s="308">
        <f t="shared" ca="1" si="48"/>
        <v>3695</v>
      </c>
      <c r="W18" s="310">
        <f>Construction!E18</f>
        <v>1000</v>
      </c>
      <c r="X18" s="367"/>
      <c r="Y18" s="146">
        <f t="shared" si="74"/>
        <v>0.4</v>
      </c>
      <c r="Z18" s="166">
        <f ca="1">Z17+Population!Z17 - IF(race="Lux",AF18,SUM(AF18:AK18)) - BE18 + SUM(BF18:BL18) - Explore!AI18</f>
        <v>3695</v>
      </c>
      <c r="AA18" s="164"/>
      <c r="AB18" s="91">
        <f>(Construction!$BA18+Construction!BY18)/(Construction!$E18-Explore!S18*20)</f>
        <v>0.2</v>
      </c>
      <c r="AC18" s="529"/>
      <c r="AD18" s="799">
        <f>Rezone!J18</f>
        <v>16</v>
      </c>
      <c r="AE18" s="589">
        <f>Explore!AA18</f>
        <v>43692.624999999964</v>
      </c>
      <c r="AF18" s="356"/>
      <c r="AG18" s="348"/>
      <c r="AH18" s="348"/>
      <c r="AI18" s="348"/>
      <c r="AJ18" s="348"/>
      <c r="AK18" s="348"/>
      <c r="AL18" s="357"/>
      <c r="AN18" s="56">
        <f ca="1">Production!$H18</f>
        <v>3101867</v>
      </c>
      <c r="AO18" s="26">
        <f ca="1">Production!$L18</f>
        <v>231000</v>
      </c>
      <c r="AP18" s="26">
        <f ca="1">Production!J18</f>
        <v>295068</v>
      </c>
      <c r="AQ18" s="26">
        <f ca="1">Production!M18</f>
        <v>20000</v>
      </c>
      <c r="AR18" s="26">
        <f ca="1">Production!K18</f>
        <v>31112</v>
      </c>
      <c r="AS18" s="26">
        <f ca="1">Production!I18</f>
        <v>97280</v>
      </c>
      <c r="AT18" s="26">
        <f ca="1">Production!N18</f>
        <v>200</v>
      </c>
      <c r="AU18" s="152">
        <f t="shared" ca="1" si="2"/>
        <v>0</v>
      </c>
      <c r="AV18" s="164">
        <f t="shared" ca="1" si="3"/>
        <v>0</v>
      </c>
      <c r="AW18" s="164">
        <f t="shared" ca="1" si="50"/>
        <v>0</v>
      </c>
      <c r="AX18" s="164">
        <f t="shared" ca="1" si="51"/>
        <v>0</v>
      </c>
      <c r="AY18" s="164">
        <f t="shared" ca="1" si="52"/>
        <v>0</v>
      </c>
      <c r="AZ18" s="164">
        <f t="shared" ca="1" si="53"/>
        <v>0</v>
      </c>
      <c r="BA18" s="166">
        <f t="shared" ca="1" si="54"/>
        <v>0</v>
      </c>
      <c r="BB18" s="16">
        <v>16</v>
      </c>
      <c r="BC18" s="574">
        <f t="shared" si="71"/>
        <v>43692.624999999964</v>
      </c>
      <c r="BD18" s="148">
        <f t="shared" ca="1" si="72"/>
        <v>3695</v>
      </c>
      <c r="BE18" s="356"/>
      <c r="BF18" s="348"/>
      <c r="BG18" s="348"/>
      <c r="BH18" s="348"/>
      <c r="BI18" s="348"/>
      <c r="BJ18" s="348"/>
      <c r="BK18" s="348"/>
      <c r="BL18" s="357"/>
      <c r="BN18" s="503">
        <f>Construction!BM18/Construction!E18</f>
        <v>0</v>
      </c>
      <c r="BO18" s="171">
        <f>Construction!BD18/Construction!E18</f>
        <v>0</v>
      </c>
      <c r="BP18" s="152">
        <f>ROUNDUP((1-MIN(AB18*smithy_bonus,smithy_bonus_cap))*(1+Techs!AO18*tech_master_of_frugality)*spec_op_plat,0)</f>
        <v>165</v>
      </c>
      <c r="BQ18" s="164">
        <f>ROUNDUP(IF(race="Gnome",1,(1-MIN(AB18*smithy_bonus,smithy_bonus_cap))*(1+Techs!AO18*tech_master_of_frugality))*spec_op_ore,0)</f>
        <v>15</v>
      </c>
      <c r="BR18" s="164">
        <f t="shared" si="6"/>
        <v>0</v>
      </c>
      <c r="BS18" s="164">
        <f t="shared" si="7"/>
        <v>0</v>
      </c>
      <c r="BT18" s="164">
        <f ca="1">ROUNDUP((1-MIN(AB18*smithy_bonus,smithy_bonus_cap))*(1+Techs!AO18*tech_master_of_frugality)*spec_dp_plat,0)</f>
        <v>165</v>
      </c>
      <c r="BU18" s="164">
        <f ca="1">ROUNDUP(IF(OR(race="Gnome",race="Imperial Gnome"),1,(1-MIN(AB18*smithy_bonus,smithy_bonus_cap))*(1+Techs!AO18*tech_master_of_frugality))*spec_dp_ore,0)</f>
        <v>6</v>
      </c>
      <c r="BV18" s="164">
        <f t="shared" ca="1" si="8"/>
        <v>0</v>
      </c>
      <c r="BW18" s="164">
        <f t="shared" ca="1" si="9"/>
        <v>0</v>
      </c>
      <c r="BX18" s="164">
        <f t="shared" ca="1" si="10"/>
        <v>0</v>
      </c>
      <c r="BY18" s="164">
        <f ca="1">ROUNDUP((1-MIN(AB18*smithy_bonus,smithy_bonus_cap))*(1+Techs!AO18*tech_master_of_frugality)*elite1_plat,0)</f>
        <v>600</v>
      </c>
      <c r="BZ18" s="164">
        <f ca="1">ROUNDUP(IF(race="Gnome",1,(1-MIN(AB18*smithy_bonus,smithy_bonus_cap))*(1+Techs!AO18*tech_master_of_frugality))*elite1_ore,0)</f>
        <v>45</v>
      </c>
      <c r="CA18" s="164">
        <f t="shared" ca="1" si="11"/>
        <v>0</v>
      </c>
      <c r="CB18" s="164">
        <f t="shared" ca="1" si="12"/>
        <v>0</v>
      </c>
      <c r="CC18" s="164">
        <f t="shared" ca="1" si="13"/>
        <v>0</v>
      </c>
      <c r="CD18" s="164">
        <f t="shared" ca="1" si="14"/>
        <v>0</v>
      </c>
      <c r="CE18" s="164">
        <f t="shared" ca="1" si="15"/>
        <v>0</v>
      </c>
      <c r="CF18" s="164">
        <f ca="1">ROUNDUP((1-MIN(AB18*smithy_bonus,smithy_bonus_cap))*(1+Techs!AO18*tech_master_of_frugality)*elite2_plat,0)</f>
        <v>750</v>
      </c>
      <c r="CG18" s="164">
        <f ca="1">ROUNDUP(IF(race="Gnome",1,(1-MIN(AB18*smithy_bonus,smithy_bonus_cap))*(1+Techs!AO18*tech_master_of_frugality))*elite2_ore,0)</f>
        <v>60</v>
      </c>
      <c r="CH18" s="164">
        <f t="shared" ca="1" si="16"/>
        <v>0</v>
      </c>
      <c r="CI18" s="164">
        <f t="shared" ca="1" si="17"/>
        <v>0</v>
      </c>
      <c r="CJ18" s="164">
        <f t="shared" ca="1" si="18"/>
        <v>0</v>
      </c>
      <c r="CK18" s="164">
        <f t="shared" ca="1" si="19"/>
        <v>0</v>
      </c>
      <c r="CL18" s="164">
        <f t="shared" ca="1" si="20"/>
        <v>0</v>
      </c>
      <c r="CM18" s="164">
        <f>ROUNDUP((1+tech_spy_cost*Techs!AJ18)*spy_plat,0)</f>
        <v>500</v>
      </c>
      <c r="CN18" s="164">
        <f>ROUNDUP((1+tech_wizard_cost*Techs!AM18-MIN(ROUND(wg_wiz_cost_bonus*BN18,4),wg_wiz_cost_cap))*wizard_plat,0)</f>
        <v>500</v>
      </c>
      <c r="CO18" s="166">
        <f>ROUNDUP((1+tech_wizard_cost*Techs!AM18-MIN(ROUND(wg_wiz_cost_bonus*BN18,4),wg_wiz_cost_cap))*archmage_plat,0)</f>
        <v>1000</v>
      </c>
      <c r="CQ18" s="465">
        <f ca="1">Construction!DF18/Construction!E18</f>
        <v>0.28000000000000003</v>
      </c>
      <c r="CR18" s="466">
        <f t="shared" si="73"/>
        <v>0</v>
      </c>
      <c r="CS18" s="466">
        <f>Construction!BK18/Construction!E18</f>
        <v>0.05</v>
      </c>
      <c r="CT18" s="466">
        <f>Construction!BJ18/Construction!E18</f>
        <v>0</v>
      </c>
      <c r="CU18" s="466">
        <f>Construction!AY18/Construction!E18</f>
        <v>0</v>
      </c>
      <c r="CV18" s="481">
        <f t="shared" ca="1" si="22"/>
        <v>1.4000000000000001</v>
      </c>
      <c r="CW18" s="482">
        <f t="shared" ca="1" si="23"/>
        <v>1.4000000000000001</v>
      </c>
      <c r="CX18" s="482">
        <f t="shared" ca="1" si="24"/>
        <v>1.4000000000000001</v>
      </c>
      <c r="CY18" s="483">
        <f t="shared" ca="1" si="25"/>
        <v>1.4000000000000001</v>
      </c>
      <c r="CZ18" s="483">
        <f t="shared" si="26"/>
        <v>0</v>
      </c>
      <c r="DA18" s="483">
        <f t="shared" ca="1" si="27"/>
        <v>3</v>
      </c>
      <c r="DB18" s="483">
        <f t="shared" ca="1" si="28"/>
        <v>1.4000000000000001</v>
      </c>
      <c r="DC18" s="482">
        <f t="shared" si="29"/>
        <v>0</v>
      </c>
      <c r="DD18" s="847">
        <f t="shared" si="55"/>
        <v>0</v>
      </c>
      <c r="DE18" s="440">
        <f t="shared" si="56"/>
        <v>0</v>
      </c>
      <c r="DF18" s="440">
        <f t="shared" si="57"/>
        <v>0</v>
      </c>
      <c r="DG18" s="481">
        <f t="shared" ca="1" si="30"/>
        <v>1.4000000000000001</v>
      </c>
      <c r="DH18" s="450">
        <f t="shared" si="58"/>
        <v>0</v>
      </c>
      <c r="DI18" s="450">
        <f>MIN(valkyrja_cap,Production!O18/valkyrja_bonus)</f>
        <v>1</v>
      </c>
      <c r="DJ18" s="847">
        <f>MIN(voodoo_magi_cap,Production!O18/voodoo_magi_bonus)</f>
        <v>0.83333333333333337</v>
      </c>
      <c r="DK18" s="847">
        <f>MIN(warlock_cap,Production!O18/warlock_bonus)</f>
        <v>1.25</v>
      </c>
      <c r="DL18" s="847">
        <f ca="1">MIN(nox_nightshade_cap,Construction!DF18/Construction!E18/nox_nightshade_swamp_bonus)</f>
        <v>2.8000000000000003</v>
      </c>
      <c r="DM18" s="482">
        <f t="shared" si="31"/>
        <v>0</v>
      </c>
      <c r="DN18" s="483">
        <f t="shared" ca="1" si="32"/>
        <v>2.8000000000000003</v>
      </c>
      <c r="DO18" s="483">
        <f t="shared" ca="1" si="33"/>
        <v>2.8000000000000003</v>
      </c>
      <c r="DP18" s="483">
        <f t="shared" si="34"/>
        <v>1</v>
      </c>
      <c r="DQ18" s="482">
        <f t="shared" si="35"/>
        <v>0</v>
      </c>
      <c r="DR18" s="483">
        <f t="shared" si="36"/>
        <v>0</v>
      </c>
      <c r="DS18" s="482">
        <f t="shared" si="37"/>
        <v>0</v>
      </c>
      <c r="DT18" s="483">
        <f t="shared" si="59"/>
        <v>0</v>
      </c>
      <c r="DU18" s="1390" t="s">
        <v>624</v>
      </c>
      <c r="DV18" s="16" t="b">
        <f t="shared" si="60"/>
        <v>0</v>
      </c>
      <c r="DX18" s="487">
        <f ca="1">MIN(6,CV18+Races!$F$19)*1.8 +  IF(CV18+Races!$F$19&gt;6,(CV18+Races!$F$19-6)*0.2,0) - Races!$N$19</f>
        <v>2.5200000000000005</v>
      </c>
      <c r="DY18" s="488">
        <f ca="1">1.8 * MIN(MAX(CW18+Races!$E$20,CX18+Races!$F$20),6)  +  0.45 * MIN(MIN(CW18+Races!$E$20,CX18+Races!$F$20),6)  +  0.2 * ( MAX(CW18+Races!$E$20-6,0) + MAX(CX18+Races!$F$20-6,0) )  -  Races!$N$20</f>
        <v>3.1500000000000012</v>
      </c>
      <c r="DZ18" s="57">
        <f t="shared" ca="1" si="38"/>
        <v>0</v>
      </c>
      <c r="EA18" s="666">
        <f ca="1">MIN(6,CY18+Races!$F$35)*1.8 +  IF(CY18+Races!$F$35&gt;6,(CY18+Races!$F$35-6)*0.2,0) - Races!$N$19</f>
        <v>0.72000000000000064</v>
      </c>
      <c r="EB18" s="57">
        <f t="shared" ca="1" si="39"/>
        <v>0</v>
      </c>
      <c r="EC18" s="666">
        <f ca="1">1.8 * MIN(MAX(Races!$E$27,DB18+Races!$F$27),6)  +  0.45 * MIN(MIN(Races!$E$27,DB18+Races!$F$27),6)  +  0.2 * ( MAX(Races!$E$27-6,0) + MAX(DB18+Races!$F$27-6,0) )  -  Races!$N$20</f>
        <v>4.7700000000000005</v>
      </c>
      <c r="ED18" s="57">
        <f t="shared" ca="1" si="40"/>
        <v>0</v>
      </c>
      <c r="EE18" s="666">
        <f>1.8 * MIN(MAX(DC18+Races!$E$47,DD18+Races!$F$47),6)  +  0.45 * MIN(MIN(DC18+Races!$E$47,DD18+Races!$F$47),6)  +  0.2 * ( MAX(DC18+Races!$E$47-6,0) + MAX(DD18+Races!$F$47-6,0) )  -  Races!$N$47</f>
        <v>0</v>
      </c>
      <c r="EF18" s="57">
        <f t="shared" si="41"/>
        <v>0</v>
      </c>
      <c r="EG18" s="666">
        <f ca="1">1.8 * MIN(MAX(DG18+Races!$F$71,Races!$E$71),6)  +  0.45 * MIN(MIN(DG18+Races!$F$71,Races!$E$71),6)  +  0.2 * ( MAX(DG18+Races!$F$71-6,0) + MAX(Races!$E$71-6,0) )  -  Races!$N$71</f>
        <v>2.5200000000000014</v>
      </c>
      <c r="EH18" s="666">
        <f>1.8 * MIN(MAX(DH18+Races!$E$71,Races!$F$71),6)  +  0.45 * MIN(MIN(DH18+Races!$E$71,Races!$F$71),6)  +  0.2 * ( MAX(DH18+Races!$E$71-6,0) + MAX(Races!$F$71-6,0) )  -  Races!$N$71</f>
        <v>0</v>
      </c>
      <c r="EI18" s="57">
        <f t="shared" ca="1" si="42"/>
        <v>0</v>
      </c>
      <c r="EJ18" s="57"/>
      <c r="EK18" s="57"/>
      <c r="EL18" s="57"/>
      <c r="EM18" s="57">
        <f ca="1">Overview!$L$22*E18+Overview!$L$23*F18+Overview!$L$24*G18+Overview!$L$25*H18+Overview!$L$26*I18+Overview!$L$27*J18+Overview!$L$28*K18+Construction!E18*20+Construction!B18*5 + DZ18*$DV$4+EB18*$DV$5+ED18*$DV$6+EF18*$DV$7+EI18*$DV$9</f>
        <v>21900</v>
      </c>
      <c r="EO18" s="738">
        <f>(J18+2*K18)/Construction!E18</f>
        <v>0</v>
      </c>
      <c r="EP18" s="734">
        <f ca="1">EO18*(1+race_wizard_strength+tech_magical_weaponry_wiz*Techs!AV90)</f>
        <v>0</v>
      </c>
      <c r="EQ18" s="16">
        <f>(I18+halfer*H18/3)/Construction!E18</f>
        <v>0</v>
      </c>
    </row>
    <row r="19" spans="1:147" s="16" customFormat="1">
      <c r="A19" s="629">
        <f>Rezone!J19</f>
        <v>17</v>
      </c>
      <c r="B19" s="56">
        <f ca="1">SUM(E19:K19)+SUM(AF11:AG19)+SUM(AH8:AL19)+Z19+Explore!AL19</f>
        <v>5295</v>
      </c>
      <c r="C19" s="97">
        <f ca="1">Population!G19</f>
        <v>0.53762925112453319</v>
      </c>
      <c r="E19" s="52">
        <f t="shared" si="64"/>
        <v>0</v>
      </c>
      <c r="F19" s="16">
        <f t="shared" si="65"/>
        <v>0</v>
      </c>
      <c r="G19" s="16">
        <f t="shared" si="66"/>
        <v>0</v>
      </c>
      <c r="H19" s="16">
        <f t="shared" si="67"/>
        <v>0</v>
      </c>
      <c r="I19" s="16">
        <f t="shared" si="68"/>
        <v>0</v>
      </c>
      <c r="J19" s="16">
        <f t="shared" si="69"/>
        <v>0</v>
      </c>
      <c r="K19" s="53">
        <f t="shared" si="70"/>
        <v>0</v>
      </c>
      <c r="M19" s="64">
        <f ca="1">Production!G19</f>
        <v>21900</v>
      </c>
      <c r="O19" s="234">
        <f t="shared" ca="1" si="0"/>
        <v>0</v>
      </c>
      <c r="P19" s="455">
        <f ca="1">race_offense+Imps!AB19+ROUND(MIN(gn_bonus*Construction!BF19/Construction!$E19,gn_bonus_cap),4)+MAX(IF(Magic!$AN19&gt;0,warsong_bonus),IF(Magic!AP19&gt;0,howling_op_bonus),IF(Magic!AS19&gt;0,nightfall_bonus),IF(Magic!AT19&gt;0,crusade_bonus),IF(Magic!AU19&gt;0,killingrage_bonus),IF(Magic!AV19&gt;0,bloodrage_bonus)) + Production!O19/100*prestige_offense_bonus + MAX(tech_military_offense*Techs!AH19,tech_magical_weaponry_op*Techs!AV19)</f>
        <v>0.05</v>
      </c>
      <c r="Q19" s="235">
        <f t="shared" ca="1" si="46"/>
        <v>0</v>
      </c>
      <c r="R19" s="234">
        <f ca="1">F19*(spec_dp+spirit*DR19)+G19*(elite1_dp+woodie*CV19+sylvan*CY19+gnome*DB19+dark_elf*DD19+icekin*DG19+orc*DJ19+nox*DL19+beast*DN19+sacred*DP19+spirit*DS19+blackorc*DK19)+H19*(elite2_dp+woodie*CX19+beast*DO19+sacred*DQ19) + fh_peas_dp*MIN(Population!C19,20*Construction!BD19)+kobold*DE19</f>
        <v>0</v>
      </c>
      <c r="S19" s="235">
        <f t="shared" ca="1" si="1"/>
        <v>3695</v>
      </c>
      <c r="T19" s="1052">
        <f ca="1">race_defense+Imps!AC19+ROUND(MIN(gt_bonus*Construction!BH19/Construction!$E19,gt_bonus_cap),4)+MAX(IF(Magic!AM19&gt;0,frenzy_bonus,IF(Magic!AQ19&gt;0,blizzard_bonus,IF(Magic!AP19&gt;0,howling_dp_bonus,IF(Magic!AI19&gt;0,ares_call_bonus)))),IF(Magic!AX19&gt;0,MIN(Construction!DF19/Construction!E19,0.2),0))</f>
        <v>0</v>
      </c>
      <c r="U19" s="1046">
        <f t="shared" ca="1" si="47"/>
        <v>0</v>
      </c>
      <c r="V19" s="308">
        <f t="shared" ca="1" si="48"/>
        <v>3695</v>
      </c>
      <c r="W19" s="310">
        <f>Construction!E19</f>
        <v>1000</v>
      </c>
      <c r="X19" s="367"/>
      <c r="Y19" s="146">
        <f t="shared" si="74"/>
        <v>0.4</v>
      </c>
      <c r="Z19" s="166">
        <f ca="1">Z18+Population!Z18 - IF(race="Lux",AF19,SUM(AF19:AK19)) - BE19 + SUM(BF19:BL19) - Explore!AI19</f>
        <v>3695</v>
      </c>
      <c r="AA19" s="164"/>
      <c r="AB19" s="91">
        <f>(Construction!$BA19+Construction!BY19)/(Construction!$E19-Explore!S19*20)</f>
        <v>0.2</v>
      </c>
      <c r="AC19" s="529"/>
      <c r="AD19" s="799">
        <f>Rezone!J19</f>
        <v>17</v>
      </c>
      <c r="AE19" s="589">
        <f>Explore!AA19</f>
        <v>43692.666666666628</v>
      </c>
      <c r="AF19" s="356"/>
      <c r="AG19" s="348"/>
      <c r="AH19" s="348"/>
      <c r="AI19" s="348"/>
      <c r="AJ19" s="348"/>
      <c r="AK19" s="348"/>
      <c r="AL19" s="357"/>
      <c r="AN19" s="56">
        <f ca="1">Production!$H19</f>
        <v>3114809</v>
      </c>
      <c r="AO19" s="26">
        <f ca="1">Production!$L19</f>
        <v>231000</v>
      </c>
      <c r="AP19" s="26">
        <f ca="1">Production!J19</f>
        <v>294617</v>
      </c>
      <c r="AQ19" s="26">
        <f ca="1">Production!M19</f>
        <v>20000</v>
      </c>
      <c r="AR19" s="26">
        <f ca="1">Production!K19</f>
        <v>31740</v>
      </c>
      <c r="AS19" s="26">
        <f ca="1">Production!I19</f>
        <v>100825</v>
      </c>
      <c r="AT19" s="26">
        <f ca="1">Production!N19</f>
        <v>200</v>
      </c>
      <c r="AU19" s="152">
        <f t="shared" ca="1" si="2"/>
        <v>0</v>
      </c>
      <c r="AV19" s="164">
        <f t="shared" ca="1" si="3"/>
        <v>0</v>
      </c>
      <c r="AW19" s="164">
        <f t="shared" ca="1" si="50"/>
        <v>0</v>
      </c>
      <c r="AX19" s="164">
        <f t="shared" ca="1" si="51"/>
        <v>0</v>
      </c>
      <c r="AY19" s="164">
        <f t="shared" ca="1" si="52"/>
        <v>0</v>
      </c>
      <c r="AZ19" s="164">
        <f t="shared" ca="1" si="53"/>
        <v>0</v>
      </c>
      <c r="BA19" s="166">
        <f t="shared" ca="1" si="54"/>
        <v>0</v>
      </c>
      <c r="BB19" s="16">
        <v>17</v>
      </c>
      <c r="BC19" s="574">
        <f t="shared" si="71"/>
        <v>43692.666666666628</v>
      </c>
      <c r="BD19" s="148">
        <f t="shared" ca="1" si="72"/>
        <v>3695</v>
      </c>
      <c r="BE19" s="356"/>
      <c r="BF19" s="348"/>
      <c r="BG19" s="348"/>
      <c r="BH19" s="348"/>
      <c r="BI19" s="348"/>
      <c r="BJ19" s="348"/>
      <c r="BK19" s="348"/>
      <c r="BL19" s="357"/>
      <c r="BN19" s="503">
        <f>Construction!BM19/Construction!E19</f>
        <v>0</v>
      </c>
      <c r="BO19" s="171">
        <f>Construction!BD19/Construction!E19</f>
        <v>0</v>
      </c>
      <c r="BP19" s="152">
        <f>ROUNDUP((1-MIN(AB19*smithy_bonus,smithy_bonus_cap))*(1+Techs!AO19*tech_master_of_frugality)*spec_op_plat,0)</f>
        <v>165</v>
      </c>
      <c r="BQ19" s="164">
        <f>ROUNDUP(IF(race="Gnome",1,(1-MIN(AB19*smithy_bonus,smithy_bonus_cap))*(1+Techs!AO19*tech_master_of_frugality))*spec_op_ore,0)</f>
        <v>15</v>
      </c>
      <c r="BR19" s="164">
        <f t="shared" si="6"/>
        <v>0</v>
      </c>
      <c r="BS19" s="164">
        <f t="shared" si="7"/>
        <v>0</v>
      </c>
      <c r="BT19" s="164">
        <f ca="1">ROUNDUP((1-MIN(AB19*smithy_bonus,smithy_bonus_cap))*(1+Techs!AO19*tech_master_of_frugality)*spec_dp_plat,0)</f>
        <v>165</v>
      </c>
      <c r="BU19" s="164">
        <f ca="1">ROUNDUP(IF(OR(race="Gnome",race="Imperial Gnome"),1,(1-MIN(AB19*smithy_bonus,smithy_bonus_cap))*(1+Techs!AO19*tech_master_of_frugality))*spec_dp_ore,0)</f>
        <v>6</v>
      </c>
      <c r="BV19" s="164">
        <f t="shared" ca="1" si="8"/>
        <v>0</v>
      </c>
      <c r="BW19" s="164">
        <f t="shared" ca="1" si="9"/>
        <v>0</v>
      </c>
      <c r="BX19" s="164">
        <f t="shared" ca="1" si="10"/>
        <v>0</v>
      </c>
      <c r="BY19" s="164">
        <f ca="1">ROUNDUP((1-MIN(AB19*smithy_bonus,smithy_bonus_cap))*(1+Techs!AO19*tech_master_of_frugality)*elite1_plat,0)</f>
        <v>600</v>
      </c>
      <c r="BZ19" s="164">
        <f ca="1">ROUNDUP(IF(race="Gnome",1,(1-MIN(AB19*smithy_bonus,smithy_bonus_cap))*(1+Techs!AO19*tech_master_of_frugality))*elite1_ore,0)</f>
        <v>45</v>
      </c>
      <c r="CA19" s="164">
        <f t="shared" ca="1" si="11"/>
        <v>0</v>
      </c>
      <c r="CB19" s="164">
        <f t="shared" ca="1" si="12"/>
        <v>0</v>
      </c>
      <c r="CC19" s="164">
        <f t="shared" ca="1" si="13"/>
        <v>0</v>
      </c>
      <c r="CD19" s="164">
        <f t="shared" ca="1" si="14"/>
        <v>0</v>
      </c>
      <c r="CE19" s="164">
        <f t="shared" ca="1" si="15"/>
        <v>0</v>
      </c>
      <c r="CF19" s="164">
        <f ca="1">ROUNDUP((1-MIN(AB19*smithy_bonus,smithy_bonus_cap))*(1+Techs!AO19*tech_master_of_frugality)*elite2_plat,0)</f>
        <v>750</v>
      </c>
      <c r="CG19" s="164">
        <f ca="1">ROUNDUP(IF(race="Gnome",1,(1-MIN(AB19*smithy_bonus,smithy_bonus_cap))*(1+Techs!AO19*tech_master_of_frugality))*elite2_ore,0)</f>
        <v>60</v>
      </c>
      <c r="CH19" s="164">
        <f t="shared" ca="1" si="16"/>
        <v>0</v>
      </c>
      <c r="CI19" s="164">
        <f t="shared" ca="1" si="17"/>
        <v>0</v>
      </c>
      <c r="CJ19" s="164">
        <f t="shared" ca="1" si="18"/>
        <v>0</v>
      </c>
      <c r="CK19" s="164">
        <f t="shared" ca="1" si="19"/>
        <v>0</v>
      </c>
      <c r="CL19" s="164">
        <f t="shared" ca="1" si="20"/>
        <v>0</v>
      </c>
      <c r="CM19" s="164">
        <f>ROUNDUP((1+tech_spy_cost*Techs!AJ19)*spy_plat,0)</f>
        <v>500</v>
      </c>
      <c r="CN19" s="164">
        <f>ROUNDUP((1+tech_wizard_cost*Techs!AM19-MIN(ROUND(wg_wiz_cost_bonus*BN19,4),wg_wiz_cost_cap))*wizard_plat,0)</f>
        <v>500</v>
      </c>
      <c r="CO19" s="166">
        <f>ROUNDUP((1+tech_wizard_cost*Techs!AM19-MIN(ROUND(wg_wiz_cost_bonus*BN19,4),wg_wiz_cost_cap))*archmage_plat,0)</f>
        <v>1000</v>
      </c>
      <c r="CQ19" s="465">
        <f ca="1">Construction!DF19/Construction!E19</f>
        <v>0.28000000000000003</v>
      </c>
      <c r="CR19" s="466">
        <f t="shared" si="73"/>
        <v>0</v>
      </c>
      <c r="CS19" s="466">
        <f>Construction!BK19/Construction!E19</f>
        <v>0.05</v>
      </c>
      <c r="CT19" s="466">
        <f>Construction!BJ19/Construction!E19</f>
        <v>0</v>
      </c>
      <c r="CU19" s="466">
        <f>Construction!AY19/Construction!E19</f>
        <v>0</v>
      </c>
      <c r="CV19" s="481">
        <f t="shared" ca="1" si="22"/>
        <v>1.4000000000000001</v>
      </c>
      <c r="CW19" s="482">
        <f t="shared" ca="1" si="23"/>
        <v>1.4000000000000001</v>
      </c>
      <c r="CX19" s="482">
        <f t="shared" ca="1" si="24"/>
        <v>1.4000000000000001</v>
      </c>
      <c r="CY19" s="483">
        <f t="shared" ca="1" si="25"/>
        <v>1.4000000000000001</v>
      </c>
      <c r="CZ19" s="483">
        <f t="shared" si="26"/>
        <v>0</v>
      </c>
      <c r="DA19" s="483">
        <f t="shared" ca="1" si="27"/>
        <v>3</v>
      </c>
      <c r="DB19" s="483">
        <f t="shared" ca="1" si="28"/>
        <v>1.4000000000000001</v>
      </c>
      <c r="DC19" s="482">
        <f t="shared" si="29"/>
        <v>0</v>
      </c>
      <c r="DD19" s="847">
        <f t="shared" si="55"/>
        <v>0</v>
      </c>
      <c r="DE19" s="440">
        <f t="shared" si="56"/>
        <v>0</v>
      </c>
      <c r="DF19" s="440">
        <f t="shared" si="57"/>
        <v>0</v>
      </c>
      <c r="DG19" s="481">
        <f t="shared" ca="1" si="30"/>
        <v>1.4000000000000001</v>
      </c>
      <c r="DH19" s="450">
        <f t="shared" si="58"/>
        <v>0</v>
      </c>
      <c r="DI19" s="450">
        <f>MIN(valkyrja_cap,Production!O19/valkyrja_bonus)</f>
        <v>1</v>
      </c>
      <c r="DJ19" s="847">
        <f>MIN(voodoo_magi_cap,Production!O19/voodoo_magi_bonus)</f>
        <v>0.83333333333333337</v>
      </c>
      <c r="DK19" s="847">
        <f>MIN(warlock_cap,Production!O19/warlock_bonus)</f>
        <v>1.25</v>
      </c>
      <c r="DL19" s="847">
        <f ca="1">MIN(nox_nightshade_cap,Construction!DF19/Construction!E19/nox_nightshade_swamp_bonus)</f>
        <v>2.8000000000000003</v>
      </c>
      <c r="DM19" s="482">
        <f t="shared" si="31"/>
        <v>0</v>
      </c>
      <c r="DN19" s="483">
        <f t="shared" ca="1" si="32"/>
        <v>2.8000000000000003</v>
      </c>
      <c r="DO19" s="483">
        <f t="shared" ca="1" si="33"/>
        <v>2.8000000000000003</v>
      </c>
      <c r="DP19" s="483">
        <f t="shared" si="34"/>
        <v>1</v>
      </c>
      <c r="DQ19" s="482">
        <f t="shared" si="35"/>
        <v>0</v>
      </c>
      <c r="DR19" s="483">
        <f t="shared" si="36"/>
        <v>0</v>
      </c>
      <c r="DS19" s="482">
        <f t="shared" si="37"/>
        <v>0</v>
      </c>
      <c r="DT19" s="483">
        <f t="shared" si="59"/>
        <v>0</v>
      </c>
      <c r="DU19" s="1390" t="s">
        <v>645</v>
      </c>
      <c r="DV19" s="16" t="b">
        <f t="shared" si="60"/>
        <v>0</v>
      </c>
      <c r="DX19" s="487">
        <f ca="1">MIN(6,CV19+Races!$F$19)*1.8 +  IF(CV19+Races!$F$19&gt;6,(CV19+Races!$F$19-6)*0.2,0) - Races!$N$19</f>
        <v>2.5200000000000005</v>
      </c>
      <c r="DY19" s="488">
        <f ca="1">1.8 * MIN(MAX(CW19+Races!$E$20,CX19+Races!$F$20),6)  +  0.45 * MIN(MIN(CW19+Races!$E$20,CX19+Races!$F$20),6)  +  0.2 * ( MAX(CW19+Races!$E$20-6,0) + MAX(CX19+Races!$F$20-6,0) )  -  Races!$N$20</f>
        <v>3.1500000000000012</v>
      </c>
      <c r="DZ19" s="57">
        <f t="shared" ca="1" si="38"/>
        <v>0</v>
      </c>
      <c r="EA19" s="666">
        <f ca="1">MIN(6,CY19+Races!$F$35)*1.8 +  IF(CY19+Races!$F$35&gt;6,(CY19+Races!$F$35-6)*0.2,0) - Races!$N$19</f>
        <v>0.72000000000000064</v>
      </c>
      <c r="EB19" s="57">
        <f t="shared" ca="1" si="39"/>
        <v>0</v>
      </c>
      <c r="EC19" s="666">
        <f ca="1">1.8 * MIN(MAX(Races!$E$27,DB19+Races!$F$27),6)  +  0.45 * MIN(MIN(Races!$E$27,DB19+Races!$F$27),6)  +  0.2 * ( MAX(Races!$E$27-6,0) + MAX(DB19+Races!$F$27-6,0) )  -  Races!$N$20</f>
        <v>4.7700000000000005</v>
      </c>
      <c r="ED19" s="57">
        <f t="shared" ca="1" si="40"/>
        <v>0</v>
      </c>
      <c r="EE19" s="666">
        <f>1.8 * MIN(MAX(DC19+Races!$E$47,DD19+Races!$F$47),6)  +  0.45 * MIN(MIN(DC19+Races!$E$47,DD19+Races!$F$47),6)  +  0.2 * ( MAX(DC19+Races!$E$47-6,0) + MAX(DD19+Races!$F$47-6,0) )  -  Races!$N$47</f>
        <v>0</v>
      </c>
      <c r="EF19" s="57">
        <f t="shared" si="41"/>
        <v>0</v>
      </c>
      <c r="EG19" s="666">
        <f ca="1">1.8 * MIN(MAX(DG19+Races!$F$71,Races!$E$71),6)  +  0.45 * MIN(MIN(DG19+Races!$F$71,Races!$E$71),6)  +  0.2 * ( MAX(DG19+Races!$F$71-6,0) + MAX(Races!$E$71-6,0) )  -  Races!$N$71</f>
        <v>2.5200000000000014</v>
      </c>
      <c r="EH19" s="666">
        <f>1.8 * MIN(MAX(DH19+Races!$E$71,Races!$F$71),6)  +  0.45 * MIN(MIN(DH19+Races!$E$71,Races!$F$71),6)  +  0.2 * ( MAX(DH19+Races!$E$71-6,0) + MAX(Races!$F$71-6,0) )  -  Races!$N$71</f>
        <v>0</v>
      </c>
      <c r="EI19" s="57">
        <f t="shared" ca="1" si="42"/>
        <v>0</v>
      </c>
      <c r="EJ19" s="57"/>
      <c r="EK19" s="57"/>
      <c r="EL19" s="57"/>
      <c r="EM19" s="57">
        <f ca="1">Overview!$L$22*E19+Overview!$L$23*F19+Overview!$L$24*G19+Overview!$L$25*H19+Overview!$L$26*I19+Overview!$L$27*J19+Overview!$L$28*K19+Construction!E19*20+Construction!B19*5 + DZ19*$DV$4+EB19*$DV$5+ED19*$DV$6+EF19*$DV$7+EI19*$DV$9</f>
        <v>21900</v>
      </c>
      <c r="EO19" s="738">
        <f>(J19+2*K19)/Construction!E19</f>
        <v>0</v>
      </c>
      <c r="EP19" s="734">
        <f ca="1">EO19*(1+race_wizard_strength+tech_magical_weaponry_wiz*Techs!AV91)</f>
        <v>0</v>
      </c>
      <c r="EQ19" s="16">
        <f>(I19+halfer*H19/3)/Construction!E19</f>
        <v>0</v>
      </c>
    </row>
    <row r="20" spans="1:147" s="16" customFormat="1">
      <c r="A20" s="629">
        <f>Rezone!J20</f>
        <v>18</v>
      </c>
      <c r="B20" s="56">
        <f ca="1">SUM(E20:K20)+SUM(AF12:AG20)+SUM(AH9:AL20)+Z20+Explore!AL20</f>
        <v>5295</v>
      </c>
      <c r="C20" s="97">
        <f ca="1">Population!G20</f>
        <v>0.55035259827503247</v>
      </c>
      <c r="E20" s="52">
        <f t="shared" si="64"/>
        <v>0</v>
      </c>
      <c r="F20" s="16">
        <f t="shared" si="65"/>
        <v>0</v>
      </c>
      <c r="G20" s="16">
        <f t="shared" si="66"/>
        <v>0</v>
      </c>
      <c r="H20" s="16">
        <f t="shared" si="67"/>
        <v>0</v>
      </c>
      <c r="I20" s="16">
        <f t="shared" si="68"/>
        <v>0</v>
      </c>
      <c r="J20" s="16">
        <f t="shared" si="69"/>
        <v>0</v>
      </c>
      <c r="K20" s="53">
        <f t="shared" si="70"/>
        <v>0</v>
      </c>
      <c r="M20" s="64">
        <f ca="1">Production!G20</f>
        <v>21900</v>
      </c>
      <c r="O20" s="234">
        <f t="shared" ca="1" si="0"/>
        <v>0</v>
      </c>
      <c r="P20" s="455">
        <f ca="1">race_offense+Imps!AB20+ROUND(MIN(gn_bonus*Construction!BF20/Construction!$E20,gn_bonus_cap),4)+MAX(IF(Magic!$AN20&gt;0,warsong_bonus),IF(Magic!AP20&gt;0,howling_op_bonus),IF(Magic!AS20&gt;0,nightfall_bonus),IF(Magic!AT20&gt;0,crusade_bonus),IF(Magic!AU20&gt;0,killingrage_bonus),IF(Magic!AV20&gt;0,bloodrage_bonus)) + Production!O20/100*prestige_offense_bonus + MAX(tech_military_offense*Techs!AH20,tech_magical_weaponry_op*Techs!AV20)</f>
        <v>0.05</v>
      </c>
      <c r="Q20" s="235">
        <f t="shared" ca="1" si="46"/>
        <v>0</v>
      </c>
      <c r="R20" s="234">
        <f ca="1">F20*(spec_dp+spirit*DR20)+G20*(elite1_dp+woodie*CV20+sylvan*CY20+gnome*DB20+dark_elf*DD20+icekin*DG20+orc*DJ20+nox*DL20+beast*DN20+sacred*DP20+spirit*DS20+blackorc*DK20)+H20*(elite2_dp+woodie*CX20+beast*DO20+sacred*DQ20) + fh_peas_dp*MIN(Population!C20,20*Construction!BD20)+kobold*DE20</f>
        <v>0</v>
      </c>
      <c r="S20" s="235">
        <f t="shared" ca="1" si="1"/>
        <v>3695</v>
      </c>
      <c r="T20" s="1052">
        <f ca="1">race_defense+Imps!AC20+ROUND(MIN(gt_bonus*Construction!BH20/Construction!$E20,gt_bonus_cap),4)+MAX(IF(Magic!AM20&gt;0,frenzy_bonus,IF(Magic!AQ20&gt;0,blizzard_bonus,IF(Magic!AP20&gt;0,howling_dp_bonus,IF(Magic!AI20&gt;0,ares_call_bonus)))),IF(Magic!AX20&gt;0,MIN(Construction!DF20/Construction!E20,0.2),0))</f>
        <v>0</v>
      </c>
      <c r="U20" s="1046">
        <f t="shared" ca="1" si="47"/>
        <v>0</v>
      </c>
      <c r="V20" s="308">
        <f t="shared" ca="1" si="48"/>
        <v>3695</v>
      </c>
      <c r="W20" s="310">
        <f>Construction!E20</f>
        <v>1000</v>
      </c>
      <c r="X20" s="367"/>
      <c r="Y20" s="146">
        <f t="shared" si="74"/>
        <v>0.4</v>
      </c>
      <c r="Z20" s="166">
        <f ca="1">Z19+Population!Z19 - IF(race="Lux",AF20,SUM(AF20:AK20)) - BE20 + SUM(BF20:BL20) - Explore!AI20</f>
        <v>3695</v>
      </c>
      <c r="AA20" s="164"/>
      <c r="AB20" s="91">
        <f>(Construction!$BA20+Construction!BY20)/(Construction!$E20-Explore!S20*20)</f>
        <v>0.2</v>
      </c>
      <c r="AC20" s="529"/>
      <c r="AD20" s="799">
        <f>Rezone!J20</f>
        <v>18</v>
      </c>
      <c r="AE20" s="589">
        <f>Explore!AA20</f>
        <v>43692.708333333292</v>
      </c>
      <c r="AF20" s="356"/>
      <c r="AG20" s="348"/>
      <c r="AH20" s="348"/>
      <c r="AI20" s="348"/>
      <c r="AJ20" s="348"/>
      <c r="AK20" s="348"/>
      <c r="AL20" s="357"/>
      <c r="AN20" s="56">
        <f ca="1">Production!$H20</f>
        <v>3127104</v>
      </c>
      <c r="AO20" s="26">
        <f ca="1">Production!$L20</f>
        <v>231000</v>
      </c>
      <c r="AP20" s="26">
        <f ca="1">Production!J20</f>
        <v>294171</v>
      </c>
      <c r="AQ20" s="26">
        <f ca="1">Production!M20</f>
        <v>20000</v>
      </c>
      <c r="AR20" s="26">
        <f ca="1">Production!K20</f>
        <v>32355</v>
      </c>
      <c r="AS20" s="26">
        <f ca="1">Production!I20</f>
        <v>104395</v>
      </c>
      <c r="AT20" s="26">
        <f ca="1">Production!N20</f>
        <v>200</v>
      </c>
      <c r="AU20" s="152">
        <f t="shared" ca="1" si="2"/>
        <v>0</v>
      </c>
      <c r="AV20" s="164">
        <f t="shared" ca="1" si="3"/>
        <v>0</v>
      </c>
      <c r="AW20" s="164">
        <f t="shared" ca="1" si="50"/>
        <v>0</v>
      </c>
      <c r="AX20" s="164">
        <f t="shared" ca="1" si="51"/>
        <v>0</v>
      </c>
      <c r="AY20" s="164">
        <f t="shared" ca="1" si="52"/>
        <v>0</v>
      </c>
      <c r="AZ20" s="164">
        <f t="shared" ca="1" si="53"/>
        <v>0</v>
      </c>
      <c r="BA20" s="166">
        <f t="shared" ca="1" si="54"/>
        <v>0</v>
      </c>
      <c r="BB20" s="16">
        <v>18</v>
      </c>
      <c r="BC20" s="574">
        <f t="shared" si="71"/>
        <v>43692.708333333292</v>
      </c>
      <c r="BD20" s="148">
        <f t="shared" ca="1" si="72"/>
        <v>3695</v>
      </c>
      <c r="BE20" s="356"/>
      <c r="BF20" s="348"/>
      <c r="BG20" s="348"/>
      <c r="BH20" s="348"/>
      <c r="BI20" s="348"/>
      <c r="BJ20" s="348"/>
      <c r="BK20" s="348"/>
      <c r="BL20" s="357"/>
      <c r="BN20" s="503">
        <f>Construction!BM20/Construction!E20</f>
        <v>0</v>
      </c>
      <c r="BO20" s="171">
        <f>Construction!BD20/Construction!E20</f>
        <v>0</v>
      </c>
      <c r="BP20" s="152">
        <f>ROUNDUP((1-MIN(AB20*smithy_bonus,smithy_bonus_cap))*(1+Techs!AO20*tech_master_of_frugality)*spec_op_plat,0)</f>
        <v>165</v>
      </c>
      <c r="BQ20" s="164">
        <f>ROUNDUP(IF(race="Gnome",1,(1-MIN(AB20*smithy_bonus,smithy_bonus_cap))*(1+Techs!AO20*tech_master_of_frugality))*spec_op_ore,0)</f>
        <v>15</v>
      </c>
      <c r="BR20" s="164">
        <f t="shared" si="6"/>
        <v>0</v>
      </c>
      <c r="BS20" s="164">
        <f t="shared" si="7"/>
        <v>0</v>
      </c>
      <c r="BT20" s="164">
        <f ca="1">ROUNDUP((1-MIN(AB20*smithy_bonus,smithy_bonus_cap))*(1+Techs!AO20*tech_master_of_frugality)*spec_dp_plat,0)</f>
        <v>165</v>
      </c>
      <c r="BU20" s="164">
        <f ca="1">ROUNDUP(IF(OR(race="Gnome",race="Imperial Gnome"),1,(1-MIN(AB20*smithy_bonus,smithy_bonus_cap))*(1+Techs!AO20*tech_master_of_frugality))*spec_dp_ore,0)</f>
        <v>6</v>
      </c>
      <c r="BV20" s="164">
        <f t="shared" ca="1" si="8"/>
        <v>0</v>
      </c>
      <c r="BW20" s="164">
        <f t="shared" ca="1" si="9"/>
        <v>0</v>
      </c>
      <c r="BX20" s="164">
        <f t="shared" ca="1" si="10"/>
        <v>0</v>
      </c>
      <c r="BY20" s="164">
        <f ca="1">ROUNDUP((1-MIN(AB20*smithy_bonus,smithy_bonus_cap))*(1+Techs!AO20*tech_master_of_frugality)*elite1_plat,0)</f>
        <v>600</v>
      </c>
      <c r="BZ20" s="164">
        <f ca="1">ROUNDUP(IF(race="Gnome",1,(1-MIN(AB20*smithy_bonus,smithy_bonus_cap))*(1+Techs!AO20*tech_master_of_frugality))*elite1_ore,0)</f>
        <v>45</v>
      </c>
      <c r="CA20" s="164">
        <f t="shared" ca="1" si="11"/>
        <v>0</v>
      </c>
      <c r="CB20" s="164">
        <f t="shared" ca="1" si="12"/>
        <v>0</v>
      </c>
      <c r="CC20" s="164">
        <f t="shared" ca="1" si="13"/>
        <v>0</v>
      </c>
      <c r="CD20" s="164">
        <f t="shared" ca="1" si="14"/>
        <v>0</v>
      </c>
      <c r="CE20" s="164">
        <f t="shared" ca="1" si="15"/>
        <v>0</v>
      </c>
      <c r="CF20" s="164">
        <f ca="1">ROUNDUP((1-MIN(AB20*smithy_bonus,smithy_bonus_cap))*(1+Techs!AO20*tech_master_of_frugality)*elite2_plat,0)</f>
        <v>750</v>
      </c>
      <c r="CG20" s="164">
        <f ca="1">ROUNDUP(IF(race="Gnome",1,(1-MIN(AB20*smithy_bonus,smithy_bonus_cap))*(1+Techs!AO20*tech_master_of_frugality))*elite2_ore,0)</f>
        <v>60</v>
      </c>
      <c r="CH20" s="164">
        <f t="shared" ca="1" si="16"/>
        <v>0</v>
      </c>
      <c r="CI20" s="164">
        <f t="shared" ca="1" si="17"/>
        <v>0</v>
      </c>
      <c r="CJ20" s="164">
        <f t="shared" ca="1" si="18"/>
        <v>0</v>
      </c>
      <c r="CK20" s="164">
        <f t="shared" ca="1" si="19"/>
        <v>0</v>
      </c>
      <c r="CL20" s="164">
        <f t="shared" ca="1" si="20"/>
        <v>0</v>
      </c>
      <c r="CM20" s="164">
        <f>ROUNDUP((1+tech_spy_cost*Techs!AJ20)*spy_plat,0)</f>
        <v>500</v>
      </c>
      <c r="CN20" s="164">
        <f>ROUNDUP((1+tech_wizard_cost*Techs!AM20-MIN(ROUND(wg_wiz_cost_bonus*BN20,4),wg_wiz_cost_cap))*wizard_plat,0)</f>
        <v>500</v>
      </c>
      <c r="CO20" s="166">
        <f>ROUNDUP((1+tech_wizard_cost*Techs!AM20-MIN(ROUND(wg_wiz_cost_bonus*BN20,4),wg_wiz_cost_cap))*archmage_plat,0)</f>
        <v>1000</v>
      </c>
      <c r="CQ20" s="465">
        <f ca="1">Construction!DF20/Construction!E20</f>
        <v>0.28000000000000003</v>
      </c>
      <c r="CR20" s="466">
        <f t="shared" si="73"/>
        <v>0</v>
      </c>
      <c r="CS20" s="466">
        <f>Construction!BK20/Construction!E20</f>
        <v>0.05</v>
      </c>
      <c r="CT20" s="466">
        <f>Construction!BJ20/Construction!E20</f>
        <v>0</v>
      </c>
      <c r="CU20" s="466">
        <f>Construction!AY20/Construction!E20</f>
        <v>0</v>
      </c>
      <c r="CV20" s="481">
        <f t="shared" ca="1" si="22"/>
        <v>1.4000000000000001</v>
      </c>
      <c r="CW20" s="482">
        <f t="shared" ca="1" si="23"/>
        <v>1.4000000000000001</v>
      </c>
      <c r="CX20" s="482">
        <f t="shared" ca="1" si="24"/>
        <v>1.4000000000000001</v>
      </c>
      <c r="CY20" s="483">
        <f t="shared" ca="1" si="25"/>
        <v>1.4000000000000001</v>
      </c>
      <c r="CZ20" s="483">
        <f t="shared" si="26"/>
        <v>0</v>
      </c>
      <c r="DA20" s="483">
        <f t="shared" ca="1" si="27"/>
        <v>3</v>
      </c>
      <c r="DB20" s="483">
        <f t="shared" ca="1" si="28"/>
        <v>1.4000000000000001</v>
      </c>
      <c r="DC20" s="482">
        <f t="shared" si="29"/>
        <v>0</v>
      </c>
      <c r="DD20" s="847">
        <f t="shared" si="55"/>
        <v>0</v>
      </c>
      <c r="DE20" s="440">
        <f t="shared" si="56"/>
        <v>0</v>
      </c>
      <c r="DF20" s="440">
        <f t="shared" si="57"/>
        <v>0</v>
      </c>
      <c r="DG20" s="481">
        <f t="shared" ca="1" si="30"/>
        <v>1.4000000000000001</v>
      </c>
      <c r="DH20" s="450">
        <f t="shared" si="58"/>
        <v>0</v>
      </c>
      <c r="DI20" s="450">
        <f>MIN(valkyrja_cap,Production!O20/valkyrja_bonus)</f>
        <v>1</v>
      </c>
      <c r="DJ20" s="847">
        <f>MIN(voodoo_magi_cap,Production!O20/voodoo_magi_bonus)</f>
        <v>0.83333333333333337</v>
      </c>
      <c r="DK20" s="847">
        <f>MIN(warlock_cap,Production!O20/warlock_bonus)</f>
        <v>1.25</v>
      </c>
      <c r="DL20" s="847">
        <f ca="1">MIN(nox_nightshade_cap,Construction!DF20/Construction!E20/nox_nightshade_swamp_bonus)</f>
        <v>2.8000000000000003</v>
      </c>
      <c r="DM20" s="482">
        <f t="shared" si="31"/>
        <v>0</v>
      </c>
      <c r="DN20" s="483">
        <f t="shared" ca="1" si="32"/>
        <v>2.8000000000000003</v>
      </c>
      <c r="DO20" s="483">
        <f t="shared" ca="1" si="33"/>
        <v>2.8000000000000003</v>
      </c>
      <c r="DP20" s="483">
        <f t="shared" si="34"/>
        <v>1</v>
      </c>
      <c r="DQ20" s="482">
        <f t="shared" si="35"/>
        <v>0</v>
      </c>
      <c r="DR20" s="483">
        <f t="shared" si="36"/>
        <v>0</v>
      </c>
      <c r="DS20" s="482">
        <f t="shared" si="37"/>
        <v>0</v>
      </c>
      <c r="DT20" s="483">
        <f t="shared" si="59"/>
        <v>0</v>
      </c>
      <c r="DU20" s="1390" t="s">
        <v>107</v>
      </c>
      <c r="DV20" s="16" t="b">
        <f t="shared" si="60"/>
        <v>0</v>
      </c>
      <c r="DX20" s="487">
        <f ca="1">MIN(6,CV20+Races!$F$19)*1.8 +  IF(CV20+Races!$F$19&gt;6,(CV20+Races!$F$19-6)*0.2,0) - Races!$N$19</f>
        <v>2.5200000000000005</v>
      </c>
      <c r="DY20" s="488">
        <f ca="1">1.8 * MIN(MAX(CW20+Races!$E$20,CX20+Races!$F$20),6)  +  0.45 * MIN(MIN(CW20+Races!$E$20,CX20+Races!$F$20),6)  +  0.2 * ( MAX(CW20+Races!$E$20-6,0) + MAX(CX20+Races!$F$20-6,0) )  -  Races!$N$20</f>
        <v>3.1500000000000012</v>
      </c>
      <c r="DZ20" s="57">
        <f t="shared" ca="1" si="38"/>
        <v>0</v>
      </c>
      <c r="EA20" s="666">
        <f ca="1">MIN(6,CY20+Races!$F$35)*1.8 +  IF(CY20+Races!$F$35&gt;6,(CY20+Races!$F$35-6)*0.2,0) - Races!$N$19</f>
        <v>0.72000000000000064</v>
      </c>
      <c r="EB20" s="57">
        <f t="shared" ca="1" si="39"/>
        <v>0</v>
      </c>
      <c r="EC20" s="666">
        <f ca="1">1.8 * MIN(MAX(Races!$E$27,DB20+Races!$F$27),6)  +  0.45 * MIN(MIN(Races!$E$27,DB20+Races!$F$27),6)  +  0.2 * ( MAX(Races!$E$27-6,0) + MAX(DB20+Races!$F$27-6,0) )  -  Races!$N$20</f>
        <v>4.7700000000000005</v>
      </c>
      <c r="ED20" s="57">
        <f t="shared" ca="1" si="40"/>
        <v>0</v>
      </c>
      <c r="EE20" s="666">
        <f>1.8 * MIN(MAX(DC20+Races!$E$47,DD20+Races!$F$47),6)  +  0.45 * MIN(MIN(DC20+Races!$E$47,DD20+Races!$F$47),6)  +  0.2 * ( MAX(DC20+Races!$E$47-6,0) + MAX(DD20+Races!$F$47-6,0) )  -  Races!$N$47</f>
        <v>0</v>
      </c>
      <c r="EF20" s="57">
        <f t="shared" si="41"/>
        <v>0</v>
      </c>
      <c r="EG20" s="666">
        <f ca="1">1.8 * MIN(MAX(DG20+Races!$F$71,Races!$E$71),6)  +  0.45 * MIN(MIN(DG20+Races!$F$71,Races!$E$71),6)  +  0.2 * ( MAX(DG20+Races!$F$71-6,0) + MAX(Races!$E$71-6,0) )  -  Races!$N$71</f>
        <v>2.5200000000000014</v>
      </c>
      <c r="EH20" s="666">
        <f>1.8 * MIN(MAX(DH20+Races!$E$71,Races!$F$71),6)  +  0.45 * MIN(MIN(DH20+Races!$E$71,Races!$F$71),6)  +  0.2 * ( MAX(DH20+Races!$E$71-6,0) + MAX(Races!$F$71-6,0) )  -  Races!$N$71</f>
        <v>0</v>
      </c>
      <c r="EI20" s="57">
        <f t="shared" ca="1" si="42"/>
        <v>0</v>
      </c>
      <c r="EJ20" s="57"/>
      <c r="EK20" s="57"/>
      <c r="EL20" s="57"/>
      <c r="EM20" s="57">
        <f ca="1">Overview!$L$22*E20+Overview!$L$23*F20+Overview!$L$24*G20+Overview!$L$25*H20+Overview!$L$26*I20+Overview!$L$27*J20+Overview!$L$28*K20+Construction!E20*20+Construction!B20*5 + DZ20*$DV$4+EB20*$DV$5+ED20*$DV$6+EF20*$DV$7+EI20*$DV$9</f>
        <v>21900</v>
      </c>
      <c r="EO20" s="738">
        <f>(J20+2*K20)/Construction!E20</f>
        <v>0</v>
      </c>
      <c r="EP20" s="734">
        <f ca="1">EO20*(1+race_wizard_strength+tech_magical_weaponry_wiz*Techs!AV92)</f>
        <v>0</v>
      </c>
      <c r="EQ20" s="16">
        <f>(I20+halfer*H20/3)/Construction!E20</f>
        <v>0</v>
      </c>
    </row>
    <row r="21" spans="1:147" s="16" customFormat="1">
      <c r="A21" s="629">
        <f>Rezone!J21</f>
        <v>19</v>
      </c>
      <c r="B21" s="56">
        <f ca="1">SUM(E21:K21)+SUM(AF13:AG21)+SUM(AH10:AL21)+Z21+Explore!AL21</f>
        <v>5295</v>
      </c>
      <c r="C21" s="97">
        <f ca="1">Population!G21</f>
        <v>0.56301040659859114</v>
      </c>
      <c r="E21" s="52">
        <f t="shared" si="64"/>
        <v>0</v>
      </c>
      <c r="F21" s="16">
        <f t="shared" si="65"/>
        <v>0</v>
      </c>
      <c r="G21" s="16">
        <f t="shared" si="66"/>
        <v>0</v>
      </c>
      <c r="H21" s="16">
        <f t="shared" si="67"/>
        <v>0</v>
      </c>
      <c r="I21" s="16">
        <f t="shared" si="68"/>
        <v>0</v>
      </c>
      <c r="J21" s="16">
        <f t="shared" si="69"/>
        <v>0</v>
      </c>
      <c r="K21" s="53">
        <f t="shared" si="70"/>
        <v>0</v>
      </c>
      <c r="M21" s="64">
        <f ca="1">Production!G21</f>
        <v>21900</v>
      </c>
      <c r="O21" s="234">
        <f t="shared" ca="1" si="0"/>
        <v>0</v>
      </c>
      <c r="P21" s="455">
        <f ca="1">race_offense+Imps!AB21+ROUND(MIN(gn_bonus*Construction!BF21/Construction!$E21,gn_bonus_cap),4)+MAX(IF(Magic!$AN21&gt;0,warsong_bonus),IF(Magic!AP21&gt;0,howling_op_bonus),IF(Magic!AS21&gt;0,nightfall_bonus),IF(Magic!AT21&gt;0,crusade_bonus),IF(Magic!AU21&gt;0,killingrage_bonus),IF(Magic!AV21&gt;0,bloodrage_bonus)) + Production!O21/100*prestige_offense_bonus + MAX(tech_military_offense*Techs!AH21,tech_magical_weaponry_op*Techs!AV21)</f>
        <v>0.05</v>
      </c>
      <c r="Q21" s="235">
        <f t="shared" ca="1" si="46"/>
        <v>0</v>
      </c>
      <c r="R21" s="234">
        <f ca="1">F21*(spec_dp+spirit*DR21)+G21*(elite1_dp+woodie*CV21+sylvan*CY21+gnome*DB21+dark_elf*DD21+icekin*DG21+orc*DJ21+nox*DL21+beast*DN21+sacred*DP21+spirit*DS21+blackorc*DK21)+H21*(elite2_dp+woodie*CX21+beast*DO21+sacred*DQ21) + fh_peas_dp*MIN(Population!C21,20*Construction!BD21)+kobold*DE21</f>
        <v>0</v>
      </c>
      <c r="S21" s="235">
        <f t="shared" ca="1" si="1"/>
        <v>3695</v>
      </c>
      <c r="T21" s="1052">
        <f ca="1">race_defense+Imps!AC21+ROUND(MIN(gt_bonus*Construction!BH21/Construction!$E21,gt_bonus_cap),4)+MAX(IF(Magic!AM21&gt;0,frenzy_bonus,IF(Magic!AQ21&gt;0,blizzard_bonus,IF(Magic!AP21&gt;0,howling_dp_bonus,IF(Magic!AI21&gt;0,ares_call_bonus)))),IF(Magic!AX21&gt;0,MIN(Construction!DF21/Construction!E21,0.2),0))</f>
        <v>0</v>
      </c>
      <c r="U21" s="1046">
        <f t="shared" ca="1" si="47"/>
        <v>0</v>
      </c>
      <c r="V21" s="308">
        <f t="shared" ca="1" si="48"/>
        <v>3695</v>
      </c>
      <c r="W21" s="310">
        <f>Construction!E21</f>
        <v>1000</v>
      </c>
      <c r="X21" s="367"/>
      <c r="Y21" s="146">
        <f t="shared" si="74"/>
        <v>0.4</v>
      </c>
      <c r="Z21" s="166">
        <f ca="1">Z20+Population!Z20 - IF(race="Lux",AF21,SUM(AF21:AK21)) - BE21 + SUM(BF21:BL21) - Explore!AI21</f>
        <v>3695</v>
      </c>
      <c r="AA21" s="164"/>
      <c r="AB21" s="91">
        <f>(Construction!$BA21+Construction!BY21)/(Construction!$E21-Explore!S21*20)</f>
        <v>0.2</v>
      </c>
      <c r="AC21" s="529"/>
      <c r="AD21" s="799">
        <f>Rezone!J21</f>
        <v>19</v>
      </c>
      <c r="AE21" s="589">
        <f>Explore!AA21</f>
        <v>43692.749999999956</v>
      </c>
      <c r="AF21" s="356"/>
      <c r="AG21" s="348"/>
      <c r="AH21" s="348"/>
      <c r="AI21" s="348"/>
      <c r="AJ21" s="348"/>
      <c r="AK21" s="348"/>
      <c r="AL21" s="357"/>
      <c r="AN21" s="56">
        <f ca="1">Production!$H21</f>
        <v>3138784</v>
      </c>
      <c r="AO21" s="26">
        <f ca="1">Production!$L21</f>
        <v>231000</v>
      </c>
      <c r="AP21" s="26">
        <f ca="1">Production!J21</f>
        <v>293729</v>
      </c>
      <c r="AQ21" s="26">
        <f ca="1">Production!M21</f>
        <v>20000</v>
      </c>
      <c r="AR21" s="26">
        <f ca="1">Production!K21</f>
        <v>32958</v>
      </c>
      <c r="AS21" s="26">
        <f ca="1">Production!I21</f>
        <v>107986</v>
      </c>
      <c r="AT21" s="26">
        <f ca="1">Production!N21</f>
        <v>200</v>
      </c>
      <c r="AU21" s="152">
        <f t="shared" ca="1" si="2"/>
        <v>0</v>
      </c>
      <c r="AV21" s="164">
        <f t="shared" ca="1" si="3"/>
        <v>0</v>
      </c>
      <c r="AW21" s="164">
        <f t="shared" ca="1" si="50"/>
        <v>0</v>
      </c>
      <c r="AX21" s="164">
        <f t="shared" ca="1" si="51"/>
        <v>0</v>
      </c>
      <c r="AY21" s="164">
        <f t="shared" ca="1" si="52"/>
        <v>0</v>
      </c>
      <c r="AZ21" s="164">
        <f t="shared" ca="1" si="53"/>
        <v>0</v>
      </c>
      <c r="BA21" s="166">
        <f t="shared" ca="1" si="54"/>
        <v>0</v>
      </c>
      <c r="BB21" s="16">
        <v>19</v>
      </c>
      <c r="BC21" s="574">
        <f t="shared" si="71"/>
        <v>43692.749999999956</v>
      </c>
      <c r="BD21" s="148">
        <f t="shared" ca="1" si="72"/>
        <v>3695</v>
      </c>
      <c r="BE21" s="356"/>
      <c r="BF21" s="348"/>
      <c r="BG21" s="348"/>
      <c r="BH21" s="348"/>
      <c r="BI21" s="348"/>
      <c r="BJ21" s="348"/>
      <c r="BK21" s="348"/>
      <c r="BL21" s="357"/>
      <c r="BN21" s="503">
        <f>Construction!BM21/Construction!E21</f>
        <v>0</v>
      </c>
      <c r="BO21" s="171">
        <f>Construction!BD21/Construction!E21</f>
        <v>0</v>
      </c>
      <c r="BP21" s="152">
        <f>ROUNDUP((1-MIN(AB21*smithy_bonus,smithy_bonus_cap))*(1+Techs!AO21*tech_master_of_frugality)*spec_op_plat,0)</f>
        <v>165</v>
      </c>
      <c r="BQ21" s="164">
        <f>ROUNDUP(IF(race="Gnome",1,(1-MIN(AB21*smithy_bonus,smithy_bonus_cap))*(1+Techs!AO21*tech_master_of_frugality))*spec_op_ore,0)</f>
        <v>15</v>
      </c>
      <c r="BR21" s="164">
        <f t="shared" si="6"/>
        <v>0</v>
      </c>
      <c r="BS21" s="164">
        <f t="shared" si="7"/>
        <v>0</v>
      </c>
      <c r="BT21" s="164">
        <f ca="1">ROUNDUP((1-MIN(AB21*smithy_bonus,smithy_bonus_cap))*(1+Techs!AO21*tech_master_of_frugality)*spec_dp_plat,0)</f>
        <v>165</v>
      </c>
      <c r="BU21" s="164">
        <f ca="1">ROUNDUP(IF(OR(race="Gnome",race="Imperial Gnome"),1,(1-MIN(AB21*smithy_bonus,smithy_bonus_cap))*(1+Techs!AO21*tech_master_of_frugality))*spec_dp_ore,0)</f>
        <v>6</v>
      </c>
      <c r="BV21" s="164">
        <f t="shared" ca="1" si="8"/>
        <v>0</v>
      </c>
      <c r="BW21" s="164">
        <f t="shared" ca="1" si="9"/>
        <v>0</v>
      </c>
      <c r="BX21" s="164">
        <f t="shared" ca="1" si="10"/>
        <v>0</v>
      </c>
      <c r="BY21" s="164">
        <f ca="1">ROUNDUP((1-MIN(AB21*smithy_bonus,smithy_bonus_cap))*(1+Techs!AO21*tech_master_of_frugality)*elite1_plat,0)</f>
        <v>600</v>
      </c>
      <c r="BZ21" s="164">
        <f ca="1">ROUNDUP(IF(race="Gnome",1,(1-MIN(AB21*smithy_bonus,smithy_bonus_cap))*(1+Techs!AO21*tech_master_of_frugality))*elite1_ore,0)</f>
        <v>45</v>
      </c>
      <c r="CA21" s="164">
        <f t="shared" ca="1" si="11"/>
        <v>0</v>
      </c>
      <c r="CB21" s="164">
        <f t="shared" ca="1" si="12"/>
        <v>0</v>
      </c>
      <c r="CC21" s="164">
        <f t="shared" ca="1" si="13"/>
        <v>0</v>
      </c>
      <c r="CD21" s="164">
        <f t="shared" ca="1" si="14"/>
        <v>0</v>
      </c>
      <c r="CE21" s="164">
        <f t="shared" ca="1" si="15"/>
        <v>0</v>
      </c>
      <c r="CF21" s="164">
        <f ca="1">ROUNDUP((1-MIN(AB21*smithy_bonus,smithy_bonus_cap))*(1+Techs!AO21*tech_master_of_frugality)*elite2_plat,0)</f>
        <v>750</v>
      </c>
      <c r="CG21" s="164">
        <f ca="1">ROUNDUP(IF(race="Gnome",1,(1-MIN(AB21*smithy_bonus,smithy_bonus_cap))*(1+Techs!AO21*tech_master_of_frugality))*elite2_ore,0)</f>
        <v>60</v>
      </c>
      <c r="CH21" s="164">
        <f t="shared" ca="1" si="16"/>
        <v>0</v>
      </c>
      <c r="CI21" s="164">
        <f t="shared" ca="1" si="17"/>
        <v>0</v>
      </c>
      <c r="CJ21" s="164">
        <f t="shared" ca="1" si="18"/>
        <v>0</v>
      </c>
      <c r="CK21" s="164">
        <f t="shared" ca="1" si="19"/>
        <v>0</v>
      </c>
      <c r="CL21" s="164">
        <f t="shared" ca="1" si="20"/>
        <v>0</v>
      </c>
      <c r="CM21" s="164">
        <f>ROUNDUP((1+tech_spy_cost*Techs!AJ21)*spy_plat,0)</f>
        <v>500</v>
      </c>
      <c r="CN21" s="164">
        <f>ROUNDUP((1+tech_wizard_cost*Techs!AM21-MIN(ROUND(wg_wiz_cost_bonus*BN21,4),wg_wiz_cost_cap))*wizard_plat,0)</f>
        <v>500</v>
      </c>
      <c r="CO21" s="166">
        <f>ROUNDUP((1+tech_wizard_cost*Techs!AM21-MIN(ROUND(wg_wiz_cost_bonus*BN21,4),wg_wiz_cost_cap))*archmage_plat,0)</f>
        <v>1000</v>
      </c>
      <c r="CQ21" s="465">
        <f ca="1">Construction!DF21/Construction!E21</f>
        <v>0.28000000000000003</v>
      </c>
      <c r="CR21" s="466">
        <f t="shared" si="73"/>
        <v>0</v>
      </c>
      <c r="CS21" s="466">
        <f>Construction!BK21/Construction!E21</f>
        <v>0.05</v>
      </c>
      <c r="CT21" s="466">
        <f>Construction!BJ21/Construction!E21</f>
        <v>0</v>
      </c>
      <c r="CU21" s="466">
        <f>Construction!AY21/Construction!E21</f>
        <v>0</v>
      </c>
      <c r="CV21" s="481">
        <f t="shared" ca="1" si="22"/>
        <v>1.4000000000000001</v>
      </c>
      <c r="CW21" s="482">
        <f t="shared" ca="1" si="23"/>
        <v>1.4000000000000001</v>
      </c>
      <c r="CX21" s="482">
        <f t="shared" ca="1" si="24"/>
        <v>1.4000000000000001</v>
      </c>
      <c r="CY21" s="483">
        <f t="shared" ca="1" si="25"/>
        <v>1.4000000000000001</v>
      </c>
      <c r="CZ21" s="483">
        <f t="shared" si="26"/>
        <v>0</v>
      </c>
      <c r="DA21" s="483">
        <f t="shared" ca="1" si="27"/>
        <v>3</v>
      </c>
      <c r="DB21" s="483">
        <f t="shared" ca="1" si="28"/>
        <v>1.4000000000000001</v>
      </c>
      <c r="DC21" s="482">
        <f t="shared" si="29"/>
        <v>0</v>
      </c>
      <c r="DD21" s="847">
        <f t="shared" si="55"/>
        <v>0</v>
      </c>
      <c r="DE21" s="440">
        <f t="shared" si="56"/>
        <v>0</v>
      </c>
      <c r="DF21" s="440">
        <f t="shared" si="57"/>
        <v>0</v>
      </c>
      <c r="DG21" s="481">
        <f t="shared" ca="1" si="30"/>
        <v>1.4000000000000001</v>
      </c>
      <c r="DH21" s="450">
        <f t="shared" si="58"/>
        <v>0</v>
      </c>
      <c r="DI21" s="450">
        <f>MIN(valkyrja_cap,Production!O21/valkyrja_bonus)</f>
        <v>1</v>
      </c>
      <c r="DJ21" s="847">
        <f>MIN(voodoo_magi_cap,Production!O21/voodoo_magi_bonus)</f>
        <v>0.83333333333333337</v>
      </c>
      <c r="DK21" s="847">
        <f>MIN(warlock_cap,Production!O21/warlock_bonus)</f>
        <v>1.25</v>
      </c>
      <c r="DL21" s="847">
        <f ca="1">MIN(nox_nightshade_cap,Construction!DF21/Construction!E21/nox_nightshade_swamp_bonus)</f>
        <v>2.8000000000000003</v>
      </c>
      <c r="DM21" s="482">
        <f t="shared" si="31"/>
        <v>0</v>
      </c>
      <c r="DN21" s="483">
        <f t="shared" ca="1" si="32"/>
        <v>2.8000000000000003</v>
      </c>
      <c r="DO21" s="483">
        <f t="shared" ca="1" si="33"/>
        <v>2.8000000000000003</v>
      </c>
      <c r="DP21" s="483">
        <f t="shared" si="34"/>
        <v>1</v>
      </c>
      <c r="DQ21" s="482">
        <f t="shared" si="35"/>
        <v>0</v>
      </c>
      <c r="DR21" s="483">
        <f t="shared" si="36"/>
        <v>0</v>
      </c>
      <c r="DS21" s="482">
        <f t="shared" si="37"/>
        <v>0</v>
      </c>
      <c r="DT21" s="483">
        <f t="shared" si="59"/>
        <v>0</v>
      </c>
      <c r="DX21" s="487">
        <f ca="1">MIN(6,CV21+Races!$F$19)*1.8 +  IF(CV21+Races!$F$19&gt;6,(CV21+Races!$F$19-6)*0.2,0) - Races!$N$19</f>
        <v>2.5200000000000005</v>
      </c>
      <c r="DY21" s="488">
        <f ca="1">1.8 * MIN(MAX(CW21+Races!$E$20,CX21+Races!$F$20),6)  +  0.45 * MIN(MIN(CW21+Races!$E$20,CX21+Races!$F$20),6)  +  0.2 * ( MAX(CW21+Races!$E$20-6,0) + MAX(CX21+Races!$F$20-6,0) )  -  Races!$N$20</f>
        <v>3.1500000000000012</v>
      </c>
      <c r="DZ21" s="57">
        <f t="shared" ca="1" si="38"/>
        <v>0</v>
      </c>
      <c r="EA21" s="666">
        <f ca="1">MIN(6,CY21+Races!$F$35)*1.8 +  IF(CY21+Races!$F$35&gt;6,(CY21+Races!$F$35-6)*0.2,0) - Races!$N$19</f>
        <v>0.72000000000000064</v>
      </c>
      <c r="EB21" s="57">
        <f t="shared" ca="1" si="39"/>
        <v>0</v>
      </c>
      <c r="EC21" s="666">
        <f ca="1">1.8 * MIN(MAX(Races!$E$27,DB21+Races!$F$27),6)  +  0.45 * MIN(MIN(Races!$E$27,DB21+Races!$F$27),6)  +  0.2 * ( MAX(Races!$E$27-6,0) + MAX(DB21+Races!$F$27-6,0) )  -  Races!$N$20</f>
        <v>4.7700000000000005</v>
      </c>
      <c r="ED21" s="57">
        <f t="shared" ca="1" si="40"/>
        <v>0</v>
      </c>
      <c r="EE21" s="666">
        <f>1.8 * MIN(MAX(DC21+Races!$E$47,DD21+Races!$F$47),6)  +  0.45 * MIN(MIN(DC21+Races!$E$47,DD21+Races!$F$47),6)  +  0.2 * ( MAX(DC21+Races!$E$47-6,0) + MAX(DD21+Races!$F$47-6,0) )  -  Races!$N$47</f>
        <v>0</v>
      </c>
      <c r="EF21" s="57">
        <f t="shared" si="41"/>
        <v>0</v>
      </c>
      <c r="EG21" s="666">
        <f ca="1">1.8 * MIN(MAX(DG21+Races!$F$71,Races!$E$71),6)  +  0.45 * MIN(MIN(DG21+Races!$F$71,Races!$E$71),6)  +  0.2 * ( MAX(DG21+Races!$F$71-6,0) + MAX(Races!$E$71-6,0) )  -  Races!$N$71</f>
        <v>2.5200000000000014</v>
      </c>
      <c r="EH21" s="666">
        <f>1.8 * MIN(MAX(DH21+Races!$E$71,Races!$F$71),6)  +  0.45 * MIN(MIN(DH21+Races!$E$71,Races!$F$71),6)  +  0.2 * ( MAX(DH21+Races!$E$71-6,0) + MAX(Races!$F$71-6,0) )  -  Races!$N$71</f>
        <v>0</v>
      </c>
      <c r="EI21" s="57">
        <f t="shared" ca="1" si="42"/>
        <v>0</v>
      </c>
      <c r="EJ21" s="57"/>
      <c r="EK21" s="57"/>
      <c r="EL21" s="57"/>
      <c r="EM21" s="57">
        <f ca="1">Overview!$L$22*E21+Overview!$L$23*F21+Overview!$L$24*G21+Overview!$L$25*H21+Overview!$L$26*I21+Overview!$L$27*J21+Overview!$L$28*K21+Construction!E21*20+Construction!B21*5 + DZ21*$DV$4+EB21*$DV$5+ED21*$DV$6+EF21*$DV$7+EI21*$DV$9</f>
        <v>21900</v>
      </c>
      <c r="EO21" s="738">
        <f>(J21+2*K21)/Construction!E21</f>
        <v>0</v>
      </c>
      <c r="EP21" s="734">
        <f ca="1">EO21*(1+race_wizard_strength+tech_magical_weaponry_wiz*Techs!AV93)</f>
        <v>0</v>
      </c>
      <c r="EQ21" s="16">
        <f>(I21+halfer*H21/3)/Construction!E21</f>
        <v>0</v>
      </c>
    </row>
    <row r="22" spans="1:147" s="16" customFormat="1">
      <c r="A22" s="629">
        <f>Rezone!J22</f>
        <v>20</v>
      </c>
      <c r="B22" s="56">
        <f ca="1">SUM(E22:K22)+SUM(AF14:AG22)+SUM(AH11:AL22)+Z22+Explore!AL22</f>
        <v>5295</v>
      </c>
      <c r="C22" s="97">
        <f ca="1">Population!G22</f>
        <v>0.57305194805194803</v>
      </c>
      <c r="E22" s="52">
        <f t="shared" si="64"/>
        <v>0</v>
      </c>
      <c r="F22" s="16">
        <f t="shared" si="65"/>
        <v>0</v>
      </c>
      <c r="G22" s="16">
        <f t="shared" si="66"/>
        <v>0</v>
      </c>
      <c r="H22" s="16">
        <f t="shared" si="67"/>
        <v>0</v>
      </c>
      <c r="I22" s="16">
        <f t="shared" si="68"/>
        <v>0</v>
      </c>
      <c r="J22" s="16">
        <f t="shared" si="69"/>
        <v>0</v>
      </c>
      <c r="K22" s="53">
        <f t="shared" si="70"/>
        <v>0</v>
      </c>
      <c r="M22" s="64">
        <f ca="1">Production!G22</f>
        <v>21900</v>
      </c>
      <c r="O22" s="234">
        <f t="shared" ca="1" si="0"/>
        <v>0</v>
      </c>
      <c r="P22" s="455">
        <f ca="1">race_offense+Imps!AB22+ROUND(MIN(gn_bonus*Construction!BF22/Construction!$E22,gn_bonus_cap),4)+MAX(IF(Magic!$AN22&gt;0,warsong_bonus),IF(Magic!AP22&gt;0,howling_op_bonus),IF(Magic!AS22&gt;0,nightfall_bonus),IF(Magic!AT22&gt;0,crusade_bonus),IF(Magic!AU22&gt;0,killingrage_bonus),IF(Magic!AV22&gt;0,bloodrage_bonus)) + Production!O22/100*prestige_offense_bonus + MAX(tech_military_offense*Techs!AH22,tech_magical_weaponry_op*Techs!AV22)</f>
        <v>0.05</v>
      </c>
      <c r="Q22" s="235">
        <f t="shared" ca="1" si="46"/>
        <v>0</v>
      </c>
      <c r="R22" s="234">
        <f ca="1">F22*(spec_dp+spirit*DR22)+G22*(elite1_dp+woodie*CV22+sylvan*CY22+gnome*DB22+dark_elf*DD22+icekin*DG22+orc*DJ22+nox*DL22+beast*DN22+sacred*DP22+spirit*DS22+blackorc*DK22)+H22*(elite2_dp+woodie*CX22+beast*DO22+sacred*DQ22) + fh_peas_dp*MIN(Population!C22,20*Construction!BD22)+kobold*DE22</f>
        <v>0</v>
      </c>
      <c r="S22" s="235">
        <f t="shared" ca="1" si="1"/>
        <v>3695</v>
      </c>
      <c r="T22" s="1052">
        <f ca="1">race_defense+Imps!AC22+ROUND(MIN(gt_bonus*Construction!BH22/Construction!$E22,gt_bonus_cap),4)+MAX(IF(Magic!AM22&gt;0,frenzy_bonus,IF(Magic!AQ22&gt;0,blizzard_bonus,IF(Magic!AP22&gt;0,howling_dp_bonus,IF(Magic!AI22&gt;0,ares_call_bonus)))),IF(Magic!AX22&gt;0,MIN(Construction!DF22/Construction!E22,0.2),0))</f>
        <v>0</v>
      </c>
      <c r="U22" s="1046">
        <f t="shared" ca="1" si="47"/>
        <v>0</v>
      </c>
      <c r="V22" s="308">
        <f t="shared" ca="1" si="48"/>
        <v>3695</v>
      </c>
      <c r="W22" s="310">
        <f>Construction!E22</f>
        <v>1000</v>
      </c>
      <c r="X22" s="367"/>
      <c r="Y22" s="146">
        <f t="shared" si="74"/>
        <v>0.4</v>
      </c>
      <c r="Z22" s="166">
        <f ca="1">Z21+Population!Z21 - IF(race="Lux",AF22,SUM(AF22:AK22)) - BE22 + SUM(BF22:BL22) - Explore!AI22</f>
        <v>3695</v>
      </c>
      <c r="AA22" s="164"/>
      <c r="AB22" s="91">
        <f>(Construction!$BA22+Construction!BY22)/(Construction!$E22-Explore!S22*20)</f>
        <v>0.2</v>
      </c>
      <c r="AC22" s="529"/>
      <c r="AD22" s="799">
        <f>Rezone!J22</f>
        <v>20</v>
      </c>
      <c r="AE22" s="589">
        <f>Explore!AA22</f>
        <v>43692.791666666621</v>
      </c>
      <c r="AF22" s="356"/>
      <c r="AG22" s="348"/>
      <c r="AH22" s="348"/>
      <c r="AI22" s="348"/>
      <c r="AJ22" s="348"/>
      <c r="AK22" s="348"/>
      <c r="AL22" s="357"/>
      <c r="AN22" s="56">
        <f ca="1">Production!$H22</f>
        <v>3149880</v>
      </c>
      <c r="AO22" s="26">
        <f ca="1">Production!$L22</f>
        <v>231000</v>
      </c>
      <c r="AP22" s="26">
        <f ca="1">Production!J22</f>
        <v>293292</v>
      </c>
      <c r="AQ22" s="26">
        <f ca="1">Production!M22</f>
        <v>20000</v>
      </c>
      <c r="AR22" s="26">
        <f ca="1">Production!K22</f>
        <v>33549</v>
      </c>
      <c r="AS22" s="26">
        <f ca="1">Production!I22</f>
        <v>111595</v>
      </c>
      <c r="AT22" s="26">
        <f ca="1">Production!N22</f>
        <v>200</v>
      </c>
      <c r="AU22" s="152">
        <f t="shared" ca="1" si="2"/>
        <v>0</v>
      </c>
      <c r="AV22" s="164">
        <f t="shared" ca="1" si="3"/>
        <v>0</v>
      </c>
      <c r="AW22" s="164">
        <f t="shared" ca="1" si="50"/>
        <v>0</v>
      </c>
      <c r="AX22" s="164">
        <f t="shared" ca="1" si="51"/>
        <v>0</v>
      </c>
      <c r="AY22" s="164">
        <f t="shared" ca="1" si="52"/>
        <v>0</v>
      </c>
      <c r="AZ22" s="164">
        <f t="shared" ca="1" si="53"/>
        <v>0</v>
      </c>
      <c r="BA22" s="166">
        <f t="shared" ca="1" si="54"/>
        <v>0</v>
      </c>
      <c r="BB22" s="16">
        <v>20</v>
      </c>
      <c r="BC22" s="574">
        <f t="shared" si="71"/>
        <v>43692.791666666621</v>
      </c>
      <c r="BD22" s="148">
        <f t="shared" ca="1" si="72"/>
        <v>3695</v>
      </c>
      <c r="BE22" s="356"/>
      <c r="BF22" s="348"/>
      <c r="BG22" s="348"/>
      <c r="BH22" s="348"/>
      <c r="BI22" s="348"/>
      <c r="BJ22" s="348"/>
      <c r="BK22" s="348"/>
      <c r="BL22" s="357"/>
      <c r="BN22" s="503">
        <f>Construction!BM22/Construction!E22</f>
        <v>0</v>
      </c>
      <c r="BO22" s="171">
        <f>Construction!BD22/Construction!E22</f>
        <v>0</v>
      </c>
      <c r="BP22" s="152">
        <f>ROUNDUP((1-MIN(AB22*smithy_bonus,smithy_bonus_cap))*(1+Techs!AO22*tech_master_of_frugality)*spec_op_plat,0)</f>
        <v>165</v>
      </c>
      <c r="BQ22" s="164">
        <f>ROUNDUP(IF(race="Gnome",1,(1-MIN(AB22*smithy_bonus,smithy_bonus_cap))*(1+Techs!AO22*tech_master_of_frugality))*spec_op_ore,0)</f>
        <v>15</v>
      </c>
      <c r="BR22" s="164">
        <f t="shared" si="6"/>
        <v>0</v>
      </c>
      <c r="BS22" s="164">
        <f t="shared" si="7"/>
        <v>0</v>
      </c>
      <c r="BT22" s="164">
        <f ca="1">ROUNDUP((1-MIN(AB22*smithy_bonus,smithy_bonus_cap))*(1+Techs!AO22*tech_master_of_frugality)*spec_dp_plat,0)</f>
        <v>165</v>
      </c>
      <c r="BU22" s="164">
        <f ca="1">ROUNDUP(IF(OR(race="Gnome",race="Imperial Gnome"),1,(1-MIN(AB22*smithy_bonus,smithy_bonus_cap))*(1+Techs!AO22*tech_master_of_frugality))*spec_dp_ore,0)</f>
        <v>6</v>
      </c>
      <c r="BV22" s="164">
        <f t="shared" ca="1" si="8"/>
        <v>0</v>
      </c>
      <c r="BW22" s="164">
        <f t="shared" ca="1" si="9"/>
        <v>0</v>
      </c>
      <c r="BX22" s="164">
        <f t="shared" ca="1" si="10"/>
        <v>0</v>
      </c>
      <c r="BY22" s="164">
        <f ca="1">ROUNDUP((1-MIN(AB22*smithy_bonus,smithy_bonus_cap))*(1+Techs!AO22*tech_master_of_frugality)*elite1_plat,0)</f>
        <v>600</v>
      </c>
      <c r="BZ22" s="164">
        <f ca="1">ROUNDUP(IF(race="Gnome",1,(1-MIN(AB22*smithy_bonus,smithy_bonus_cap))*(1+Techs!AO22*tech_master_of_frugality))*elite1_ore,0)</f>
        <v>45</v>
      </c>
      <c r="CA22" s="164">
        <f t="shared" ca="1" si="11"/>
        <v>0</v>
      </c>
      <c r="CB22" s="164">
        <f t="shared" ca="1" si="12"/>
        <v>0</v>
      </c>
      <c r="CC22" s="164">
        <f t="shared" ca="1" si="13"/>
        <v>0</v>
      </c>
      <c r="CD22" s="164">
        <f t="shared" ca="1" si="14"/>
        <v>0</v>
      </c>
      <c r="CE22" s="164">
        <f t="shared" ca="1" si="15"/>
        <v>0</v>
      </c>
      <c r="CF22" s="164">
        <f ca="1">ROUNDUP((1-MIN(AB22*smithy_bonus,smithy_bonus_cap))*(1+Techs!AO22*tech_master_of_frugality)*elite2_plat,0)</f>
        <v>750</v>
      </c>
      <c r="CG22" s="164">
        <f ca="1">ROUNDUP(IF(race="Gnome",1,(1-MIN(AB22*smithy_bonus,smithy_bonus_cap))*(1+Techs!AO22*tech_master_of_frugality))*elite2_ore,0)</f>
        <v>60</v>
      </c>
      <c r="CH22" s="164">
        <f t="shared" ca="1" si="16"/>
        <v>0</v>
      </c>
      <c r="CI22" s="164">
        <f t="shared" ca="1" si="17"/>
        <v>0</v>
      </c>
      <c r="CJ22" s="164">
        <f t="shared" ca="1" si="18"/>
        <v>0</v>
      </c>
      <c r="CK22" s="164">
        <f t="shared" ca="1" si="19"/>
        <v>0</v>
      </c>
      <c r="CL22" s="164">
        <f t="shared" ca="1" si="20"/>
        <v>0</v>
      </c>
      <c r="CM22" s="164">
        <f>ROUNDUP((1+tech_spy_cost*Techs!AJ22)*spy_plat,0)</f>
        <v>500</v>
      </c>
      <c r="CN22" s="164">
        <f>ROUNDUP((1+tech_wizard_cost*Techs!AM22-MIN(ROUND(wg_wiz_cost_bonus*BN22,4),wg_wiz_cost_cap))*wizard_plat,0)</f>
        <v>500</v>
      </c>
      <c r="CO22" s="166">
        <f>ROUNDUP((1+tech_wizard_cost*Techs!AM22-MIN(ROUND(wg_wiz_cost_bonus*BN22,4),wg_wiz_cost_cap))*archmage_plat,0)</f>
        <v>1000</v>
      </c>
      <c r="CQ22" s="465">
        <f ca="1">Construction!DF22/Construction!E22</f>
        <v>0.28000000000000003</v>
      </c>
      <c r="CR22" s="466">
        <f t="shared" si="73"/>
        <v>0</v>
      </c>
      <c r="CS22" s="466">
        <f>Construction!BK22/Construction!E22</f>
        <v>0.05</v>
      </c>
      <c r="CT22" s="466">
        <f>Construction!BJ22/Construction!E22</f>
        <v>0</v>
      </c>
      <c r="CU22" s="466">
        <f>Construction!AY22/Construction!E22</f>
        <v>0</v>
      </c>
      <c r="CV22" s="481">
        <f t="shared" ca="1" si="22"/>
        <v>1.4000000000000001</v>
      </c>
      <c r="CW22" s="482">
        <f t="shared" ca="1" si="23"/>
        <v>1.4000000000000001</v>
      </c>
      <c r="CX22" s="482">
        <f t="shared" ca="1" si="24"/>
        <v>1.4000000000000001</v>
      </c>
      <c r="CY22" s="483">
        <f t="shared" ca="1" si="25"/>
        <v>1.4000000000000001</v>
      </c>
      <c r="CZ22" s="483">
        <f t="shared" si="26"/>
        <v>0</v>
      </c>
      <c r="DA22" s="483">
        <f t="shared" ca="1" si="27"/>
        <v>3</v>
      </c>
      <c r="DB22" s="483">
        <f t="shared" ca="1" si="28"/>
        <v>1.4000000000000001</v>
      </c>
      <c r="DC22" s="482">
        <f t="shared" si="29"/>
        <v>0</v>
      </c>
      <c r="DD22" s="847">
        <f t="shared" si="55"/>
        <v>0</v>
      </c>
      <c r="DE22" s="440">
        <f t="shared" si="56"/>
        <v>0</v>
      </c>
      <c r="DF22" s="440">
        <f t="shared" si="57"/>
        <v>0</v>
      </c>
      <c r="DG22" s="481">
        <f t="shared" ca="1" si="30"/>
        <v>1.4000000000000001</v>
      </c>
      <c r="DH22" s="450">
        <f t="shared" si="58"/>
        <v>0</v>
      </c>
      <c r="DI22" s="450">
        <f>MIN(valkyrja_cap,Production!O22/valkyrja_bonus)</f>
        <v>1</v>
      </c>
      <c r="DJ22" s="847">
        <f>MIN(voodoo_magi_cap,Production!O22/voodoo_magi_bonus)</f>
        <v>0.83333333333333337</v>
      </c>
      <c r="DK22" s="847">
        <f>MIN(warlock_cap,Production!O22/warlock_bonus)</f>
        <v>1.25</v>
      </c>
      <c r="DL22" s="847">
        <f ca="1">MIN(nox_nightshade_cap,Construction!DF22/Construction!E22/nox_nightshade_swamp_bonus)</f>
        <v>2.8000000000000003</v>
      </c>
      <c r="DM22" s="482">
        <f t="shared" si="31"/>
        <v>0</v>
      </c>
      <c r="DN22" s="483">
        <f t="shared" ca="1" si="32"/>
        <v>2.8000000000000003</v>
      </c>
      <c r="DO22" s="483">
        <f t="shared" ca="1" si="33"/>
        <v>2.8000000000000003</v>
      </c>
      <c r="DP22" s="483">
        <f t="shared" si="34"/>
        <v>1</v>
      </c>
      <c r="DQ22" s="482">
        <f t="shared" si="35"/>
        <v>0</v>
      </c>
      <c r="DR22" s="483">
        <f t="shared" si="36"/>
        <v>0</v>
      </c>
      <c r="DS22" s="482">
        <f t="shared" si="37"/>
        <v>0</v>
      </c>
      <c r="DT22" s="483">
        <f t="shared" si="59"/>
        <v>0</v>
      </c>
      <c r="DX22" s="487">
        <f ca="1">MIN(6,CV22+Races!$F$19)*1.8 +  IF(CV22+Races!$F$19&gt;6,(CV22+Races!$F$19-6)*0.2,0) - Races!$N$19</f>
        <v>2.5200000000000005</v>
      </c>
      <c r="DY22" s="488">
        <f ca="1">1.8 * MIN(MAX(CW22+Races!$E$20,CX22+Races!$F$20),6)  +  0.45 * MIN(MIN(CW22+Races!$E$20,CX22+Races!$F$20),6)  +  0.2 * ( MAX(CW22+Races!$E$20-6,0) + MAX(CX22+Races!$F$20-6,0) )  -  Races!$N$20</f>
        <v>3.1500000000000012</v>
      </c>
      <c r="DZ22" s="57">
        <f t="shared" ca="1" si="38"/>
        <v>0</v>
      </c>
      <c r="EA22" s="666">
        <f ca="1">MIN(6,CY22+Races!$F$35)*1.8 +  IF(CY22+Races!$F$35&gt;6,(CY22+Races!$F$35-6)*0.2,0) - Races!$N$19</f>
        <v>0.72000000000000064</v>
      </c>
      <c r="EB22" s="57">
        <f t="shared" ca="1" si="39"/>
        <v>0</v>
      </c>
      <c r="EC22" s="666">
        <f ca="1">1.8 * MIN(MAX(Races!$E$27,DB22+Races!$F$27),6)  +  0.45 * MIN(MIN(Races!$E$27,DB22+Races!$F$27),6)  +  0.2 * ( MAX(Races!$E$27-6,0) + MAX(DB22+Races!$F$27-6,0) )  -  Races!$N$20</f>
        <v>4.7700000000000005</v>
      </c>
      <c r="ED22" s="57">
        <f t="shared" ca="1" si="40"/>
        <v>0</v>
      </c>
      <c r="EE22" s="666">
        <f>1.8 * MIN(MAX(DC22+Races!$E$47,DD22+Races!$F$47),6)  +  0.45 * MIN(MIN(DC22+Races!$E$47,DD22+Races!$F$47),6)  +  0.2 * ( MAX(DC22+Races!$E$47-6,0) + MAX(DD22+Races!$F$47-6,0) )  -  Races!$N$47</f>
        <v>0</v>
      </c>
      <c r="EF22" s="57">
        <f t="shared" si="41"/>
        <v>0</v>
      </c>
      <c r="EG22" s="666">
        <f ca="1">1.8 * MIN(MAX(DG22+Races!$F$71,Races!$E$71),6)  +  0.45 * MIN(MIN(DG22+Races!$F$71,Races!$E$71),6)  +  0.2 * ( MAX(DG22+Races!$F$71-6,0) + MAX(Races!$E$71-6,0) )  -  Races!$N$71</f>
        <v>2.5200000000000014</v>
      </c>
      <c r="EH22" s="666">
        <f>1.8 * MIN(MAX(DH22+Races!$E$71,Races!$F$71),6)  +  0.45 * MIN(MIN(DH22+Races!$E$71,Races!$F$71),6)  +  0.2 * ( MAX(DH22+Races!$E$71-6,0) + MAX(Races!$F$71-6,0) )  -  Races!$N$71</f>
        <v>0</v>
      </c>
      <c r="EI22" s="57">
        <f t="shared" ca="1" si="42"/>
        <v>0</v>
      </c>
      <c r="EJ22" s="57"/>
      <c r="EK22" s="57"/>
      <c r="EL22" s="57"/>
      <c r="EM22" s="57">
        <f ca="1">Overview!$L$22*E22+Overview!$L$23*F22+Overview!$L$24*G22+Overview!$L$25*H22+Overview!$L$26*I22+Overview!$L$27*J22+Overview!$L$28*K22+Construction!E22*20+Construction!B22*5 + DZ22*$DV$4+EB22*$DV$5+ED22*$DV$6+EF22*$DV$7+EI22*$DV$9</f>
        <v>21900</v>
      </c>
      <c r="EO22" s="738">
        <f>(J22+2*K22)/Construction!E22</f>
        <v>0</v>
      </c>
      <c r="EP22" s="734">
        <f ca="1">EO22*(1+race_wizard_strength+tech_magical_weaponry_wiz*Techs!AV94)</f>
        <v>0</v>
      </c>
      <c r="EQ22" s="16">
        <f>(I22+halfer*H22/3)/Construction!E22</f>
        <v>0</v>
      </c>
    </row>
    <row r="23" spans="1:147" s="16" customFormat="1">
      <c r="A23" s="629">
        <f>Rezone!J23</f>
        <v>21</v>
      </c>
      <c r="B23" s="56">
        <f ca="1">SUM(E23:K23)+SUM(AF15:AG23)+SUM(AH12:AL23)+Z23+Explore!AL23</f>
        <v>5295</v>
      </c>
      <c r="C23" s="97">
        <f ca="1">Population!G23</f>
        <v>0.57305194805194803</v>
      </c>
      <c r="E23" s="52">
        <f t="shared" si="64"/>
        <v>0</v>
      </c>
      <c r="F23" s="16">
        <f t="shared" si="65"/>
        <v>0</v>
      </c>
      <c r="G23" s="16">
        <f t="shared" si="66"/>
        <v>0</v>
      </c>
      <c r="H23" s="16">
        <f t="shared" si="67"/>
        <v>0</v>
      </c>
      <c r="I23" s="16">
        <f t="shared" si="68"/>
        <v>0</v>
      </c>
      <c r="J23" s="16">
        <f t="shared" si="69"/>
        <v>0</v>
      </c>
      <c r="K23" s="53">
        <f t="shared" si="70"/>
        <v>0</v>
      </c>
      <c r="M23" s="64">
        <f ca="1">Production!G23</f>
        <v>21900</v>
      </c>
      <c r="O23" s="234">
        <f t="shared" ca="1" si="0"/>
        <v>0</v>
      </c>
      <c r="P23" s="455">
        <f ca="1">race_offense+Imps!AB23+ROUND(MIN(gn_bonus*Construction!BF23/Construction!$E23,gn_bonus_cap),4)+MAX(IF(Magic!$AN23&gt;0,warsong_bonus),IF(Magic!AP23&gt;0,howling_op_bonus),IF(Magic!AS23&gt;0,nightfall_bonus),IF(Magic!AT23&gt;0,crusade_bonus),IF(Magic!AU23&gt;0,killingrage_bonus),IF(Magic!AV23&gt;0,bloodrage_bonus)) + Production!O23/100*prestige_offense_bonus + MAX(tech_military_offense*Techs!AH23,tech_magical_weaponry_op*Techs!AV23)</f>
        <v>0.05</v>
      </c>
      <c r="Q23" s="235">
        <f t="shared" ca="1" si="46"/>
        <v>0</v>
      </c>
      <c r="R23" s="234">
        <f ca="1">F23*(spec_dp+spirit*DR23)+G23*(elite1_dp+woodie*CV23+sylvan*CY23+gnome*DB23+dark_elf*DD23+icekin*DG23+orc*DJ23+nox*DL23+beast*DN23+sacred*DP23+spirit*DS23+blackorc*DK23)+H23*(elite2_dp+woodie*CX23+beast*DO23+sacred*DQ23) + fh_peas_dp*MIN(Population!C23,20*Construction!BD23)+kobold*DE23</f>
        <v>0</v>
      </c>
      <c r="S23" s="235">
        <f t="shared" ca="1" si="1"/>
        <v>3695</v>
      </c>
      <c r="T23" s="1052">
        <f ca="1">race_defense+Imps!AC23+ROUND(MIN(gt_bonus*Construction!BH23/Construction!$E23,gt_bonus_cap),4)+MAX(IF(Magic!AM23&gt;0,frenzy_bonus,IF(Magic!AQ23&gt;0,blizzard_bonus,IF(Magic!AP23&gt;0,howling_dp_bonus,IF(Magic!AI23&gt;0,ares_call_bonus)))),IF(Magic!AX23&gt;0,MIN(Construction!DF23/Construction!E23,0.2),0))</f>
        <v>0</v>
      </c>
      <c r="U23" s="1046">
        <f t="shared" ca="1" si="47"/>
        <v>0</v>
      </c>
      <c r="V23" s="308">
        <f t="shared" ca="1" si="48"/>
        <v>3695</v>
      </c>
      <c r="W23" s="310">
        <f>Construction!E23</f>
        <v>1000</v>
      </c>
      <c r="X23" s="367"/>
      <c r="Y23" s="146">
        <f t="shared" si="74"/>
        <v>0.4</v>
      </c>
      <c r="Z23" s="166">
        <f ca="1">Z22+Population!Z22 - IF(race="Lux",AF23,SUM(AF23:AK23)) - BE23 + SUM(BF23:BL23) - Explore!AI23</f>
        <v>3695</v>
      </c>
      <c r="AA23" s="164"/>
      <c r="AB23" s="91">
        <f>(Construction!$BA23+Construction!BY23)/(Construction!$E23-Explore!S23*20)</f>
        <v>0.2</v>
      </c>
      <c r="AC23" s="529"/>
      <c r="AD23" s="799">
        <f>Rezone!J23</f>
        <v>21</v>
      </c>
      <c r="AE23" s="589">
        <f>Explore!AA23</f>
        <v>43692.833333333285</v>
      </c>
      <c r="AF23" s="356"/>
      <c r="AG23" s="348"/>
      <c r="AH23" s="348"/>
      <c r="AI23" s="348"/>
      <c r="AJ23" s="348"/>
      <c r="AK23" s="348"/>
      <c r="AL23" s="357"/>
      <c r="AN23" s="56">
        <f ca="1">Production!$H23</f>
        <v>3160531</v>
      </c>
      <c r="AO23" s="26">
        <f ca="1">Production!$L23</f>
        <v>231000</v>
      </c>
      <c r="AP23" s="26">
        <f ca="1">Production!J23</f>
        <v>292859</v>
      </c>
      <c r="AQ23" s="26">
        <f ca="1">Production!M23</f>
        <v>20000</v>
      </c>
      <c r="AR23" s="26">
        <f ca="1">Production!K23</f>
        <v>34128</v>
      </c>
      <c r="AS23" s="26">
        <f ca="1">Production!I23</f>
        <v>115209</v>
      </c>
      <c r="AT23" s="26">
        <f ca="1">Production!N23</f>
        <v>200</v>
      </c>
      <c r="AU23" s="152">
        <f t="shared" ca="1" si="2"/>
        <v>0</v>
      </c>
      <c r="AV23" s="164">
        <f t="shared" ca="1" si="3"/>
        <v>0</v>
      </c>
      <c r="AW23" s="164">
        <f t="shared" ca="1" si="50"/>
        <v>0</v>
      </c>
      <c r="AX23" s="164">
        <f t="shared" ca="1" si="51"/>
        <v>0</v>
      </c>
      <c r="AY23" s="164">
        <f t="shared" ca="1" si="52"/>
        <v>0</v>
      </c>
      <c r="AZ23" s="164">
        <f t="shared" ca="1" si="53"/>
        <v>0</v>
      </c>
      <c r="BA23" s="166">
        <f t="shared" ca="1" si="54"/>
        <v>0</v>
      </c>
      <c r="BB23" s="16">
        <v>21</v>
      </c>
      <c r="BC23" s="574">
        <f t="shared" si="71"/>
        <v>43692.833333333285</v>
      </c>
      <c r="BD23" s="148">
        <f t="shared" ca="1" si="72"/>
        <v>3695</v>
      </c>
      <c r="BE23" s="356"/>
      <c r="BF23" s="348"/>
      <c r="BG23" s="348"/>
      <c r="BH23" s="348"/>
      <c r="BI23" s="348"/>
      <c r="BJ23" s="348"/>
      <c r="BK23" s="348"/>
      <c r="BL23" s="357"/>
      <c r="BN23" s="503">
        <f>Construction!BM23/Construction!E23</f>
        <v>0</v>
      </c>
      <c r="BO23" s="171">
        <f>Construction!BD23/Construction!E23</f>
        <v>0</v>
      </c>
      <c r="BP23" s="152">
        <f>ROUNDUP((1-MIN(AB23*smithy_bonus,smithy_bonus_cap))*(1+Techs!AO23*tech_master_of_frugality)*spec_op_plat,0)</f>
        <v>165</v>
      </c>
      <c r="BQ23" s="164">
        <f>ROUNDUP(IF(race="Gnome",1,(1-MIN(AB23*smithy_bonus,smithy_bonus_cap))*(1+Techs!AO23*tech_master_of_frugality))*spec_op_ore,0)</f>
        <v>15</v>
      </c>
      <c r="BR23" s="164">
        <f t="shared" si="6"/>
        <v>0</v>
      </c>
      <c r="BS23" s="164">
        <f t="shared" si="7"/>
        <v>0</v>
      </c>
      <c r="BT23" s="164">
        <f ca="1">ROUNDUP((1-MIN(AB23*smithy_bonus,smithy_bonus_cap))*(1+Techs!AO23*tech_master_of_frugality)*spec_dp_plat,0)</f>
        <v>165</v>
      </c>
      <c r="BU23" s="164">
        <f ca="1">ROUNDUP(IF(OR(race="Gnome",race="Imperial Gnome"),1,(1-MIN(AB23*smithy_bonus,smithy_bonus_cap))*(1+Techs!AO23*tech_master_of_frugality))*spec_dp_ore,0)</f>
        <v>6</v>
      </c>
      <c r="BV23" s="164">
        <f t="shared" ca="1" si="8"/>
        <v>0</v>
      </c>
      <c r="BW23" s="164">
        <f t="shared" ca="1" si="9"/>
        <v>0</v>
      </c>
      <c r="BX23" s="164">
        <f t="shared" ca="1" si="10"/>
        <v>0</v>
      </c>
      <c r="BY23" s="164">
        <f ca="1">ROUNDUP((1-MIN(AB23*smithy_bonus,smithy_bonus_cap))*(1+Techs!AO23*tech_master_of_frugality)*elite1_plat,0)</f>
        <v>600</v>
      </c>
      <c r="BZ23" s="164">
        <f ca="1">ROUNDUP(IF(race="Gnome",1,(1-MIN(AB23*smithy_bonus,smithy_bonus_cap))*(1+Techs!AO23*tech_master_of_frugality))*elite1_ore,0)</f>
        <v>45</v>
      </c>
      <c r="CA23" s="164">
        <f t="shared" ca="1" si="11"/>
        <v>0</v>
      </c>
      <c r="CB23" s="164">
        <f t="shared" ca="1" si="12"/>
        <v>0</v>
      </c>
      <c r="CC23" s="164">
        <f t="shared" ca="1" si="13"/>
        <v>0</v>
      </c>
      <c r="CD23" s="164">
        <f t="shared" ca="1" si="14"/>
        <v>0</v>
      </c>
      <c r="CE23" s="164">
        <f t="shared" ca="1" si="15"/>
        <v>0</v>
      </c>
      <c r="CF23" s="164">
        <f ca="1">ROUNDUP((1-MIN(AB23*smithy_bonus,smithy_bonus_cap))*(1+Techs!AO23*tech_master_of_frugality)*elite2_plat,0)</f>
        <v>750</v>
      </c>
      <c r="CG23" s="164">
        <f ca="1">ROUNDUP(IF(race="Gnome",1,(1-MIN(AB23*smithy_bonus,smithy_bonus_cap))*(1+Techs!AO23*tech_master_of_frugality))*elite2_ore,0)</f>
        <v>60</v>
      </c>
      <c r="CH23" s="164">
        <f t="shared" ca="1" si="16"/>
        <v>0</v>
      </c>
      <c r="CI23" s="164">
        <f t="shared" ca="1" si="17"/>
        <v>0</v>
      </c>
      <c r="CJ23" s="164">
        <f t="shared" ca="1" si="18"/>
        <v>0</v>
      </c>
      <c r="CK23" s="164">
        <f t="shared" ca="1" si="19"/>
        <v>0</v>
      </c>
      <c r="CL23" s="164">
        <f t="shared" ca="1" si="20"/>
        <v>0</v>
      </c>
      <c r="CM23" s="164">
        <f>ROUNDUP((1+tech_spy_cost*Techs!AJ23)*spy_plat,0)</f>
        <v>500</v>
      </c>
      <c r="CN23" s="164">
        <f>ROUNDUP((1+tech_wizard_cost*Techs!AM23-MIN(ROUND(wg_wiz_cost_bonus*BN23,4),wg_wiz_cost_cap))*wizard_plat,0)</f>
        <v>500</v>
      </c>
      <c r="CO23" s="166">
        <f>ROUNDUP((1+tech_wizard_cost*Techs!AM23-MIN(ROUND(wg_wiz_cost_bonus*BN23,4),wg_wiz_cost_cap))*archmage_plat,0)</f>
        <v>1000</v>
      </c>
      <c r="CQ23" s="465">
        <f ca="1">Construction!DF23/Construction!E23</f>
        <v>0.28000000000000003</v>
      </c>
      <c r="CR23" s="466">
        <f t="shared" si="73"/>
        <v>0</v>
      </c>
      <c r="CS23" s="466">
        <f>Construction!BK23/Construction!E23</f>
        <v>0.05</v>
      </c>
      <c r="CT23" s="466">
        <f>Construction!BJ23/Construction!E23</f>
        <v>0</v>
      </c>
      <c r="CU23" s="466">
        <f>Construction!AY23/Construction!E23</f>
        <v>0</v>
      </c>
      <c r="CV23" s="481">
        <f t="shared" ca="1" si="22"/>
        <v>1.4000000000000001</v>
      </c>
      <c r="CW23" s="482">
        <f t="shared" ca="1" si="23"/>
        <v>1.4000000000000001</v>
      </c>
      <c r="CX23" s="482">
        <f t="shared" ca="1" si="24"/>
        <v>1.4000000000000001</v>
      </c>
      <c r="CY23" s="483">
        <f t="shared" ca="1" si="25"/>
        <v>1.4000000000000001</v>
      </c>
      <c r="CZ23" s="483">
        <f t="shared" si="26"/>
        <v>0</v>
      </c>
      <c r="DA23" s="483">
        <f t="shared" ca="1" si="27"/>
        <v>3</v>
      </c>
      <c r="DB23" s="483">
        <f t="shared" ca="1" si="28"/>
        <v>1.4000000000000001</v>
      </c>
      <c r="DC23" s="482">
        <f t="shared" si="29"/>
        <v>0</v>
      </c>
      <c r="DD23" s="847">
        <f t="shared" si="55"/>
        <v>0</v>
      </c>
      <c r="DE23" s="440">
        <f t="shared" si="56"/>
        <v>0</v>
      </c>
      <c r="DF23" s="440">
        <f t="shared" si="57"/>
        <v>0</v>
      </c>
      <c r="DG23" s="481">
        <f t="shared" ca="1" si="30"/>
        <v>1.4000000000000001</v>
      </c>
      <c r="DH23" s="450">
        <f t="shared" si="58"/>
        <v>0</v>
      </c>
      <c r="DI23" s="450">
        <f>MIN(valkyrja_cap,Production!O23/valkyrja_bonus)</f>
        <v>1</v>
      </c>
      <c r="DJ23" s="847">
        <f>MIN(voodoo_magi_cap,Production!O23/voodoo_magi_bonus)</f>
        <v>0.83333333333333337</v>
      </c>
      <c r="DK23" s="847">
        <f>MIN(warlock_cap,Production!O23/warlock_bonus)</f>
        <v>1.25</v>
      </c>
      <c r="DL23" s="847">
        <f ca="1">MIN(nox_nightshade_cap,Construction!DF23/Construction!E23/nox_nightshade_swamp_bonus)</f>
        <v>2.8000000000000003</v>
      </c>
      <c r="DM23" s="482">
        <f t="shared" si="31"/>
        <v>0</v>
      </c>
      <c r="DN23" s="483">
        <f t="shared" ca="1" si="32"/>
        <v>2.8000000000000003</v>
      </c>
      <c r="DO23" s="483">
        <f t="shared" ca="1" si="33"/>
        <v>2.8000000000000003</v>
      </c>
      <c r="DP23" s="483">
        <f t="shared" si="34"/>
        <v>1</v>
      </c>
      <c r="DQ23" s="482">
        <f t="shared" si="35"/>
        <v>0</v>
      </c>
      <c r="DR23" s="483">
        <f t="shared" si="36"/>
        <v>0</v>
      </c>
      <c r="DS23" s="482">
        <f t="shared" si="37"/>
        <v>0</v>
      </c>
      <c r="DT23" s="483">
        <f t="shared" si="59"/>
        <v>0</v>
      </c>
      <c r="DX23" s="487">
        <f ca="1">MIN(6,CV23+Races!$F$19)*1.8 +  IF(CV23+Races!$F$19&gt;6,(CV23+Races!$F$19-6)*0.2,0) - Races!$N$19</f>
        <v>2.5200000000000005</v>
      </c>
      <c r="DY23" s="488">
        <f ca="1">1.8 * MIN(MAX(CW23+Races!$E$20,CX23+Races!$F$20),6)  +  0.45 * MIN(MIN(CW23+Races!$E$20,CX23+Races!$F$20),6)  +  0.2 * ( MAX(CW23+Races!$E$20-6,0) + MAX(CX23+Races!$F$20-6,0) )  -  Races!$N$20</f>
        <v>3.1500000000000012</v>
      </c>
      <c r="DZ23" s="57">
        <f t="shared" ca="1" si="38"/>
        <v>0</v>
      </c>
      <c r="EA23" s="666">
        <f ca="1">MIN(6,CY23+Races!$F$35)*1.8 +  IF(CY23+Races!$F$35&gt;6,(CY23+Races!$F$35-6)*0.2,0) - Races!$N$19</f>
        <v>0.72000000000000064</v>
      </c>
      <c r="EB23" s="57">
        <f t="shared" ca="1" si="39"/>
        <v>0</v>
      </c>
      <c r="EC23" s="666">
        <f ca="1">1.8 * MIN(MAX(Races!$E$27,DB23+Races!$F$27),6)  +  0.45 * MIN(MIN(Races!$E$27,DB23+Races!$F$27),6)  +  0.2 * ( MAX(Races!$E$27-6,0) + MAX(DB23+Races!$F$27-6,0) )  -  Races!$N$20</f>
        <v>4.7700000000000005</v>
      </c>
      <c r="ED23" s="57">
        <f t="shared" ca="1" si="40"/>
        <v>0</v>
      </c>
      <c r="EE23" s="666">
        <f>1.8 * MIN(MAX(DC23+Races!$E$47,DD23+Races!$F$47),6)  +  0.45 * MIN(MIN(DC23+Races!$E$47,DD23+Races!$F$47),6)  +  0.2 * ( MAX(DC23+Races!$E$47-6,0) + MAX(DD23+Races!$F$47-6,0) )  -  Races!$N$47</f>
        <v>0</v>
      </c>
      <c r="EF23" s="57">
        <f t="shared" si="41"/>
        <v>0</v>
      </c>
      <c r="EG23" s="666">
        <f ca="1">1.8 * MIN(MAX(DG23+Races!$F$71,Races!$E$71),6)  +  0.45 * MIN(MIN(DG23+Races!$F$71,Races!$E$71),6)  +  0.2 * ( MAX(DG23+Races!$F$71-6,0) + MAX(Races!$E$71-6,0) )  -  Races!$N$71</f>
        <v>2.5200000000000014</v>
      </c>
      <c r="EH23" s="666">
        <f>1.8 * MIN(MAX(DH23+Races!$E$71,Races!$F$71),6)  +  0.45 * MIN(MIN(DH23+Races!$E$71,Races!$F$71),6)  +  0.2 * ( MAX(DH23+Races!$E$71-6,0) + MAX(Races!$F$71-6,0) )  -  Races!$N$71</f>
        <v>0</v>
      </c>
      <c r="EI23" s="57">
        <f t="shared" ca="1" si="42"/>
        <v>0</v>
      </c>
      <c r="EJ23" s="57"/>
      <c r="EK23" s="57"/>
      <c r="EL23" s="57"/>
      <c r="EM23" s="57">
        <f ca="1">Overview!$L$22*E23+Overview!$L$23*F23+Overview!$L$24*G23+Overview!$L$25*H23+Overview!$L$26*I23+Overview!$L$27*J23+Overview!$L$28*K23+Construction!E23*20+Construction!B23*5 + DZ23*$DV$4+EB23*$DV$5+ED23*$DV$6+EF23*$DV$7+EI23*$DV$9</f>
        <v>21900</v>
      </c>
      <c r="EO23" s="738">
        <f>(J23+2*K23)/Construction!E23</f>
        <v>0</v>
      </c>
      <c r="EP23" s="734">
        <f ca="1">EO23*(1+race_wizard_strength+tech_magical_weaponry_wiz*Techs!AV95)</f>
        <v>0</v>
      </c>
      <c r="EQ23" s="16">
        <f>(I23+halfer*H23/3)/Construction!E23</f>
        <v>0</v>
      </c>
    </row>
    <row r="24" spans="1:147" s="16" customFormat="1">
      <c r="A24" s="629">
        <f>Rezone!J24</f>
        <v>22</v>
      </c>
      <c r="B24" s="56">
        <f ca="1">SUM(E24:K24)+SUM(AF16:AG24)+SUM(AH13:AL24)+Z24+Explore!AL24</f>
        <v>5295</v>
      </c>
      <c r="C24" s="97">
        <f ca="1">Population!G24</f>
        <v>0.57305194805194803</v>
      </c>
      <c r="E24" s="52">
        <f t="shared" si="64"/>
        <v>0</v>
      </c>
      <c r="F24" s="16">
        <f t="shared" si="65"/>
        <v>0</v>
      </c>
      <c r="G24" s="16">
        <f t="shared" si="66"/>
        <v>0</v>
      </c>
      <c r="H24" s="16">
        <f t="shared" si="67"/>
        <v>0</v>
      </c>
      <c r="I24" s="16">
        <f t="shared" si="68"/>
        <v>0</v>
      </c>
      <c r="J24" s="16">
        <f t="shared" si="69"/>
        <v>0</v>
      </c>
      <c r="K24" s="53">
        <f t="shared" si="70"/>
        <v>0</v>
      </c>
      <c r="M24" s="64">
        <f ca="1">Production!G24</f>
        <v>21900</v>
      </c>
      <c r="O24" s="234">
        <f t="shared" ca="1" si="0"/>
        <v>0</v>
      </c>
      <c r="P24" s="455">
        <f ca="1">race_offense+Imps!AB24+ROUND(MIN(gn_bonus*Construction!BF24/Construction!$E24,gn_bonus_cap),4)+MAX(IF(Magic!$AN24&gt;0,warsong_bonus),IF(Magic!AP24&gt;0,howling_op_bonus),IF(Magic!AS24&gt;0,nightfall_bonus),IF(Magic!AT24&gt;0,crusade_bonus),IF(Magic!AU24&gt;0,killingrage_bonus),IF(Magic!AV24&gt;0,bloodrage_bonus)) + Production!O24/100*prestige_offense_bonus + MAX(tech_military_offense*Techs!AH24,tech_magical_weaponry_op*Techs!AV24)</f>
        <v>0.05</v>
      </c>
      <c r="Q24" s="235">
        <f t="shared" ca="1" si="46"/>
        <v>0</v>
      </c>
      <c r="R24" s="234">
        <f ca="1">F24*(spec_dp+spirit*DR24)+G24*(elite1_dp+woodie*CV24+sylvan*CY24+gnome*DB24+dark_elf*DD24+icekin*DG24+orc*DJ24+nox*DL24+beast*DN24+sacred*DP24+spirit*DS24+blackorc*DK24)+H24*(elite2_dp+woodie*CX24+beast*DO24+sacred*DQ24) + fh_peas_dp*MIN(Population!C24,20*Construction!BD24)+kobold*DE24</f>
        <v>0</v>
      </c>
      <c r="S24" s="235">
        <f t="shared" ca="1" si="1"/>
        <v>3695</v>
      </c>
      <c r="T24" s="1052">
        <f ca="1">race_defense+Imps!AC24+ROUND(MIN(gt_bonus*Construction!BH24/Construction!$E24,gt_bonus_cap),4)+MAX(IF(Magic!AM24&gt;0,frenzy_bonus,IF(Magic!AQ24&gt;0,blizzard_bonus,IF(Magic!AP24&gt;0,howling_dp_bonus,IF(Magic!AI24&gt;0,ares_call_bonus)))),IF(Magic!AX24&gt;0,MIN(Construction!DF24/Construction!E24,0.2),0))</f>
        <v>0</v>
      </c>
      <c r="U24" s="1046">
        <f t="shared" ca="1" si="47"/>
        <v>0</v>
      </c>
      <c r="V24" s="308">
        <f t="shared" ca="1" si="48"/>
        <v>3695</v>
      </c>
      <c r="W24" s="310">
        <f>Construction!E24</f>
        <v>1000</v>
      </c>
      <c r="X24" s="367"/>
      <c r="Y24" s="146">
        <f t="shared" si="74"/>
        <v>0.4</v>
      </c>
      <c r="Z24" s="166">
        <f ca="1">Z23+Population!Z23 - IF(race="Lux",AF24,SUM(AF24:AK24)) - BE24 + SUM(BF24:BL24) - Explore!AI24</f>
        <v>3695</v>
      </c>
      <c r="AA24" s="164"/>
      <c r="AB24" s="91">
        <f>(Construction!$BA24+Construction!BY24)/(Construction!$E24-Explore!S24*20)</f>
        <v>0.2</v>
      </c>
      <c r="AC24" s="529"/>
      <c r="AD24" s="799">
        <f>Rezone!J24</f>
        <v>22</v>
      </c>
      <c r="AE24" s="589">
        <f>Explore!AA24</f>
        <v>43692.874999999949</v>
      </c>
      <c r="AF24" s="356"/>
      <c r="AG24" s="348"/>
      <c r="AH24" s="348"/>
      <c r="AI24" s="348"/>
      <c r="AJ24" s="348"/>
      <c r="AK24" s="348"/>
      <c r="AL24" s="357"/>
      <c r="AN24" s="56">
        <f ca="1">Production!$H24</f>
        <v>3171182</v>
      </c>
      <c r="AO24" s="26">
        <f ca="1">Production!$L24</f>
        <v>231000</v>
      </c>
      <c r="AP24" s="26">
        <f ca="1">Production!J24</f>
        <v>292430</v>
      </c>
      <c r="AQ24" s="26">
        <f ca="1">Production!M24</f>
        <v>20000</v>
      </c>
      <c r="AR24" s="26">
        <f ca="1">Production!K24</f>
        <v>34695</v>
      </c>
      <c r="AS24" s="26">
        <f ca="1">Production!I24</f>
        <v>118787</v>
      </c>
      <c r="AT24" s="26">
        <f ca="1">Production!N24</f>
        <v>200</v>
      </c>
      <c r="AU24" s="152">
        <f t="shared" ca="1" si="2"/>
        <v>0</v>
      </c>
      <c r="AV24" s="164">
        <f t="shared" ca="1" si="3"/>
        <v>0</v>
      </c>
      <c r="AW24" s="164">
        <f t="shared" ca="1" si="50"/>
        <v>0</v>
      </c>
      <c r="AX24" s="164">
        <f t="shared" ca="1" si="51"/>
        <v>0</v>
      </c>
      <c r="AY24" s="164">
        <f t="shared" ca="1" si="52"/>
        <v>0</v>
      </c>
      <c r="AZ24" s="164">
        <f t="shared" ca="1" si="53"/>
        <v>0</v>
      </c>
      <c r="BA24" s="166">
        <f t="shared" ca="1" si="54"/>
        <v>0</v>
      </c>
      <c r="BB24" s="16">
        <v>22</v>
      </c>
      <c r="BC24" s="574">
        <f t="shared" si="71"/>
        <v>43692.874999999949</v>
      </c>
      <c r="BD24" s="148">
        <f t="shared" ca="1" si="72"/>
        <v>3695</v>
      </c>
      <c r="BE24" s="356"/>
      <c r="BF24" s="348"/>
      <c r="BG24" s="348"/>
      <c r="BH24" s="348"/>
      <c r="BI24" s="348"/>
      <c r="BJ24" s="348"/>
      <c r="BK24" s="348"/>
      <c r="BL24" s="357"/>
      <c r="BN24" s="503">
        <f>Construction!BM24/Construction!E24</f>
        <v>0</v>
      </c>
      <c r="BO24" s="171">
        <f>Construction!BD24/Construction!E24</f>
        <v>0</v>
      </c>
      <c r="BP24" s="152">
        <f>ROUNDUP((1-MIN(AB24*smithy_bonus,smithy_bonus_cap))*(1+Techs!AO24*tech_master_of_frugality)*spec_op_plat,0)</f>
        <v>165</v>
      </c>
      <c r="BQ24" s="164">
        <f>ROUNDUP(IF(race="Gnome",1,(1-MIN(AB24*smithy_bonus,smithy_bonus_cap))*(1+Techs!AO24*tech_master_of_frugality))*spec_op_ore,0)</f>
        <v>15</v>
      </c>
      <c r="BR24" s="164">
        <f t="shared" si="6"/>
        <v>0</v>
      </c>
      <c r="BS24" s="164">
        <f t="shared" si="7"/>
        <v>0</v>
      </c>
      <c r="BT24" s="164">
        <f ca="1">ROUNDUP((1-MIN(AB24*smithy_bonus,smithy_bonus_cap))*(1+Techs!AO24*tech_master_of_frugality)*spec_dp_plat,0)</f>
        <v>165</v>
      </c>
      <c r="BU24" s="164">
        <f ca="1">ROUNDUP(IF(OR(race="Gnome",race="Imperial Gnome"),1,(1-MIN(AB24*smithy_bonus,smithy_bonus_cap))*(1+Techs!AO24*tech_master_of_frugality))*spec_dp_ore,0)</f>
        <v>6</v>
      </c>
      <c r="BV24" s="164">
        <f t="shared" ca="1" si="8"/>
        <v>0</v>
      </c>
      <c r="BW24" s="164">
        <f t="shared" ca="1" si="9"/>
        <v>0</v>
      </c>
      <c r="BX24" s="164">
        <f t="shared" ca="1" si="10"/>
        <v>0</v>
      </c>
      <c r="BY24" s="164">
        <f ca="1">ROUNDUP((1-MIN(AB24*smithy_bonus,smithy_bonus_cap))*(1+Techs!AO24*tech_master_of_frugality)*elite1_plat,0)</f>
        <v>600</v>
      </c>
      <c r="BZ24" s="164">
        <f ca="1">ROUNDUP(IF(race="Gnome",1,(1-MIN(AB24*smithy_bonus,smithy_bonus_cap))*(1+Techs!AO24*tech_master_of_frugality))*elite1_ore,0)</f>
        <v>45</v>
      </c>
      <c r="CA24" s="164">
        <f t="shared" ca="1" si="11"/>
        <v>0</v>
      </c>
      <c r="CB24" s="164">
        <f t="shared" ca="1" si="12"/>
        <v>0</v>
      </c>
      <c r="CC24" s="164">
        <f t="shared" ca="1" si="13"/>
        <v>0</v>
      </c>
      <c r="CD24" s="164">
        <f t="shared" ca="1" si="14"/>
        <v>0</v>
      </c>
      <c r="CE24" s="164">
        <f t="shared" ca="1" si="15"/>
        <v>0</v>
      </c>
      <c r="CF24" s="164">
        <f ca="1">ROUNDUP((1-MIN(AB24*smithy_bonus,smithy_bonus_cap))*(1+Techs!AO24*tech_master_of_frugality)*elite2_plat,0)</f>
        <v>750</v>
      </c>
      <c r="CG24" s="164">
        <f ca="1">ROUNDUP(IF(race="Gnome",1,(1-MIN(AB24*smithy_bonus,smithy_bonus_cap))*(1+Techs!AO24*tech_master_of_frugality))*elite2_ore,0)</f>
        <v>60</v>
      </c>
      <c r="CH24" s="164">
        <f t="shared" ca="1" si="16"/>
        <v>0</v>
      </c>
      <c r="CI24" s="164">
        <f t="shared" ca="1" si="17"/>
        <v>0</v>
      </c>
      <c r="CJ24" s="164">
        <f t="shared" ca="1" si="18"/>
        <v>0</v>
      </c>
      <c r="CK24" s="164">
        <f t="shared" ca="1" si="19"/>
        <v>0</v>
      </c>
      <c r="CL24" s="164">
        <f t="shared" ca="1" si="20"/>
        <v>0</v>
      </c>
      <c r="CM24" s="164">
        <f>ROUNDUP((1+tech_spy_cost*Techs!AJ24)*spy_plat,0)</f>
        <v>500</v>
      </c>
      <c r="CN24" s="164">
        <f>ROUNDUP((1+tech_wizard_cost*Techs!AM24-MIN(ROUND(wg_wiz_cost_bonus*BN24,4),wg_wiz_cost_cap))*wizard_plat,0)</f>
        <v>500</v>
      </c>
      <c r="CO24" s="166">
        <f>ROUNDUP((1+tech_wizard_cost*Techs!AM24-MIN(ROUND(wg_wiz_cost_bonus*BN24,4),wg_wiz_cost_cap))*archmage_plat,0)</f>
        <v>1000</v>
      </c>
      <c r="CQ24" s="465">
        <f ca="1">Construction!DF24/Construction!E24</f>
        <v>0.28000000000000003</v>
      </c>
      <c r="CR24" s="466">
        <f t="shared" si="73"/>
        <v>0</v>
      </c>
      <c r="CS24" s="466">
        <f>Construction!BK24/Construction!E24</f>
        <v>0.05</v>
      </c>
      <c r="CT24" s="466">
        <f>Construction!BJ24/Construction!E24</f>
        <v>0</v>
      </c>
      <c r="CU24" s="466">
        <f>Construction!AY24/Construction!E24</f>
        <v>0</v>
      </c>
      <c r="CV24" s="481">
        <f t="shared" ca="1" si="22"/>
        <v>1.4000000000000001</v>
      </c>
      <c r="CW24" s="482">
        <f t="shared" ca="1" si="23"/>
        <v>1.4000000000000001</v>
      </c>
      <c r="CX24" s="482">
        <f t="shared" ca="1" si="24"/>
        <v>1.4000000000000001</v>
      </c>
      <c r="CY24" s="483">
        <f t="shared" ca="1" si="25"/>
        <v>1.4000000000000001</v>
      </c>
      <c r="CZ24" s="483">
        <f t="shared" si="26"/>
        <v>0</v>
      </c>
      <c r="DA24" s="483">
        <f t="shared" ca="1" si="27"/>
        <v>3</v>
      </c>
      <c r="DB24" s="483">
        <f t="shared" ca="1" si="28"/>
        <v>1.4000000000000001</v>
      </c>
      <c r="DC24" s="482">
        <f t="shared" si="29"/>
        <v>0</v>
      </c>
      <c r="DD24" s="847">
        <f t="shared" si="55"/>
        <v>0</v>
      </c>
      <c r="DE24" s="440">
        <f t="shared" si="56"/>
        <v>0</v>
      </c>
      <c r="DF24" s="440">
        <f t="shared" si="57"/>
        <v>0</v>
      </c>
      <c r="DG24" s="481">
        <f t="shared" ca="1" si="30"/>
        <v>1.4000000000000001</v>
      </c>
      <c r="DH24" s="450">
        <f t="shared" si="58"/>
        <v>0</v>
      </c>
      <c r="DI24" s="450">
        <f>MIN(valkyrja_cap,Production!O24/valkyrja_bonus)</f>
        <v>1</v>
      </c>
      <c r="DJ24" s="847">
        <f>MIN(voodoo_magi_cap,Production!O24/voodoo_magi_bonus)</f>
        <v>0.83333333333333337</v>
      </c>
      <c r="DK24" s="847">
        <f>MIN(warlock_cap,Production!O24/warlock_bonus)</f>
        <v>1.25</v>
      </c>
      <c r="DL24" s="847">
        <f ca="1">MIN(nox_nightshade_cap,Construction!DF24/Construction!E24/nox_nightshade_swamp_bonus)</f>
        <v>2.8000000000000003</v>
      </c>
      <c r="DM24" s="482">
        <f t="shared" si="31"/>
        <v>0</v>
      </c>
      <c r="DN24" s="483">
        <f t="shared" ca="1" si="32"/>
        <v>2.8000000000000003</v>
      </c>
      <c r="DO24" s="483">
        <f t="shared" ca="1" si="33"/>
        <v>2.8000000000000003</v>
      </c>
      <c r="DP24" s="483">
        <f t="shared" si="34"/>
        <v>1</v>
      </c>
      <c r="DQ24" s="482">
        <f t="shared" si="35"/>
        <v>0</v>
      </c>
      <c r="DR24" s="483">
        <f t="shared" si="36"/>
        <v>0</v>
      </c>
      <c r="DS24" s="482">
        <f t="shared" si="37"/>
        <v>0</v>
      </c>
      <c r="DT24" s="483">
        <f t="shared" si="59"/>
        <v>0</v>
      </c>
      <c r="DX24" s="487">
        <f ca="1">MIN(6,CV24+Races!$F$19)*1.8 +  IF(CV24+Races!$F$19&gt;6,(CV24+Races!$F$19-6)*0.2,0) - Races!$N$19</f>
        <v>2.5200000000000005</v>
      </c>
      <c r="DY24" s="488">
        <f ca="1">1.8 * MIN(MAX(CW24+Races!$E$20,CX24+Races!$F$20),6)  +  0.45 * MIN(MIN(CW24+Races!$E$20,CX24+Races!$F$20),6)  +  0.2 * ( MAX(CW24+Races!$E$20-6,0) + MAX(CX24+Races!$F$20-6,0) )  -  Races!$N$20</f>
        <v>3.1500000000000012</v>
      </c>
      <c r="DZ24" s="57">
        <f t="shared" ca="1" si="38"/>
        <v>0</v>
      </c>
      <c r="EA24" s="666">
        <f ca="1">MIN(6,CY24+Races!$F$35)*1.8 +  IF(CY24+Races!$F$35&gt;6,(CY24+Races!$F$35-6)*0.2,0) - Races!$N$19</f>
        <v>0.72000000000000064</v>
      </c>
      <c r="EB24" s="57">
        <f t="shared" ca="1" si="39"/>
        <v>0</v>
      </c>
      <c r="EC24" s="666">
        <f ca="1">1.8 * MIN(MAX(Races!$E$27,DB24+Races!$F$27),6)  +  0.45 * MIN(MIN(Races!$E$27,DB24+Races!$F$27),6)  +  0.2 * ( MAX(Races!$E$27-6,0) + MAX(DB24+Races!$F$27-6,0) )  -  Races!$N$20</f>
        <v>4.7700000000000005</v>
      </c>
      <c r="ED24" s="57">
        <f t="shared" ca="1" si="40"/>
        <v>0</v>
      </c>
      <c r="EE24" s="666">
        <f>1.8 * MIN(MAX(DC24+Races!$E$47,DD24+Races!$F$47),6)  +  0.45 * MIN(MIN(DC24+Races!$E$47,DD24+Races!$F$47),6)  +  0.2 * ( MAX(DC24+Races!$E$47-6,0) + MAX(DD24+Races!$F$47-6,0) )  -  Races!$N$47</f>
        <v>0</v>
      </c>
      <c r="EF24" s="57">
        <f t="shared" si="41"/>
        <v>0</v>
      </c>
      <c r="EG24" s="666">
        <f ca="1">1.8 * MIN(MAX(DG24+Races!$F$71,Races!$E$71),6)  +  0.45 * MIN(MIN(DG24+Races!$F$71,Races!$E$71),6)  +  0.2 * ( MAX(DG24+Races!$F$71-6,0) + MAX(Races!$E$71-6,0) )  -  Races!$N$71</f>
        <v>2.5200000000000014</v>
      </c>
      <c r="EH24" s="666">
        <f>1.8 * MIN(MAX(DH24+Races!$E$71,Races!$F$71),6)  +  0.45 * MIN(MIN(DH24+Races!$E$71,Races!$F$71),6)  +  0.2 * ( MAX(DH24+Races!$E$71-6,0) + MAX(Races!$F$71-6,0) )  -  Races!$N$71</f>
        <v>0</v>
      </c>
      <c r="EI24" s="57">
        <f t="shared" ca="1" si="42"/>
        <v>0</v>
      </c>
      <c r="EJ24" s="57"/>
      <c r="EK24" s="57"/>
      <c r="EL24" s="57"/>
      <c r="EM24" s="57">
        <f ca="1">Overview!$L$22*E24+Overview!$L$23*F24+Overview!$L$24*G24+Overview!$L$25*H24+Overview!$L$26*I24+Overview!$L$27*J24+Overview!$L$28*K24+Construction!E24*20+Construction!B24*5 + DZ24*$DV$4+EB24*$DV$5+ED24*$DV$6+EF24*$DV$7+EI24*$DV$9</f>
        <v>21900</v>
      </c>
      <c r="EO24" s="738">
        <f>(J24+2*K24)/Construction!E24</f>
        <v>0</v>
      </c>
      <c r="EP24" s="734">
        <f ca="1">EO24*(1+race_wizard_strength+tech_magical_weaponry_wiz*Techs!AV96)</f>
        <v>0</v>
      </c>
      <c r="EQ24" s="16">
        <f>(I24+halfer*H24/3)/Construction!E24</f>
        <v>0</v>
      </c>
    </row>
    <row r="25" spans="1:147" s="16" customFormat="1">
      <c r="A25" s="629">
        <f>Rezone!J25</f>
        <v>23</v>
      </c>
      <c r="B25" s="56">
        <f ca="1">SUM(E25:K25)+SUM(AF17:AG25)+SUM(AH14:AL25)+Z25+Explore!AL25</f>
        <v>5295</v>
      </c>
      <c r="C25" s="97">
        <f ca="1">Population!G25</f>
        <v>0.57305194805194803</v>
      </c>
      <c r="E25" s="52">
        <f t="shared" si="64"/>
        <v>0</v>
      </c>
      <c r="F25" s="16">
        <f t="shared" si="65"/>
        <v>0</v>
      </c>
      <c r="G25" s="16">
        <f t="shared" si="66"/>
        <v>0</v>
      </c>
      <c r="H25" s="16">
        <f t="shared" si="67"/>
        <v>0</v>
      </c>
      <c r="I25" s="16">
        <f t="shared" si="68"/>
        <v>0</v>
      </c>
      <c r="J25" s="16">
        <f t="shared" si="69"/>
        <v>0</v>
      </c>
      <c r="K25" s="53">
        <f t="shared" si="70"/>
        <v>0</v>
      </c>
      <c r="M25" s="64">
        <f ca="1">Production!G25</f>
        <v>21900</v>
      </c>
      <c r="O25" s="234">
        <f t="shared" ca="1" si="0"/>
        <v>0</v>
      </c>
      <c r="P25" s="455">
        <f ca="1">race_offense+Imps!AB25+ROUND(MIN(gn_bonus*Construction!BF25/Construction!$E25,gn_bonus_cap),4)+MAX(IF(Magic!$AN25&gt;0,warsong_bonus),IF(Magic!AP25&gt;0,howling_op_bonus),IF(Magic!AS25&gt;0,nightfall_bonus),IF(Magic!AT25&gt;0,crusade_bonus),IF(Magic!AU25&gt;0,killingrage_bonus),IF(Magic!AV25&gt;0,bloodrage_bonus)) + Production!O25/100*prestige_offense_bonus + MAX(tech_military_offense*Techs!AH25,tech_magical_weaponry_op*Techs!AV25)</f>
        <v>0.05</v>
      </c>
      <c r="Q25" s="235">
        <f t="shared" ca="1" si="46"/>
        <v>0</v>
      </c>
      <c r="R25" s="234">
        <f ca="1">F25*(spec_dp+spirit*DR25)+G25*(elite1_dp+woodie*CV25+sylvan*CY25+gnome*DB25+dark_elf*DD25+icekin*DG25+orc*DJ25+nox*DL25+beast*DN25+sacred*DP25+spirit*DS25+blackorc*DK25)+H25*(elite2_dp+woodie*CX25+beast*DO25+sacred*DQ25) + fh_peas_dp*MIN(Population!C25,20*Construction!BD25)+kobold*DE25</f>
        <v>0</v>
      </c>
      <c r="S25" s="235">
        <f t="shared" ca="1" si="1"/>
        <v>3695</v>
      </c>
      <c r="T25" s="1052">
        <f ca="1">race_defense+Imps!AC25+ROUND(MIN(gt_bonus*Construction!BH25/Construction!$E25,gt_bonus_cap),4)+MAX(IF(Magic!AM25&gt;0,frenzy_bonus,IF(Magic!AQ25&gt;0,blizzard_bonus,IF(Magic!AP25&gt;0,howling_dp_bonus,IF(Magic!AI25&gt;0,ares_call_bonus)))),IF(Magic!AX25&gt;0,MIN(Construction!DF25/Construction!E25,0.2),0))</f>
        <v>0</v>
      </c>
      <c r="U25" s="1046">
        <f t="shared" ca="1" si="47"/>
        <v>0</v>
      </c>
      <c r="V25" s="308">
        <f t="shared" ca="1" si="48"/>
        <v>3695</v>
      </c>
      <c r="W25" s="310">
        <f>Construction!E25</f>
        <v>1000</v>
      </c>
      <c r="X25" s="367"/>
      <c r="Y25" s="146">
        <f t="shared" si="74"/>
        <v>0.4</v>
      </c>
      <c r="Z25" s="166">
        <f ca="1">Z24+Population!Z24 - IF(race="Lux",AF25,SUM(AF25:AK25)) - BE25 + SUM(BF25:BL25) - Explore!AI25</f>
        <v>3695</v>
      </c>
      <c r="AA25" s="164"/>
      <c r="AB25" s="91">
        <f>(Construction!$BA25+Construction!BY25)/(Construction!$E25-Explore!S25*20)</f>
        <v>0.2</v>
      </c>
      <c r="AC25" s="529"/>
      <c r="AD25" s="799">
        <f>Rezone!J25</f>
        <v>23</v>
      </c>
      <c r="AE25" s="589">
        <f>Explore!AA25</f>
        <v>43692.916666666613</v>
      </c>
      <c r="AF25" s="356"/>
      <c r="AG25" s="348"/>
      <c r="AH25" s="348"/>
      <c r="AI25" s="348"/>
      <c r="AJ25" s="348"/>
      <c r="AK25" s="348"/>
      <c r="AL25" s="357"/>
      <c r="AN25" s="56">
        <f ca="1">Production!$H25</f>
        <v>3181833</v>
      </c>
      <c r="AO25" s="26">
        <f ca="1">Production!$L25</f>
        <v>231000</v>
      </c>
      <c r="AP25" s="26">
        <f ca="1">Production!J25</f>
        <v>292006</v>
      </c>
      <c r="AQ25" s="26">
        <f ca="1">Production!M25</f>
        <v>20000</v>
      </c>
      <c r="AR25" s="26">
        <f ca="1">Production!K25</f>
        <v>35251</v>
      </c>
      <c r="AS25" s="26">
        <f ca="1">Production!I25</f>
        <v>122329</v>
      </c>
      <c r="AT25" s="26">
        <f ca="1">Production!N25</f>
        <v>200</v>
      </c>
      <c r="AU25" s="152">
        <f t="shared" ca="1" si="2"/>
        <v>0</v>
      </c>
      <c r="AV25" s="164">
        <f t="shared" ca="1" si="3"/>
        <v>0</v>
      </c>
      <c r="AW25" s="164">
        <f t="shared" ca="1" si="50"/>
        <v>0</v>
      </c>
      <c r="AX25" s="164">
        <f t="shared" ca="1" si="51"/>
        <v>0</v>
      </c>
      <c r="AY25" s="164">
        <f t="shared" ca="1" si="52"/>
        <v>0</v>
      </c>
      <c r="AZ25" s="164">
        <f t="shared" ca="1" si="53"/>
        <v>0</v>
      </c>
      <c r="BA25" s="166">
        <f t="shared" ca="1" si="54"/>
        <v>0</v>
      </c>
      <c r="BB25" s="16">
        <v>23</v>
      </c>
      <c r="BC25" s="574">
        <f t="shared" si="71"/>
        <v>43692.916666666613</v>
      </c>
      <c r="BD25" s="148">
        <f t="shared" ca="1" si="72"/>
        <v>3695</v>
      </c>
      <c r="BE25" s="356"/>
      <c r="BF25" s="348"/>
      <c r="BG25" s="348"/>
      <c r="BH25" s="348"/>
      <c r="BI25" s="348"/>
      <c r="BJ25" s="348"/>
      <c r="BK25" s="348"/>
      <c r="BL25" s="357"/>
      <c r="BN25" s="503">
        <f>Construction!BM25/Construction!E25</f>
        <v>0</v>
      </c>
      <c r="BO25" s="171">
        <f>Construction!BD25/Construction!E25</f>
        <v>0</v>
      </c>
      <c r="BP25" s="152">
        <f>ROUNDUP((1-MIN(AB25*smithy_bonus,smithy_bonus_cap))*(1+Techs!AO25*tech_master_of_frugality)*spec_op_plat,0)</f>
        <v>165</v>
      </c>
      <c r="BQ25" s="164">
        <f>ROUNDUP(IF(race="Gnome",1,(1-MIN(AB25*smithy_bonus,smithy_bonus_cap))*(1+Techs!AO25*tech_master_of_frugality))*spec_op_ore,0)</f>
        <v>15</v>
      </c>
      <c r="BR25" s="164">
        <f t="shared" si="6"/>
        <v>0</v>
      </c>
      <c r="BS25" s="164">
        <f t="shared" si="7"/>
        <v>0</v>
      </c>
      <c r="BT25" s="164">
        <f ca="1">ROUNDUP((1-MIN(AB25*smithy_bonus,smithy_bonus_cap))*(1+Techs!AO25*tech_master_of_frugality)*spec_dp_plat,0)</f>
        <v>165</v>
      </c>
      <c r="BU25" s="164">
        <f ca="1">ROUNDUP(IF(OR(race="Gnome",race="Imperial Gnome"),1,(1-MIN(AB25*smithy_bonus,smithy_bonus_cap))*(1+Techs!AO25*tech_master_of_frugality))*spec_dp_ore,0)</f>
        <v>6</v>
      </c>
      <c r="BV25" s="164">
        <f t="shared" ca="1" si="8"/>
        <v>0</v>
      </c>
      <c r="BW25" s="164">
        <f t="shared" ca="1" si="9"/>
        <v>0</v>
      </c>
      <c r="BX25" s="164">
        <f t="shared" ca="1" si="10"/>
        <v>0</v>
      </c>
      <c r="BY25" s="164">
        <f ca="1">ROUNDUP((1-MIN(AB25*smithy_bonus,smithy_bonus_cap))*(1+Techs!AO25*tech_master_of_frugality)*elite1_plat,0)</f>
        <v>600</v>
      </c>
      <c r="BZ25" s="164">
        <f ca="1">ROUNDUP(IF(race="Gnome",1,(1-MIN(AB25*smithy_bonus,smithy_bonus_cap))*(1+Techs!AO25*tech_master_of_frugality))*elite1_ore,0)</f>
        <v>45</v>
      </c>
      <c r="CA25" s="164">
        <f t="shared" ca="1" si="11"/>
        <v>0</v>
      </c>
      <c r="CB25" s="164">
        <f t="shared" ca="1" si="12"/>
        <v>0</v>
      </c>
      <c r="CC25" s="164">
        <f t="shared" ca="1" si="13"/>
        <v>0</v>
      </c>
      <c r="CD25" s="164">
        <f t="shared" ca="1" si="14"/>
        <v>0</v>
      </c>
      <c r="CE25" s="164">
        <f t="shared" ca="1" si="15"/>
        <v>0</v>
      </c>
      <c r="CF25" s="164">
        <f ca="1">ROUNDUP((1-MIN(AB25*smithy_bonus,smithy_bonus_cap))*(1+Techs!AO25*tech_master_of_frugality)*elite2_plat,0)</f>
        <v>750</v>
      </c>
      <c r="CG25" s="164">
        <f ca="1">ROUNDUP(IF(race="Gnome",1,(1-MIN(AB25*smithy_bonus,smithy_bonus_cap))*(1+Techs!AO25*tech_master_of_frugality))*elite2_ore,0)</f>
        <v>60</v>
      </c>
      <c r="CH25" s="164">
        <f t="shared" ca="1" si="16"/>
        <v>0</v>
      </c>
      <c r="CI25" s="164">
        <f t="shared" ca="1" si="17"/>
        <v>0</v>
      </c>
      <c r="CJ25" s="164">
        <f t="shared" ca="1" si="18"/>
        <v>0</v>
      </c>
      <c r="CK25" s="164">
        <f t="shared" ca="1" si="19"/>
        <v>0</v>
      </c>
      <c r="CL25" s="164">
        <f t="shared" ca="1" si="20"/>
        <v>0</v>
      </c>
      <c r="CM25" s="164">
        <f>ROUNDUP((1+tech_spy_cost*Techs!AJ25)*spy_plat,0)</f>
        <v>500</v>
      </c>
      <c r="CN25" s="164">
        <f>ROUNDUP((1+tech_wizard_cost*Techs!AM25-MIN(ROUND(wg_wiz_cost_bonus*BN25,4),wg_wiz_cost_cap))*wizard_plat,0)</f>
        <v>500</v>
      </c>
      <c r="CO25" s="166">
        <f>ROUNDUP((1+tech_wizard_cost*Techs!AM25-MIN(ROUND(wg_wiz_cost_bonus*BN25,4),wg_wiz_cost_cap))*archmage_plat,0)</f>
        <v>1000</v>
      </c>
      <c r="CQ25" s="465">
        <f ca="1">Construction!DF25/Construction!E25</f>
        <v>0.28000000000000003</v>
      </c>
      <c r="CR25" s="466">
        <f t="shared" si="73"/>
        <v>0</v>
      </c>
      <c r="CS25" s="466">
        <f>Construction!BK25/Construction!E25</f>
        <v>0.05</v>
      </c>
      <c r="CT25" s="466">
        <f>Construction!BJ25/Construction!E25</f>
        <v>0</v>
      </c>
      <c r="CU25" s="466">
        <f>Construction!AY25/Construction!E25</f>
        <v>0</v>
      </c>
      <c r="CV25" s="481">
        <f t="shared" ca="1" si="22"/>
        <v>1.4000000000000001</v>
      </c>
      <c r="CW25" s="482">
        <f t="shared" ca="1" si="23"/>
        <v>1.4000000000000001</v>
      </c>
      <c r="CX25" s="482">
        <f t="shared" ca="1" si="24"/>
        <v>1.4000000000000001</v>
      </c>
      <c r="CY25" s="483">
        <f t="shared" ca="1" si="25"/>
        <v>1.4000000000000001</v>
      </c>
      <c r="CZ25" s="483">
        <f t="shared" si="26"/>
        <v>0</v>
      </c>
      <c r="DA25" s="483">
        <f t="shared" ca="1" si="27"/>
        <v>3</v>
      </c>
      <c r="DB25" s="483">
        <f t="shared" ca="1" si="28"/>
        <v>1.4000000000000001</v>
      </c>
      <c r="DC25" s="482">
        <f t="shared" si="29"/>
        <v>0</v>
      </c>
      <c r="DD25" s="847">
        <f t="shared" si="55"/>
        <v>0</v>
      </c>
      <c r="DE25" s="440">
        <f t="shared" si="56"/>
        <v>0</v>
      </c>
      <c r="DF25" s="440">
        <f t="shared" si="57"/>
        <v>0</v>
      </c>
      <c r="DG25" s="481">
        <f t="shared" ca="1" si="30"/>
        <v>1.4000000000000001</v>
      </c>
      <c r="DH25" s="450">
        <f t="shared" si="58"/>
        <v>0</v>
      </c>
      <c r="DI25" s="450">
        <f>MIN(valkyrja_cap,Production!O25/valkyrja_bonus)</f>
        <v>1</v>
      </c>
      <c r="DJ25" s="847">
        <f>MIN(voodoo_magi_cap,Production!O25/voodoo_magi_bonus)</f>
        <v>0.83333333333333337</v>
      </c>
      <c r="DK25" s="847">
        <f>MIN(warlock_cap,Production!O25/warlock_bonus)</f>
        <v>1.25</v>
      </c>
      <c r="DL25" s="847">
        <f ca="1">MIN(nox_nightshade_cap,Construction!DF25/Construction!E25/nox_nightshade_swamp_bonus)</f>
        <v>2.8000000000000003</v>
      </c>
      <c r="DM25" s="482">
        <f t="shared" si="31"/>
        <v>0</v>
      </c>
      <c r="DN25" s="483">
        <f t="shared" ca="1" si="32"/>
        <v>2.8000000000000003</v>
      </c>
      <c r="DO25" s="483">
        <f t="shared" ca="1" si="33"/>
        <v>2.8000000000000003</v>
      </c>
      <c r="DP25" s="483">
        <f t="shared" si="34"/>
        <v>1</v>
      </c>
      <c r="DQ25" s="482">
        <f t="shared" si="35"/>
        <v>0</v>
      </c>
      <c r="DR25" s="483">
        <f t="shared" si="36"/>
        <v>0</v>
      </c>
      <c r="DS25" s="482">
        <f t="shared" si="37"/>
        <v>0</v>
      </c>
      <c r="DT25" s="483">
        <f t="shared" si="59"/>
        <v>0</v>
      </c>
      <c r="DX25" s="487">
        <f ca="1">MIN(6,CV25+Races!$F$19)*1.8 +  IF(CV25+Races!$F$19&gt;6,(CV25+Races!$F$19-6)*0.2,0) - Races!$N$19</f>
        <v>2.5200000000000005</v>
      </c>
      <c r="DY25" s="488">
        <f ca="1">1.8 * MIN(MAX(CW25+Races!$E$20,CX25+Races!$F$20),6)  +  0.45 * MIN(MIN(CW25+Races!$E$20,CX25+Races!$F$20),6)  +  0.2 * ( MAX(CW25+Races!$E$20-6,0) + MAX(CX25+Races!$F$20-6,0) )  -  Races!$N$20</f>
        <v>3.1500000000000012</v>
      </c>
      <c r="DZ25" s="57">
        <f t="shared" ca="1" si="38"/>
        <v>0</v>
      </c>
      <c r="EA25" s="666">
        <f ca="1">MIN(6,CY25+Races!$F$35)*1.8 +  IF(CY25+Races!$F$35&gt;6,(CY25+Races!$F$35-6)*0.2,0) - Races!$N$19</f>
        <v>0.72000000000000064</v>
      </c>
      <c r="EB25" s="57">
        <f t="shared" ca="1" si="39"/>
        <v>0</v>
      </c>
      <c r="EC25" s="666">
        <f ca="1">1.8 * MIN(MAX(Races!$E$27,DB25+Races!$F$27),6)  +  0.45 * MIN(MIN(Races!$E$27,DB25+Races!$F$27),6)  +  0.2 * ( MAX(Races!$E$27-6,0) + MAX(DB25+Races!$F$27-6,0) )  -  Races!$N$20</f>
        <v>4.7700000000000005</v>
      </c>
      <c r="ED25" s="57">
        <f t="shared" ca="1" si="40"/>
        <v>0</v>
      </c>
      <c r="EE25" s="666">
        <f>1.8 * MIN(MAX(DC25+Races!$E$47,DD25+Races!$F$47),6)  +  0.45 * MIN(MIN(DC25+Races!$E$47,DD25+Races!$F$47),6)  +  0.2 * ( MAX(DC25+Races!$E$47-6,0) + MAX(DD25+Races!$F$47-6,0) )  -  Races!$N$47</f>
        <v>0</v>
      </c>
      <c r="EF25" s="57">
        <f t="shared" si="41"/>
        <v>0</v>
      </c>
      <c r="EG25" s="666">
        <f ca="1">1.8 * MIN(MAX(DG25+Races!$F$71,Races!$E$71),6)  +  0.45 * MIN(MIN(DG25+Races!$F$71,Races!$E$71),6)  +  0.2 * ( MAX(DG25+Races!$F$71-6,0) + MAX(Races!$E$71-6,0) )  -  Races!$N$71</f>
        <v>2.5200000000000014</v>
      </c>
      <c r="EH25" s="666">
        <f>1.8 * MIN(MAX(DH25+Races!$E$71,Races!$F$71),6)  +  0.45 * MIN(MIN(DH25+Races!$E$71,Races!$F$71),6)  +  0.2 * ( MAX(DH25+Races!$E$71-6,0) + MAX(Races!$F$71-6,0) )  -  Races!$N$71</f>
        <v>0</v>
      </c>
      <c r="EI25" s="57">
        <f t="shared" ca="1" si="42"/>
        <v>0</v>
      </c>
      <c r="EJ25" s="57"/>
      <c r="EK25" s="57"/>
      <c r="EL25" s="57"/>
      <c r="EM25" s="57">
        <f ca="1">Overview!$L$22*E25+Overview!$L$23*F25+Overview!$L$24*G25+Overview!$L$25*H25+Overview!$L$26*I25+Overview!$L$27*J25+Overview!$L$28*K25+Construction!E25*20+Construction!B25*5 + DZ25*$DV$4+EB25*$DV$5+ED25*$DV$6+EF25*$DV$7+EI25*$DV$9</f>
        <v>21900</v>
      </c>
      <c r="EO25" s="738">
        <f>(J25+2*K25)/Construction!E25</f>
        <v>0</v>
      </c>
      <c r="EP25" s="734">
        <f ca="1">EO25*(1+race_wizard_strength+tech_magical_weaponry_wiz*Techs!AV97)</f>
        <v>0</v>
      </c>
      <c r="EQ25" s="16">
        <f>(I25+halfer*H25/3)/Construction!E25</f>
        <v>0</v>
      </c>
    </row>
    <row r="26" spans="1:147" s="170" customFormat="1" ht="13.5" thickBot="1">
      <c r="A26" s="629">
        <f>Rezone!J26</f>
        <v>24</v>
      </c>
      <c r="B26" s="152">
        <f ca="1">SUM(E26:K26)+SUM(AF18:AG26)+SUM(AH15:AL26)+Z26+Explore!AL26</f>
        <v>5295</v>
      </c>
      <c r="C26" s="171">
        <f ca="1">Population!G26</f>
        <v>0.57305194805194803</v>
      </c>
      <c r="E26" s="156">
        <f t="shared" si="64"/>
        <v>0</v>
      </c>
      <c r="F26" s="170">
        <f t="shared" si="65"/>
        <v>0</v>
      </c>
      <c r="G26" s="170">
        <f t="shared" si="66"/>
        <v>0</v>
      </c>
      <c r="H26" s="170">
        <f t="shared" si="67"/>
        <v>0</v>
      </c>
      <c r="I26" s="170">
        <f t="shared" si="68"/>
        <v>0</v>
      </c>
      <c r="J26" s="170">
        <f t="shared" si="69"/>
        <v>0</v>
      </c>
      <c r="K26" s="157">
        <f t="shared" si="70"/>
        <v>0</v>
      </c>
      <c r="M26" s="160">
        <f ca="1">Production!G26</f>
        <v>21900</v>
      </c>
      <c r="O26" s="234">
        <f t="shared" ca="1" si="0"/>
        <v>0</v>
      </c>
      <c r="P26" s="455">
        <f ca="1">race_offense+Imps!AB26+ROUND(MIN(gn_bonus*Construction!BF26/Construction!$E26,gn_bonus_cap),4)+MAX(IF(Magic!$AN26&gt;0,warsong_bonus),IF(Magic!AP26&gt;0,howling_op_bonus),IF(Magic!AS26&gt;0,nightfall_bonus),IF(Magic!AT26&gt;0,crusade_bonus),IF(Magic!AU26&gt;0,killingrage_bonus),IF(Magic!AV26&gt;0,bloodrage_bonus)) + Production!O26/100*prestige_offense_bonus + MAX(tech_military_offense*Techs!AH26,tech_magical_weaponry_op*Techs!AV26)</f>
        <v>0.05</v>
      </c>
      <c r="Q26" s="235">
        <f t="shared" ca="1" si="46"/>
        <v>0</v>
      </c>
      <c r="R26" s="234">
        <f ca="1">F26*(spec_dp+spirit*DR26)+G26*(elite1_dp+woodie*CV26+sylvan*CY26+gnome*DB26+dark_elf*DD26+icekin*DG26+orc*DJ26+nox*DL26+beast*DN26+sacred*DP26+spirit*DS26+blackorc*DK26)+H26*(elite2_dp+woodie*CX26+beast*DO26+sacred*DQ26) + fh_peas_dp*MIN(Population!C26,20*Construction!BD26)+kobold*DE26</f>
        <v>0</v>
      </c>
      <c r="S26" s="235">
        <f t="shared" ca="1" si="1"/>
        <v>3695</v>
      </c>
      <c r="T26" s="1052">
        <f ca="1">race_defense+Imps!AC26+ROUND(MIN(gt_bonus*Construction!BH26/Construction!$E26,gt_bonus_cap),4)+MAX(IF(Magic!AM26&gt;0,frenzy_bonus,IF(Magic!AQ26&gt;0,blizzard_bonus,IF(Magic!AP26&gt;0,howling_dp_bonus,IF(Magic!AI26&gt;0,ares_call_bonus)))),IF(Magic!AX26&gt;0,MIN(Construction!DF26/Construction!E26,0.2),0))</f>
        <v>0</v>
      </c>
      <c r="U26" s="1046">
        <f t="shared" ca="1" si="47"/>
        <v>0</v>
      </c>
      <c r="V26" s="308">
        <f t="shared" ca="1" si="48"/>
        <v>3695</v>
      </c>
      <c r="W26" s="308">
        <f>Construction!E26</f>
        <v>1000</v>
      </c>
      <c r="X26" s="364"/>
      <c r="Y26" s="232">
        <f t="shared" si="74"/>
        <v>0.4</v>
      </c>
      <c r="Z26" s="166">
        <f ca="1">Z25+Population!Z25 - IF(race="Lux",AF26,SUM(AF26:AK26)) - BE26 + SUM(BF26:BL26) - Explore!AI26</f>
        <v>3695</v>
      </c>
      <c r="AA26" s="164"/>
      <c r="AB26" s="251">
        <f>(Construction!$BA26+Construction!BY26)/(Construction!$E26-Explore!S26*20)</f>
        <v>0.2</v>
      </c>
      <c r="AC26" s="629"/>
      <c r="AD26" s="798">
        <f>Rezone!J26</f>
        <v>24</v>
      </c>
      <c r="AE26" s="589">
        <f>Explore!AA26</f>
        <v>43692.958333333278</v>
      </c>
      <c r="AF26" s="352"/>
      <c r="AG26" s="345"/>
      <c r="AH26" s="345"/>
      <c r="AI26" s="345"/>
      <c r="AJ26" s="345"/>
      <c r="AK26" s="345"/>
      <c r="AL26" s="353"/>
      <c r="AN26" s="152">
        <f ca="1">Production!$H26</f>
        <v>3192484</v>
      </c>
      <c r="AO26" s="164">
        <f ca="1">Production!$L26</f>
        <v>231000</v>
      </c>
      <c r="AP26" s="164">
        <f ca="1">Production!J26</f>
        <v>291586</v>
      </c>
      <c r="AQ26" s="164">
        <f ca="1">Production!M26</f>
        <v>20000</v>
      </c>
      <c r="AR26" s="164">
        <f ca="1">Production!K26</f>
        <v>35796</v>
      </c>
      <c r="AS26" s="164">
        <f ca="1">Production!I26</f>
        <v>125836</v>
      </c>
      <c r="AT26" s="164">
        <f ca="1">Production!N26</f>
        <v>200</v>
      </c>
      <c r="AU26" s="152">
        <f t="shared" ca="1" si="2"/>
        <v>0</v>
      </c>
      <c r="AV26" s="164">
        <f t="shared" ca="1" si="3"/>
        <v>0</v>
      </c>
      <c r="AW26" s="164">
        <f t="shared" ca="1" si="50"/>
        <v>0</v>
      </c>
      <c r="AX26" s="164">
        <f t="shared" ca="1" si="51"/>
        <v>0</v>
      </c>
      <c r="AY26" s="164">
        <f t="shared" ca="1" si="52"/>
        <v>0</v>
      </c>
      <c r="AZ26" s="164">
        <f t="shared" ca="1" si="53"/>
        <v>0</v>
      </c>
      <c r="BA26" s="166">
        <f t="shared" ca="1" si="54"/>
        <v>0</v>
      </c>
      <c r="BB26" s="170">
        <v>24</v>
      </c>
      <c r="BC26" s="532">
        <f t="shared" si="71"/>
        <v>43692.958333333278</v>
      </c>
      <c r="BD26" s="233">
        <f t="shared" ca="1" si="72"/>
        <v>3695</v>
      </c>
      <c r="BE26" s="352"/>
      <c r="BF26" s="345"/>
      <c r="BG26" s="345"/>
      <c r="BH26" s="345"/>
      <c r="BI26" s="345"/>
      <c r="BJ26" s="345"/>
      <c r="BK26" s="345"/>
      <c r="BL26" s="353"/>
      <c r="BN26" s="503">
        <f>Construction!BM26/Construction!E26</f>
        <v>0</v>
      </c>
      <c r="BO26" s="171">
        <f>Construction!BD26/Construction!E26</f>
        <v>0</v>
      </c>
      <c r="BP26" s="152">
        <f>ROUNDUP((1-MIN(AB26*smithy_bonus,smithy_bonus_cap))*(1+Techs!AO26*tech_master_of_frugality)*spec_op_plat,0)</f>
        <v>165</v>
      </c>
      <c r="BQ26" s="164">
        <f>ROUNDUP(IF(race="Gnome",1,(1-MIN(AB26*smithy_bonus,smithy_bonus_cap))*(1+Techs!AO26*tech_master_of_frugality))*spec_op_ore,0)</f>
        <v>15</v>
      </c>
      <c r="BR26" s="164">
        <f t="shared" si="6"/>
        <v>0</v>
      </c>
      <c r="BS26" s="164">
        <f t="shared" si="7"/>
        <v>0</v>
      </c>
      <c r="BT26" s="164">
        <f ca="1">ROUNDUP((1-MIN(AB26*smithy_bonus,smithy_bonus_cap))*(1+Techs!AO26*tech_master_of_frugality)*spec_dp_plat,0)</f>
        <v>165</v>
      </c>
      <c r="BU26" s="164">
        <f ca="1">ROUNDUP(IF(OR(race="Gnome",race="Imperial Gnome"),1,(1-MIN(AB26*smithy_bonus,smithy_bonus_cap))*(1+Techs!AO26*tech_master_of_frugality))*spec_dp_ore,0)</f>
        <v>6</v>
      </c>
      <c r="BV26" s="164">
        <f t="shared" ca="1" si="8"/>
        <v>0</v>
      </c>
      <c r="BW26" s="164">
        <f t="shared" ca="1" si="9"/>
        <v>0</v>
      </c>
      <c r="BX26" s="164">
        <f t="shared" ca="1" si="10"/>
        <v>0</v>
      </c>
      <c r="BY26" s="164">
        <f ca="1">ROUNDUP((1-MIN(AB26*smithy_bonus,smithy_bonus_cap))*(1+Techs!AO26*tech_master_of_frugality)*elite1_plat,0)</f>
        <v>600</v>
      </c>
      <c r="BZ26" s="164">
        <f ca="1">ROUNDUP(IF(race="Gnome",1,(1-MIN(AB26*smithy_bonus,smithy_bonus_cap))*(1+Techs!AO26*tech_master_of_frugality))*elite1_ore,0)</f>
        <v>45</v>
      </c>
      <c r="CA26" s="164">
        <f t="shared" ca="1" si="11"/>
        <v>0</v>
      </c>
      <c r="CB26" s="164">
        <f t="shared" ca="1" si="12"/>
        <v>0</v>
      </c>
      <c r="CC26" s="164">
        <f t="shared" ca="1" si="13"/>
        <v>0</v>
      </c>
      <c r="CD26" s="164">
        <f t="shared" ca="1" si="14"/>
        <v>0</v>
      </c>
      <c r="CE26" s="164">
        <f t="shared" ca="1" si="15"/>
        <v>0</v>
      </c>
      <c r="CF26" s="164">
        <f ca="1">ROUNDUP((1-MIN(AB26*smithy_bonus,smithy_bonus_cap))*(1+Techs!AO26*tech_master_of_frugality)*elite2_plat,0)</f>
        <v>750</v>
      </c>
      <c r="CG26" s="164">
        <f ca="1">ROUNDUP(IF(race="Gnome",1,(1-MIN(AB26*smithy_bonus,smithy_bonus_cap))*(1+Techs!AO26*tech_master_of_frugality))*elite2_ore,0)</f>
        <v>60</v>
      </c>
      <c r="CH26" s="164">
        <f t="shared" ca="1" si="16"/>
        <v>0</v>
      </c>
      <c r="CI26" s="164">
        <f t="shared" ca="1" si="17"/>
        <v>0</v>
      </c>
      <c r="CJ26" s="164">
        <f t="shared" ca="1" si="18"/>
        <v>0</v>
      </c>
      <c r="CK26" s="164">
        <f t="shared" ca="1" si="19"/>
        <v>0</v>
      </c>
      <c r="CL26" s="164">
        <f t="shared" ca="1" si="20"/>
        <v>0</v>
      </c>
      <c r="CM26" s="164">
        <f>ROUNDUP((1+tech_spy_cost*Techs!AJ26)*spy_plat,0)</f>
        <v>500</v>
      </c>
      <c r="CN26" s="164">
        <f>ROUNDUP((1+tech_wizard_cost*Techs!AM26-MIN(ROUND(wg_wiz_cost_bonus*BN26,4),wg_wiz_cost_cap))*wizard_plat,0)</f>
        <v>500</v>
      </c>
      <c r="CO26" s="166">
        <f>ROUNDUP((1+tech_wizard_cost*Techs!AM26-MIN(ROUND(wg_wiz_cost_bonus*BN26,4),wg_wiz_cost_cap))*archmage_plat,0)</f>
        <v>1000</v>
      </c>
      <c r="CQ26" s="461">
        <f ca="1">Construction!DF26/Construction!E26</f>
        <v>0.28000000000000003</v>
      </c>
      <c r="CR26" s="462">
        <f t="shared" si="73"/>
        <v>0</v>
      </c>
      <c r="CS26" s="462">
        <f>Construction!BK26/Construction!E26</f>
        <v>0.05</v>
      </c>
      <c r="CT26" s="462">
        <f>Construction!BJ26/Construction!E26</f>
        <v>0</v>
      </c>
      <c r="CU26" s="462">
        <f>Construction!AY26/Construction!E26</f>
        <v>0</v>
      </c>
      <c r="CV26" s="481">
        <f t="shared" ca="1" si="22"/>
        <v>1.4000000000000001</v>
      </c>
      <c r="CW26" s="482">
        <f t="shared" ca="1" si="23"/>
        <v>1.4000000000000001</v>
      </c>
      <c r="CX26" s="482">
        <f t="shared" ca="1" si="24"/>
        <v>1.4000000000000001</v>
      </c>
      <c r="CY26" s="483">
        <f t="shared" ca="1" si="25"/>
        <v>1.4000000000000001</v>
      </c>
      <c r="CZ26" s="483">
        <f t="shared" si="26"/>
        <v>0</v>
      </c>
      <c r="DA26" s="483">
        <f t="shared" ca="1" si="27"/>
        <v>3</v>
      </c>
      <c r="DB26" s="483">
        <f t="shared" ca="1" si="28"/>
        <v>1.4000000000000001</v>
      </c>
      <c r="DC26" s="482">
        <f t="shared" si="29"/>
        <v>0</v>
      </c>
      <c r="DD26" s="847">
        <f t="shared" si="55"/>
        <v>0</v>
      </c>
      <c r="DE26" s="440">
        <f t="shared" si="56"/>
        <v>0</v>
      </c>
      <c r="DF26" s="440">
        <f t="shared" si="57"/>
        <v>0</v>
      </c>
      <c r="DG26" s="481">
        <f t="shared" ca="1" si="30"/>
        <v>1.4000000000000001</v>
      </c>
      <c r="DH26" s="450">
        <f t="shared" si="58"/>
        <v>0</v>
      </c>
      <c r="DI26" s="450">
        <f>MIN(valkyrja_cap,Production!O26/valkyrja_bonus)</f>
        <v>1</v>
      </c>
      <c r="DJ26" s="847">
        <f>MIN(voodoo_magi_cap,Production!O26/voodoo_magi_bonus)</f>
        <v>0.83333333333333337</v>
      </c>
      <c r="DK26" s="847">
        <f>MIN(warlock_cap,Production!O26/warlock_bonus)</f>
        <v>1.25</v>
      </c>
      <c r="DL26" s="847">
        <f ca="1">MIN(nox_nightshade_cap,Construction!DF26/Construction!E26/nox_nightshade_swamp_bonus)</f>
        <v>2.8000000000000003</v>
      </c>
      <c r="DM26" s="482">
        <f t="shared" si="31"/>
        <v>0</v>
      </c>
      <c r="DN26" s="483">
        <f t="shared" ca="1" si="32"/>
        <v>2.8000000000000003</v>
      </c>
      <c r="DO26" s="483">
        <f t="shared" ca="1" si="33"/>
        <v>2.8000000000000003</v>
      </c>
      <c r="DP26" s="483">
        <f t="shared" si="34"/>
        <v>1</v>
      </c>
      <c r="DQ26" s="482">
        <f t="shared" si="35"/>
        <v>0</v>
      </c>
      <c r="DR26" s="483">
        <f t="shared" si="36"/>
        <v>0</v>
      </c>
      <c r="DS26" s="482">
        <f t="shared" si="37"/>
        <v>0</v>
      </c>
      <c r="DT26" s="483">
        <f t="shared" si="59"/>
        <v>0</v>
      </c>
      <c r="DX26" s="481">
        <f ca="1">MIN(6,CV26+Races!$F$19)*1.8 +  IF(CV26+Races!$F$19&gt;6,(CV26+Races!$F$19-6)*0.2,0) - Races!$N$19</f>
        <v>2.5200000000000005</v>
      </c>
      <c r="DY26" s="482">
        <f ca="1">1.8 * MIN(MAX(CW26+Races!$E$20,CX26+Races!$F$20),6)  +  0.45 * MIN(MIN(CW26+Races!$E$20,CX26+Races!$F$20),6)  +  0.2 * ( MAX(CW26+Races!$E$20-6,0) + MAX(CX26+Races!$F$20-6,0) )  -  Races!$N$20</f>
        <v>3.1500000000000012</v>
      </c>
      <c r="DZ26" s="166">
        <f t="shared" ca="1" si="38"/>
        <v>0</v>
      </c>
      <c r="EA26" s="665">
        <f ca="1">MIN(6,CY26+Races!$F$35)*1.8 +  IF(CY26+Races!$F$35&gt;6,(CY26+Races!$F$35-6)*0.2,0) - Races!$N$19</f>
        <v>0.72000000000000064</v>
      </c>
      <c r="EB26" s="166">
        <f t="shared" ca="1" si="39"/>
        <v>0</v>
      </c>
      <c r="EC26" s="665">
        <f ca="1">1.8 * MIN(MAX(Races!$E$27,DB26+Races!$F$27),6)  +  0.45 * MIN(MIN(Races!$E$27,DB26+Races!$F$27),6)  +  0.2 * ( MAX(Races!$E$27-6,0) + MAX(DB26+Races!$F$27-6,0) )  -  Races!$N$20</f>
        <v>4.7700000000000005</v>
      </c>
      <c r="ED26" s="166">
        <f t="shared" ca="1" si="40"/>
        <v>0</v>
      </c>
      <c r="EE26" s="665">
        <f>1.8 * MIN(MAX(DC26+Races!$E$47,DD26+Races!$F$47),6)  +  0.45 * MIN(MIN(DC26+Races!$E$47,DD26+Races!$F$47),6)  +  0.2 * ( MAX(DC26+Races!$E$47-6,0) + MAX(DD26+Races!$F$47-6,0) )  -  Races!$N$47</f>
        <v>0</v>
      </c>
      <c r="EF26" s="166">
        <f t="shared" si="41"/>
        <v>0</v>
      </c>
      <c r="EG26" s="665">
        <f ca="1">1.8 * MIN(MAX(DG26+Races!$F$71,Races!$E$71),6)  +  0.45 * MIN(MIN(DG26+Races!$F$71,Races!$E$71),6)  +  0.2 * ( MAX(DG26+Races!$F$71-6,0) + MAX(Races!$E$71-6,0) )  -  Races!$N$71</f>
        <v>2.5200000000000014</v>
      </c>
      <c r="EH26" s="665">
        <f>1.8 * MIN(MAX(DH26+Races!$E$71,Races!$F$71),6)  +  0.45 * MIN(MIN(DH26+Races!$E$71,Races!$F$71),6)  +  0.2 * ( MAX(DH26+Races!$E$71-6,0) + MAX(Races!$F$71-6,0) )  -  Races!$N$71</f>
        <v>0</v>
      </c>
      <c r="EI26" s="166">
        <f t="shared" ca="1" si="42"/>
        <v>0</v>
      </c>
      <c r="EJ26" s="166"/>
      <c r="EK26" s="166"/>
      <c r="EL26" s="166"/>
      <c r="EM26" s="166">
        <f ca="1">Overview!$L$22*E26+Overview!$L$23*F26+Overview!$L$24*G26+Overview!$L$25*H26+Overview!$L$26*I26+Overview!$L$27*J26+Overview!$L$28*K26+Construction!E26*20+Construction!B26*5 + DZ26*$DV$4+EB26*$DV$5+ED26*$DV$6+EF26*$DV$7+EI26*$DV$9</f>
        <v>21900</v>
      </c>
      <c r="EO26" s="737">
        <f>(J26+2*K26)/Construction!E26</f>
        <v>0</v>
      </c>
      <c r="EP26" s="734">
        <f ca="1">EO26*(1+race_wizard_strength+tech_magical_weaponry_wiz*Techs!AV98)</f>
        <v>0</v>
      </c>
      <c r="EQ26" s="170">
        <f>(I26+halfer*H26/3)/Construction!E26</f>
        <v>0</v>
      </c>
    </row>
    <row r="27" spans="1:147" s="1210" customFormat="1" ht="14.25" thickTop="1" thickBot="1">
      <c r="A27" s="1235">
        <f>Rezone!J27</f>
        <v>25</v>
      </c>
      <c r="B27" s="1199">
        <f ca="1">SUM(E27:K27)+SUM(AF19:AG27)+SUM(AH16:AL27)+Z27+Explore!AL27</f>
        <v>5295</v>
      </c>
      <c r="C27" s="1236">
        <f ca="1">Population!G27</f>
        <v>0.57305194805194803</v>
      </c>
      <c r="E27" s="1206">
        <f t="shared" si="64"/>
        <v>0</v>
      </c>
      <c r="F27" s="1210">
        <f t="shared" si="65"/>
        <v>0</v>
      </c>
      <c r="G27" s="1210">
        <f t="shared" si="66"/>
        <v>1000</v>
      </c>
      <c r="H27" s="1210">
        <f t="shared" si="67"/>
        <v>400</v>
      </c>
      <c r="I27" s="1210">
        <f t="shared" si="68"/>
        <v>100</v>
      </c>
      <c r="J27" s="1210">
        <f t="shared" si="69"/>
        <v>100</v>
      </c>
      <c r="K27" s="1229">
        <f t="shared" si="70"/>
        <v>0</v>
      </c>
      <c r="M27" s="1237">
        <f ca="1">Production!G27</f>
        <v>39460</v>
      </c>
      <c r="O27" s="1238">
        <f t="shared" ca="1" si="0"/>
        <v>4400</v>
      </c>
      <c r="P27" s="1215">
        <f ca="1">race_offense+Imps!AB27+ROUND(MIN(gn_bonus*Construction!BF27/Construction!$E27,gn_bonus_cap),4)+MAX(IF(Magic!$AN27&gt;0,warsong_bonus),IF(Magic!AP27&gt;0,howling_op_bonus),IF(Magic!AS27&gt;0,nightfall_bonus),IF(Magic!AT27&gt;0,crusade_bonus),IF(Magic!AU27&gt;0,killingrage_bonus),IF(Magic!AV27&gt;0,bloodrage_bonus)) + Production!O27/100*prestige_offense_bonus + MAX(tech_military_offense*Techs!AH27,tech_magical_weaponry_op*Techs!AV27)</f>
        <v>0.05</v>
      </c>
      <c r="Q27" s="1239">
        <f t="shared" ca="1" si="46"/>
        <v>4620</v>
      </c>
      <c r="R27" s="1238">
        <f ca="1">F27*(spec_dp+spirit*DR27)+G27*(elite1_dp+woodie*CV27+sylvan*CY27+gnome*DB27+dark_elf*DD27+icekin*DG27+orc*DJ27+nox*DL27+beast*DN27+sacred*DP27+spirit*DS27+blackorc*DK27)+H27*(elite2_dp+woodie*CX27+beast*DO27+sacred*DQ27) + fh_peas_dp*MIN(Population!C27,20*Construction!BD27)+kobold*DE27</f>
        <v>7200</v>
      </c>
      <c r="S27" s="1239">
        <f t="shared" ca="1" si="1"/>
        <v>10895</v>
      </c>
      <c r="T27" s="1240">
        <f ca="1">race_defense+Imps!AC27+ROUND(MIN(gt_bonus*Construction!BH27/Construction!$E27,gt_bonus_cap),4)+MAX(IF(Magic!AM27&gt;0,frenzy_bonus,IF(Magic!AQ27&gt;0,blizzard_bonus,IF(Magic!AP27&gt;0,howling_dp_bonus,IF(Magic!AI27&gt;0,ares_call_bonus)))),IF(Magic!AX27&gt;0,MIN(Construction!DF27/Construction!E27,0.2),0))</f>
        <v>0</v>
      </c>
      <c r="U27" s="1241">
        <f t="shared" ca="1" si="47"/>
        <v>7200</v>
      </c>
      <c r="V27" s="1242">
        <f t="shared" ca="1" si="48"/>
        <v>10895</v>
      </c>
      <c r="W27" s="1242">
        <f>Construction!E27</f>
        <v>1000</v>
      </c>
      <c r="X27" s="1243"/>
      <c r="Y27" s="1244">
        <f t="shared" si="74"/>
        <v>0.4</v>
      </c>
      <c r="Z27" s="1205">
        <f ca="1">Z26+Population!Z26 - IF(race="Lux",AF27,SUM(AF27:AK27)) - BE27 + SUM(BF27:BL27) - Explore!AI27</f>
        <v>3695</v>
      </c>
      <c r="AA27" s="1200"/>
      <c r="AB27" s="1227">
        <f>(Construction!$BA27+Construction!BY27)/(Construction!$E27-Explore!S27*20)</f>
        <v>0.2</v>
      </c>
      <c r="AC27" s="1245"/>
      <c r="AD27" s="1246">
        <f>Rezone!J27</f>
        <v>25</v>
      </c>
      <c r="AE27" s="1198">
        <f>Explore!AA27</f>
        <v>43692.999999999942</v>
      </c>
      <c r="AF27" s="1224"/>
      <c r="AG27" s="1207"/>
      <c r="AH27" s="1207"/>
      <c r="AI27" s="1207"/>
      <c r="AJ27" s="1207"/>
      <c r="AK27" s="1207"/>
      <c r="AL27" s="1230"/>
      <c r="AN27" s="1199">
        <f ca="1">Production!$H27</f>
        <v>3203135</v>
      </c>
      <c r="AO27" s="1200">
        <f ca="1">Production!$L27</f>
        <v>231000</v>
      </c>
      <c r="AP27" s="1200">
        <f ca="1">Production!J27</f>
        <v>291170</v>
      </c>
      <c r="AQ27" s="1200">
        <f ca="1">Production!M27</f>
        <v>20000</v>
      </c>
      <c r="AR27" s="1200">
        <f ca="1">Production!K27</f>
        <v>36330</v>
      </c>
      <c r="AS27" s="1200">
        <f ca="1">Production!I27</f>
        <v>129308</v>
      </c>
      <c r="AT27" s="1200">
        <f ca="1">Production!N27</f>
        <v>200</v>
      </c>
      <c r="AU27" s="1199">
        <f t="shared" ca="1" si="2"/>
        <v>0</v>
      </c>
      <c r="AV27" s="1200">
        <f t="shared" ca="1" si="3"/>
        <v>0</v>
      </c>
      <c r="AW27" s="1200">
        <f t="shared" ca="1" si="50"/>
        <v>0</v>
      </c>
      <c r="AX27" s="1200">
        <f t="shared" ca="1" si="51"/>
        <v>0</v>
      </c>
      <c r="AY27" s="1200">
        <f t="shared" ca="1" si="52"/>
        <v>0</v>
      </c>
      <c r="AZ27" s="1200">
        <f t="shared" ca="1" si="53"/>
        <v>0</v>
      </c>
      <c r="BA27" s="1205">
        <f t="shared" ca="1" si="54"/>
        <v>0</v>
      </c>
      <c r="BB27" s="1210">
        <v>25</v>
      </c>
      <c r="BC27" s="1211">
        <f t="shared" si="71"/>
        <v>43692.999999999942</v>
      </c>
      <c r="BD27" s="1247">
        <f t="shared" ca="1" si="72"/>
        <v>3695</v>
      </c>
      <c r="BE27" s="1224"/>
      <c r="BF27" s="1207"/>
      <c r="BG27" s="1207"/>
      <c r="BH27" s="1207"/>
      <c r="BI27" s="1207"/>
      <c r="BJ27" s="1207"/>
      <c r="BK27" s="1207"/>
      <c r="BL27" s="1230"/>
      <c r="BN27" s="1248">
        <f>Construction!BM27/Construction!E27</f>
        <v>0</v>
      </c>
      <c r="BO27" s="1236">
        <f>Construction!BD27/Construction!E27</f>
        <v>0</v>
      </c>
      <c r="BP27" s="1199">
        <f>ROUNDUP((1-MIN(AB27*smithy_bonus,smithy_bonus_cap))*(1+Techs!AO27*tech_master_of_frugality)*spec_op_plat,0)</f>
        <v>165</v>
      </c>
      <c r="BQ27" s="1200">
        <f>ROUNDUP(IF(race="Gnome",1,(1-MIN(AB27*smithy_bonus,smithy_bonus_cap))*(1+Techs!AO27*tech_master_of_frugality))*spec_op_ore,0)</f>
        <v>15</v>
      </c>
      <c r="BR27" s="1200">
        <f t="shared" si="6"/>
        <v>0</v>
      </c>
      <c r="BS27" s="1200">
        <f t="shared" si="7"/>
        <v>0</v>
      </c>
      <c r="BT27" s="1200">
        <f ca="1">ROUNDUP((1-MIN(AB27*smithy_bonus,smithy_bonus_cap))*(1+Techs!AO27*tech_master_of_frugality)*spec_dp_plat,0)</f>
        <v>165</v>
      </c>
      <c r="BU27" s="1200">
        <f ca="1">ROUNDUP(IF(OR(race="Gnome",race="Imperial Gnome"),1,(1-MIN(AB27*smithy_bonus,smithy_bonus_cap))*(1+Techs!AO27*tech_master_of_frugality))*spec_dp_ore,0)</f>
        <v>6</v>
      </c>
      <c r="BV27" s="1200">
        <f t="shared" ca="1" si="8"/>
        <v>0</v>
      </c>
      <c r="BW27" s="1200">
        <f t="shared" ca="1" si="9"/>
        <v>0</v>
      </c>
      <c r="BX27" s="1200">
        <f t="shared" ca="1" si="10"/>
        <v>0</v>
      </c>
      <c r="BY27" s="1200">
        <f ca="1">ROUNDUP((1-MIN(AB27*smithy_bonus,smithy_bonus_cap))*(1+Techs!AO27*tech_master_of_frugality)*elite1_plat,0)</f>
        <v>600</v>
      </c>
      <c r="BZ27" s="1200">
        <f ca="1">ROUNDUP(IF(race="Gnome",1,(1-MIN(AB27*smithy_bonus,smithy_bonus_cap))*(1+Techs!AO27*tech_master_of_frugality))*elite1_ore,0)</f>
        <v>45</v>
      </c>
      <c r="CA27" s="1200">
        <f t="shared" ca="1" si="11"/>
        <v>0</v>
      </c>
      <c r="CB27" s="1200">
        <f t="shared" ca="1" si="12"/>
        <v>0</v>
      </c>
      <c r="CC27" s="1200">
        <f t="shared" ca="1" si="13"/>
        <v>0</v>
      </c>
      <c r="CD27" s="1200">
        <f t="shared" ca="1" si="14"/>
        <v>0</v>
      </c>
      <c r="CE27" s="1200">
        <f t="shared" ca="1" si="15"/>
        <v>0</v>
      </c>
      <c r="CF27" s="1200">
        <f ca="1">ROUNDUP((1-MIN(AB27*smithy_bonus,smithy_bonus_cap))*(1+Techs!AO27*tech_master_of_frugality)*elite2_plat,0)</f>
        <v>750</v>
      </c>
      <c r="CG27" s="1200">
        <f ca="1">ROUNDUP(IF(race="Gnome",1,(1-MIN(AB27*smithy_bonus,smithy_bonus_cap))*(1+Techs!AO27*tech_master_of_frugality))*elite2_ore,0)</f>
        <v>60</v>
      </c>
      <c r="CH27" s="1200">
        <f t="shared" ca="1" si="16"/>
        <v>0</v>
      </c>
      <c r="CI27" s="1200">
        <f t="shared" ca="1" si="17"/>
        <v>0</v>
      </c>
      <c r="CJ27" s="1200">
        <f t="shared" ca="1" si="18"/>
        <v>0</v>
      </c>
      <c r="CK27" s="1200">
        <f t="shared" ca="1" si="19"/>
        <v>0</v>
      </c>
      <c r="CL27" s="1200">
        <f t="shared" ca="1" si="20"/>
        <v>0</v>
      </c>
      <c r="CM27" s="1200">
        <f>ROUNDUP((1+tech_spy_cost*Techs!AJ27)*spy_plat,0)</f>
        <v>500</v>
      </c>
      <c r="CN27" s="1200">
        <f>ROUNDUP((1+tech_wizard_cost*Techs!AM27-MIN(ROUND(wg_wiz_cost_bonus*BN27,4),wg_wiz_cost_cap))*wizard_plat,0)</f>
        <v>500</v>
      </c>
      <c r="CO27" s="1205">
        <f>ROUNDUP((1+tech_wizard_cost*Techs!AM27-MIN(ROUND(wg_wiz_cost_bonus*BN27,4),wg_wiz_cost_cap))*archmage_plat,0)</f>
        <v>1000</v>
      </c>
      <c r="CP27" s="1207"/>
      <c r="CQ27" s="1248">
        <f ca="1">Construction!DF27/Construction!E27</f>
        <v>0.28000000000000003</v>
      </c>
      <c r="CR27" s="1215">
        <f t="shared" si="73"/>
        <v>0</v>
      </c>
      <c r="CS27" s="1215">
        <f>Construction!BK27/Construction!E27</f>
        <v>0.05</v>
      </c>
      <c r="CT27" s="1215">
        <f>Construction!BJ27/Construction!E27</f>
        <v>0</v>
      </c>
      <c r="CU27" s="1215">
        <f>Construction!AY27/Construction!E27</f>
        <v>0</v>
      </c>
      <c r="CV27" s="1249">
        <f t="shared" ca="1" si="22"/>
        <v>1.4000000000000001</v>
      </c>
      <c r="CW27" s="1250">
        <f t="shared" ca="1" si="23"/>
        <v>1.4000000000000001</v>
      </c>
      <c r="CX27" s="1250">
        <f t="shared" ca="1" si="24"/>
        <v>1.4000000000000001</v>
      </c>
      <c r="CY27" s="1251">
        <f t="shared" ca="1" si="25"/>
        <v>1.4000000000000001</v>
      </c>
      <c r="CZ27" s="1251">
        <f t="shared" si="26"/>
        <v>0.1</v>
      </c>
      <c r="DA27" s="1251">
        <f t="shared" ca="1" si="27"/>
        <v>3</v>
      </c>
      <c r="DB27" s="1251">
        <f t="shared" ca="1" si="28"/>
        <v>1.4000000000000001</v>
      </c>
      <c r="DC27" s="1250">
        <f t="shared" si="29"/>
        <v>0</v>
      </c>
      <c r="DD27" s="1252">
        <f t="shared" si="55"/>
        <v>0</v>
      </c>
      <c r="DE27" s="1200">
        <f t="shared" si="56"/>
        <v>800</v>
      </c>
      <c r="DF27" s="1200">
        <f t="shared" si="57"/>
        <v>0</v>
      </c>
      <c r="DG27" s="1249">
        <f t="shared" ca="1" si="30"/>
        <v>1.4000000000000001</v>
      </c>
      <c r="DH27" s="1229">
        <f t="shared" si="58"/>
        <v>9.0000000000000011E-2</v>
      </c>
      <c r="DI27" s="1229">
        <f>MIN(valkyrja_cap,Production!O27/valkyrja_bonus)</f>
        <v>1</v>
      </c>
      <c r="DJ27" s="1252">
        <f>MIN(voodoo_magi_cap,Production!O27/voodoo_magi_bonus)</f>
        <v>0.83333333333333337</v>
      </c>
      <c r="DK27" s="1252">
        <f>MIN(warlock_cap,Production!O27/warlock_bonus)</f>
        <v>1.25</v>
      </c>
      <c r="DL27" s="1252">
        <f ca="1">MIN(nox_nightshade_cap,Construction!DF27/Construction!E27/nox_nightshade_swamp_bonus)</f>
        <v>2.8000000000000003</v>
      </c>
      <c r="DM27" s="1250">
        <f t="shared" si="31"/>
        <v>0</v>
      </c>
      <c r="DN27" s="1251">
        <f t="shared" ca="1" si="32"/>
        <v>2.8000000000000003</v>
      </c>
      <c r="DO27" s="1251">
        <f t="shared" ca="1" si="33"/>
        <v>2.8000000000000003</v>
      </c>
      <c r="DP27" s="1251">
        <f t="shared" si="34"/>
        <v>1</v>
      </c>
      <c r="DQ27" s="1250">
        <f t="shared" si="35"/>
        <v>0</v>
      </c>
      <c r="DR27" s="1251">
        <f t="shared" si="36"/>
        <v>0</v>
      </c>
      <c r="DS27" s="1250">
        <f t="shared" si="37"/>
        <v>0</v>
      </c>
      <c r="DT27" s="1251">
        <f t="shared" si="59"/>
        <v>0.1</v>
      </c>
      <c r="DX27" s="1249">
        <f ca="1">MIN(6,CV27+Races!$F$19)*1.8 +  IF(CV27+Races!$F$19&gt;6,(CV27+Races!$F$19-6)*0.2,0) - Races!$N$19</f>
        <v>2.5200000000000005</v>
      </c>
      <c r="DY27" s="1250">
        <f ca="1">1.8 * MIN(MAX(CW27+Races!$E$20,CX27+Races!$F$20),6)  +  0.45 * MIN(MIN(CW27+Races!$E$20,CX27+Races!$F$20),6)  +  0.2 * ( MAX(CW27+Races!$E$20-6,0) + MAX(CX27+Races!$F$20-6,0) )  -  Races!$N$20</f>
        <v>3.1500000000000012</v>
      </c>
      <c r="DZ27" s="1205">
        <f t="shared" ca="1" si="38"/>
        <v>3780.0000000000009</v>
      </c>
      <c r="EA27" s="1253">
        <f ca="1">MIN(6,CY27+Races!$F$35)*1.8 +  IF(CY27+Races!$F$35&gt;6,(CY27+Races!$F$35-6)*0.2,0) - Races!$N$19</f>
        <v>0.72000000000000064</v>
      </c>
      <c r="EB27" s="1205">
        <f t="shared" ca="1" si="39"/>
        <v>0</v>
      </c>
      <c r="EC27" s="1253">
        <f ca="1">1.8 * MIN(MAX(Races!$E$27,DB27+Races!$F$27),6)  +  0.45 * MIN(MIN(Races!$E$27,DB27+Races!$F$27),6)  +  0.2 * ( MAX(Races!$E$27-6,0) + MAX(DB27+Races!$F$27-6,0) )  -  Races!$N$20</f>
        <v>4.7700000000000005</v>
      </c>
      <c r="ED27" s="1205">
        <f t="shared" ca="1" si="40"/>
        <v>0</v>
      </c>
      <c r="EE27" s="1253">
        <f>1.8 * MIN(MAX(DC27+Races!$E$47,DD27+Races!$F$47),6)  +  0.45 * MIN(MIN(DC27+Races!$E$47,DD27+Races!$F$47),6)  +  0.2 * ( MAX(DC27+Races!$E$47-6,0) + MAX(DD27+Races!$F$47-6,0) )  -  Races!$N$47</f>
        <v>0</v>
      </c>
      <c r="EF27" s="1205">
        <f t="shared" si="41"/>
        <v>0</v>
      </c>
      <c r="EG27" s="1253">
        <f ca="1">1.8 * MIN(MAX(DG27+Races!$F$71,Races!$E$71),6)  +  0.45 * MIN(MIN(DG27+Races!$F$71,Races!$E$71),6)  +  0.2 * ( MAX(DG27+Races!$F$71-6,0) + MAX(Races!$E$71-6,0) )  -  Races!$N$71</f>
        <v>2.5200000000000014</v>
      </c>
      <c r="EH27" s="1253">
        <f>1.8 * MIN(MAX(DH27+Races!$E$71,Races!$F$71),6)  +  0.45 * MIN(MIN(DH27+Races!$E$71,Races!$F$71),6)  +  0.2 * ( MAX(DH27+Races!$E$71-6,0) + MAX(Races!$F$71-6,0) )  -  Races!$N$71</f>
        <v>0.16200000000000081</v>
      </c>
      <c r="EI27" s="1205">
        <f t="shared" ca="1" si="42"/>
        <v>2584.8000000000015</v>
      </c>
      <c r="EJ27" s="1205"/>
      <c r="EK27" s="1205"/>
      <c r="EL27" s="1205"/>
      <c r="EM27" s="1205">
        <f ca="1">Overview!$L$22*E27+Overview!$L$23*F27+Overview!$L$24*G27+Overview!$L$25*H27+Overview!$L$26*I27+Overview!$L$27*J27+Overview!$L$28*K27+Construction!E27*20+Construction!B27*5 + DZ27*$DV$4+EB27*$DV$5+ED27*$DV$6+EF27*$DV$7+EI27*$DV$9</f>
        <v>39460</v>
      </c>
      <c r="EO27" s="1254">
        <f>(J27+2*K27)/Construction!E27</f>
        <v>0.1</v>
      </c>
      <c r="EP27" s="1255">
        <f ca="1">EO27*(1+race_wizard_strength+tech_magical_weaponry_wiz*Techs!AV99)</f>
        <v>0.1</v>
      </c>
      <c r="EQ27" s="1210">
        <f>(I27+halfer*H27/3)/Construction!E27</f>
        <v>0.1</v>
      </c>
    </row>
    <row r="28" spans="1:147" s="170" customFormat="1" ht="13.5" thickTop="1">
      <c r="A28" s="629">
        <f>Rezone!J28</f>
        <v>26</v>
      </c>
      <c r="B28" s="152">
        <f ca="1">SUM(E28:K28)+SUM(AF20:AG28)+SUM(AH17:AL28)+Z28+Explore!AL28</f>
        <v>5295</v>
      </c>
      <c r="C28" s="171">
        <f ca="1">Population!G28</f>
        <v>0.57305194805194803</v>
      </c>
      <c r="E28" s="156">
        <f t="shared" si="64"/>
        <v>0</v>
      </c>
      <c r="F28" s="170">
        <f t="shared" si="65"/>
        <v>0</v>
      </c>
      <c r="G28" s="170">
        <f t="shared" si="66"/>
        <v>1000</v>
      </c>
      <c r="H28" s="170">
        <f t="shared" si="67"/>
        <v>400</v>
      </c>
      <c r="I28" s="170">
        <f t="shared" si="68"/>
        <v>100</v>
      </c>
      <c r="J28" s="170">
        <f t="shared" si="69"/>
        <v>100</v>
      </c>
      <c r="K28" s="157">
        <f t="shared" si="70"/>
        <v>0</v>
      </c>
      <c r="M28" s="160">
        <f ca="1">Production!G28</f>
        <v>39460</v>
      </c>
      <c r="O28" s="234">
        <f t="shared" ca="1" si="0"/>
        <v>4400</v>
      </c>
      <c r="P28" s="455">
        <f ca="1">race_offense+Imps!AB28+ROUND(MIN(gn_bonus*Construction!BF28/Construction!$E28,gn_bonus_cap),4)+MAX(IF(Magic!$AN28&gt;0,warsong_bonus),IF(Magic!AP28&gt;0,howling_op_bonus),IF(Magic!AS28&gt;0,nightfall_bonus),IF(Magic!AT28&gt;0,crusade_bonus),IF(Magic!AU28&gt;0,killingrage_bonus),IF(Magic!AV28&gt;0,bloodrage_bonus)) + Production!O28/100*prestige_offense_bonus + MAX(tech_military_offense*Techs!AH28,tech_magical_weaponry_op*Techs!AV28)</f>
        <v>0.05</v>
      </c>
      <c r="Q28" s="235">
        <f t="shared" ca="1" si="46"/>
        <v>4620</v>
      </c>
      <c r="R28" s="234">
        <f ca="1">F28*(spec_dp+spirit*DR28)+G28*(elite1_dp+woodie*CV28+sylvan*CY28+gnome*DB28+dark_elf*DD28+icekin*DG28+orc*DJ28+nox*DL28+beast*DN28+sacred*DP28+spirit*DS28+blackorc*DK28)+H28*(elite2_dp+woodie*CX28+beast*DO28+sacred*DQ28) + fh_peas_dp*MIN(Population!C28,20*Construction!BD28)+kobold*DE28</f>
        <v>7200</v>
      </c>
      <c r="S28" s="235">
        <f t="shared" ca="1" si="1"/>
        <v>10895</v>
      </c>
      <c r="T28" s="1052">
        <f ca="1">race_defense+Imps!AC28+ROUND(MIN(gt_bonus*Construction!BH28/Construction!$E28,gt_bonus_cap),4)+MAX(IF(Magic!AM28&gt;0,frenzy_bonus,IF(Magic!AQ28&gt;0,blizzard_bonus,IF(Magic!AP28&gt;0,howling_dp_bonus,IF(Magic!AI28&gt;0,ares_call_bonus)))),IF(Magic!AX28&gt;0,MIN(Construction!DF28/Construction!E28,0.2),0))</f>
        <v>0</v>
      </c>
      <c r="U28" s="1046">
        <f t="shared" ca="1" si="47"/>
        <v>7200</v>
      </c>
      <c r="V28" s="308">
        <f t="shared" ca="1" si="48"/>
        <v>10895</v>
      </c>
      <c r="W28" s="308">
        <f>Construction!E28</f>
        <v>1000</v>
      </c>
      <c r="X28" s="364"/>
      <c r="Y28" s="232">
        <f t="shared" si="74"/>
        <v>0.4</v>
      </c>
      <c r="Z28" s="166">
        <f ca="1">Z27+Population!Z27 - IF(race="Lux",AF28,SUM(AF28:AK28)) - BE28 + SUM(BF28:BL28) - Explore!AI28</f>
        <v>3695</v>
      </c>
      <c r="AA28" s="164"/>
      <c r="AB28" s="251">
        <f>(Construction!$BA28+Construction!BY28)/(Construction!$E28-Explore!S28*20)</f>
        <v>0.2</v>
      </c>
      <c r="AC28" s="629"/>
      <c r="AD28" s="798">
        <f>Rezone!J28</f>
        <v>26</v>
      </c>
      <c r="AE28" s="589">
        <f>Explore!AA28</f>
        <v>43693.041666666606</v>
      </c>
      <c r="AF28" s="352"/>
      <c r="AG28" s="345"/>
      <c r="AH28" s="345"/>
      <c r="AI28" s="345"/>
      <c r="AJ28" s="345"/>
      <c r="AK28" s="345"/>
      <c r="AL28" s="353"/>
      <c r="AN28" s="152">
        <f ca="1">Production!$H28</f>
        <v>3213786</v>
      </c>
      <c r="AO28" s="164">
        <f ca="1">Production!$L28</f>
        <v>231000</v>
      </c>
      <c r="AP28" s="164">
        <f ca="1">Production!J28</f>
        <v>290758</v>
      </c>
      <c r="AQ28" s="164">
        <f ca="1">Production!M28</f>
        <v>20000</v>
      </c>
      <c r="AR28" s="164">
        <f ca="1">Production!K28</f>
        <v>36853</v>
      </c>
      <c r="AS28" s="164">
        <f ca="1">Production!I28</f>
        <v>132745</v>
      </c>
      <c r="AT28" s="164">
        <f ca="1">Production!N28</f>
        <v>200</v>
      </c>
      <c r="AU28" s="152">
        <f t="shared" ca="1" si="2"/>
        <v>0</v>
      </c>
      <c r="AV28" s="164">
        <f t="shared" ca="1" si="3"/>
        <v>0</v>
      </c>
      <c r="AW28" s="164">
        <f t="shared" ca="1" si="50"/>
        <v>0</v>
      </c>
      <c r="AX28" s="164">
        <f t="shared" ca="1" si="51"/>
        <v>0</v>
      </c>
      <c r="AY28" s="164">
        <f t="shared" ca="1" si="52"/>
        <v>0</v>
      </c>
      <c r="AZ28" s="164">
        <f t="shared" ca="1" si="53"/>
        <v>0</v>
      </c>
      <c r="BA28" s="166">
        <f t="shared" ca="1" si="54"/>
        <v>0</v>
      </c>
      <c r="BB28" s="170">
        <v>26</v>
      </c>
      <c r="BC28" s="532">
        <f t="shared" si="71"/>
        <v>43693.041666666606</v>
      </c>
      <c r="BD28" s="233">
        <f t="shared" ca="1" si="72"/>
        <v>3695</v>
      </c>
      <c r="BE28" s="352"/>
      <c r="BF28" s="345"/>
      <c r="BG28" s="345"/>
      <c r="BH28" s="345"/>
      <c r="BI28" s="345"/>
      <c r="BJ28" s="345"/>
      <c r="BK28" s="345"/>
      <c r="BL28" s="353"/>
      <c r="BN28" s="503">
        <f>Construction!BM28/Construction!E28</f>
        <v>0</v>
      </c>
      <c r="BO28" s="171">
        <f>Construction!BD28/Construction!E28</f>
        <v>0</v>
      </c>
      <c r="BP28" s="152">
        <f>ROUNDUP((1-MIN(AB28*smithy_bonus,smithy_bonus_cap))*(1+Techs!AO28*tech_master_of_frugality)*spec_op_plat,0)</f>
        <v>165</v>
      </c>
      <c r="BQ28" s="164">
        <f>ROUNDUP(IF(race="Gnome",1,(1-MIN(AB28*smithy_bonus,smithy_bonus_cap))*(1+Techs!AO28*tech_master_of_frugality))*spec_op_ore,0)</f>
        <v>15</v>
      </c>
      <c r="BR28" s="164">
        <f t="shared" si="6"/>
        <v>0</v>
      </c>
      <c r="BS28" s="164">
        <f t="shared" si="7"/>
        <v>0</v>
      </c>
      <c r="BT28" s="164">
        <f ca="1">ROUNDUP((1-MIN(AB28*smithy_bonus,smithy_bonus_cap))*(1+Techs!AO28*tech_master_of_frugality)*spec_dp_plat,0)</f>
        <v>165</v>
      </c>
      <c r="BU28" s="164">
        <f ca="1">ROUNDUP(IF(OR(race="Gnome",race="Imperial Gnome"),1,(1-MIN(AB28*smithy_bonus,smithy_bonus_cap))*(1+Techs!AO28*tech_master_of_frugality))*spec_dp_ore,0)</f>
        <v>6</v>
      </c>
      <c r="BV28" s="164">
        <f t="shared" ca="1" si="8"/>
        <v>0</v>
      </c>
      <c r="BW28" s="164">
        <f t="shared" ca="1" si="9"/>
        <v>0</v>
      </c>
      <c r="BX28" s="164">
        <f t="shared" ca="1" si="10"/>
        <v>0</v>
      </c>
      <c r="BY28" s="164">
        <f ca="1">ROUNDUP((1-MIN(AB28*smithy_bonus,smithy_bonus_cap))*(1+Techs!AO28*tech_master_of_frugality)*elite1_plat,0)</f>
        <v>600</v>
      </c>
      <c r="BZ28" s="164">
        <f ca="1">ROUNDUP(IF(race="Gnome",1,(1-MIN(AB28*smithy_bonus,smithy_bonus_cap))*(1+Techs!AO28*tech_master_of_frugality))*elite1_ore,0)</f>
        <v>45</v>
      </c>
      <c r="CA28" s="164">
        <f t="shared" ca="1" si="11"/>
        <v>0</v>
      </c>
      <c r="CB28" s="164">
        <f t="shared" ca="1" si="12"/>
        <v>0</v>
      </c>
      <c r="CC28" s="164">
        <f t="shared" ca="1" si="13"/>
        <v>0</v>
      </c>
      <c r="CD28" s="164">
        <f t="shared" ca="1" si="14"/>
        <v>0</v>
      </c>
      <c r="CE28" s="164">
        <f t="shared" ca="1" si="15"/>
        <v>0</v>
      </c>
      <c r="CF28" s="164">
        <f ca="1">ROUNDUP((1-MIN(AB28*smithy_bonus,smithy_bonus_cap))*(1+Techs!AO28*tech_master_of_frugality)*elite2_plat,0)</f>
        <v>750</v>
      </c>
      <c r="CG28" s="164">
        <f ca="1">ROUNDUP(IF(race="Gnome",1,(1-MIN(AB28*smithy_bonus,smithy_bonus_cap))*(1+Techs!AO28*tech_master_of_frugality))*elite2_ore,0)</f>
        <v>60</v>
      </c>
      <c r="CH28" s="164">
        <f t="shared" ca="1" si="16"/>
        <v>0</v>
      </c>
      <c r="CI28" s="164">
        <f t="shared" ca="1" si="17"/>
        <v>0</v>
      </c>
      <c r="CJ28" s="164">
        <f t="shared" ca="1" si="18"/>
        <v>0</v>
      </c>
      <c r="CK28" s="164">
        <f t="shared" ca="1" si="19"/>
        <v>0</v>
      </c>
      <c r="CL28" s="164">
        <f t="shared" ca="1" si="20"/>
        <v>0</v>
      </c>
      <c r="CM28" s="164">
        <f>ROUNDUP((1+tech_spy_cost*Techs!AJ28)*spy_plat,0)</f>
        <v>500</v>
      </c>
      <c r="CN28" s="164">
        <f>ROUNDUP((1+tech_wizard_cost*Techs!AM28-MIN(ROUND(wg_wiz_cost_bonus*BN28,4),wg_wiz_cost_cap))*wizard_plat,0)</f>
        <v>500</v>
      </c>
      <c r="CO28" s="166">
        <f>ROUNDUP((1+tech_wizard_cost*Techs!AM28-MIN(ROUND(wg_wiz_cost_bonus*BN28,4),wg_wiz_cost_cap))*archmage_plat,0)</f>
        <v>1000</v>
      </c>
      <c r="CQ28" s="461">
        <f ca="1">Construction!DF28/Construction!E28</f>
        <v>0.28000000000000003</v>
      </c>
      <c r="CR28" s="462">
        <f t="shared" si="73"/>
        <v>0</v>
      </c>
      <c r="CS28" s="462">
        <f>Construction!BK28/Construction!E28</f>
        <v>0.05</v>
      </c>
      <c r="CT28" s="462">
        <f>Construction!BJ28/Construction!E28</f>
        <v>0</v>
      </c>
      <c r="CU28" s="462">
        <f>Construction!AY28/Construction!E28</f>
        <v>0</v>
      </c>
      <c r="CV28" s="481">
        <f t="shared" ca="1" si="22"/>
        <v>1.4000000000000001</v>
      </c>
      <c r="CW28" s="482">
        <f t="shared" ca="1" si="23"/>
        <v>1.4000000000000001</v>
      </c>
      <c r="CX28" s="482">
        <f t="shared" ca="1" si="24"/>
        <v>1.4000000000000001</v>
      </c>
      <c r="CY28" s="483">
        <f t="shared" ca="1" si="25"/>
        <v>1.4000000000000001</v>
      </c>
      <c r="CZ28" s="483">
        <f t="shared" si="26"/>
        <v>0.1</v>
      </c>
      <c r="DA28" s="483">
        <f t="shared" ca="1" si="27"/>
        <v>3</v>
      </c>
      <c r="DB28" s="483">
        <f t="shared" ca="1" si="28"/>
        <v>1.4000000000000001</v>
      </c>
      <c r="DC28" s="482">
        <f t="shared" si="29"/>
        <v>0</v>
      </c>
      <c r="DD28" s="847">
        <f t="shared" si="55"/>
        <v>0</v>
      </c>
      <c r="DE28" s="440">
        <f t="shared" si="56"/>
        <v>800</v>
      </c>
      <c r="DF28" s="440">
        <f t="shared" si="57"/>
        <v>0</v>
      </c>
      <c r="DG28" s="481">
        <f t="shared" ca="1" si="30"/>
        <v>1.4000000000000001</v>
      </c>
      <c r="DH28" s="450">
        <f t="shared" si="58"/>
        <v>9.0000000000000011E-2</v>
      </c>
      <c r="DI28" s="450">
        <f>MIN(valkyrja_cap,Production!O28/valkyrja_bonus)</f>
        <v>1</v>
      </c>
      <c r="DJ28" s="847">
        <f>MIN(voodoo_magi_cap,Production!O28/voodoo_magi_bonus)</f>
        <v>0.83333333333333337</v>
      </c>
      <c r="DK28" s="847">
        <f>MIN(warlock_cap,Production!O28/warlock_bonus)</f>
        <v>1.25</v>
      </c>
      <c r="DL28" s="847">
        <f ca="1">MIN(nox_nightshade_cap,Construction!DF28/Construction!E28/nox_nightshade_swamp_bonus)</f>
        <v>2.8000000000000003</v>
      </c>
      <c r="DM28" s="482">
        <f t="shared" si="31"/>
        <v>0</v>
      </c>
      <c r="DN28" s="483">
        <f t="shared" ca="1" si="32"/>
        <v>2.8000000000000003</v>
      </c>
      <c r="DO28" s="483">
        <f t="shared" ca="1" si="33"/>
        <v>2.8000000000000003</v>
      </c>
      <c r="DP28" s="483">
        <f t="shared" si="34"/>
        <v>1</v>
      </c>
      <c r="DQ28" s="482">
        <f t="shared" si="35"/>
        <v>0</v>
      </c>
      <c r="DR28" s="483">
        <f t="shared" si="36"/>
        <v>0</v>
      </c>
      <c r="DS28" s="482">
        <f t="shared" si="37"/>
        <v>0</v>
      </c>
      <c r="DT28" s="483">
        <f t="shared" si="59"/>
        <v>0.1</v>
      </c>
      <c r="DX28" s="481">
        <f ca="1">MIN(6,CV28+Races!$F$19)*1.8 +  IF(CV28+Races!$F$19&gt;6,(CV28+Races!$F$19-6)*0.2,0) - Races!$N$19</f>
        <v>2.5200000000000005</v>
      </c>
      <c r="DY28" s="482">
        <f ca="1">1.8 * MIN(MAX(CW28+Races!$E$20,CX28+Races!$F$20),6)  +  0.45 * MIN(MIN(CW28+Races!$E$20,CX28+Races!$F$20),6)  +  0.2 * ( MAX(CW28+Races!$E$20-6,0) + MAX(CX28+Races!$F$20-6,0) )  -  Races!$N$20</f>
        <v>3.1500000000000012</v>
      </c>
      <c r="DZ28" s="166">
        <f t="shared" ca="1" si="38"/>
        <v>3780.0000000000009</v>
      </c>
      <c r="EA28" s="665">
        <f ca="1">MIN(6,CY28+Races!$F$35)*1.8 +  IF(CY28+Races!$F$35&gt;6,(CY28+Races!$F$35-6)*0.2,0) - Races!$N$19</f>
        <v>0.72000000000000064</v>
      </c>
      <c r="EB28" s="166">
        <f t="shared" ca="1" si="39"/>
        <v>0</v>
      </c>
      <c r="EC28" s="665">
        <f ca="1">1.8 * MIN(MAX(Races!$E$27,DB28+Races!$F$27),6)  +  0.45 * MIN(MIN(Races!$E$27,DB28+Races!$F$27),6)  +  0.2 * ( MAX(Races!$E$27-6,0) + MAX(DB28+Races!$F$27-6,0) )  -  Races!$N$20</f>
        <v>4.7700000000000005</v>
      </c>
      <c r="ED28" s="166">
        <f t="shared" ca="1" si="40"/>
        <v>0</v>
      </c>
      <c r="EE28" s="665">
        <f>1.8 * MIN(MAX(DC28+Races!$E$47,DD28+Races!$F$47),6)  +  0.45 * MIN(MIN(DC28+Races!$E$47,DD28+Races!$F$47),6)  +  0.2 * ( MAX(DC28+Races!$E$47-6,0) + MAX(DD28+Races!$F$47-6,0) )  -  Races!$N$47</f>
        <v>0</v>
      </c>
      <c r="EF28" s="166">
        <f t="shared" si="41"/>
        <v>0</v>
      </c>
      <c r="EG28" s="665">
        <f ca="1">1.8 * MIN(MAX(DG28+Races!$F$71,Races!$E$71),6)  +  0.45 * MIN(MIN(DG28+Races!$F$71,Races!$E$71),6)  +  0.2 * ( MAX(DG28+Races!$F$71-6,0) + MAX(Races!$E$71-6,0) )  -  Races!$N$71</f>
        <v>2.5200000000000014</v>
      </c>
      <c r="EH28" s="665">
        <f>1.8 * MIN(MAX(DH28+Races!$E$71,Races!$F$71),6)  +  0.45 * MIN(MIN(DH28+Races!$E$71,Races!$F$71),6)  +  0.2 * ( MAX(DH28+Races!$E$71-6,0) + MAX(Races!$F$71-6,0) )  -  Races!$N$71</f>
        <v>0.16200000000000081</v>
      </c>
      <c r="EI28" s="166">
        <f t="shared" ca="1" si="42"/>
        <v>2584.8000000000015</v>
      </c>
      <c r="EJ28" s="166"/>
      <c r="EK28" s="166"/>
      <c r="EL28" s="166"/>
      <c r="EM28" s="166">
        <f ca="1">Overview!$L$22*E28+Overview!$L$23*F28+Overview!$L$24*G28+Overview!$L$25*H28+Overview!$L$26*I28+Overview!$L$27*J28+Overview!$L$28*K28+Construction!E28*20+Construction!B28*5 + DZ28*$DV$4+EB28*$DV$5+ED28*$DV$6+EF28*$DV$7+EI28*$DV$9</f>
        <v>39460</v>
      </c>
      <c r="EO28" s="737">
        <f>(J28+2*K28)/Construction!E28</f>
        <v>0.1</v>
      </c>
      <c r="EP28" s="734">
        <f ca="1">EO28*(1+race_wizard_strength+tech_magical_weaponry_wiz*Techs!AV100)</f>
        <v>0.1</v>
      </c>
      <c r="EQ28" s="170">
        <f>(I28+halfer*H28/3)/Construction!E28</f>
        <v>0.1</v>
      </c>
    </row>
    <row r="29" spans="1:147" s="170" customFormat="1">
      <c r="A29" s="629">
        <f>Rezone!J29</f>
        <v>27</v>
      </c>
      <c r="B29" s="152">
        <f ca="1">SUM(E29:K29)+SUM(AF21:AG29)+SUM(AH18:AL29)+Z29+Explore!AL29</f>
        <v>5295</v>
      </c>
      <c r="C29" s="171">
        <f ca="1">Population!G29</f>
        <v>0.57305194805194803</v>
      </c>
      <c r="E29" s="156">
        <f t="shared" si="64"/>
        <v>0</v>
      </c>
      <c r="F29" s="170">
        <f t="shared" si="65"/>
        <v>0</v>
      </c>
      <c r="G29" s="170">
        <f t="shared" si="66"/>
        <v>1000</v>
      </c>
      <c r="H29" s="170">
        <f t="shared" si="67"/>
        <v>400</v>
      </c>
      <c r="I29" s="170">
        <f t="shared" si="68"/>
        <v>100</v>
      </c>
      <c r="J29" s="170">
        <f t="shared" si="69"/>
        <v>100</v>
      </c>
      <c r="K29" s="157">
        <f t="shared" si="70"/>
        <v>0</v>
      </c>
      <c r="M29" s="160">
        <f ca="1">Production!G29</f>
        <v>39460</v>
      </c>
      <c r="O29" s="234">
        <f t="shared" ca="1" si="0"/>
        <v>4400</v>
      </c>
      <c r="P29" s="455">
        <f ca="1">race_offense+Imps!AB29+ROUND(MIN(gn_bonus*Construction!BF29/Construction!$E29,gn_bonus_cap),4)+MAX(IF(Magic!$AN29&gt;0,warsong_bonus),IF(Magic!AP29&gt;0,howling_op_bonus),IF(Magic!AS29&gt;0,nightfall_bonus),IF(Magic!AT29&gt;0,crusade_bonus),IF(Magic!AU29&gt;0,killingrage_bonus),IF(Magic!AV29&gt;0,bloodrage_bonus)) + Production!O29/100*prestige_offense_bonus + MAX(tech_military_offense*Techs!AH29,tech_magical_weaponry_op*Techs!AV29)</f>
        <v>0.05</v>
      </c>
      <c r="Q29" s="235">
        <f t="shared" ca="1" si="46"/>
        <v>4620</v>
      </c>
      <c r="R29" s="234">
        <f ca="1">F29*(spec_dp+spirit*DR29)+G29*(elite1_dp+woodie*CV29+sylvan*CY29+gnome*DB29+dark_elf*DD29+icekin*DG29+orc*DJ29+nox*DL29+beast*DN29+sacred*DP29+spirit*DS29+blackorc*DK29)+H29*(elite2_dp+woodie*CX29+beast*DO29+sacred*DQ29) + fh_peas_dp*MIN(Population!C29,20*Construction!BD29)+kobold*DE29</f>
        <v>7200</v>
      </c>
      <c r="S29" s="235">
        <f t="shared" ca="1" si="1"/>
        <v>10895</v>
      </c>
      <c r="T29" s="1052">
        <f ca="1">race_defense+Imps!AC29+ROUND(MIN(gt_bonus*Construction!BH29/Construction!$E29,gt_bonus_cap),4)+MAX(IF(Magic!AM29&gt;0,frenzy_bonus,IF(Magic!AQ29&gt;0,blizzard_bonus,IF(Magic!AP29&gt;0,howling_dp_bonus,IF(Magic!AI29&gt;0,ares_call_bonus)))),IF(Magic!AX29&gt;0,MIN(Construction!DF29/Construction!E29,0.2),0))</f>
        <v>0</v>
      </c>
      <c r="U29" s="1046">
        <f t="shared" ca="1" si="47"/>
        <v>7200</v>
      </c>
      <c r="V29" s="308">
        <f t="shared" ca="1" si="48"/>
        <v>10895</v>
      </c>
      <c r="W29" s="308">
        <f>Construction!E29</f>
        <v>1000</v>
      </c>
      <c r="X29" s="364"/>
      <c r="Y29" s="232">
        <f t="shared" si="74"/>
        <v>0.4</v>
      </c>
      <c r="Z29" s="166">
        <f ca="1">Z28+Population!Z28 - IF(race="Lux",AF29,SUM(AF29:AK29)) - BE29 + SUM(BF29:BL29) - Explore!AI29</f>
        <v>3695</v>
      </c>
      <c r="AA29" s="164"/>
      <c r="AB29" s="251">
        <f>(Construction!$BA29+Construction!BY29)/(Construction!$E29-Explore!S29*20)</f>
        <v>0.2</v>
      </c>
      <c r="AC29" s="629"/>
      <c r="AD29" s="798">
        <f>Rezone!J29</f>
        <v>27</v>
      </c>
      <c r="AE29" s="589">
        <f>Explore!AA29</f>
        <v>43693.08333333327</v>
      </c>
      <c r="AF29" s="352"/>
      <c r="AG29" s="345"/>
      <c r="AH29" s="345"/>
      <c r="AI29" s="345"/>
      <c r="AJ29" s="345"/>
      <c r="AK29" s="345"/>
      <c r="AL29" s="353"/>
      <c r="AN29" s="152">
        <f ca="1">Production!$H29</f>
        <v>3224437</v>
      </c>
      <c r="AO29" s="164">
        <f ca="1">Production!$L29</f>
        <v>231000</v>
      </c>
      <c r="AP29" s="164">
        <f ca="1">Production!J29</f>
        <v>290350</v>
      </c>
      <c r="AQ29" s="164">
        <f ca="1">Production!M29</f>
        <v>20000</v>
      </c>
      <c r="AR29" s="164">
        <f ca="1">Production!K29</f>
        <v>37366</v>
      </c>
      <c r="AS29" s="164">
        <f ca="1">Production!I29</f>
        <v>136148</v>
      </c>
      <c r="AT29" s="164">
        <f ca="1">Production!N29</f>
        <v>200</v>
      </c>
      <c r="AU29" s="152">
        <f t="shared" ca="1" si="2"/>
        <v>0</v>
      </c>
      <c r="AV29" s="164">
        <f t="shared" ca="1" si="3"/>
        <v>0</v>
      </c>
      <c r="AW29" s="164">
        <f t="shared" ca="1" si="50"/>
        <v>0</v>
      </c>
      <c r="AX29" s="164">
        <f t="shared" ca="1" si="51"/>
        <v>0</v>
      </c>
      <c r="AY29" s="164">
        <f t="shared" ca="1" si="52"/>
        <v>0</v>
      </c>
      <c r="AZ29" s="164">
        <f t="shared" ca="1" si="53"/>
        <v>0</v>
      </c>
      <c r="BA29" s="166">
        <f t="shared" ca="1" si="54"/>
        <v>0</v>
      </c>
      <c r="BB29" s="170">
        <v>27</v>
      </c>
      <c r="BC29" s="532">
        <f t="shared" si="71"/>
        <v>43693.08333333327</v>
      </c>
      <c r="BD29" s="233">
        <f t="shared" ca="1" si="72"/>
        <v>3695</v>
      </c>
      <c r="BE29" s="352"/>
      <c r="BF29" s="345"/>
      <c r="BG29" s="345"/>
      <c r="BH29" s="345"/>
      <c r="BI29" s="345"/>
      <c r="BJ29" s="345"/>
      <c r="BK29" s="345"/>
      <c r="BL29" s="353"/>
      <c r="BN29" s="503">
        <f>Construction!BM29/Construction!E29</f>
        <v>0</v>
      </c>
      <c r="BO29" s="171">
        <f>Construction!BD29/Construction!E29</f>
        <v>0</v>
      </c>
      <c r="BP29" s="152">
        <f>ROUNDUP((1-MIN(AB29*smithy_bonus,smithy_bonus_cap))*(1+Techs!AO29*tech_master_of_frugality)*spec_op_plat,0)</f>
        <v>165</v>
      </c>
      <c r="BQ29" s="164">
        <f>ROUNDUP(IF(race="Gnome",1,(1-MIN(AB29*smithy_bonus,smithy_bonus_cap))*(1+Techs!AO29*tech_master_of_frugality))*spec_op_ore,0)</f>
        <v>15</v>
      </c>
      <c r="BR29" s="164">
        <f t="shared" si="6"/>
        <v>0</v>
      </c>
      <c r="BS29" s="164">
        <f t="shared" si="7"/>
        <v>0</v>
      </c>
      <c r="BT29" s="164">
        <f ca="1">ROUNDUP((1-MIN(AB29*smithy_bonus,smithy_bonus_cap))*(1+Techs!AO29*tech_master_of_frugality)*spec_dp_plat,0)</f>
        <v>165</v>
      </c>
      <c r="BU29" s="164">
        <f ca="1">ROUNDUP(IF(OR(race="Gnome",race="Imperial Gnome"),1,(1-MIN(AB29*smithy_bonus,smithy_bonus_cap))*(1+Techs!AO29*tech_master_of_frugality))*spec_dp_ore,0)</f>
        <v>6</v>
      </c>
      <c r="BV29" s="164">
        <f t="shared" ca="1" si="8"/>
        <v>0</v>
      </c>
      <c r="BW29" s="164">
        <f t="shared" ca="1" si="9"/>
        <v>0</v>
      </c>
      <c r="BX29" s="164">
        <f t="shared" ca="1" si="10"/>
        <v>0</v>
      </c>
      <c r="BY29" s="164">
        <f ca="1">ROUNDUP((1-MIN(AB29*smithy_bonus,smithy_bonus_cap))*(1+Techs!AO29*tech_master_of_frugality)*elite1_plat,0)</f>
        <v>600</v>
      </c>
      <c r="BZ29" s="164">
        <f ca="1">ROUNDUP(IF(race="Gnome",1,(1-MIN(AB29*smithy_bonus,smithy_bonus_cap))*(1+Techs!AO29*tech_master_of_frugality))*elite1_ore,0)</f>
        <v>45</v>
      </c>
      <c r="CA29" s="164">
        <f t="shared" ca="1" si="11"/>
        <v>0</v>
      </c>
      <c r="CB29" s="164">
        <f t="shared" ca="1" si="12"/>
        <v>0</v>
      </c>
      <c r="CC29" s="164">
        <f t="shared" ca="1" si="13"/>
        <v>0</v>
      </c>
      <c r="CD29" s="164">
        <f t="shared" ca="1" si="14"/>
        <v>0</v>
      </c>
      <c r="CE29" s="164">
        <f t="shared" ca="1" si="15"/>
        <v>0</v>
      </c>
      <c r="CF29" s="164">
        <f ca="1">ROUNDUP((1-MIN(AB29*smithy_bonus,smithy_bonus_cap))*(1+Techs!AO29*tech_master_of_frugality)*elite2_plat,0)</f>
        <v>750</v>
      </c>
      <c r="CG29" s="164">
        <f ca="1">ROUNDUP(IF(race="Gnome",1,(1-MIN(AB29*smithy_bonus,smithy_bonus_cap))*(1+Techs!AO29*tech_master_of_frugality))*elite2_ore,0)</f>
        <v>60</v>
      </c>
      <c r="CH29" s="164">
        <f t="shared" ca="1" si="16"/>
        <v>0</v>
      </c>
      <c r="CI29" s="164">
        <f t="shared" ca="1" si="17"/>
        <v>0</v>
      </c>
      <c r="CJ29" s="164">
        <f t="shared" ca="1" si="18"/>
        <v>0</v>
      </c>
      <c r="CK29" s="164">
        <f t="shared" ca="1" si="19"/>
        <v>0</v>
      </c>
      <c r="CL29" s="164">
        <f t="shared" ca="1" si="20"/>
        <v>0</v>
      </c>
      <c r="CM29" s="164">
        <f>ROUNDUP((1+tech_spy_cost*Techs!AJ29)*spy_plat,0)</f>
        <v>500</v>
      </c>
      <c r="CN29" s="164">
        <f>ROUNDUP((1+tech_wizard_cost*Techs!AM29-MIN(ROUND(wg_wiz_cost_bonus*BN29,4),wg_wiz_cost_cap))*wizard_plat,0)</f>
        <v>500</v>
      </c>
      <c r="CO29" s="166">
        <f>ROUNDUP((1+tech_wizard_cost*Techs!AM29-MIN(ROUND(wg_wiz_cost_bonus*BN29,4),wg_wiz_cost_cap))*archmage_plat,0)</f>
        <v>1000</v>
      </c>
      <c r="CQ29" s="461">
        <f ca="1">Construction!DF29/Construction!E29</f>
        <v>0.28000000000000003</v>
      </c>
      <c r="CR29" s="462">
        <f t="shared" si="73"/>
        <v>0</v>
      </c>
      <c r="CS29" s="462">
        <f>Construction!BK29/Construction!E29</f>
        <v>0.05</v>
      </c>
      <c r="CT29" s="462">
        <f>Construction!BJ29/Construction!E29</f>
        <v>0</v>
      </c>
      <c r="CU29" s="462">
        <f>Construction!AY29/Construction!E29</f>
        <v>0</v>
      </c>
      <c r="CV29" s="481">
        <f t="shared" ca="1" si="22"/>
        <v>1.4000000000000001</v>
      </c>
      <c r="CW29" s="482">
        <f t="shared" ca="1" si="23"/>
        <v>1.4000000000000001</v>
      </c>
      <c r="CX29" s="482">
        <f t="shared" ca="1" si="24"/>
        <v>1.4000000000000001</v>
      </c>
      <c r="CY29" s="483">
        <f t="shared" ca="1" si="25"/>
        <v>1.4000000000000001</v>
      </c>
      <c r="CZ29" s="483">
        <f t="shared" si="26"/>
        <v>0.1</v>
      </c>
      <c r="DA29" s="483">
        <f t="shared" ca="1" si="27"/>
        <v>3</v>
      </c>
      <c r="DB29" s="483">
        <f t="shared" ca="1" si="28"/>
        <v>1.4000000000000001</v>
      </c>
      <c r="DC29" s="482">
        <f t="shared" si="29"/>
        <v>0</v>
      </c>
      <c r="DD29" s="847">
        <f t="shared" si="55"/>
        <v>0</v>
      </c>
      <c r="DE29" s="440">
        <f t="shared" si="56"/>
        <v>800</v>
      </c>
      <c r="DF29" s="440">
        <f t="shared" si="57"/>
        <v>0</v>
      </c>
      <c r="DG29" s="481">
        <f t="shared" ca="1" si="30"/>
        <v>1.4000000000000001</v>
      </c>
      <c r="DH29" s="450">
        <f t="shared" si="58"/>
        <v>9.0000000000000011E-2</v>
      </c>
      <c r="DI29" s="450">
        <f>MIN(valkyrja_cap,Production!O29/valkyrja_bonus)</f>
        <v>1</v>
      </c>
      <c r="DJ29" s="847">
        <f>MIN(voodoo_magi_cap,Production!O29/voodoo_magi_bonus)</f>
        <v>0.83333333333333337</v>
      </c>
      <c r="DK29" s="847">
        <f>MIN(warlock_cap,Production!O29/warlock_bonus)</f>
        <v>1.25</v>
      </c>
      <c r="DL29" s="847">
        <f ca="1">MIN(nox_nightshade_cap,Construction!DF29/Construction!E29/nox_nightshade_swamp_bonus)</f>
        <v>2.8000000000000003</v>
      </c>
      <c r="DM29" s="482">
        <f t="shared" si="31"/>
        <v>0</v>
      </c>
      <c r="DN29" s="483">
        <f t="shared" ca="1" si="32"/>
        <v>2.8000000000000003</v>
      </c>
      <c r="DO29" s="483">
        <f t="shared" ca="1" si="33"/>
        <v>2.8000000000000003</v>
      </c>
      <c r="DP29" s="483">
        <f t="shared" si="34"/>
        <v>1</v>
      </c>
      <c r="DQ29" s="482">
        <f t="shared" si="35"/>
        <v>0</v>
      </c>
      <c r="DR29" s="483">
        <f t="shared" si="36"/>
        <v>0</v>
      </c>
      <c r="DS29" s="482">
        <f t="shared" si="37"/>
        <v>0</v>
      </c>
      <c r="DT29" s="483">
        <f t="shared" si="59"/>
        <v>0.1</v>
      </c>
      <c r="DX29" s="481">
        <f ca="1">MIN(6,CV29+Races!$F$19)*1.8 +  IF(CV29+Races!$F$19&gt;6,(CV29+Races!$F$19-6)*0.2,0) - Races!$N$19</f>
        <v>2.5200000000000005</v>
      </c>
      <c r="DY29" s="482">
        <f ca="1">1.8 * MIN(MAX(CW29+Races!$E$20,CX29+Races!$F$20),6)  +  0.45 * MIN(MIN(CW29+Races!$E$20,CX29+Races!$F$20),6)  +  0.2 * ( MAX(CW29+Races!$E$20-6,0) + MAX(CX29+Races!$F$20-6,0) )  -  Races!$N$20</f>
        <v>3.1500000000000012</v>
      </c>
      <c r="DZ29" s="166">
        <f t="shared" ca="1" si="38"/>
        <v>3780.0000000000009</v>
      </c>
      <c r="EA29" s="665">
        <f ca="1">MIN(6,CY29+Races!$F$35)*1.8 +  IF(CY29+Races!$F$35&gt;6,(CY29+Races!$F$35-6)*0.2,0) - Races!$N$19</f>
        <v>0.72000000000000064</v>
      </c>
      <c r="EB29" s="166">
        <f t="shared" ca="1" si="39"/>
        <v>0</v>
      </c>
      <c r="EC29" s="665">
        <f ca="1">1.8 * MIN(MAX(Races!$E$27,DB29+Races!$F$27),6)  +  0.45 * MIN(MIN(Races!$E$27,DB29+Races!$F$27),6)  +  0.2 * ( MAX(Races!$E$27-6,0) + MAX(DB29+Races!$F$27-6,0) )  -  Races!$N$20</f>
        <v>4.7700000000000005</v>
      </c>
      <c r="ED29" s="166">
        <f t="shared" ca="1" si="40"/>
        <v>0</v>
      </c>
      <c r="EE29" s="665">
        <f>1.8 * MIN(MAX(DC29+Races!$E$47,DD29+Races!$F$47),6)  +  0.45 * MIN(MIN(DC29+Races!$E$47,DD29+Races!$F$47),6)  +  0.2 * ( MAX(DC29+Races!$E$47-6,0) + MAX(DD29+Races!$F$47-6,0) )  -  Races!$N$47</f>
        <v>0</v>
      </c>
      <c r="EF29" s="166">
        <f t="shared" si="41"/>
        <v>0</v>
      </c>
      <c r="EG29" s="665">
        <f ca="1">1.8 * MIN(MAX(DG29+Races!$F$71,Races!$E$71),6)  +  0.45 * MIN(MIN(DG29+Races!$F$71,Races!$E$71),6)  +  0.2 * ( MAX(DG29+Races!$F$71-6,0) + MAX(Races!$E$71-6,0) )  -  Races!$N$71</f>
        <v>2.5200000000000014</v>
      </c>
      <c r="EH29" s="665">
        <f>1.8 * MIN(MAX(DH29+Races!$E$71,Races!$F$71),6)  +  0.45 * MIN(MIN(DH29+Races!$E$71,Races!$F$71),6)  +  0.2 * ( MAX(DH29+Races!$E$71-6,0) + MAX(Races!$F$71-6,0) )  -  Races!$N$71</f>
        <v>0.16200000000000081</v>
      </c>
      <c r="EI29" s="166">
        <f t="shared" ca="1" si="42"/>
        <v>2584.8000000000015</v>
      </c>
      <c r="EJ29" s="166"/>
      <c r="EK29" s="166"/>
      <c r="EL29" s="166"/>
      <c r="EM29" s="166">
        <f ca="1">Overview!$L$22*E29+Overview!$L$23*F29+Overview!$L$24*G29+Overview!$L$25*H29+Overview!$L$26*I29+Overview!$L$27*J29+Overview!$L$28*K29+Construction!E29*20+Construction!B29*5 + DZ29*$DV$4+EB29*$DV$5+ED29*$DV$6+EF29*$DV$7+EI29*$DV$9</f>
        <v>39460</v>
      </c>
      <c r="EO29" s="737">
        <f>(J29+2*K29)/Construction!E29</f>
        <v>0.1</v>
      </c>
      <c r="EP29" s="734">
        <f ca="1">EO29*(1+race_wizard_strength+tech_magical_weaponry_wiz*Techs!AV101)</f>
        <v>0.1</v>
      </c>
      <c r="EQ29" s="170">
        <f>(I29+halfer*H29/3)/Construction!E29</f>
        <v>0.1</v>
      </c>
    </row>
    <row r="30" spans="1:147" s="16" customFormat="1">
      <c r="A30" s="629">
        <f>Rezone!J30</f>
        <v>28</v>
      </c>
      <c r="B30" s="56">
        <f ca="1">SUM(E30:K30)+SUM(AF22:AG30)+SUM(AH19:AL30)+Z30+Explore!AL30</f>
        <v>5295</v>
      </c>
      <c r="C30" s="97">
        <f ca="1">Population!G30</f>
        <v>0.57305194805194803</v>
      </c>
      <c r="E30" s="52">
        <f t="shared" si="64"/>
        <v>0</v>
      </c>
      <c r="F30" s="16">
        <f t="shared" si="65"/>
        <v>0</v>
      </c>
      <c r="G30" s="16">
        <f t="shared" si="66"/>
        <v>1000</v>
      </c>
      <c r="H30" s="16">
        <f t="shared" si="67"/>
        <v>400</v>
      </c>
      <c r="I30" s="16">
        <f t="shared" si="68"/>
        <v>100</v>
      </c>
      <c r="J30" s="16">
        <f t="shared" si="69"/>
        <v>100</v>
      </c>
      <c r="K30" s="53">
        <f t="shared" si="70"/>
        <v>0</v>
      </c>
      <c r="M30" s="64">
        <f ca="1">Production!G30</f>
        <v>39460</v>
      </c>
      <c r="O30" s="234">
        <f t="shared" ca="1" si="0"/>
        <v>4400</v>
      </c>
      <c r="P30" s="455">
        <f ca="1">race_offense+Imps!AB30+ROUND(MIN(gn_bonus*Construction!BF30/Construction!$E30,gn_bonus_cap),4)+MAX(IF(Magic!$AN30&gt;0,warsong_bonus),IF(Magic!AP30&gt;0,howling_op_bonus),IF(Magic!AS30&gt;0,nightfall_bonus),IF(Magic!AT30&gt;0,crusade_bonus),IF(Magic!AU30&gt;0,killingrage_bonus),IF(Magic!AV30&gt;0,bloodrage_bonus)) + Production!O30/100*prestige_offense_bonus + MAX(tech_military_offense*Techs!AH30,tech_magical_weaponry_op*Techs!AV30)</f>
        <v>0.05</v>
      </c>
      <c r="Q30" s="235">
        <f t="shared" ca="1" si="46"/>
        <v>4620</v>
      </c>
      <c r="R30" s="234">
        <f ca="1">F30*(spec_dp+spirit*DR30)+G30*(elite1_dp+woodie*CV30+sylvan*CY30+gnome*DB30+dark_elf*DD30+icekin*DG30+orc*DJ30+nox*DL30+beast*DN30+sacred*DP30+spirit*DS30+blackorc*DK30)+H30*(elite2_dp+woodie*CX30+beast*DO30+sacred*DQ30) + fh_peas_dp*MIN(Population!C30,20*Construction!BD30)+kobold*DE30</f>
        <v>7200</v>
      </c>
      <c r="S30" s="235">
        <f t="shared" ca="1" si="1"/>
        <v>10895</v>
      </c>
      <c r="T30" s="1052">
        <f ca="1">race_defense+Imps!AC30+ROUND(MIN(gt_bonus*Construction!BH30/Construction!$E30,gt_bonus_cap),4)+MAX(IF(Magic!AM30&gt;0,frenzy_bonus,IF(Magic!AQ30&gt;0,blizzard_bonus,IF(Magic!AP30&gt;0,howling_dp_bonus,IF(Magic!AI30&gt;0,ares_call_bonus)))),IF(Magic!AX30&gt;0,MIN(Construction!DF30/Construction!E30,0.2),0))</f>
        <v>0</v>
      </c>
      <c r="U30" s="1046">
        <f t="shared" ca="1" si="47"/>
        <v>7200</v>
      </c>
      <c r="V30" s="308">
        <f t="shared" ca="1" si="48"/>
        <v>10895</v>
      </c>
      <c r="W30" s="310">
        <f>Construction!E30</f>
        <v>1000</v>
      </c>
      <c r="X30" s="367"/>
      <c r="Y30" s="146">
        <f t="shared" si="74"/>
        <v>0.4</v>
      </c>
      <c r="Z30" s="166">
        <f ca="1">Z29+Population!Z29 - IF(race="Lux",AF30,SUM(AF30:AK30)) - BE30 + SUM(BF30:BL30) - Explore!AI30</f>
        <v>3695</v>
      </c>
      <c r="AA30" s="164"/>
      <c r="AB30" s="91">
        <f>(Construction!$BA30+Construction!BY30)/(Construction!$E30-Explore!S30*20)</f>
        <v>0.2</v>
      </c>
      <c r="AC30" s="529"/>
      <c r="AD30" s="799">
        <f>Rezone!J30</f>
        <v>28</v>
      </c>
      <c r="AE30" s="589">
        <f>Explore!AA30</f>
        <v>43693.124999999935</v>
      </c>
      <c r="AF30" s="356"/>
      <c r="AG30" s="348"/>
      <c r="AH30" s="348"/>
      <c r="AI30" s="348"/>
      <c r="AJ30" s="348"/>
      <c r="AK30" s="348"/>
      <c r="AL30" s="357"/>
      <c r="AN30" s="56">
        <f ca="1">Production!$H30</f>
        <v>3235088</v>
      </c>
      <c r="AO30" s="26">
        <f ca="1">Production!$L30</f>
        <v>231000</v>
      </c>
      <c r="AP30" s="26">
        <f ca="1">Production!J30</f>
        <v>289946</v>
      </c>
      <c r="AQ30" s="26">
        <f ca="1">Production!M30</f>
        <v>20000</v>
      </c>
      <c r="AR30" s="26">
        <f ca="1">Production!K30</f>
        <v>37869</v>
      </c>
      <c r="AS30" s="26">
        <f ca="1">Production!I30</f>
        <v>139517</v>
      </c>
      <c r="AT30" s="26">
        <f ca="1">Production!N30</f>
        <v>200</v>
      </c>
      <c r="AU30" s="152">
        <f t="shared" ca="1" si="2"/>
        <v>0</v>
      </c>
      <c r="AV30" s="164">
        <f t="shared" ca="1" si="3"/>
        <v>0</v>
      </c>
      <c r="AW30" s="164">
        <f t="shared" ca="1" si="50"/>
        <v>0</v>
      </c>
      <c r="AX30" s="164">
        <f t="shared" ca="1" si="51"/>
        <v>0</v>
      </c>
      <c r="AY30" s="164">
        <f t="shared" ca="1" si="52"/>
        <v>0</v>
      </c>
      <c r="AZ30" s="164">
        <f t="shared" ca="1" si="53"/>
        <v>0</v>
      </c>
      <c r="BA30" s="166">
        <f t="shared" ca="1" si="54"/>
        <v>0</v>
      </c>
      <c r="BB30" s="16">
        <v>28</v>
      </c>
      <c r="BC30" s="574">
        <f t="shared" si="71"/>
        <v>43693.124999999935</v>
      </c>
      <c r="BD30" s="148">
        <f t="shared" ca="1" si="72"/>
        <v>3695</v>
      </c>
      <c r="BE30" s="356"/>
      <c r="BF30" s="348"/>
      <c r="BG30" s="348"/>
      <c r="BH30" s="348"/>
      <c r="BI30" s="348"/>
      <c r="BJ30" s="348"/>
      <c r="BK30" s="348"/>
      <c r="BL30" s="357"/>
      <c r="BN30" s="503">
        <f>Construction!BM30/Construction!E30</f>
        <v>0</v>
      </c>
      <c r="BO30" s="171">
        <f>Construction!BD30/Construction!E30</f>
        <v>0</v>
      </c>
      <c r="BP30" s="152">
        <f>ROUNDUP((1-MIN(AB30*smithy_bonus,smithy_bonus_cap))*(1+Techs!AO30*tech_master_of_frugality)*spec_op_plat,0)</f>
        <v>165</v>
      </c>
      <c r="BQ30" s="164">
        <f>ROUNDUP(IF(race="Gnome",1,(1-MIN(AB30*smithy_bonus,smithy_bonus_cap))*(1+Techs!AO30*tech_master_of_frugality))*spec_op_ore,0)</f>
        <v>15</v>
      </c>
      <c r="BR30" s="164">
        <f t="shared" si="6"/>
        <v>0</v>
      </c>
      <c r="BS30" s="164">
        <f t="shared" si="7"/>
        <v>0</v>
      </c>
      <c r="BT30" s="164">
        <f ca="1">ROUNDUP((1-MIN(AB30*smithy_bonus,smithy_bonus_cap))*(1+Techs!AO30*tech_master_of_frugality)*spec_dp_plat,0)</f>
        <v>165</v>
      </c>
      <c r="BU30" s="164">
        <f ca="1">ROUNDUP(IF(OR(race="Gnome",race="Imperial Gnome"),1,(1-MIN(AB30*smithy_bonus,smithy_bonus_cap))*(1+Techs!AO30*tech_master_of_frugality))*spec_dp_ore,0)</f>
        <v>6</v>
      </c>
      <c r="BV30" s="164">
        <f t="shared" ca="1" si="8"/>
        <v>0</v>
      </c>
      <c r="BW30" s="164">
        <f t="shared" ca="1" si="9"/>
        <v>0</v>
      </c>
      <c r="BX30" s="164">
        <f t="shared" ca="1" si="10"/>
        <v>0</v>
      </c>
      <c r="BY30" s="164">
        <f ca="1">ROUNDUP((1-MIN(AB30*smithy_bonus,smithy_bonus_cap))*(1+Techs!AO30*tech_master_of_frugality)*elite1_plat,0)</f>
        <v>600</v>
      </c>
      <c r="BZ30" s="164">
        <f ca="1">ROUNDUP(IF(race="Gnome",1,(1-MIN(AB30*smithy_bonus,smithy_bonus_cap))*(1+Techs!AO30*tech_master_of_frugality))*elite1_ore,0)</f>
        <v>45</v>
      </c>
      <c r="CA30" s="164">
        <f t="shared" ca="1" si="11"/>
        <v>0</v>
      </c>
      <c r="CB30" s="164">
        <f t="shared" ca="1" si="12"/>
        <v>0</v>
      </c>
      <c r="CC30" s="164">
        <f t="shared" ca="1" si="13"/>
        <v>0</v>
      </c>
      <c r="CD30" s="164">
        <f t="shared" ca="1" si="14"/>
        <v>0</v>
      </c>
      <c r="CE30" s="164">
        <f t="shared" ca="1" si="15"/>
        <v>0</v>
      </c>
      <c r="CF30" s="164">
        <f ca="1">ROUNDUP((1-MIN(AB30*smithy_bonus,smithy_bonus_cap))*(1+Techs!AO30*tech_master_of_frugality)*elite2_plat,0)</f>
        <v>750</v>
      </c>
      <c r="CG30" s="164">
        <f ca="1">ROUNDUP(IF(race="Gnome",1,(1-MIN(AB30*smithy_bonus,smithy_bonus_cap))*(1+Techs!AO30*tech_master_of_frugality))*elite2_ore,0)</f>
        <v>60</v>
      </c>
      <c r="CH30" s="164">
        <f t="shared" ca="1" si="16"/>
        <v>0</v>
      </c>
      <c r="CI30" s="164">
        <f t="shared" ca="1" si="17"/>
        <v>0</v>
      </c>
      <c r="CJ30" s="164">
        <f t="shared" ca="1" si="18"/>
        <v>0</v>
      </c>
      <c r="CK30" s="164">
        <f t="shared" ca="1" si="19"/>
        <v>0</v>
      </c>
      <c r="CL30" s="164">
        <f t="shared" ca="1" si="20"/>
        <v>0</v>
      </c>
      <c r="CM30" s="164">
        <f>ROUNDUP((1+tech_spy_cost*Techs!AJ30)*spy_plat,0)</f>
        <v>500</v>
      </c>
      <c r="CN30" s="164">
        <f>ROUNDUP((1+tech_wizard_cost*Techs!AM30-MIN(ROUND(wg_wiz_cost_bonus*BN30,4),wg_wiz_cost_cap))*wizard_plat,0)</f>
        <v>500</v>
      </c>
      <c r="CO30" s="166">
        <f>ROUNDUP((1+tech_wizard_cost*Techs!AM30-MIN(ROUND(wg_wiz_cost_bonus*BN30,4),wg_wiz_cost_cap))*archmage_plat,0)</f>
        <v>1000</v>
      </c>
      <c r="CQ30" s="465">
        <f ca="1">Construction!DF30/Construction!E30</f>
        <v>0.28000000000000003</v>
      </c>
      <c r="CR30" s="466">
        <f t="shared" si="73"/>
        <v>0</v>
      </c>
      <c r="CS30" s="466">
        <f>Construction!BK30/Construction!E30</f>
        <v>0.05</v>
      </c>
      <c r="CT30" s="466">
        <f>Construction!BJ30/Construction!E30</f>
        <v>0</v>
      </c>
      <c r="CU30" s="466">
        <f>Construction!AY30/Construction!E30</f>
        <v>0</v>
      </c>
      <c r="CV30" s="481">
        <f t="shared" ca="1" si="22"/>
        <v>1.4000000000000001</v>
      </c>
      <c r="CW30" s="482">
        <f t="shared" ca="1" si="23"/>
        <v>1.4000000000000001</v>
      </c>
      <c r="CX30" s="482">
        <f t="shared" ca="1" si="24"/>
        <v>1.4000000000000001</v>
      </c>
      <c r="CY30" s="483">
        <f t="shared" ca="1" si="25"/>
        <v>1.4000000000000001</v>
      </c>
      <c r="CZ30" s="483">
        <f t="shared" si="26"/>
        <v>0.1</v>
      </c>
      <c r="DA30" s="483">
        <f t="shared" ca="1" si="27"/>
        <v>3</v>
      </c>
      <c r="DB30" s="483">
        <f t="shared" ca="1" si="28"/>
        <v>1.4000000000000001</v>
      </c>
      <c r="DC30" s="482">
        <f t="shared" si="29"/>
        <v>0</v>
      </c>
      <c r="DD30" s="847">
        <f t="shared" si="55"/>
        <v>0</v>
      </c>
      <c r="DE30" s="440">
        <f t="shared" si="56"/>
        <v>800</v>
      </c>
      <c r="DF30" s="440">
        <f t="shared" si="57"/>
        <v>0</v>
      </c>
      <c r="DG30" s="481">
        <f t="shared" ca="1" si="30"/>
        <v>1.4000000000000001</v>
      </c>
      <c r="DH30" s="450">
        <f t="shared" si="58"/>
        <v>9.0000000000000011E-2</v>
      </c>
      <c r="DI30" s="450">
        <f>MIN(valkyrja_cap,Production!O30/valkyrja_bonus)</f>
        <v>1</v>
      </c>
      <c r="DJ30" s="847">
        <f>MIN(voodoo_magi_cap,Production!O30/voodoo_magi_bonus)</f>
        <v>0.83333333333333337</v>
      </c>
      <c r="DK30" s="847">
        <f>MIN(warlock_cap,Production!O30/warlock_bonus)</f>
        <v>1.25</v>
      </c>
      <c r="DL30" s="847">
        <f ca="1">MIN(nox_nightshade_cap,Construction!DF30/Construction!E30/nox_nightshade_swamp_bonus)</f>
        <v>2.8000000000000003</v>
      </c>
      <c r="DM30" s="482">
        <f t="shared" si="31"/>
        <v>0</v>
      </c>
      <c r="DN30" s="483">
        <f t="shared" ca="1" si="32"/>
        <v>2.8000000000000003</v>
      </c>
      <c r="DO30" s="483">
        <f t="shared" ca="1" si="33"/>
        <v>2.8000000000000003</v>
      </c>
      <c r="DP30" s="483">
        <f t="shared" si="34"/>
        <v>1</v>
      </c>
      <c r="DQ30" s="482">
        <f t="shared" si="35"/>
        <v>0</v>
      </c>
      <c r="DR30" s="483">
        <f t="shared" si="36"/>
        <v>0</v>
      </c>
      <c r="DS30" s="482">
        <f t="shared" si="37"/>
        <v>0</v>
      </c>
      <c r="DT30" s="483">
        <f t="shared" si="59"/>
        <v>0.1</v>
      </c>
      <c r="DX30" s="487">
        <f ca="1">MIN(6,CV30+Races!$F$19)*1.8 +  IF(CV30+Races!$F$19&gt;6,(CV30+Races!$F$19-6)*0.2,0) - Races!$N$19</f>
        <v>2.5200000000000005</v>
      </c>
      <c r="DY30" s="488">
        <f ca="1">1.8 * MIN(MAX(CW30+Races!$E$20,CX30+Races!$F$20),6)  +  0.45 * MIN(MIN(CW30+Races!$E$20,CX30+Races!$F$20),6)  +  0.2 * ( MAX(CW30+Races!$E$20-6,0) + MAX(CX30+Races!$F$20-6,0) )  -  Races!$N$20</f>
        <v>3.1500000000000012</v>
      </c>
      <c r="DZ30" s="57">
        <f t="shared" ca="1" si="38"/>
        <v>3780.0000000000009</v>
      </c>
      <c r="EA30" s="666">
        <f ca="1">MIN(6,CY30+Races!$F$35)*1.8 +  IF(CY30+Races!$F$35&gt;6,(CY30+Races!$F$35-6)*0.2,0) - Races!$N$19</f>
        <v>0.72000000000000064</v>
      </c>
      <c r="EB30" s="57">
        <f t="shared" ca="1" si="39"/>
        <v>0</v>
      </c>
      <c r="EC30" s="666">
        <f ca="1">1.8 * MIN(MAX(Races!$E$27,DB30+Races!$F$27),6)  +  0.45 * MIN(MIN(Races!$E$27,DB30+Races!$F$27),6)  +  0.2 * ( MAX(Races!$E$27-6,0) + MAX(DB30+Races!$F$27-6,0) )  -  Races!$N$20</f>
        <v>4.7700000000000005</v>
      </c>
      <c r="ED30" s="57">
        <f t="shared" ca="1" si="40"/>
        <v>0</v>
      </c>
      <c r="EE30" s="666">
        <f>1.8 * MIN(MAX(DC30+Races!$E$47,DD30+Races!$F$47),6)  +  0.45 * MIN(MIN(DC30+Races!$E$47,DD30+Races!$F$47),6)  +  0.2 * ( MAX(DC30+Races!$E$47-6,0) + MAX(DD30+Races!$F$47-6,0) )  -  Races!$N$47</f>
        <v>0</v>
      </c>
      <c r="EF30" s="57">
        <f t="shared" si="41"/>
        <v>0</v>
      </c>
      <c r="EG30" s="666">
        <f ca="1">1.8 * MIN(MAX(DG30+Races!$F$71,Races!$E$71),6)  +  0.45 * MIN(MIN(DG30+Races!$F$71,Races!$E$71),6)  +  0.2 * ( MAX(DG30+Races!$F$71-6,0) + MAX(Races!$E$71-6,0) )  -  Races!$N$71</f>
        <v>2.5200000000000014</v>
      </c>
      <c r="EH30" s="666">
        <f>1.8 * MIN(MAX(DH30+Races!$E$71,Races!$F$71),6)  +  0.45 * MIN(MIN(DH30+Races!$E$71,Races!$F$71),6)  +  0.2 * ( MAX(DH30+Races!$E$71-6,0) + MAX(Races!$F$71-6,0) )  -  Races!$N$71</f>
        <v>0.16200000000000081</v>
      </c>
      <c r="EI30" s="57">
        <f t="shared" ca="1" si="42"/>
        <v>2584.8000000000015</v>
      </c>
      <c r="EJ30" s="57"/>
      <c r="EK30" s="57"/>
      <c r="EL30" s="57"/>
      <c r="EM30" s="57">
        <f ca="1">Overview!$L$22*E30+Overview!$L$23*F30+Overview!$L$24*G30+Overview!$L$25*H30+Overview!$L$26*I30+Overview!$L$27*J30+Overview!$L$28*K30+Construction!E30*20+Construction!B30*5 + DZ30*$DV$4+EB30*$DV$5+ED30*$DV$6+EF30*$DV$7+EI30*$DV$9</f>
        <v>39460</v>
      </c>
      <c r="EO30" s="738">
        <f>(J30+2*K30)/Construction!E30</f>
        <v>0.1</v>
      </c>
      <c r="EP30" s="734">
        <f ca="1">EO30*(1+race_wizard_strength+tech_magical_weaponry_wiz*Techs!AV102)</f>
        <v>0.1</v>
      </c>
      <c r="EQ30" s="16">
        <f>(I30+halfer*H30/3)/Construction!E30</f>
        <v>0.1</v>
      </c>
    </row>
    <row r="31" spans="1:147" s="16" customFormat="1">
      <c r="A31" s="629">
        <f>Rezone!J31</f>
        <v>29</v>
      </c>
      <c r="B31" s="56">
        <f ca="1">SUM(E31:K31)+SUM(AF23:AG31)+SUM(AH20:AL31)+Z31+Explore!AL31</f>
        <v>5295</v>
      </c>
      <c r="C31" s="97">
        <f ca="1">Population!G31</f>
        <v>0.57305194805194803</v>
      </c>
      <c r="E31" s="52">
        <f t="shared" si="64"/>
        <v>0</v>
      </c>
      <c r="F31" s="16">
        <f t="shared" si="65"/>
        <v>0</v>
      </c>
      <c r="G31" s="16">
        <f t="shared" si="66"/>
        <v>1000</v>
      </c>
      <c r="H31" s="16">
        <f t="shared" si="67"/>
        <v>400</v>
      </c>
      <c r="I31" s="16">
        <f t="shared" si="68"/>
        <v>100</v>
      </c>
      <c r="J31" s="16">
        <f t="shared" si="69"/>
        <v>100</v>
      </c>
      <c r="K31" s="53">
        <f t="shared" si="70"/>
        <v>0</v>
      </c>
      <c r="M31" s="64">
        <f ca="1">Production!G31</f>
        <v>39460</v>
      </c>
      <c r="O31" s="234">
        <f t="shared" ca="1" si="0"/>
        <v>4400</v>
      </c>
      <c r="P31" s="455">
        <f ca="1">race_offense+Imps!AB31+ROUND(MIN(gn_bonus*Construction!BF31/Construction!$E31,gn_bonus_cap),4)+MAX(IF(Magic!$AN31&gt;0,warsong_bonus),IF(Magic!AP31&gt;0,howling_op_bonus),IF(Magic!AS31&gt;0,nightfall_bonus),IF(Magic!AT31&gt;0,crusade_bonus),IF(Magic!AU31&gt;0,killingrage_bonus),IF(Magic!AV31&gt;0,bloodrage_bonus)) + Production!O31/100*prestige_offense_bonus + MAX(tech_military_offense*Techs!AH31,tech_magical_weaponry_op*Techs!AV31)</f>
        <v>0.05</v>
      </c>
      <c r="Q31" s="235">
        <f t="shared" ca="1" si="46"/>
        <v>4620</v>
      </c>
      <c r="R31" s="234">
        <f ca="1">F31*(spec_dp+spirit*DR31)+G31*(elite1_dp+woodie*CV31+sylvan*CY31+gnome*DB31+dark_elf*DD31+icekin*DG31+orc*DJ31+nox*DL31+beast*DN31+sacred*DP31+spirit*DS31+blackorc*DK31)+H31*(elite2_dp+woodie*CX31+beast*DO31+sacred*DQ31) + fh_peas_dp*MIN(Population!C31,20*Construction!BD31)+kobold*DE31</f>
        <v>7200</v>
      </c>
      <c r="S31" s="235">
        <f t="shared" ca="1" si="1"/>
        <v>10895</v>
      </c>
      <c r="T31" s="1052">
        <f ca="1">race_defense+Imps!AC31+ROUND(MIN(gt_bonus*Construction!BH31/Construction!$E31,gt_bonus_cap),4)+MAX(IF(Magic!AM31&gt;0,frenzy_bonus,IF(Magic!AQ31&gt;0,blizzard_bonus,IF(Magic!AP31&gt;0,howling_dp_bonus,IF(Magic!AI31&gt;0,ares_call_bonus)))),IF(Magic!AX31&gt;0,MIN(Construction!DF31/Construction!E31,0.2),0))</f>
        <v>0</v>
      </c>
      <c r="U31" s="1046">
        <f t="shared" ca="1" si="47"/>
        <v>7200</v>
      </c>
      <c r="V31" s="308">
        <f t="shared" ca="1" si="48"/>
        <v>10895</v>
      </c>
      <c r="W31" s="310">
        <f>Construction!E31</f>
        <v>1000</v>
      </c>
      <c r="X31" s="367"/>
      <c r="Y31" s="146">
        <f t="shared" si="74"/>
        <v>0.4</v>
      </c>
      <c r="Z31" s="166">
        <f ca="1">Z30+Population!Z30 - IF(race="Lux",AF31,SUM(AF31:AK31)) - BE31 + SUM(BF31:BL31) - Explore!AI31</f>
        <v>3695</v>
      </c>
      <c r="AA31" s="164"/>
      <c r="AB31" s="91">
        <f>(Construction!$BA31+Construction!BY31)/(Construction!$E31-Explore!S31*20)</f>
        <v>0.2</v>
      </c>
      <c r="AC31" s="529"/>
      <c r="AD31" s="799">
        <f>Rezone!J31</f>
        <v>29</v>
      </c>
      <c r="AE31" s="589">
        <f>Explore!AA31</f>
        <v>43693.166666666599</v>
      </c>
      <c r="AF31" s="356"/>
      <c r="AG31" s="348"/>
      <c r="AH31" s="348"/>
      <c r="AI31" s="348"/>
      <c r="AJ31" s="348"/>
      <c r="AK31" s="348"/>
      <c r="AL31" s="357"/>
      <c r="AN31" s="56">
        <f ca="1">Production!$H31</f>
        <v>3245739</v>
      </c>
      <c r="AO31" s="26">
        <f ca="1">Production!$L31</f>
        <v>231000</v>
      </c>
      <c r="AP31" s="26">
        <f ca="1">Production!J31</f>
        <v>289547</v>
      </c>
      <c r="AQ31" s="26">
        <f ca="1">Production!M31</f>
        <v>20000</v>
      </c>
      <c r="AR31" s="26">
        <f ca="1">Production!K31</f>
        <v>38362</v>
      </c>
      <c r="AS31" s="26">
        <f ca="1">Production!I31</f>
        <v>142852</v>
      </c>
      <c r="AT31" s="26">
        <f ca="1">Production!N31</f>
        <v>200</v>
      </c>
      <c r="AU31" s="152">
        <f t="shared" ca="1" si="2"/>
        <v>0</v>
      </c>
      <c r="AV31" s="164">
        <f t="shared" ca="1" si="3"/>
        <v>0</v>
      </c>
      <c r="AW31" s="164">
        <f t="shared" ca="1" si="50"/>
        <v>0</v>
      </c>
      <c r="AX31" s="164">
        <f t="shared" ca="1" si="51"/>
        <v>0</v>
      </c>
      <c r="AY31" s="164">
        <f t="shared" ca="1" si="52"/>
        <v>0</v>
      </c>
      <c r="AZ31" s="164">
        <f t="shared" ca="1" si="53"/>
        <v>0</v>
      </c>
      <c r="BA31" s="166">
        <f t="shared" ca="1" si="54"/>
        <v>0</v>
      </c>
      <c r="BB31" s="16">
        <v>29</v>
      </c>
      <c r="BC31" s="574">
        <f t="shared" si="71"/>
        <v>43693.166666666599</v>
      </c>
      <c r="BD31" s="148">
        <f t="shared" ca="1" si="72"/>
        <v>3695</v>
      </c>
      <c r="BE31" s="356"/>
      <c r="BF31" s="348"/>
      <c r="BG31" s="348"/>
      <c r="BH31" s="348"/>
      <c r="BI31" s="348"/>
      <c r="BJ31" s="348"/>
      <c r="BK31" s="348"/>
      <c r="BL31" s="357"/>
      <c r="BN31" s="503">
        <f>Construction!BM31/Construction!E31</f>
        <v>0</v>
      </c>
      <c r="BO31" s="171">
        <f>Construction!BD31/Construction!E31</f>
        <v>0</v>
      </c>
      <c r="BP31" s="152">
        <f>ROUNDUP((1-MIN(AB31*smithy_bonus,smithy_bonus_cap))*(1+Techs!AO31*tech_master_of_frugality)*spec_op_plat,0)</f>
        <v>165</v>
      </c>
      <c r="BQ31" s="164">
        <f>ROUNDUP(IF(race="Gnome",1,(1-MIN(AB31*smithy_bonus,smithy_bonus_cap))*(1+Techs!AO31*tech_master_of_frugality))*spec_op_ore,0)</f>
        <v>15</v>
      </c>
      <c r="BR31" s="164">
        <f t="shared" si="6"/>
        <v>0</v>
      </c>
      <c r="BS31" s="164">
        <f t="shared" si="7"/>
        <v>0</v>
      </c>
      <c r="BT31" s="164">
        <f ca="1">ROUNDUP((1-MIN(AB31*smithy_bonus,smithy_bonus_cap))*(1+Techs!AO31*tech_master_of_frugality)*spec_dp_plat,0)</f>
        <v>165</v>
      </c>
      <c r="BU31" s="164">
        <f ca="1">ROUNDUP(IF(OR(race="Gnome",race="Imperial Gnome"),1,(1-MIN(AB31*smithy_bonus,smithy_bonus_cap))*(1+Techs!AO31*tech_master_of_frugality))*spec_dp_ore,0)</f>
        <v>6</v>
      </c>
      <c r="BV31" s="164">
        <f t="shared" ca="1" si="8"/>
        <v>0</v>
      </c>
      <c r="BW31" s="164">
        <f t="shared" ca="1" si="9"/>
        <v>0</v>
      </c>
      <c r="BX31" s="164">
        <f t="shared" ca="1" si="10"/>
        <v>0</v>
      </c>
      <c r="BY31" s="164">
        <f ca="1">ROUNDUP((1-MIN(AB31*smithy_bonus,smithy_bonus_cap))*(1+Techs!AO31*tech_master_of_frugality)*elite1_plat,0)</f>
        <v>600</v>
      </c>
      <c r="BZ31" s="164">
        <f ca="1">ROUNDUP(IF(race="Gnome",1,(1-MIN(AB31*smithy_bonus,smithy_bonus_cap))*(1+Techs!AO31*tech_master_of_frugality))*elite1_ore,0)</f>
        <v>45</v>
      </c>
      <c r="CA31" s="164">
        <f t="shared" ca="1" si="11"/>
        <v>0</v>
      </c>
      <c r="CB31" s="164">
        <f t="shared" ca="1" si="12"/>
        <v>0</v>
      </c>
      <c r="CC31" s="164">
        <f t="shared" ca="1" si="13"/>
        <v>0</v>
      </c>
      <c r="CD31" s="164">
        <f t="shared" ca="1" si="14"/>
        <v>0</v>
      </c>
      <c r="CE31" s="164">
        <f t="shared" ca="1" si="15"/>
        <v>0</v>
      </c>
      <c r="CF31" s="164">
        <f ca="1">ROUNDUP((1-MIN(AB31*smithy_bonus,smithy_bonus_cap))*(1+Techs!AO31*tech_master_of_frugality)*elite2_plat,0)</f>
        <v>750</v>
      </c>
      <c r="CG31" s="164">
        <f ca="1">ROUNDUP(IF(race="Gnome",1,(1-MIN(AB31*smithy_bonus,smithy_bonus_cap))*(1+Techs!AO31*tech_master_of_frugality))*elite2_ore,0)</f>
        <v>60</v>
      </c>
      <c r="CH31" s="164">
        <f t="shared" ca="1" si="16"/>
        <v>0</v>
      </c>
      <c r="CI31" s="164">
        <f t="shared" ca="1" si="17"/>
        <v>0</v>
      </c>
      <c r="CJ31" s="164">
        <f t="shared" ca="1" si="18"/>
        <v>0</v>
      </c>
      <c r="CK31" s="164">
        <f t="shared" ca="1" si="19"/>
        <v>0</v>
      </c>
      <c r="CL31" s="164">
        <f t="shared" ca="1" si="20"/>
        <v>0</v>
      </c>
      <c r="CM31" s="164">
        <f>ROUNDUP((1+tech_spy_cost*Techs!AJ31)*spy_plat,0)</f>
        <v>500</v>
      </c>
      <c r="CN31" s="164">
        <f>ROUNDUP((1+tech_wizard_cost*Techs!AM31-MIN(ROUND(wg_wiz_cost_bonus*BN31,4),wg_wiz_cost_cap))*wizard_plat,0)</f>
        <v>500</v>
      </c>
      <c r="CO31" s="166">
        <f>ROUNDUP((1+tech_wizard_cost*Techs!AM31-MIN(ROUND(wg_wiz_cost_bonus*BN31,4),wg_wiz_cost_cap))*archmage_plat,0)</f>
        <v>1000</v>
      </c>
      <c r="CQ31" s="465">
        <f ca="1">Construction!DF31/Construction!E31</f>
        <v>0.28000000000000003</v>
      </c>
      <c r="CR31" s="466">
        <f t="shared" si="73"/>
        <v>0</v>
      </c>
      <c r="CS31" s="466">
        <f>Construction!BK31/Construction!E31</f>
        <v>0.05</v>
      </c>
      <c r="CT31" s="466">
        <f>Construction!BJ31/Construction!E31</f>
        <v>0</v>
      </c>
      <c r="CU31" s="466">
        <f>Construction!AY31/Construction!E31</f>
        <v>0</v>
      </c>
      <c r="CV31" s="481">
        <f t="shared" ca="1" si="22"/>
        <v>1.4000000000000001</v>
      </c>
      <c r="CW31" s="482">
        <f t="shared" ca="1" si="23"/>
        <v>1.4000000000000001</v>
      </c>
      <c r="CX31" s="482">
        <f t="shared" ca="1" si="24"/>
        <v>1.4000000000000001</v>
      </c>
      <c r="CY31" s="483">
        <f t="shared" ca="1" si="25"/>
        <v>1.4000000000000001</v>
      </c>
      <c r="CZ31" s="483">
        <f t="shared" si="26"/>
        <v>0.1</v>
      </c>
      <c r="DA31" s="483">
        <f t="shared" ca="1" si="27"/>
        <v>3</v>
      </c>
      <c r="DB31" s="483">
        <f t="shared" ca="1" si="28"/>
        <v>1.4000000000000001</v>
      </c>
      <c r="DC31" s="482">
        <f t="shared" si="29"/>
        <v>0</v>
      </c>
      <c r="DD31" s="847">
        <f t="shared" si="55"/>
        <v>0</v>
      </c>
      <c r="DE31" s="440">
        <f t="shared" si="56"/>
        <v>800</v>
      </c>
      <c r="DF31" s="440">
        <f t="shared" si="57"/>
        <v>0</v>
      </c>
      <c r="DG31" s="481">
        <f t="shared" ca="1" si="30"/>
        <v>1.4000000000000001</v>
      </c>
      <c r="DH31" s="450">
        <f t="shared" si="58"/>
        <v>9.0000000000000011E-2</v>
      </c>
      <c r="DI31" s="450">
        <f>MIN(valkyrja_cap,Production!O31/valkyrja_bonus)</f>
        <v>1</v>
      </c>
      <c r="DJ31" s="847">
        <f>MIN(voodoo_magi_cap,Production!O31/voodoo_magi_bonus)</f>
        <v>0.83333333333333337</v>
      </c>
      <c r="DK31" s="847">
        <f>MIN(warlock_cap,Production!O31/warlock_bonus)</f>
        <v>1.25</v>
      </c>
      <c r="DL31" s="847">
        <f ca="1">MIN(nox_nightshade_cap,Construction!DF31/Construction!E31/nox_nightshade_swamp_bonus)</f>
        <v>2.8000000000000003</v>
      </c>
      <c r="DM31" s="482">
        <f t="shared" si="31"/>
        <v>0</v>
      </c>
      <c r="DN31" s="483">
        <f t="shared" ca="1" si="32"/>
        <v>2.8000000000000003</v>
      </c>
      <c r="DO31" s="483">
        <f t="shared" ca="1" si="33"/>
        <v>2.8000000000000003</v>
      </c>
      <c r="DP31" s="483">
        <f t="shared" si="34"/>
        <v>1</v>
      </c>
      <c r="DQ31" s="482">
        <f t="shared" si="35"/>
        <v>0</v>
      </c>
      <c r="DR31" s="483">
        <f t="shared" si="36"/>
        <v>0</v>
      </c>
      <c r="DS31" s="482">
        <f t="shared" si="37"/>
        <v>0</v>
      </c>
      <c r="DT31" s="483">
        <f t="shared" si="59"/>
        <v>0.1</v>
      </c>
      <c r="DX31" s="487">
        <f ca="1">MIN(6,CV31+Races!$F$19)*1.8 +  IF(CV31+Races!$F$19&gt;6,(CV31+Races!$F$19-6)*0.2,0) - Races!$N$19</f>
        <v>2.5200000000000005</v>
      </c>
      <c r="DY31" s="488">
        <f ca="1">1.8 * MIN(MAX(CW31+Races!$E$20,CX31+Races!$F$20),6)  +  0.45 * MIN(MIN(CW31+Races!$E$20,CX31+Races!$F$20),6)  +  0.2 * ( MAX(CW31+Races!$E$20-6,0) + MAX(CX31+Races!$F$20-6,0) )  -  Races!$N$20</f>
        <v>3.1500000000000012</v>
      </c>
      <c r="DZ31" s="57">
        <f t="shared" ca="1" si="38"/>
        <v>3780.0000000000009</v>
      </c>
      <c r="EA31" s="666">
        <f ca="1">MIN(6,CY31+Races!$F$35)*1.8 +  IF(CY31+Races!$F$35&gt;6,(CY31+Races!$F$35-6)*0.2,0) - Races!$N$19</f>
        <v>0.72000000000000064</v>
      </c>
      <c r="EB31" s="57">
        <f t="shared" ca="1" si="39"/>
        <v>0</v>
      </c>
      <c r="EC31" s="666">
        <f ca="1">1.8 * MIN(MAX(Races!$E$27,DB31+Races!$F$27),6)  +  0.45 * MIN(MIN(Races!$E$27,DB31+Races!$F$27),6)  +  0.2 * ( MAX(Races!$E$27-6,0) + MAX(DB31+Races!$F$27-6,0) )  -  Races!$N$20</f>
        <v>4.7700000000000005</v>
      </c>
      <c r="ED31" s="57">
        <f t="shared" ca="1" si="40"/>
        <v>0</v>
      </c>
      <c r="EE31" s="666">
        <f>1.8 * MIN(MAX(DC31+Races!$E$47,DD31+Races!$F$47),6)  +  0.45 * MIN(MIN(DC31+Races!$E$47,DD31+Races!$F$47),6)  +  0.2 * ( MAX(DC31+Races!$E$47-6,0) + MAX(DD31+Races!$F$47-6,0) )  -  Races!$N$47</f>
        <v>0</v>
      </c>
      <c r="EF31" s="57">
        <f t="shared" si="41"/>
        <v>0</v>
      </c>
      <c r="EG31" s="666">
        <f ca="1">1.8 * MIN(MAX(DG31+Races!$F$71,Races!$E$71),6)  +  0.45 * MIN(MIN(DG31+Races!$F$71,Races!$E$71),6)  +  0.2 * ( MAX(DG31+Races!$F$71-6,0) + MAX(Races!$E$71-6,0) )  -  Races!$N$71</f>
        <v>2.5200000000000014</v>
      </c>
      <c r="EH31" s="666">
        <f>1.8 * MIN(MAX(DH31+Races!$E$71,Races!$F$71),6)  +  0.45 * MIN(MIN(DH31+Races!$E$71,Races!$F$71),6)  +  0.2 * ( MAX(DH31+Races!$E$71-6,0) + MAX(Races!$F$71-6,0) )  -  Races!$N$71</f>
        <v>0.16200000000000081</v>
      </c>
      <c r="EI31" s="57">
        <f t="shared" ca="1" si="42"/>
        <v>2584.8000000000015</v>
      </c>
      <c r="EJ31" s="57"/>
      <c r="EK31" s="57"/>
      <c r="EL31" s="57"/>
      <c r="EM31" s="57">
        <f ca="1">Overview!$L$22*E31+Overview!$L$23*F31+Overview!$L$24*G31+Overview!$L$25*H31+Overview!$L$26*I31+Overview!$L$27*J31+Overview!$L$28*K31+Construction!E31*20+Construction!B31*5 + DZ31*$DV$4+EB31*$DV$5+ED31*$DV$6+EF31*$DV$7+EI31*$DV$9</f>
        <v>39460</v>
      </c>
      <c r="EO31" s="738">
        <f>(J31+2*K31)/Construction!E31</f>
        <v>0.1</v>
      </c>
      <c r="EP31" s="734">
        <f ca="1">EO31*(1+race_wizard_strength+tech_magical_weaponry_wiz*Techs!AV103)</f>
        <v>0.1</v>
      </c>
      <c r="EQ31" s="16">
        <f>(I31+halfer*H31/3)/Construction!E31</f>
        <v>0.1</v>
      </c>
    </row>
    <row r="32" spans="1:147" s="16" customFormat="1">
      <c r="A32" s="629">
        <f>Rezone!J32</f>
        <v>30</v>
      </c>
      <c r="B32" s="56">
        <f ca="1">SUM(E32:K32)+SUM(AF24:AG32)+SUM(AH21:AL32)+Z32+Explore!AL32</f>
        <v>5295</v>
      </c>
      <c r="C32" s="97">
        <f ca="1">Population!G32</f>
        <v>0.57305194805194803</v>
      </c>
      <c r="E32" s="52">
        <f t="shared" si="64"/>
        <v>0</v>
      </c>
      <c r="F32" s="16">
        <f t="shared" si="65"/>
        <v>0</v>
      </c>
      <c r="G32" s="16">
        <f t="shared" si="66"/>
        <v>1000</v>
      </c>
      <c r="H32" s="16">
        <f t="shared" si="67"/>
        <v>400</v>
      </c>
      <c r="I32" s="16">
        <f t="shared" si="68"/>
        <v>100</v>
      </c>
      <c r="J32" s="16">
        <f t="shared" si="69"/>
        <v>100</v>
      </c>
      <c r="K32" s="53">
        <f t="shared" si="70"/>
        <v>0</v>
      </c>
      <c r="M32" s="64">
        <f ca="1">Production!G32</f>
        <v>39460</v>
      </c>
      <c r="O32" s="234">
        <f t="shared" ca="1" si="0"/>
        <v>4400</v>
      </c>
      <c r="P32" s="455">
        <f ca="1">race_offense+Imps!AB32+ROUND(MIN(gn_bonus*Construction!BF32/Construction!$E32,gn_bonus_cap),4)+MAX(IF(Magic!$AN32&gt;0,warsong_bonus),IF(Magic!AP32&gt;0,howling_op_bonus),IF(Magic!AS32&gt;0,nightfall_bonus),IF(Magic!AT32&gt;0,crusade_bonus),IF(Magic!AU32&gt;0,killingrage_bonus),IF(Magic!AV32&gt;0,bloodrage_bonus)) + Production!O32/100*prestige_offense_bonus + MAX(tech_military_offense*Techs!AH32,tech_magical_weaponry_op*Techs!AV32)</f>
        <v>0.05</v>
      </c>
      <c r="Q32" s="235">
        <f t="shared" ca="1" si="46"/>
        <v>4620</v>
      </c>
      <c r="R32" s="234">
        <f ca="1">F32*(spec_dp+spirit*DR32)+G32*(elite1_dp+woodie*CV32+sylvan*CY32+gnome*DB32+dark_elf*DD32+icekin*DG32+orc*DJ32+nox*DL32+beast*DN32+sacred*DP32+spirit*DS32+blackorc*DK32)+H32*(elite2_dp+woodie*CX32+beast*DO32+sacred*DQ32) + fh_peas_dp*MIN(Population!C32,20*Construction!BD32)+kobold*DE32</f>
        <v>7200</v>
      </c>
      <c r="S32" s="235">
        <f t="shared" ca="1" si="1"/>
        <v>10895</v>
      </c>
      <c r="T32" s="1052">
        <f ca="1">race_defense+Imps!AC32+ROUND(MIN(gt_bonus*Construction!BH32/Construction!$E32,gt_bonus_cap),4)+MAX(IF(Magic!AM32&gt;0,frenzy_bonus,IF(Magic!AQ32&gt;0,blizzard_bonus,IF(Magic!AP32&gt;0,howling_dp_bonus,IF(Magic!AI32&gt;0,ares_call_bonus)))),IF(Magic!AX32&gt;0,MIN(Construction!DF32/Construction!E32,0.2),0))</f>
        <v>0</v>
      </c>
      <c r="U32" s="1046">
        <f t="shared" ca="1" si="47"/>
        <v>7200</v>
      </c>
      <c r="V32" s="308">
        <f t="shared" ca="1" si="48"/>
        <v>10895</v>
      </c>
      <c r="W32" s="310">
        <f>Construction!E32</f>
        <v>1000</v>
      </c>
      <c r="X32" s="367"/>
      <c r="Y32" s="146">
        <f t="shared" si="74"/>
        <v>0.4</v>
      </c>
      <c r="Z32" s="166">
        <f ca="1">Z31+Population!Z31 - IF(race="Lux",AF32,SUM(AF32:AK32)) - BE32 + SUM(BF32:BL32) - Explore!AI32</f>
        <v>3695</v>
      </c>
      <c r="AA32" s="164"/>
      <c r="AB32" s="91">
        <f>(Construction!$BA32+Construction!BY32)/(Construction!$E32-Explore!S32*20)</f>
        <v>0.2</v>
      </c>
      <c r="AC32" s="529"/>
      <c r="AD32" s="799">
        <f>Rezone!J32</f>
        <v>30</v>
      </c>
      <c r="AE32" s="589">
        <f>Explore!AA32</f>
        <v>43693.208333333263</v>
      </c>
      <c r="AF32" s="356"/>
      <c r="AG32" s="348"/>
      <c r="AH32" s="348"/>
      <c r="AI32" s="348"/>
      <c r="AJ32" s="348"/>
      <c r="AK32" s="348"/>
      <c r="AL32" s="357"/>
      <c r="AN32" s="56">
        <f ca="1">Production!$H32</f>
        <v>3256390</v>
      </c>
      <c r="AO32" s="26">
        <f ca="1">Production!$L32</f>
        <v>231000</v>
      </c>
      <c r="AP32" s="26">
        <f ca="1">Production!J32</f>
        <v>289152</v>
      </c>
      <c r="AQ32" s="26">
        <f ca="1">Production!M32</f>
        <v>20000</v>
      </c>
      <c r="AR32" s="26">
        <f ca="1">Production!K32</f>
        <v>38845</v>
      </c>
      <c r="AS32" s="26">
        <f ca="1">Production!I32</f>
        <v>146153</v>
      </c>
      <c r="AT32" s="26">
        <f ca="1">Production!N32</f>
        <v>200</v>
      </c>
      <c r="AU32" s="152">
        <f t="shared" ca="1" si="2"/>
        <v>0</v>
      </c>
      <c r="AV32" s="164">
        <f t="shared" ca="1" si="3"/>
        <v>0</v>
      </c>
      <c r="AW32" s="164">
        <f t="shared" ca="1" si="50"/>
        <v>0</v>
      </c>
      <c r="AX32" s="164">
        <f t="shared" ca="1" si="51"/>
        <v>0</v>
      </c>
      <c r="AY32" s="164">
        <f t="shared" ca="1" si="52"/>
        <v>0</v>
      </c>
      <c r="AZ32" s="164">
        <f t="shared" ca="1" si="53"/>
        <v>0</v>
      </c>
      <c r="BA32" s="166">
        <f t="shared" ca="1" si="54"/>
        <v>0</v>
      </c>
      <c r="BB32" s="16">
        <v>30</v>
      </c>
      <c r="BC32" s="574">
        <f t="shared" si="71"/>
        <v>43693.208333333263</v>
      </c>
      <c r="BD32" s="148">
        <f t="shared" ca="1" si="72"/>
        <v>3695</v>
      </c>
      <c r="BE32" s="356"/>
      <c r="BF32" s="348"/>
      <c r="BG32" s="348"/>
      <c r="BH32" s="348"/>
      <c r="BI32" s="348"/>
      <c r="BJ32" s="348"/>
      <c r="BK32" s="348"/>
      <c r="BL32" s="357"/>
      <c r="BN32" s="503">
        <f>Construction!BM32/Construction!E32</f>
        <v>0</v>
      </c>
      <c r="BO32" s="171">
        <f>Construction!BD32/Construction!E32</f>
        <v>0</v>
      </c>
      <c r="BP32" s="152">
        <f>ROUNDUP((1-MIN(AB32*smithy_bonus,smithy_bonus_cap))*(1+Techs!AO32*tech_master_of_frugality)*spec_op_plat,0)</f>
        <v>165</v>
      </c>
      <c r="BQ32" s="164">
        <f>ROUNDUP(IF(race="Gnome",1,(1-MIN(AB32*smithy_bonus,smithy_bonus_cap))*(1+Techs!AO32*tech_master_of_frugality))*spec_op_ore,0)</f>
        <v>15</v>
      </c>
      <c r="BR32" s="164">
        <f t="shared" si="6"/>
        <v>0</v>
      </c>
      <c r="BS32" s="164">
        <f t="shared" si="7"/>
        <v>0</v>
      </c>
      <c r="BT32" s="164">
        <f ca="1">ROUNDUP((1-MIN(AB32*smithy_bonus,smithy_bonus_cap))*(1+Techs!AO32*tech_master_of_frugality)*spec_dp_plat,0)</f>
        <v>165</v>
      </c>
      <c r="BU32" s="164">
        <f ca="1">ROUNDUP(IF(OR(race="Gnome",race="Imperial Gnome"),1,(1-MIN(AB32*smithy_bonus,smithy_bonus_cap))*(1+Techs!AO32*tech_master_of_frugality))*spec_dp_ore,0)</f>
        <v>6</v>
      </c>
      <c r="BV32" s="164">
        <f t="shared" ca="1" si="8"/>
        <v>0</v>
      </c>
      <c r="BW32" s="164">
        <f t="shared" ca="1" si="9"/>
        <v>0</v>
      </c>
      <c r="BX32" s="164">
        <f t="shared" ca="1" si="10"/>
        <v>0</v>
      </c>
      <c r="BY32" s="164">
        <f ca="1">ROUNDUP((1-MIN(AB32*smithy_bonus,smithy_bonus_cap))*(1+Techs!AO32*tech_master_of_frugality)*elite1_plat,0)</f>
        <v>600</v>
      </c>
      <c r="BZ32" s="164">
        <f ca="1">ROUNDUP(IF(race="Gnome",1,(1-MIN(AB32*smithy_bonus,smithy_bonus_cap))*(1+Techs!AO32*tech_master_of_frugality))*elite1_ore,0)</f>
        <v>45</v>
      </c>
      <c r="CA32" s="164">
        <f t="shared" ca="1" si="11"/>
        <v>0</v>
      </c>
      <c r="CB32" s="164">
        <f t="shared" ca="1" si="12"/>
        <v>0</v>
      </c>
      <c r="CC32" s="164">
        <f t="shared" ca="1" si="13"/>
        <v>0</v>
      </c>
      <c r="CD32" s="164">
        <f t="shared" ca="1" si="14"/>
        <v>0</v>
      </c>
      <c r="CE32" s="164">
        <f t="shared" ca="1" si="15"/>
        <v>0</v>
      </c>
      <c r="CF32" s="164">
        <f ca="1">ROUNDUP((1-MIN(AB32*smithy_bonus,smithy_bonus_cap))*(1+Techs!AO32*tech_master_of_frugality)*elite2_plat,0)</f>
        <v>750</v>
      </c>
      <c r="CG32" s="164">
        <f ca="1">ROUNDUP(IF(race="Gnome",1,(1-MIN(AB32*smithy_bonus,smithy_bonus_cap))*(1+Techs!AO32*tech_master_of_frugality))*elite2_ore,0)</f>
        <v>60</v>
      </c>
      <c r="CH32" s="164">
        <f t="shared" ca="1" si="16"/>
        <v>0</v>
      </c>
      <c r="CI32" s="164">
        <f t="shared" ca="1" si="17"/>
        <v>0</v>
      </c>
      <c r="CJ32" s="164">
        <f t="shared" ca="1" si="18"/>
        <v>0</v>
      </c>
      <c r="CK32" s="164">
        <f t="shared" ca="1" si="19"/>
        <v>0</v>
      </c>
      <c r="CL32" s="164">
        <f t="shared" ca="1" si="20"/>
        <v>0</v>
      </c>
      <c r="CM32" s="164">
        <f>ROUNDUP((1+tech_spy_cost*Techs!AJ32)*spy_plat,0)</f>
        <v>500</v>
      </c>
      <c r="CN32" s="164">
        <f>ROUNDUP((1+tech_wizard_cost*Techs!AM32-MIN(ROUND(wg_wiz_cost_bonus*BN32,4),wg_wiz_cost_cap))*wizard_plat,0)</f>
        <v>500</v>
      </c>
      <c r="CO32" s="166">
        <f>ROUNDUP((1+tech_wizard_cost*Techs!AM32-MIN(ROUND(wg_wiz_cost_bonus*BN32,4),wg_wiz_cost_cap))*archmage_plat,0)</f>
        <v>1000</v>
      </c>
      <c r="CQ32" s="465">
        <f ca="1">Construction!DF32/Construction!E32</f>
        <v>0.28000000000000003</v>
      </c>
      <c r="CR32" s="466">
        <f t="shared" si="73"/>
        <v>0</v>
      </c>
      <c r="CS32" s="466">
        <f>Construction!BK32/Construction!E32</f>
        <v>0.05</v>
      </c>
      <c r="CT32" s="466">
        <f>Construction!BJ32/Construction!E32</f>
        <v>0</v>
      </c>
      <c r="CU32" s="466">
        <f>Construction!AY32/Construction!E32</f>
        <v>0</v>
      </c>
      <c r="CV32" s="481">
        <f t="shared" ca="1" si="22"/>
        <v>1.4000000000000001</v>
      </c>
      <c r="CW32" s="482">
        <f t="shared" ca="1" si="23"/>
        <v>1.4000000000000001</v>
      </c>
      <c r="CX32" s="482">
        <f t="shared" ca="1" si="24"/>
        <v>1.4000000000000001</v>
      </c>
      <c r="CY32" s="483">
        <f t="shared" ca="1" si="25"/>
        <v>1.4000000000000001</v>
      </c>
      <c r="CZ32" s="483">
        <f t="shared" si="26"/>
        <v>0.1</v>
      </c>
      <c r="DA32" s="483">
        <f t="shared" ca="1" si="27"/>
        <v>3</v>
      </c>
      <c r="DB32" s="483">
        <f t="shared" ca="1" si="28"/>
        <v>1.4000000000000001</v>
      </c>
      <c r="DC32" s="482">
        <f t="shared" si="29"/>
        <v>0</v>
      </c>
      <c r="DD32" s="847">
        <f t="shared" si="55"/>
        <v>0</v>
      </c>
      <c r="DE32" s="440">
        <f t="shared" si="56"/>
        <v>800</v>
      </c>
      <c r="DF32" s="440">
        <f t="shared" si="57"/>
        <v>0</v>
      </c>
      <c r="DG32" s="481">
        <f t="shared" ca="1" si="30"/>
        <v>1.4000000000000001</v>
      </c>
      <c r="DH32" s="450">
        <f t="shared" si="58"/>
        <v>9.0000000000000011E-2</v>
      </c>
      <c r="DI32" s="450">
        <f>MIN(valkyrja_cap,Production!O32/valkyrja_bonus)</f>
        <v>1</v>
      </c>
      <c r="DJ32" s="847">
        <f>MIN(voodoo_magi_cap,Production!O32/voodoo_magi_bonus)</f>
        <v>0.83333333333333337</v>
      </c>
      <c r="DK32" s="847">
        <f>MIN(warlock_cap,Production!O32/warlock_bonus)</f>
        <v>1.25</v>
      </c>
      <c r="DL32" s="847">
        <f ca="1">MIN(nox_nightshade_cap,Construction!DF32/Construction!E32/nox_nightshade_swamp_bonus)</f>
        <v>2.8000000000000003</v>
      </c>
      <c r="DM32" s="482">
        <f t="shared" si="31"/>
        <v>0</v>
      </c>
      <c r="DN32" s="483">
        <f t="shared" ca="1" si="32"/>
        <v>2.8000000000000003</v>
      </c>
      <c r="DO32" s="483">
        <f t="shared" ca="1" si="33"/>
        <v>2.8000000000000003</v>
      </c>
      <c r="DP32" s="483">
        <f t="shared" si="34"/>
        <v>1</v>
      </c>
      <c r="DQ32" s="482">
        <f t="shared" si="35"/>
        <v>0</v>
      </c>
      <c r="DR32" s="483">
        <f t="shared" si="36"/>
        <v>0</v>
      </c>
      <c r="DS32" s="482">
        <f t="shared" si="37"/>
        <v>0</v>
      </c>
      <c r="DT32" s="483">
        <f t="shared" si="59"/>
        <v>0.1</v>
      </c>
      <c r="DX32" s="487">
        <f ca="1">MIN(6,CV32+Races!$F$19)*1.8 +  IF(CV32+Races!$F$19&gt;6,(CV32+Races!$F$19-6)*0.2,0) - Races!$N$19</f>
        <v>2.5200000000000005</v>
      </c>
      <c r="DY32" s="488">
        <f ca="1">1.8 * MIN(MAX(CW32+Races!$E$20,CX32+Races!$F$20),6)  +  0.45 * MIN(MIN(CW32+Races!$E$20,CX32+Races!$F$20),6)  +  0.2 * ( MAX(CW32+Races!$E$20-6,0) + MAX(CX32+Races!$F$20-6,0) )  -  Races!$N$20</f>
        <v>3.1500000000000012</v>
      </c>
      <c r="DZ32" s="57">
        <f t="shared" ca="1" si="38"/>
        <v>3780.0000000000009</v>
      </c>
      <c r="EA32" s="666">
        <f ca="1">MIN(6,CY32+Races!$F$35)*1.8 +  IF(CY32+Races!$F$35&gt;6,(CY32+Races!$F$35-6)*0.2,0) - Races!$N$19</f>
        <v>0.72000000000000064</v>
      </c>
      <c r="EB32" s="57">
        <f t="shared" ca="1" si="39"/>
        <v>0</v>
      </c>
      <c r="EC32" s="666">
        <f ca="1">1.8 * MIN(MAX(Races!$E$27,DB32+Races!$F$27),6)  +  0.45 * MIN(MIN(Races!$E$27,DB32+Races!$F$27),6)  +  0.2 * ( MAX(Races!$E$27-6,0) + MAX(DB32+Races!$F$27-6,0) )  -  Races!$N$20</f>
        <v>4.7700000000000005</v>
      </c>
      <c r="ED32" s="57">
        <f t="shared" ca="1" si="40"/>
        <v>0</v>
      </c>
      <c r="EE32" s="666">
        <f>1.8 * MIN(MAX(DC32+Races!$E$47,DD32+Races!$F$47),6)  +  0.45 * MIN(MIN(DC32+Races!$E$47,DD32+Races!$F$47),6)  +  0.2 * ( MAX(DC32+Races!$E$47-6,0) + MAX(DD32+Races!$F$47-6,0) )  -  Races!$N$47</f>
        <v>0</v>
      </c>
      <c r="EF32" s="57">
        <f t="shared" si="41"/>
        <v>0</v>
      </c>
      <c r="EG32" s="666">
        <f ca="1">1.8 * MIN(MAX(DG32+Races!$F$71,Races!$E$71),6)  +  0.45 * MIN(MIN(DG32+Races!$F$71,Races!$E$71),6)  +  0.2 * ( MAX(DG32+Races!$F$71-6,0) + MAX(Races!$E$71-6,0) )  -  Races!$N$71</f>
        <v>2.5200000000000014</v>
      </c>
      <c r="EH32" s="666">
        <f>1.8 * MIN(MAX(DH32+Races!$E$71,Races!$F$71),6)  +  0.45 * MIN(MIN(DH32+Races!$E$71,Races!$F$71),6)  +  0.2 * ( MAX(DH32+Races!$E$71-6,0) + MAX(Races!$F$71-6,0) )  -  Races!$N$71</f>
        <v>0.16200000000000081</v>
      </c>
      <c r="EI32" s="57">
        <f t="shared" ca="1" si="42"/>
        <v>2584.8000000000015</v>
      </c>
      <c r="EJ32" s="57"/>
      <c r="EK32" s="57"/>
      <c r="EL32" s="57"/>
      <c r="EM32" s="57">
        <f ca="1">Overview!$L$22*E32+Overview!$L$23*F32+Overview!$L$24*G32+Overview!$L$25*H32+Overview!$L$26*I32+Overview!$L$27*J32+Overview!$L$28*K32+Construction!E32*20+Construction!B32*5 + DZ32*$DV$4+EB32*$DV$5+ED32*$DV$6+EF32*$DV$7+EI32*$DV$9</f>
        <v>39460</v>
      </c>
      <c r="EO32" s="738">
        <f>(J32+2*K32)/Construction!E32</f>
        <v>0.1</v>
      </c>
      <c r="EP32" s="734">
        <f ca="1">EO32*(1+race_wizard_strength+tech_magical_weaponry_wiz*Techs!AV104)</f>
        <v>0.1</v>
      </c>
      <c r="EQ32" s="16">
        <f>(I32+halfer*H32/3)/Construction!E32</f>
        <v>0.1</v>
      </c>
    </row>
    <row r="33" spans="1:147" s="16" customFormat="1">
      <c r="A33" s="629">
        <f>Rezone!J33</f>
        <v>31</v>
      </c>
      <c r="B33" s="56">
        <f ca="1">SUM(E33:K33)+SUM(AF25:AG33)+SUM(AH22:AL33)+Z33+Explore!AL33</f>
        <v>5295</v>
      </c>
      <c r="C33" s="97">
        <f ca="1">Population!G33</f>
        <v>0.57305194805194803</v>
      </c>
      <c r="E33" s="52">
        <f t="shared" si="64"/>
        <v>0</v>
      </c>
      <c r="F33" s="16">
        <f t="shared" si="65"/>
        <v>0</v>
      </c>
      <c r="G33" s="16">
        <f t="shared" si="66"/>
        <v>1000</v>
      </c>
      <c r="H33" s="16">
        <f t="shared" si="67"/>
        <v>400</v>
      </c>
      <c r="I33" s="16">
        <f t="shared" si="68"/>
        <v>100</v>
      </c>
      <c r="J33" s="16">
        <f t="shared" si="69"/>
        <v>100</v>
      </c>
      <c r="K33" s="53">
        <f t="shared" si="70"/>
        <v>0</v>
      </c>
      <c r="M33" s="64">
        <f ca="1">Production!G33</f>
        <v>39460</v>
      </c>
      <c r="O33" s="234">
        <f t="shared" ca="1" si="0"/>
        <v>4400</v>
      </c>
      <c r="P33" s="455">
        <f ca="1">race_offense+Imps!AB33+ROUND(MIN(gn_bonus*Construction!BF33/Construction!$E33,gn_bonus_cap),4)+MAX(IF(Magic!$AN33&gt;0,warsong_bonus),IF(Magic!AP33&gt;0,howling_op_bonus),IF(Magic!AS33&gt;0,nightfall_bonus),IF(Magic!AT33&gt;0,crusade_bonus),IF(Magic!AU33&gt;0,killingrage_bonus),IF(Magic!AV33&gt;0,bloodrage_bonus)) + Production!O33/100*prestige_offense_bonus + MAX(tech_military_offense*Techs!AH33,tech_magical_weaponry_op*Techs!AV33)</f>
        <v>0.05</v>
      </c>
      <c r="Q33" s="235">
        <f t="shared" ca="1" si="46"/>
        <v>4620</v>
      </c>
      <c r="R33" s="234">
        <f ca="1">F33*(spec_dp+spirit*DR33)+G33*(elite1_dp+woodie*CV33+sylvan*CY33+gnome*DB33+dark_elf*DD33+icekin*DG33+orc*DJ33+nox*DL33+beast*DN33+sacred*DP33+spirit*DS33+blackorc*DK33)+H33*(elite2_dp+woodie*CX33+beast*DO33+sacred*DQ33) + fh_peas_dp*MIN(Population!C33,20*Construction!BD33)+kobold*DE33</f>
        <v>7200</v>
      </c>
      <c r="S33" s="235">
        <f t="shared" ca="1" si="1"/>
        <v>10895</v>
      </c>
      <c r="T33" s="1052">
        <f ca="1">race_defense+Imps!AC33+ROUND(MIN(gt_bonus*Construction!BH33/Construction!$E33,gt_bonus_cap),4)+MAX(IF(Magic!AM33&gt;0,frenzy_bonus,IF(Magic!AQ33&gt;0,blizzard_bonus,IF(Magic!AP33&gt;0,howling_dp_bonus,IF(Magic!AI33&gt;0,ares_call_bonus)))),IF(Magic!AX33&gt;0,MIN(Construction!DF33/Construction!E33,0.2),0))</f>
        <v>0</v>
      </c>
      <c r="U33" s="1046">
        <f t="shared" ca="1" si="47"/>
        <v>7200</v>
      </c>
      <c r="V33" s="308">
        <f t="shared" ca="1" si="48"/>
        <v>10895</v>
      </c>
      <c r="W33" s="310">
        <f>Construction!E33</f>
        <v>1000</v>
      </c>
      <c r="X33" s="367"/>
      <c r="Y33" s="146">
        <f t="shared" si="74"/>
        <v>0.4</v>
      </c>
      <c r="Z33" s="166">
        <f ca="1">Z32+Population!Z32 - IF(race="Lux",AF33,SUM(AF33:AK33)) - BE33 + SUM(BF33:BL33) - Explore!AI33</f>
        <v>3695</v>
      </c>
      <c r="AA33" s="164"/>
      <c r="AB33" s="91">
        <f>(Construction!$BA33+Construction!BY33)/(Construction!$E33-Explore!S33*20)</f>
        <v>0.2</v>
      </c>
      <c r="AC33" s="529"/>
      <c r="AD33" s="799">
        <f>Rezone!J33</f>
        <v>31</v>
      </c>
      <c r="AE33" s="589">
        <f>Explore!AA33</f>
        <v>43693.249999999927</v>
      </c>
      <c r="AF33" s="356"/>
      <c r="AG33" s="348"/>
      <c r="AH33" s="348"/>
      <c r="AI33" s="348"/>
      <c r="AJ33" s="348"/>
      <c r="AK33" s="348"/>
      <c r="AL33" s="357"/>
      <c r="AN33" s="56">
        <f ca="1">Production!$H33</f>
        <v>3267041</v>
      </c>
      <c r="AO33" s="26">
        <f ca="1">Production!$L33</f>
        <v>231000</v>
      </c>
      <c r="AP33" s="26">
        <f ca="1">Production!J33</f>
        <v>288760</v>
      </c>
      <c r="AQ33" s="26">
        <f ca="1">Production!M33</f>
        <v>20000</v>
      </c>
      <c r="AR33" s="26">
        <f ca="1">Production!K33</f>
        <v>39318</v>
      </c>
      <c r="AS33" s="26">
        <f ca="1">Production!I33</f>
        <v>149421</v>
      </c>
      <c r="AT33" s="26">
        <f ca="1">Production!N33</f>
        <v>200</v>
      </c>
      <c r="AU33" s="152">
        <f t="shared" ca="1" si="2"/>
        <v>0</v>
      </c>
      <c r="AV33" s="164">
        <f t="shared" ca="1" si="3"/>
        <v>0</v>
      </c>
      <c r="AW33" s="164">
        <f t="shared" ca="1" si="50"/>
        <v>0</v>
      </c>
      <c r="AX33" s="164">
        <f t="shared" ca="1" si="51"/>
        <v>0</v>
      </c>
      <c r="AY33" s="164">
        <f t="shared" ca="1" si="52"/>
        <v>0</v>
      </c>
      <c r="AZ33" s="164">
        <f t="shared" ca="1" si="53"/>
        <v>0</v>
      </c>
      <c r="BA33" s="166">
        <f t="shared" ca="1" si="54"/>
        <v>0</v>
      </c>
      <c r="BB33" s="16">
        <v>31</v>
      </c>
      <c r="BC33" s="574">
        <f t="shared" si="71"/>
        <v>43693.249999999927</v>
      </c>
      <c r="BD33" s="148">
        <f t="shared" ca="1" si="72"/>
        <v>3695</v>
      </c>
      <c r="BE33" s="356"/>
      <c r="BF33" s="348"/>
      <c r="BG33" s="348"/>
      <c r="BH33" s="348"/>
      <c r="BI33" s="348"/>
      <c r="BJ33" s="348"/>
      <c r="BK33" s="348"/>
      <c r="BL33" s="357"/>
      <c r="BN33" s="503">
        <f>Construction!BM33/Construction!E33</f>
        <v>0</v>
      </c>
      <c r="BO33" s="171">
        <f>Construction!BD33/Construction!E33</f>
        <v>0</v>
      </c>
      <c r="BP33" s="152">
        <f>ROUNDUP((1-MIN(AB33*smithy_bonus,smithy_bonus_cap))*(1+Techs!AO33*tech_master_of_frugality)*spec_op_plat,0)</f>
        <v>165</v>
      </c>
      <c r="BQ33" s="164">
        <f>ROUNDUP(IF(race="Gnome",1,(1-MIN(AB33*smithy_bonus,smithy_bonus_cap))*(1+Techs!AO33*tech_master_of_frugality))*spec_op_ore,0)</f>
        <v>15</v>
      </c>
      <c r="BR33" s="164">
        <f t="shared" si="6"/>
        <v>0</v>
      </c>
      <c r="BS33" s="164">
        <f t="shared" si="7"/>
        <v>0</v>
      </c>
      <c r="BT33" s="164">
        <f ca="1">ROUNDUP((1-MIN(AB33*smithy_bonus,smithy_bonus_cap))*(1+Techs!AO33*tech_master_of_frugality)*spec_dp_plat,0)</f>
        <v>165</v>
      </c>
      <c r="BU33" s="164">
        <f ca="1">ROUNDUP(IF(OR(race="Gnome",race="Imperial Gnome"),1,(1-MIN(AB33*smithy_bonus,smithy_bonus_cap))*(1+Techs!AO33*tech_master_of_frugality))*spec_dp_ore,0)</f>
        <v>6</v>
      </c>
      <c r="BV33" s="164">
        <f t="shared" ca="1" si="8"/>
        <v>0</v>
      </c>
      <c r="BW33" s="164">
        <f t="shared" ca="1" si="9"/>
        <v>0</v>
      </c>
      <c r="BX33" s="164">
        <f t="shared" ca="1" si="10"/>
        <v>0</v>
      </c>
      <c r="BY33" s="164">
        <f ca="1">ROUNDUP((1-MIN(AB33*smithy_bonus,smithy_bonus_cap))*(1+Techs!AO33*tech_master_of_frugality)*elite1_plat,0)</f>
        <v>600</v>
      </c>
      <c r="BZ33" s="164">
        <f ca="1">ROUNDUP(IF(race="Gnome",1,(1-MIN(AB33*smithy_bonus,smithy_bonus_cap))*(1+Techs!AO33*tech_master_of_frugality))*elite1_ore,0)</f>
        <v>45</v>
      </c>
      <c r="CA33" s="164">
        <f t="shared" ca="1" si="11"/>
        <v>0</v>
      </c>
      <c r="CB33" s="164">
        <f t="shared" ca="1" si="12"/>
        <v>0</v>
      </c>
      <c r="CC33" s="164">
        <f t="shared" ca="1" si="13"/>
        <v>0</v>
      </c>
      <c r="CD33" s="164">
        <f t="shared" ca="1" si="14"/>
        <v>0</v>
      </c>
      <c r="CE33" s="164">
        <f t="shared" ca="1" si="15"/>
        <v>0</v>
      </c>
      <c r="CF33" s="164">
        <f ca="1">ROUNDUP((1-MIN(AB33*smithy_bonus,smithy_bonus_cap))*(1+Techs!AO33*tech_master_of_frugality)*elite2_plat,0)</f>
        <v>750</v>
      </c>
      <c r="CG33" s="164">
        <f ca="1">ROUNDUP(IF(race="Gnome",1,(1-MIN(AB33*smithy_bonus,smithy_bonus_cap))*(1+Techs!AO33*tech_master_of_frugality))*elite2_ore,0)</f>
        <v>60</v>
      </c>
      <c r="CH33" s="164">
        <f t="shared" ca="1" si="16"/>
        <v>0</v>
      </c>
      <c r="CI33" s="164">
        <f t="shared" ca="1" si="17"/>
        <v>0</v>
      </c>
      <c r="CJ33" s="164">
        <f t="shared" ca="1" si="18"/>
        <v>0</v>
      </c>
      <c r="CK33" s="164">
        <f t="shared" ca="1" si="19"/>
        <v>0</v>
      </c>
      <c r="CL33" s="164">
        <f t="shared" ca="1" si="20"/>
        <v>0</v>
      </c>
      <c r="CM33" s="164">
        <f>ROUNDUP((1+tech_spy_cost*Techs!AJ33)*spy_plat,0)</f>
        <v>500</v>
      </c>
      <c r="CN33" s="164">
        <f>ROUNDUP((1+tech_wizard_cost*Techs!AM33-MIN(ROUND(wg_wiz_cost_bonus*BN33,4),wg_wiz_cost_cap))*wizard_plat,0)</f>
        <v>500</v>
      </c>
      <c r="CO33" s="166">
        <f>ROUNDUP((1+tech_wizard_cost*Techs!AM33-MIN(ROUND(wg_wiz_cost_bonus*BN33,4),wg_wiz_cost_cap))*archmage_plat,0)</f>
        <v>1000</v>
      </c>
      <c r="CQ33" s="465">
        <f ca="1">Construction!DF33/Construction!E33</f>
        <v>0.28000000000000003</v>
      </c>
      <c r="CR33" s="466">
        <f t="shared" si="73"/>
        <v>0</v>
      </c>
      <c r="CS33" s="466">
        <f>Construction!BK33/Construction!E33</f>
        <v>0.05</v>
      </c>
      <c r="CT33" s="466">
        <f>Construction!BJ33/Construction!E33</f>
        <v>0</v>
      </c>
      <c r="CU33" s="466">
        <f>Construction!AY33/Construction!E33</f>
        <v>0</v>
      </c>
      <c r="CV33" s="481">
        <f t="shared" ca="1" si="22"/>
        <v>1.4000000000000001</v>
      </c>
      <c r="CW33" s="482">
        <f t="shared" ca="1" si="23"/>
        <v>1.4000000000000001</v>
      </c>
      <c r="CX33" s="482">
        <f t="shared" ca="1" si="24"/>
        <v>1.4000000000000001</v>
      </c>
      <c r="CY33" s="483">
        <f t="shared" ca="1" si="25"/>
        <v>1.4000000000000001</v>
      </c>
      <c r="CZ33" s="483">
        <f t="shared" si="26"/>
        <v>0.1</v>
      </c>
      <c r="DA33" s="483">
        <f t="shared" ca="1" si="27"/>
        <v>3</v>
      </c>
      <c r="DB33" s="483">
        <f t="shared" ca="1" si="28"/>
        <v>1.4000000000000001</v>
      </c>
      <c r="DC33" s="482">
        <f t="shared" si="29"/>
        <v>0</v>
      </c>
      <c r="DD33" s="847">
        <f t="shared" si="55"/>
        <v>0</v>
      </c>
      <c r="DE33" s="440">
        <f t="shared" si="56"/>
        <v>800</v>
      </c>
      <c r="DF33" s="440">
        <f t="shared" si="57"/>
        <v>0</v>
      </c>
      <c r="DG33" s="481">
        <f t="shared" ca="1" si="30"/>
        <v>1.4000000000000001</v>
      </c>
      <c r="DH33" s="450">
        <f t="shared" si="58"/>
        <v>9.0000000000000011E-2</v>
      </c>
      <c r="DI33" s="450">
        <f>MIN(valkyrja_cap,Production!O33/valkyrja_bonus)</f>
        <v>1</v>
      </c>
      <c r="DJ33" s="847">
        <f>MIN(voodoo_magi_cap,Production!O33/voodoo_magi_bonus)</f>
        <v>0.83333333333333337</v>
      </c>
      <c r="DK33" s="847">
        <f>MIN(warlock_cap,Production!O33/warlock_bonus)</f>
        <v>1.25</v>
      </c>
      <c r="DL33" s="847">
        <f ca="1">MIN(nox_nightshade_cap,Construction!DF33/Construction!E33/nox_nightshade_swamp_bonus)</f>
        <v>2.8000000000000003</v>
      </c>
      <c r="DM33" s="482">
        <f t="shared" si="31"/>
        <v>0</v>
      </c>
      <c r="DN33" s="483">
        <f t="shared" ca="1" si="32"/>
        <v>2.8000000000000003</v>
      </c>
      <c r="DO33" s="483">
        <f t="shared" ca="1" si="33"/>
        <v>2.8000000000000003</v>
      </c>
      <c r="DP33" s="483">
        <f t="shared" si="34"/>
        <v>1</v>
      </c>
      <c r="DQ33" s="482">
        <f t="shared" si="35"/>
        <v>0</v>
      </c>
      <c r="DR33" s="483">
        <f t="shared" si="36"/>
        <v>0</v>
      </c>
      <c r="DS33" s="482">
        <f t="shared" si="37"/>
        <v>0</v>
      </c>
      <c r="DT33" s="483">
        <f t="shared" si="59"/>
        <v>0.1</v>
      </c>
      <c r="DX33" s="487">
        <f ca="1">MIN(6,CV33+Races!$F$19)*1.8 +  IF(CV33+Races!$F$19&gt;6,(CV33+Races!$F$19-6)*0.2,0) - Races!$N$19</f>
        <v>2.5200000000000005</v>
      </c>
      <c r="DY33" s="488">
        <f ca="1">1.8 * MIN(MAX(CW33+Races!$E$20,CX33+Races!$F$20),6)  +  0.45 * MIN(MIN(CW33+Races!$E$20,CX33+Races!$F$20),6)  +  0.2 * ( MAX(CW33+Races!$E$20-6,0) + MAX(CX33+Races!$F$20-6,0) )  -  Races!$N$20</f>
        <v>3.1500000000000012</v>
      </c>
      <c r="DZ33" s="57">
        <f t="shared" ca="1" si="38"/>
        <v>3780.0000000000009</v>
      </c>
      <c r="EA33" s="666">
        <f ca="1">MIN(6,CY33+Races!$F$35)*1.8 +  IF(CY33+Races!$F$35&gt;6,(CY33+Races!$F$35-6)*0.2,0) - Races!$N$19</f>
        <v>0.72000000000000064</v>
      </c>
      <c r="EB33" s="57">
        <f t="shared" ca="1" si="39"/>
        <v>0</v>
      </c>
      <c r="EC33" s="666">
        <f ca="1">1.8 * MIN(MAX(Races!$E$27,DB33+Races!$F$27),6)  +  0.45 * MIN(MIN(Races!$E$27,DB33+Races!$F$27),6)  +  0.2 * ( MAX(Races!$E$27-6,0) + MAX(DB33+Races!$F$27-6,0) )  -  Races!$N$20</f>
        <v>4.7700000000000005</v>
      </c>
      <c r="ED33" s="57">
        <f t="shared" ca="1" si="40"/>
        <v>0</v>
      </c>
      <c r="EE33" s="666">
        <f>1.8 * MIN(MAX(DC33+Races!$E$47,DD33+Races!$F$47),6)  +  0.45 * MIN(MIN(DC33+Races!$E$47,DD33+Races!$F$47),6)  +  0.2 * ( MAX(DC33+Races!$E$47-6,0) + MAX(DD33+Races!$F$47-6,0) )  -  Races!$N$47</f>
        <v>0</v>
      </c>
      <c r="EF33" s="57">
        <f t="shared" si="41"/>
        <v>0</v>
      </c>
      <c r="EG33" s="666">
        <f ca="1">1.8 * MIN(MAX(DG33+Races!$F$71,Races!$E$71),6)  +  0.45 * MIN(MIN(DG33+Races!$F$71,Races!$E$71),6)  +  0.2 * ( MAX(DG33+Races!$F$71-6,0) + MAX(Races!$E$71-6,0) )  -  Races!$N$71</f>
        <v>2.5200000000000014</v>
      </c>
      <c r="EH33" s="666">
        <f>1.8 * MIN(MAX(DH33+Races!$E$71,Races!$F$71),6)  +  0.45 * MIN(MIN(DH33+Races!$E$71,Races!$F$71),6)  +  0.2 * ( MAX(DH33+Races!$E$71-6,0) + MAX(Races!$F$71-6,0) )  -  Races!$N$71</f>
        <v>0.16200000000000081</v>
      </c>
      <c r="EI33" s="57">
        <f t="shared" ca="1" si="42"/>
        <v>2584.8000000000015</v>
      </c>
      <c r="EJ33" s="57"/>
      <c r="EK33" s="57"/>
      <c r="EL33" s="57"/>
      <c r="EM33" s="57">
        <f ca="1">Overview!$L$22*E33+Overview!$L$23*F33+Overview!$L$24*G33+Overview!$L$25*H33+Overview!$L$26*I33+Overview!$L$27*J33+Overview!$L$28*K33+Construction!E33*20+Construction!B33*5 + DZ33*$DV$4+EB33*$DV$5+ED33*$DV$6+EF33*$DV$7+EI33*$DV$9</f>
        <v>39460</v>
      </c>
      <c r="EO33" s="738">
        <f>(J33+2*K33)/Construction!E33</f>
        <v>0.1</v>
      </c>
      <c r="EP33" s="734">
        <f ca="1">EO33*(1+race_wizard_strength+tech_magical_weaponry_wiz*Techs!AV105)</f>
        <v>0.1</v>
      </c>
      <c r="EQ33" s="16">
        <f>(I33+halfer*H33/3)/Construction!E33</f>
        <v>0.1</v>
      </c>
    </row>
    <row r="34" spans="1:147" s="16" customFormat="1">
      <c r="A34" s="629">
        <f>Rezone!J34</f>
        <v>32</v>
      </c>
      <c r="B34" s="56">
        <f ca="1">SUM(E34:K34)+SUM(AF26:AG34)+SUM(AH23:AL34)+Z34+Explore!AL34</f>
        <v>5295</v>
      </c>
      <c r="C34" s="97">
        <f ca="1">Population!G34</f>
        <v>0.57305194805194803</v>
      </c>
      <c r="E34" s="52">
        <f t="shared" si="64"/>
        <v>0</v>
      </c>
      <c r="F34" s="16">
        <f t="shared" si="65"/>
        <v>0</v>
      </c>
      <c r="G34" s="16">
        <f t="shared" si="66"/>
        <v>1000</v>
      </c>
      <c r="H34" s="16">
        <f t="shared" si="67"/>
        <v>400</v>
      </c>
      <c r="I34" s="16">
        <f t="shared" si="68"/>
        <v>100</v>
      </c>
      <c r="J34" s="16">
        <f t="shared" si="69"/>
        <v>100</v>
      </c>
      <c r="K34" s="53">
        <f t="shared" si="70"/>
        <v>0</v>
      </c>
      <c r="M34" s="64">
        <f ca="1">Production!G34</f>
        <v>39460</v>
      </c>
      <c r="O34" s="234">
        <f t="shared" ca="1" si="0"/>
        <v>4400</v>
      </c>
      <c r="P34" s="455">
        <f ca="1">race_offense+Imps!AB34+ROUND(MIN(gn_bonus*Construction!BF34/Construction!$E34,gn_bonus_cap),4)+MAX(IF(Magic!$AN34&gt;0,warsong_bonus),IF(Magic!AP34&gt;0,howling_op_bonus),IF(Magic!AS34&gt;0,nightfall_bonus),IF(Magic!AT34&gt;0,crusade_bonus),IF(Magic!AU34&gt;0,killingrage_bonus),IF(Magic!AV34&gt;0,bloodrage_bonus)) + Production!O34/100*prestige_offense_bonus + MAX(tech_military_offense*Techs!AH34,tech_magical_weaponry_op*Techs!AV34)</f>
        <v>0.05</v>
      </c>
      <c r="Q34" s="235">
        <f t="shared" ca="1" si="46"/>
        <v>4620</v>
      </c>
      <c r="R34" s="234">
        <f ca="1">F34*(spec_dp+spirit*DR34)+G34*(elite1_dp+woodie*CV34+sylvan*CY34+gnome*DB34+dark_elf*DD34+icekin*DG34+orc*DJ34+nox*DL34+beast*DN34+sacred*DP34+spirit*DS34+blackorc*DK34)+H34*(elite2_dp+woodie*CX34+beast*DO34+sacred*DQ34) + fh_peas_dp*MIN(Population!C34,20*Construction!BD34)+kobold*DE34</f>
        <v>7200</v>
      </c>
      <c r="S34" s="235">
        <f t="shared" ca="1" si="1"/>
        <v>10895</v>
      </c>
      <c r="T34" s="1052">
        <f ca="1">race_defense+Imps!AC34+ROUND(MIN(gt_bonus*Construction!BH34/Construction!$E34,gt_bonus_cap),4)+MAX(IF(Magic!AM34&gt;0,frenzy_bonus,IF(Magic!AQ34&gt;0,blizzard_bonus,IF(Magic!AP34&gt;0,howling_dp_bonus,IF(Magic!AI34&gt;0,ares_call_bonus)))),IF(Magic!AX34&gt;0,MIN(Construction!DF34/Construction!E34,0.2),0))</f>
        <v>0</v>
      </c>
      <c r="U34" s="1046">
        <f t="shared" ca="1" si="47"/>
        <v>7200</v>
      </c>
      <c r="V34" s="308">
        <f t="shared" ca="1" si="48"/>
        <v>10895</v>
      </c>
      <c r="W34" s="310">
        <f>Construction!E34</f>
        <v>1000</v>
      </c>
      <c r="X34" s="367"/>
      <c r="Y34" s="146">
        <f t="shared" si="74"/>
        <v>0.4</v>
      </c>
      <c r="Z34" s="166">
        <f ca="1">Z33+Population!Z33 - IF(race="Lux",AF34,SUM(AF34:AK34)) - BE34 + SUM(BF34:BL34) - Explore!AI34</f>
        <v>3695</v>
      </c>
      <c r="AA34" s="164"/>
      <c r="AB34" s="91">
        <f>(Construction!$BA34+Construction!BY34)/(Construction!$E34-Explore!S34*20)</f>
        <v>0.2</v>
      </c>
      <c r="AC34" s="529"/>
      <c r="AD34" s="799">
        <f>Rezone!J34</f>
        <v>32</v>
      </c>
      <c r="AE34" s="589">
        <f>Explore!AA34</f>
        <v>43693.291666666591</v>
      </c>
      <c r="AF34" s="356"/>
      <c r="AG34" s="348"/>
      <c r="AH34" s="348"/>
      <c r="AI34" s="348"/>
      <c r="AJ34" s="348"/>
      <c r="AK34" s="348"/>
      <c r="AL34" s="357"/>
      <c r="AN34" s="56">
        <f ca="1">Production!$H34</f>
        <v>3277692</v>
      </c>
      <c r="AO34" s="26">
        <f ca="1">Production!$L34</f>
        <v>231000</v>
      </c>
      <c r="AP34" s="26">
        <f ca="1">Production!J34</f>
        <v>288372</v>
      </c>
      <c r="AQ34" s="26">
        <f ca="1">Production!M34</f>
        <v>20000</v>
      </c>
      <c r="AR34" s="26">
        <f ca="1">Production!K34</f>
        <v>39782</v>
      </c>
      <c r="AS34" s="26">
        <f ca="1">Production!I34</f>
        <v>152657</v>
      </c>
      <c r="AT34" s="26">
        <f ca="1">Production!N34</f>
        <v>200</v>
      </c>
      <c r="AU34" s="152">
        <f t="shared" ca="1" si="2"/>
        <v>0</v>
      </c>
      <c r="AV34" s="164">
        <f t="shared" ca="1" si="3"/>
        <v>0</v>
      </c>
      <c r="AW34" s="164">
        <f t="shared" ca="1" si="50"/>
        <v>0</v>
      </c>
      <c r="AX34" s="164">
        <f t="shared" ca="1" si="51"/>
        <v>0</v>
      </c>
      <c r="AY34" s="164">
        <f t="shared" ca="1" si="52"/>
        <v>0</v>
      </c>
      <c r="AZ34" s="164">
        <f t="shared" ca="1" si="53"/>
        <v>0</v>
      </c>
      <c r="BA34" s="166">
        <f t="shared" ca="1" si="54"/>
        <v>0</v>
      </c>
      <c r="BB34" s="16">
        <v>32</v>
      </c>
      <c r="BC34" s="574">
        <f t="shared" si="71"/>
        <v>43693.291666666591</v>
      </c>
      <c r="BD34" s="148">
        <f t="shared" ca="1" si="72"/>
        <v>3695</v>
      </c>
      <c r="BE34" s="356"/>
      <c r="BF34" s="348"/>
      <c r="BG34" s="348"/>
      <c r="BH34" s="348"/>
      <c r="BI34" s="348"/>
      <c r="BJ34" s="348"/>
      <c r="BK34" s="348"/>
      <c r="BL34" s="357"/>
      <c r="BN34" s="503">
        <f>Construction!BM34/Construction!E34</f>
        <v>0</v>
      </c>
      <c r="BO34" s="171">
        <f>Construction!BD34/Construction!E34</f>
        <v>0</v>
      </c>
      <c r="BP34" s="152">
        <f>ROUNDUP((1-MIN(AB34*smithy_bonus,smithy_bonus_cap))*(1+Techs!AO34*tech_master_of_frugality)*spec_op_plat,0)</f>
        <v>165</v>
      </c>
      <c r="BQ34" s="164">
        <f>ROUNDUP(IF(race="Gnome",1,(1-MIN(AB34*smithy_bonus,smithy_bonus_cap))*(1+Techs!AO34*tech_master_of_frugality))*spec_op_ore,0)</f>
        <v>15</v>
      </c>
      <c r="BR34" s="164">
        <f t="shared" si="6"/>
        <v>0</v>
      </c>
      <c r="BS34" s="164">
        <f t="shared" si="7"/>
        <v>0</v>
      </c>
      <c r="BT34" s="164">
        <f ca="1">ROUNDUP((1-MIN(AB34*smithy_bonus,smithy_bonus_cap))*(1+Techs!AO34*tech_master_of_frugality)*spec_dp_plat,0)</f>
        <v>165</v>
      </c>
      <c r="BU34" s="164">
        <f ca="1">ROUNDUP(IF(OR(race="Gnome",race="Imperial Gnome"),1,(1-MIN(AB34*smithy_bonus,smithy_bonus_cap))*(1+Techs!AO34*tech_master_of_frugality))*spec_dp_ore,0)</f>
        <v>6</v>
      </c>
      <c r="BV34" s="164">
        <f t="shared" ca="1" si="8"/>
        <v>0</v>
      </c>
      <c r="BW34" s="164">
        <f t="shared" ca="1" si="9"/>
        <v>0</v>
      </c>
      <c r="BX34" s="164">
        <f t="shared" ca="1" si="10"/>
        <v>0</v>
      </c>
      <c r="BY34" s="164">
        <f ca="1">ROUNDUP((1-MIN(AB34*smithy_bonus,smithy_bonus_cap))*(1+Techs!AO34*tech_master_of_frugality)*elite1_plat,0)</f>
        <v>600</v>
      </c>
      <c r="BZ34" s="164">
        <f ca="1">ROUNDUP(IF(race="Gnome",1,(1-MIN(AB34*smithy_bonus,smithy_bonus_cap))*(1+Techs!AO34*tech_master_of_frugality))*elite1_ore,0)</f>
        <v>45</v>
      </c>
      <c r="CA34" s="164">
        <f t="shared" ca="1" si="11"/>
        <v>0</v>
      </c>
      <c r="CB34" s="164">
        <f t="shared" ca="1" si="12"/>
        <v>0</v>
      </c>
      <c r="CC34" s="164">
        <f t="shared" ca="1" si="13"/>
        <v>0</v>
      </c>
      <c r="CD34" s="164">
        <f t="shared" ca="1" si="14"/>
        <v>0</v>
      </c>
      <c r="CE34" s="164">
        <f t="shared" ca="1" si="15"/>
        <v>0</v>
      </c>
      <c r="CF34" s="164">
        <f ca="1">ROUNDUP((1-MIN(AB34*smithy_bonus,smithy_bonus_cap))*(1+Techs!AO34*tech_master_of_frugality)*elite2_plat,0)</f>
        <v>750</v>
      </c>
      <c r="CG34" s="164">
        <f ca="1">ROUNDUP(IF(race="Gnome",1,(1-MIN(AB34*smithy_bonus,smithy_bonus_cap))*(1+Techs!AO34*tech_master_of_frugality))*elite2_ore,0)</f>
        <v>60</v>
      </c>
      <c r="CH34" s="164">
        <f t="shared" ca="1" si="16"/>
        <v>0</v>
      </c>
      <c r="CI34" s="164">
        <f t="shared" ca="1" si="17"/>
        <v>0</v>
      </c>
      <c r="CJ34" s="164">
        <f t="shared" ca="1" si="18"/>
        <v>0</v>
      </c>
      <c r="CK34" s="164">
        <f t="shared" ca="1" si="19"/>
        <v>0</v>
      </c>
      <c r="CL34" s="164">
        <f t="shared" ca="1" si="20"/>
        <v>0</v>
      </c>
      <c r="CM34" s="164">
        <f>ROUNDUP((1+tech_spy_cost*Techs!AJ34)*spy_plat,0)</f>
        <v>500</v>
      </c>
      <c r="CN34" s="164">
        <f>ROUNDUP((1+tech_wizard_cost*Techs!AM34-MIN(ROUND(wg_wiz_cost_bonus*BN34,4),wg_wiz_cost_cap))*wizard_plat,0)</f>
        <v>500</v>
      </c>
      <c r="CO34" s="166">
        <f>ROUNDUP((1+tech_wizard_cost*Techs!AM34-MIN(ROUND(wg_wiz_cost_bonus*BN34,4),wg_wiz_cost_cap))*archmage_plat,0)</f>
        <v>1000</v>
      </c>
      <c r="CQ34" s="465">
        <f ca="1">Construction!DF34/Construction!E34</f>
        <v>0.28000000000000003</v>
      </c>
      <c r="CR34" s="466">
        <f t="shared" si="73"/>
        <v>0</v>
      </c>
      <c r="CS34" s="466">
        <f>Construction!BK34/Construction!E34</f>
        <v>0.05</v>
      </c>
      <c r="CT34" s="466">
        <f>Construction!BJ34/Construction!E34</f>
        <v>0</v>
      </c>
      <c r="CU34" s="466">
        <f>Construction!AY34/Construction!E34</f>
        <v>0</v>
      </c>
      <c r="CV34" s="481">
        <f t="shared" ca="1" si="22"/>
        <v>1.4000000000000001</v>
      </c>
      <c r="CW34" s="482">
        <f t="shared" ca="1" si="23"/>
        <v>1.4000000000000001</v>
      </c>
      <c r="CX34" s="482">
        <f t="shared" ca="1" si="24"/>
        <v>1.4000000000000001</v>
      </c>
      <c r="CY34" s="483">
        <f t="shared" ca="1" si="25"/>
        <v>1.4000000000000001</v>
      </c>
      <c r="CZ34" s="483">
        <f t="shared" si="26"/>
        <v>0.1</v>
      </c>
      <c r="DA34" s="483">
        <f t="shared" ca="1" si="27"/>
        <v>3</v>
      </c>
      <c r="DB34" s="483">
        <f t="shared" ca="1" si="28"/>
        <v>1.4000000000000001</v>
      </c>
      <c r="DC34" s="482">
        <f t="shared" si="29"/>
        <v>0</v>
      </c>
      <c r="DD34" s="847">
        <f t="shared" si="55"/>
        <v>0</v>
      </c>
      <c r="DE34" s="440">
        <f t="shared" si="56"/>
        <v>800</v>
      </c>
      <c r="DF34" s="440">
        <f t="shared" si="57"/>
        <v>0</v>
      </c>
      <c r="DG34" s="481">
        <f t="shared" ca="1" si="30"/>
        <v>1.4000000000000001</v>
      </c>
      <c r="DH34" s="450">
        <f t="shared" si="58"/>
        <v>9.0000000000000011E-2</v>
      </c>
      <c r="DI34" s="450">
        <f>MIN(valkyrja_cap,Production!O34/valkyrja_bonus)</f>
        <v>1</v>
      </c>
      <c r="DJ34" s="847">
        <f>MIN(voodoo_magi_cap,Production!O34/voodoo_magi_bonus)</f>
        <v>0.83333333333333337</v>
      </c>
      <c r="DK34" s="847">
        <f>MIN(warlock_cap,Production!O34/warlock_bonus)</f>
        <v>1.25</v>
      </c>
      <c r="DL34" s="847">
        <f ca="1">MIN(nox_nightshade_cap,Construction!DF34/Construction!E34/nox_nightshade_swamp_bonus)</f>
        <v>2.8000000000000003</v>
      </c>
      <c r="DM34" s="482">
        <f t="shared" si="31"/>
        <v>0</v>
      </c>
      <c r="DN34" s="483">
        <f t="shared" ca="1" si="32"/>
        <v>2.8000000000000003</v>
      </c>
      <c r="DO34" s="483">
        <f t="shared" ca="1" si="33"/>
        <v>2.8000000000000003</v>
      </c>
      <c r="DP34" s="483">
        <f t="shared" si="34"/>
        <v>1</v>
      </c>
      <c r="DQ34" s="482">
        <f t="shared" si="35"/>
        <v>0</v>
      </c>
      <c r="DR34" s="483">
        <f t="shared" si="36"/>
        <v>0</v>
      </c>
      <c r="DS34" s="482">
        <f t="shared" si="37"/>
        <v>0</v>
      </c>
      <c r="DT34" s="483">
        <f t="shared" si="59"/>
        <v>0.1</v>
      </c>
      <c r="DX34" s="487">
        <f ca="1">MIN(6,CV34+Races!$F$19)*1.8 +  IF(CV34+Races!$F$19&gt;6,(CV34+Races!$F$19-6)*0.2,0) - Races!$N$19</f>
        <v>2.5200000000000005</v>
      </c>
      <c r="DY34" s="488">
        <f ca="1">1.8 * MIN(MAX(CW34+Races!$E$20,CX34+Races!$F$20),6)  +  0.45 * MIN(MIN(CW34+Races!$E$20,CX34+Races!$F$20),6)  +  0.2 * ( MAX(CW34+Races!$E$20-6,0) + MAX(CX34+Races!$F$20-6,0) )  -  Races!$N$20</f>
        <v>3.1500000000000012</v>
      </c>
      <c r="DZ34" s="57">
        <f t="shared" ca="1" si="38"/>
        <v>3780.0000000000009</v>
      </c>
      <c r="EA34" s="666">
        <f ca="1">MIN(6,CY34+Races!$F$35)*1.8 +  IF(CY34+Races!$F$35&gt;6,(CY34+Races!$F$35-6)*0.2,0) - Races!$N$19</f>
        <v>0.72000000000000064</v>
      </c>
      <c r="EB34" s="57">
        <f t="shared" ca="1" si="39"/>
        <v>0</v>
      </c>
      <c r="EC34" s="666">
        <f ca="1">1.8 * MIN(MAX(Races!$E$27,DB34+Races!$F$27),6)  +  0.45 * MIN(MIN(Races!$E$27,DB34+Races!$F$27),6)  +  0.2 * ( MAX(Races!$E$27-6,0) + MAX(DB34+Races!$F$27-6,0) )  -  Races!$N$20</f>
        <v>4.7700000000000005</v>
      </c>
      <c r="ED34" s="57">
        <f t="shared" ca="1" si="40"/>
        <v>0</v>
      </c>
      <c r="EE34" s="666">
        <f>1.8 * MIN(MAX(DC34+Races!$E$47,DD34+Races!$F$47),6)  +  0.45 * MIN(MIN(DC34+Races!$E$47,DD34+Races!$F$47),6)  +  0.2 * ( MAX(DC34+Races!$E$47-6,0) + MAX(DD34+Races!$F$47-6,0) )  -  Races!$N$47</f>
        <v>0</v>
      </c>
      <c r="EF34" s="57">
        <f t="shared" si="41"/>
        <v>0</v>
      </c>
      <c r="EG34" s="666">
        <f ca="1">1.8 * MIN(MAX(DG34+Races!$F$71,Races!$E$71),6)  +  0.45 * MIN(MIN(DG34+Races!$F$71,Races!$E$71),6)  +  0.2 * ( MAX(DG34+Races!$F$71-6,0) + MAX(Races!$E$71-6,0) )  -  Races!$N$71</f>
        <v>2.5200000000000014</v>
      </c>
      <c r="EH34" s="666">
        <f>1.8 * MIN(MAX(DH34+Races!$E$71,Races!$F$71),6)  +  0.45 * MIN(MIN(DH34+Races!$E$71,Races!$F$71),6)  +  0.2 * ( MAX(DH34+Races!$E$71-6,0) + MAX(Races!$F$71-6,0) )  -  Races!$N$71</f>
        <v>0.16200000000000081</v>
      </c>
      <c r="EI34" s="57">
        <f t="shared" ca="1" si="42"/>
        <v>2584.8000000000015</v>
      </c>
      <c r="EJ34" s="57"/>
      <c r="EK34" s="57"/>
      <c r="EL34" s="57"/>
      <c r="EM34" s="57">
        <f ca="1">Overview!$L$22*E34+Overview!$L$23*F34+Overview!$L$24*G34+Overview!$L$25*H34+Overview!$L$26*I34+Overview!$L$27*J34+Overview!$L$28*K34+Construction!E34*20+Construction!B34*5 + DZ34*$DV$4+EB34*$DV$5+ED34*$DV$6+EF34*$DV$7+EI34*$DV$9</f>
        <v>39460</v>
      </c>
      <c r="EO34" s="738">
        <f>(J34+2*K34)/Construction!E34</f>
        <v>0.1</v>
      </c>
      <c r="EP34" s="734">
        <f ca="1">EO34*(1+race_wizard_strength+tech_magical_weaponry_wiz*Techs!AV106)</f>
        <v>0.1</v>
      </c>
      <c r="EQ34" s="16">
        <f>(I34+halfer*H34/3)/Construction!E34</f>
        <v>0.1</v>
      </c>
    </row>
    <row r="35" spans="1:147" s="16" customFormat="1">
      <c r="A35" s="629">
        <f>Rezone!J35</f>
        <v>33</v>
      </c>
      <c r="B35" s="56">
        <f ca="1">SUM(E35:K35)+SUM(AF27:AG35)+SUM(AH24:AL35)+Z35+Explore!AL35</f>
        <v>5295</v>
      </c>
      <c r="C35" s="97">
        <f ca="1">Population!G35</f>
        <v>0.57305194805194803</v>
      </c>
      <c r="E35" s="52">
        <f t="shared" si="64"/>
        <v>0</v>
      </c>
      <c r="F35" s="16">
        <f t="shared" si="65"/>
        <v>0</v>
      </c>
      <c r="G35" s="16">
        <f t="shared" si="66"/>
        <v>1000</v>
      </c>
      <c r="H35" s="16">
        <f t="shared" si="67"/>
        <v>400</v>
      </c>
      <c r="I35" s="16">
        <f t="shared" si="68"/>
        <v>100</v>
      </c>
      <c r="J35" s="16">
        <f t="shared" si="69"/>
        <v>100</v>
      </c>
      <c r="K35" s="53">
        <f t="shared" si="70"/>
        <v>0</v>
      </c>
      <c r="M35" s="64">
        <f ca="1">Production!G35</f>
        <v>39460</v>
      </c>
      <c r="O35" s="234">
        <f t="shared" ref="O35:O66" ca="1" si="75">E35*(spec_op+spirit*DR35)+G35*(elite1_op+dark_elf*DC35+beast*DN35+sacred*DP35+spirit*DS35+halfer*CZ35+norse*DI35)+H35*(elite2_op+icekin*DH35+woodie*CW35+ants*DM35+beast*DO35+sacred*DQ35+undead*DT35+lizzie*DA35)+kobold*DF35</f>
        <v>4400</v>
      </c>
      <c r="P35" s="455">
        <f ca="1">race_offense+Imps!AB35+ROUND(MIN(gn_bonus*Construction!BF35/Construction!$E35,gn_bonus_cap),4)+MAX(IF(Magic!$AN35&gt;0,warsong_bonus),IF(Magic!AP35&gt;0,howling_op_bonus),IF(Magic!AS35&gt;0,nightfall_bonus),IF(Magic!AT35&gt;0,crusade_bonus),IF(Magic!AU35&gt;0,killingrage_bonus),IF(Magic!AV35&gt;0,bloodrage_bonus)) + Production!O35/100*prestige_offense_bonus + MAX(tech_military_offense*Techs!AH35,tech_magical_weaponry_op*Techs!AV35)</f>
        <v>0.05</v>
      </c>
      <c r="Q35" s="235">
        <f t="shared" ca="1" si="46"/>
        <v>4620</v>
      </c>
      <c r="R35" s="234">
        <f ca="1">F35*(spec_dp+spirit*DR35)+G35*(elite1_dp+woodie*CV35+sylvan*CY35+gnome*DB35+dark_elf*DD35+icekin*DG35+orc*DJ35+nox*DL35+beast*DN35+sacred*DP35+spirit*DS35+blackorc*DK35)+H35*(elite2_dp+woodie*CX35+beast*DO35+sacred*DQ35) + fh_peas_dp*MIN(Population!C35,20*Construction!BD35)+kobold*DE35</f>
        <v>7200</v>
      </c>
      <c r="S35" s="235">
        <f t="shared" ref="S35:S66" ca="1" si="76">R35+Z35*IF(race="Ants",0.1,IF(race="Growth",0.01,1))</f>
        <v>10895</v>
      </c>
      <c r="T35" s="1052">
        <f ca="1">race_defense+Imps!AC35+ROUND(MIN(gt_bonus*Construction!BH35/Construction!$E35,gt_bonus_cap),4)+MAX(IF(Magic!AM35&gt;0,frenzy_bonus,IF(Magic!AQ35&gt;0,blizzard_bonus,IF(Magic!AP35&gt;0,howling_dp_bonus,IF(Magic!AI35&gt;0,ares_call_bonus)))),IF(Magic!AX35&gt;0,MIN(Construction!DF35/Construction!E35,0.2),0))</f>
        <v>0</v>
      </c>
      <c r="U35" s="1046">
        <f t="shared" ca="1" si="47"/>
        <v>7200</v>
      </c>
      <c r="V35" s="308">
        <f t="shared" ca="1" si="48"/>
        <v>10895</v>
      </c>
      <c r="W35" s="310">
        <f>Construction!E35</f>
        <v>1000</v>
      </c>
      <c r="X35" s="367"/>
      <c r="Y35" s="146">
        <f t="shared" si="74"/>
        <v>0.4</v>
      </c>
      <c r="Z35" s="166">
        <f ca="1">Z34+Population!Z34 - IF(race="Lux",AF35,SUM(AF35:AK35)) - BE35 + SUM(BF35:BL35) - Explore!AI35</f>
        <v>3695</v>
      </c>
      <c r="AA35" s="164"/>
      <c r="AB35" s="91">
        <f>(Construction!$BA35+Construction!BY35)/(Construction!$E35-Explore!S35*20)</f>
        <v>0.2</v>
      </c>
      <c r="AC35" s="529"/>
      <c r="AD35" s="799">
        <f>Rezone!J35</f>
        <v>33</v>
      </c>
      <c r="AE35" s="589">
        <f>Explore!AA35</f>
        <v>43693.333333333256</v>
      </c>
      <c r="AF35" s="356"/>
      <c r="AG35" s="348"/>
      <c r="AH35" s="348"/>
      <c r="AI35" s="348"/>
      <c r="AJ35" s="348"/>
      <c r="AK35" s="348"/>
      <c r="AL35" s="357"/>
      <c r="AN35" s="56">
        <f ca="1">Production!$H35</f>
        <v>3288343</v>
      </c>
      <c r="AO35" s="26">
        <f ca="1">Production!$L35</f>
        <v>231000</v>
      </c>
      <c r="AP35" s="26">
        <f ca="1">Production!J35</f>
        <v>287988</v>
      </c>
      <c r="AQ35" s="26">
        <f ca="1">Production!M35</f>
        <v>20000</v>
      </c>
      <c r="AR35" s="26">
        <f ca="1">Production!K35</f>
        <v>40236</v>
      </c>
      <c r="AS35" s="26">
        <f ca="1">Production!I35</f>
        <v>155860</v>
      </c>
      <c r="AT35" s="26">
        <f ca="1">Production!N35</f>
        <v>200</v>
      </c>
      <c r="AU35" s="152">
        <f t="shared" ref="AU35:AU66" ca="1" si="77">$AF35*BP35+$AG35*BT35+$AH35*BY35+$AI35*CF35+AJ35*CM35+AK35*CN35+AL35*CO35</f>
        <v>0</v>
      </c>
      <c r="AV35" s="164">
        <f t="shared" ref="AV35:AV66" ca="1" si="78">$AF35*BQ35+$AG35*BU35+$AH35*BZ35+$AI35*CG35</f>
        <v>0</v>
      </c>
      <c r="AW35" s="164">
        <f t="shared" ca="1" si="50"/>
        <v>0</v>
      </c>
      <c r="AX35" s="164">
        <f t="shared" ca="1" si="51"/>
        <v>0</v>
      </c>
      <c r="AY35" s="164">
        <f t="shared" ca="1" si="52"/>
        <v>0</v>
      </c>
      <c r="AZ35" s="164">
        <f t="shared" ca="1" si="53"/>
        <v>0</v>
      </c>
      <c r="BA35" s="166">
        <f t="shared" ca="1" si="54"/>
        <v>0</v>
      </c>
      <c r="BB35" s="16">
        <v>33</v>
      </c>
      <c r="BC35" s="574">
        <f t="shared" si="71"/>
        <v>43693.333333333256</v>
      </c>
      <c r="BD35" s="148">
        <f t="shared" ca="1" si="72"/>
        <v>3695</v>
      </c>
      <c r="BE35" s="356"/>
      <c r="BF35" s="348"/>
      <c r="BG35" s="348"/>
      <c r="BH35" s="348"/>
      <c r="BI35" s="348"/>
      <c r="BJ35" s="348"/>
      <c r="BK35" s="348"/>
      <c r="BL35" s="357"/>
      <c r="BN35" s="503">
        <f>Construction!BM35/Construction!E35</f>
        <v>0</v>
      </c>
      <c r="BO35" s="171">
        <f>Construction!BD35/Construction!E35</f>
        <v>0</v>
      </c>
      <c r="BP35" s="152">
        <f>ROUNDUP((1-MIN(AB35*smithy_bonus,smithy_bonus_cap))*(1+Techs!AO35*tech_master_of_frugality)*spec_op_plat,0)</f>
        <v>165</v>
      </c>
      <c r="BQ35" s="164">
        <f>ROUNDUP(IF(race="Gnome",1,(1-MIN(AB35*smithy_bonus,smithy_bonus_cap))*(1+Techs!AO35*tech_master_of_frugality))*spec_op_ore,0)</f>
        <v>15</v>
      </c>
      <c r="BR35" s="164">
        <f t="shared" ref="BR35:BR66" si="79">spec1_mana</f>
        <v>0</v>
      </c>
      <c r="BS35" s="164">
        <f t="shared" ref="BS35:BS66" si="80">spec1_food</f>
        <v>0</v>
      </c>
      <c r="BT35" s="164">
        <f ca="1">ROUNDUP((1-MIN(AB35*smithy_bonus,smithy_bonus_cap))*(1+Techs!AO35*tech_master_of_frugality)*spec_dp_plat,0)</f>
        <v>165</v>
      </c>
      <c r="BU35" s="164">
        <f ca="1">ROUNDUP(IF(OR(race="Gnome",race="Imperial Gnome"),1,(1-MIN(AB35*smithy_bonus,smithy_bonus_cap))*(1+Techs!AO35*tech_master_of_frugality))*spec_dp_ore,0)</f>
        <v>6</v>
      </c>
      <c r="BV35" s="164">
        <f t="shared" ref="BV35:BV66" ca="1" si="81">spec2_mana</f>
        <v>0</v>
      </c>
      <c r="BW35" s="164">
        <f t="shared" ref="BW35:BW66" ca="1" si="82">spec2_gems</f>
        <v>0</v>
      </c>
      <c r="BX35" s="164">
        <f t="shared" ref="BX35:BX66" ca="1" si="83">spec2_food</f>
        <v>0</v>
      </c>
      <c r="BY35" s="164">
        <f ca="1">ROUNDUP((1-MIN(AB35*smithy_bonus,smithy_bonus_cap))*(1+Techs!AO35*tech_master_of_frugality)*elite1_plat,0)</f>
        <v>600</v>
      </c>
      <c r="BZ35" s="164">
        <f ca="1">ROUNDUP(IF(race="Gnome",1,(1-MIN(AB35*smithy_bonus,smithy_bonus_cap))*(1+Techs!AO35*tech_master_of_frugality))*elite1_ore,0)</f>
        <v>45</v>
      </c>
      <c r="CA35" s="164">
        <f t="shared" ref="CA35:CA66" ca="1" si="84">ROUNDUP((1-MIN(AB35*smithy_bonus,smithy_bonus_cap))*elite1_lumber,0)</f>
        <v>0</v>
      </c>
      <c r="CB35" s="164">
        <f t="shared" ref="CB35:CB66" ca="1" si="85">elite1_gems</f>
        <v>0</v>
      </c>
      <c r="CC35" s="164">
        <f t="shared" ref="CC35:CC66" ca="1" si="86">elite1_mana</f>
        <v>0</v>
      </c>
      <c r="CD35" s="164">
        <f t="shared" ref="CD35:CD66" ca="1" si="87">elite1_food</f>
        <v>0</v>
      </c>
      <c r="CE35" s="164">
        <f t="shared" ref="CE35:CE66" ca="1" si="88">elite1_boats</f>
        <v>0</v>
      </c>
      <c r="CF35" s="164">
        <f ca="1">ROUNDUP((1-MIN(AB35*smithy_bonus,smithy_bonus_cap))*(1+Techs!AO35*tech_master_of_frugality)*elite2_plat,0)</f>
        <v>750</v>
      </c>
      <c r="CG35" s="164">
        <f ca="1">ROUNDUP(IF(race="Gnome",1,(1-MIN(AB35*smithy_bonus,smithy_bonus_cap))*(1+Techs!AO35*tech_master_of_frugality))*elite2_ore,0)</f>
        <v>60</v>
      </c>
      <c r="CH35" s="164">
        <f t="shared" ref="CH35:CH66" ca="1" si="89">ROUNDUP((1-MIN(AB35*smithy_bonus,smithy_bonus_cap))*elite2_lumber,0)</f>
        <v>0</v>
      </c>
      <c r="CI35" s="164">
        <f t="shared" ref="CI35:CI66" ca="1" si="90">elite2_gems</f>
        <v>0</v>
      </c>
      <c r="CJ35" s="164">
        <f t="shared" ref="CJ35:CJ66" ca="1" si="91">elite2_mana</f>
        <v>0</v>
      </c>
      <c r="CK35" s="164">
        <f t="shared" ref="CK35:CK66" ca="1" si="92">elite2_food</f>
        <v>0</v>
      </c>
      <c r="CL35" s="164">
        <f t="shared" ref="CL35:CL66" ca="1" si="93">elite2_boats</f>
        <v>0</v>
      </c>
      <c r="CM35" s="164">
        <f>ROUNDUP((1+tech_spy_cost*Techs!AJ35)*spy_plat,0)</f>
        <v>500</v>
      </c>
      <c r="CN35" s="164">
        <f>ROUNDUP((1+tech_wizard_cost*Techs!AM35-MIN(ROUND(wg_wiz_cost_bonus*BN35,4),wg_wiz_cost_cap))*wizard_plat,0)</f>
        <v>500</v>
      </c>
      <c r="CO35" s="166">
        <f>ROUNDUP((1+tech_wizard_cost*Techs!AM35-MIN(ROUND(wg_wiz_cost_bonus*BN35,4),wg_wiz_cost_cap))*archmage_plat,0)</f>
        <v>1000</v>
      </c>
      <c r="CQ35" s="465">
        <f ca="1">Construction!DF35/Construction!E35</f>
        <v>0.28000000000000003</v>
      </c>
      <c r="CR35" s="466">
        <f t="shared" si="73"/>
        <v>0</v>
      </c>
      <c r="CS35" s="466">
        <f>Construction!BK35/Construction!E35</f>
        <v>0.05</v>
      </c>
      <c r="CT35" s="466">
        <f>Construction!BJ35/Construction!E35</f>
        <v>0</v>
      </c>
      <c r="CU35" s="466">
        <f>Construction!AY35/Construction!E35</f>
        <v>0</v>
      </c>
      <c r="CV35" s="481">
        <f t="shared" ref="CV35:CV66" ca="1" si="94">IF(mystic_cap="none",CQ35/mystic_bonus,MIN(mystic_cap,CQ35/mystic_bonus))</f>
        <v>1.4000000000000001</v>
      </c>
      <c r="CW35" s="482">
        <f t="shared" ref="CW35:CW66" ca="1" si="95">IF(druid_op_cap="none",CQ35/druid_op_bonus,MIN(druid_op_cap,CQ35/druid_op_bonus))</f>
        <v>1.4000000000000001</v>
      </c>
      <c r="CX35" s="482">
        <f t="shared" ref="CX35:CX66" ca="1" si="96">IF(druid_dp_cap="none",CQ35/druid_dp_bonus,MIN(druid_dp_cap,CQ35/druid_dp_bonus))</f>
        <v>1.4000000000000001</v>
      </c>
      <c r="CY35" s="483">
        <f t="shared" ref="CY35:CY66" ca="1" si="97">MIN(dryad_cap,CQ35/dryad_bonus)</f>
        <v>1.4000000000000001</v>
      </c>
      <c r="CZ35" s="483">
        <f t="shared" ref="CZ35:CZ66" si="98">MIN(staff_cap,EQ35*staff_bonus)</f>
        <v>0.1</v>
      </c>
      <c r="DA35" s="483">
        <f t="shared" ref="DA35:DA66" ca="1" si="99">MIN(lizardman_cap,CQ35/lizardman_bonus)</f>
        <v>3</v>
      </c>
      <c r="DB35" s="483">
        <f t="shared" ref="DB35:DB66" ca="1" si="100">MIN(rocka_cap,CQ35/rocka_bonus)</f>
        <v>1.4000000000000001</v>
      </c>
      <c r="DC35" s="482">
        <f t="shared" ref="DC35:DC66" si="101">MIN(adept_op_cap,CR35/adept_op_bonus)</f>
        <v>0</v>
      </c>
      <c r="DD35" s="847">
        <f t="shared" ref="DD35:DD66" si="102">MIN(adept_dp_cap,CR35/adept_dp_bonus)</f>
        <v>0</v>
      </c>
      <c r="DE35" s="440">
        <f t="shared" si="56"/>
        <v>800</v>
      </c>
      <c r="DF35" s="440">
        <f t="shared" si="57"/>
        <v>0</v>
      </c>
      <c r="DG35" s="481">
        <f t="shared" ref="DG35:DG66" ca="1" si="103">MIN(frost_mage_cap,CQ35/frost_mage_bonus)</f>
        <v>1.4000000000000001</v>
      </c>
      <c r="DH35" s="450">
        <f t="shared" ref="DH35:DH66" si="104">MIN(ice_elem_cap,EO35*ice_elem_bonus)</f>
        <v>9.0000000000000011E-2</v>
      </c>
      <c r="DI35" s="450">
        <f>MIN(valkyrja_cap,Production!O35/valkyrja_bonus)</f>
        <v>1</v>
      </c>
      <c r="DJ35" s="847">
        <f>MIN(voodoo_magi_cap,Production!O35/voodoo_magi_bonus)</f>
        <v>0.83333333333333337</v>
      </c>
      <c r="DK35" s="847">
        <f>MIN(warlock_cap,Production!O35/warlock_bonus)</f>
        <v>1.25</v>
      </c>
      <c r="DL35" s="847">
        <f ca="1">MIN(nox_nightshade_cap,Construction!DF35/Construction!E35/nox_nightshade_swamp_bonus)</f>
        <v>2.8000000000000003</v>
      </c>
      <c r="DM35" s="482">
        <f t="shared" ref="DM35:DM66" si="105">MIN(flying_ant_cap,BO35/flying_ant_bonus)</f>
        <v>0</v>
      </c>
      <c r="DN35" s="483">
        <f t="shared" ref="DN35:DN66" ca="1" si="106">MIN(goat_witch_cap,CQ35/goat_witch_bonus)</f>
        <v>2.8000000000000003</v>
      </c>
      <c r="DO35" s="483">
        <f t="shared" ref="DO35:DO66" ca="1" si="107">MIN(minotaur_cap,CQ35/minotaur_bonus)</f>
        <v>2.8000000000000003</v>
      </c>
      <c r="DP35" s="483">
        <f t="shared" ref="DP35:DP66" si="108">MIN(fanatic_cap,CS35/fanatic_bonus)</f>
        <v>1</v>
      </c>
      <c r="DQ35" s="482">
        <f t="shared" ref="DQ35:DQ66" si="109">MIN(holy_warrior_cap,CT35/holy_warrior_bonus)</f>
        <v>0</v>
      </c>
      <c r="DR35" s="483">
        <f t="shared" ref="DR35:DR66" si="110">MIN(banshee_cap,CU35/banshee_bonus)</f>
        <v>0</v>
      </c>
      <c r="DS35" s="482">
        <f t="shared" ref="DS35:DS66" si="111">MIN(phantom_cap,CU35/phantom_bonus)</f>
        <v>0</v>
      </c>
      <c r="DT35" s="483">
        <f t="shared" ref="DT35:DT66" si="112">MIN(wraith_cap,EO35*wraith_bonus)</f>
        <v>0.1</v>
      </c>
      <c r="DX35" s="487">
        <f ca="1">MIN(6,CV35+Races!$F$19)*1.8 +  IF(CV35+Races!$F$19&gt;6,(CV35+Races!$F$19-6)*0.2,0) - Races!$N$19</f>
        <v>2.5200000000000005</v>
      </c>
      <c r="DY35" s="488">
        <f ca="1">1.8 * MIN(MAX(CW35+Races!$E$20,CX35+Races!$F$20),6)  +  0.45 * MIN(MIN(CW35+Races!$E$20,CX35+Races!$F$20),6)  +  0.2 * ( MAX(CW35+Races!$E$20-6,0) + MAX(CX35+Races!$F$20-6,0) )  -  Races!$N$20</f>
        <v>3.1500000000000012</v>
      </c>
      <c r="DZ35" s="57">
        <f t="shared" ref="DZ35:DZ66" ca="1" si="113">DX35*G35+DY35*H35</f>
        <v>3780.0000000000009</v>
      </c>
      <c r="EA35" s="666">
        <f ca="1">MIN(6,CY35+Races!$F$35)*1.8 +  IF(CY35+Races!$F$35&gt;6,(CY35+Races!$F$35-6)*0.2,0) - Races!$N$19</f>
        <v>0.72000000000000064</v>
      </c>
      <c r="EB35" s="57">
        <f t="shared" ref="EB35:EB66" ca="1" si="114">$DV$5*(DX35*G35)</f>
        <v>0</v>
      </c>
      <c r="EC35" s="666">
        <f ca="1">1.8 * MIN(MAX(Races!$E$27,DB35+Races!$F$27),6)  +  0.45 * MIN(MIN(Races!$E$27,DB35+Races!$F$27),6)  +  0.2 * ( MAX(Races!$E$27-6,0) + MAX(DB35+Races!$F$27-6,0) )  -  Races!$N$20</f>
        <v>4.7700000000000005</v>
      </c>
      <c r="ED35" s="57">
        <f t="shared" ref="ED35:ED66" ca="1" si="115">$DV$6*(EC35*G35)</f>
        <v>0</v>
      </c>
      <c r="EE35" s="666">
        <f>1.8 * MIN(MAX(DC35+Races!$E$47,DD35+Races!$F$47),6)  +  0.45 * MIN(MIN(DC35+Races!$E$47,DD35+Races!$F$47),6)  +  0.2 * ( MAX(DC35+Races!$E$47-6,0) + MAX(DD35+Races!$F$47-6,0) )  -  Races!$N$47</f>
        <v>0</v>
      </c>
      <c r="EF35" s="57">
        <f t="shared" ref="EF35:EF66" si="116">$DV$7*(EE35*G35)</f>
        <v>0</v>
      </c>
      <c r="EG35" s="666">
        <f ca="1">1.8 * MIN(MAX(DG35+Races!$F$71,Races!$E$71),6)  +  0.45 * MIN(MIN(DG35+Races!$F$71,Races!$E$71),6)  +  0.2 * ( MAX(DG35+Races!$F$71-6,0) + MAX(Races!$E$71-6,0) )  -  Races!$N$71</f>
        <v>2.5200000000000014</v>
      </c>
      <c r="EH35" s="666">
        <f>1.8 * MIN(MAX(DH35+Races!$E$71,Races!$F$71),6)  +  0.45 * MIN(MIN(DH35+Races!$E$71,Races!$F$71),6)  +  0.2 * ( MAX(DH35+Races!$E$71-6,0) + MAX(Races!$F$71-6,0) )  -  Races!$N$71</f>
        <v>0.16200000000000081</v>
      </c>
      <c r="EI35" s="57">
        <f t="shared" ref="EI35:EI66" ca="1" si="117">EG35*G35+EH35*H35</f>
        <v>2584.8000000000015</v>
      </c>
      <c r="EJ35" s="57"/>
      <c r="EK35" s="57"/>
      <c r="EL35" s="57"/>
      <c r="EM35" s="57">
        <f ca="1">Overview!$L$22*E35+Overview!$L$23*F35+Overview!$L$24*G35+Overview!$L$25*H35+Overview!$L$26*I35+Overview!$L$27*J35+Overview!$L$28*K35+Construction!E35*20+Construction!B35*5 + DZ35*$DV$4+EB35*$DV$5+ED35*$DV$6+EF35*$DV$7+EI35*$DV$9</f>
        <v>39460</v>
      </c>
      <c r="EO35" s="738">
        <f>(J35+2*K35)/Construction!E35</f>
        <v>0.1</v>
      </c>
      <c r="EP35" s="734">
        <f ca="1">EO35*(1+race_wizard_strength+tech_magical_weaponry_wiz*Techs!AV107)</f>
        <v>0.1</v>
      </c>
      <c r="EQ35" s="16">
        <f>(I35+halfer*H35/3)/Construction!E35</f>
        <v>0.1</v>
      </c>
    </row>
    <row r="36" spans="1:147" s="16" customFormat="1">
      <c r="A36" s="629">
        <f>Rezone!J36</f>
        <v>34</v>
      </c>
      <c r="B36" s="56">
        <f ca="1">SUM(E36:K36)+SUM(AF28:AG36)+SUM(AH25:AL36)+Z36+Explore!AL36</f>
        <v>5295</v>
      </c>
      <c r="C36" s="97">
        <f ca="1">Population!G36</f>
        <v>0.57305194805194803</v>
      </c>
      <c r="E36" s="52">
        <f t="shared" si="64"/>
        <v>0</v>
      </c>
      <c r="F36" s="16">
        <f t="shared" si="65"/>
        <v>0</v>
      </c>
      <c r="G36" s="16">
        <f t="shared" si="66"/>
        <v>1000</v>
      </c>
      <c r="H36" s="16">
        <f t="shared" si="67"/>
        <v>400</v>
      </c>
      <c r="I36" s="16">
        <f t="shared" si="68"/>
        <v>100</v>
      </c>
      <c r="J36" s="16">
        <f t="shared" si="69"/>
        <v>100</v>
      </c>
      <c r="K36" s="53">
        <f t="shared" si="70"/>
        <v>0</v>
      </c>
      <c r="M36" s="64">
        <f ca="1">Production!G36</f>
        <v>39460</v>
      </c>
      <c r="O36" s="234">
        <f t="shared" ca="1" si="75"/>
        <v>4400</v>
      </c>
      <c r="P36" s="455">
        <f ca="1">race_offense+Imps!AB36+ROUND(MIN(gn_bonus*Construction!BF36/Construction!$E36,gn_bonus_cap),4)+MAX(IF(Magic!$AN36&gt;0,warsong_bonus),IF(Magic!AP36&gt;0,howling_op_bonus),IF(Magic!AS36&gt;0,nightfall_bonus),IF(Magic!AT36&gt;0,crusade_bonus),IF(Magic!AU36&gt;0,killingrage_bonus),IF(Magic!AV36&gt;0,bloodrage_bonus)) + Production!O36/100*prestige_offense_bonus + MAX(tech_military_offense*Techs!AH36,tech_magical_weaponry_op*Techs!AV36)</f>
        <v>0.05</v>
      </c>
      <c r="Q36" s="235">
        <f t="shared" ca="1" si="46"/>
        <v>4620</v>
      </c>
      <c r="R36" s="234">
        <f ca="1">F36*(spec_dp+spirit*DR36)+G36*(elite1_dp+woodie*CV36+sylvan*CY36+gnome*DB36+dark_elf*DD36+icekin*DG36+orc*DJ36+nox*DL36+beast*DN36+sacred*DP36+spirit*DS36+blackorc*DK36)+H36*(elite2_dp+woodie*CX36+beast*DO36+sacred*DQ36) + fh_peas_dp*MIN(Population!C36,20*Construction!BD36)+kobold*DE36</f>
        <v>7200</v>
      </c>
      <c r="S36" s="235">
        <f t="shared" ca="1" si="76"/>
        <v>10895</v>
      </c>
      <c r="T36" s="1052">
        <f ca="1">race_defense+Imps!AC36+ROUND(MIN(gt_bonus*Construction!BH36/Construction!$E36,gt_bonus_cap),4)+MAX(IF(Magic!AM36&gt;0,frenzy_bonus,IF(Magic!AQ36&gt;0,blizzard_bonus,IF(Magic!AP36&gt;0,howling_dp_bonus,IF(Magic!AI36&gt;0,ares_call_bonus)))),IF(Magic!AX36&gt;0,MIN(Construction!DF36/Construction!E36,0.2),0))</f>
        <v>0</v>
      </c>
      <c r="U36" s="1046">
        <f t="shared" ca="1" si="47"/>
        <v>7200</v>
      </c>
      <c r="V36" s="308">
        <f t="shared" ca="1" si="48"/>
        <v>10895</v>
      </c>
      <c r="W36" s="310">
        <f>Construction!E36</f>
        <v>1000</v>
      </c>
      <c r="X36" s="367"/>
      <c r="Y36" s="146">
        <f t="shared" si="74"/>
        <v>0.4</v>
      </c>
      <c r="Z36" s="166">
        <f ca="1">Z35+Population!Z35 - IF(race="Lux",AF36,SUM(AF36:AK36)) - BE36 + SUM(BF36:BL36) - Explore!AI36</f>
        <v>3695</v>
      </c>
      <c r="AA36" s="164"/>
      <c r="AB36" s="91">
        <f>(Construction!$BA36+Construction!BY36)/(Construction!$E36-Explore!S36*20)</f>
        <v>0.2</v>
      </c>
      <c r="AC36" s="529"/>
      <c r="AD36" s="799">
        <f>Rezone!J36</f>
        <v>34</v>
      </c>
      <c r="AE36" s="589">
        <f>Explore!AA36</f>
        <v>43693.37499999992</v>
      </c>
      <c r="AF36" s="356"/>
      <c r="AG36" s="348"/>
      <c r="AH36" s="348"/>
      <c r="AI36" s="348"/>
      <c r="AJ36" s="348"/>
      <c r="AK36" s="348"/>
      <c r="AL36" s="357"/>
      <c r="AN36" s="56">
        <f ca="1">Production!$H36</f>
        <v>3298994</v>
      </c>
      <c r="AO36" s="26">
        <f ca="1">Production!$L36</f>
        <v>231000</v>
      </c>
      <c r="AP36" s="26">
        <f ca="1">Production!J36</f>
        <v>287608</v>
      </c>
      <c r="AQ36" s="26">
        <f ca="1">Production!M36</f>
        <v>20000</v>
      </c>
      <c r="AR36" s="26">
        <f ca="1">Production!K36</f>
        <v>40681</v>
      </c>
      <c r="AS36" s="26">
        <f ca="1">Production!I36</f>
        <v>159031</v>
      </c>
      <c r="AT36" s="26">
        <f ca="1">Production!N36</f>
        <v>200</v>
      </c>
      <c r="AU36" s="152">
        <f t="shared" ca="1" si="77"/>
        <v>0</v>
      </c>
      <c r="AV36" s="164">
        <f t="shared" ca="1" si="78"/>
        <v>0</v>
      </c>
      <c r="AW36" s="164">
        <f t="shared" ca="1" si="50"/>
        <v>0</v>
      </c>
      <c r="AX36" s="164">
        <f t="shared" ca="1" si="51"/>
        <v>0</v>
      </c>
      <c r="AY36" s="164">
        <f t="shared" ca="1" si="52"/>
        <v>0</v>
      </c>
      <c r="AZ36" s="164">
        <f t="shared" ca="1" si="53"/>
        <v>0</v>
      </c>
      <c r="BA36" s="166">
        <f t="shared" ca="1" si="54"/>
        <v>0</v>
      </c>
      <c r="BB36" s="16">
        <v>34</v>
      </c>
      <c r="BC36" s="574">
        <f t="shared" si="71"/>
        <v>43693.37499999992</v>
      </c>
      <c r="BD36" s="148">
        <f t="shared" ca="1" si="72"/>
        <v>3695</v>
      </c>
      <c r="BE36" s="356"/>
      <c r="BF36" s="348"/>
      <c r="BG36" s="348"/>
      <c r="BH36" s="348"/>
      <c r="BI36" s="348"/>
      <c r="BJ36" s="348"/>
      <c r="BK36" s="348"/>
      <c r="BL36" s="357"/>
      <c r="BN36" s="503">
        <f>Construction!BM36/Construction!E36</f>
        <v>0</v>
      </c>
      <c r="BO36" s="171">
        <f>Construction!BD36/Construction!E36</f>
        <v>0</v>
      </c>
      <c r="BP36" s="152">
        <f>ROUNDUP((1-MIN(AB36*smithy_bonus,smithy_bonus_cap))*(1+Techs!AO36*tech_master_of_frugality)*spec_op_plat,0)</f>
        <v>165</v>
      </c>
      <c r="BQ36" s="164">
        <f>ROUNDUP(IF(race="Gnome",1,(1-MIN(AB36*smithy_bonus,smithy_bonus_cap))*(1+Techs!AO36*tech_master_of_frugality))*spec_op_ore,0)</f>
        <v>15</v>
      </c>
      <c r="BR36" s="164">
        <f t="shared" si="79"/>
        <v>0</v>
      </c>
      <c r="BS36" s="164">
        <f t="shared" si="80"/>
        <v>0</v>
      </c>
      <c r="BT36" s="164">
        <f ca="1">ROUNDUP((1-MIN(AB36*smithy_bonus,smithy_bonus_cap))*(1+Techs!AO36*tech_master_of_frugality)*spec_dp_plat,0)</f>
        <v>165</v>
      </c>
      <c r="BU36" s="164">
        <f ca="1">ROUNDUP(IF(OR(race="Gnome",race="Imperial Gnome"),1,(1-MIN(AB36*smithy_bonus,smithy_bonus_cap))*(1+Techs!AO36*tech_master_of_frugality))*spec_dp_ore,0)</f>
        <v>6</v>
      </c>
      <c r="BV36" s="164">
        <f t="shared" ca="1" si="81"/>
        <v>0</v>
      </c>
      <c r="BW36" s="164">
        <f t="shared" ca="1" si="82"/>
        <v>0</v>
      </c>
      <c r="BX36" s="164">
        <f t="shared" ca="1" si="83"/>
        <v>0</v>
      </c>
      <c r="BY36" s="164">
        <f ca="1">ROUNDUP((1-MIN(AB36*smithy_bonus,smithy_bonus_cap))*(1+Techs!AO36*tech_master_of_frugality)*elite1_plat,0)</f>
        <v>600</v>
      </c>
      <c r="BZ36" s="164">
        <f ca="1">ROUNDUP(IF(race="Gnome",1,(1-MIN(AB36*smithy_bonus,smithy_bonus_cap))*(1+Techs!AO36*tech_master_of_frugality))*elite1_ore,0)</f>
        <v>45</v>
      </c>
      <c r="CA36" s="164">
        <f t="shared" ca="1" si="84"/>
        <v>0</v>
      </c>
      <c r="CB36" s="164">
        <f t="shared" ca="1" si="85"/>
        <v>0</v>
      </c>
      <c r="CC36" s="164">
        <f t="shared" ca="1" si="86"/>
        <v>0</v>
      </c>
      <c r="CD36" s="164">
        <f t="shared" ca="1" si="87"/>
        <v>0</v>
      </c>
      <c r="CE36" s="164">
        <f t="shared" ca="1" si="88"/>
        <v>0</v>
      </c>
      <c r="CF36" s="164">
        <f ca="1">ROUNDUP((1-MIN(AB36*smithy_bonus,smithy_bonus_cap))*(1+Techs!AO36*tech_master_of_frugality)*elite2_plat,0)</f>
        <v>750</v>
      </c>
      <c r="CG36" s="164">
        <f ca="1">ROUNDUP(IF(race="Gnome",1,(1-MIN(AB36*smithy_bonus,smithy_bonus_cap))*(1+Techs!AO36*tech_master_of_frugality))*elite2_ore,0)</f>
        <v>60</v>
      </c>
      <c r="CH36" s="164">
        <f t="shared" ca="1" si="89"/>
        <v>0</v>
      </c>
      <c r="CI36" s="164">
        <f t="shared" ca="1" si="90"/>
        <v>0</v>
      </c>
      <c r="CJ36" s="164">
        <f t="shared" ca="1" si="91"/>
        <v>0</v>
      </c>
      <c r="CK36" s="164">
        <f t="shared" ca="1" si="92"/>
        <v>0</v>
      </c>
      <c r="CL36" s="164">
        <f t="shared" ca="1" si="93"/>
        <v>0</v>
      </c>
      <c r="CM36" s="164">
        <f>ROUNDUP((1+tech_spy_cost*Techs!AJ36)*spy_plat,0)</f>
        <v>500</v>
      </c>
      <c r="CN36" s="164">
        <f>ROUNDUP((1+tech_wizard_cost*Techs!AM36-MIN(ROUND(wg_wiz_cost_bonus*BN36,4),wg_wiz_cost_cap))*wizard_plat,0)</f>
        <v>500</v>
      </c>
      <c r="CO36" s="166">
        <f>ROUNDUP((1+tech_wizard_cost*Techs!AM36-MIN(ROUND(wg_wiz_cost_bonus*BN36,4),wg_wiz_cost_cap))*archmage_plat,0)</f>
        <v>1000</v>
      </c>
      <c r="CQ36" s="465">
        <f ca="1">Construction!DF36/Construction!E36</f>
        <v>0.28000000000000003</v>
      </c>
      <c r="CR36" s="466">
        <f t="shared" si="73"/>
        <v>0</v>
      </c>
      <c r="CS36" s="466">
        <f>Construction!BK36/Construction!E36</f>
        <v>0.05</v>
      </c>
      <c r="CT36" s="466">
        <f>Construction!BJ36/Construction!E36</f>
        <v>0</v>
      </c>
      <c r="CU36" s="466">
        <f>Construction!AY36/Construction!E36</f>
        <v>0</v>
      </c>
      <c r="CV36" s="481">
        <f t="shared" ca="1" si="94"/>
        <v>1.4000000000000001</v>
      </c>
      <c r="CW36" s="482">
        <f t="shared" ca="1" si="95"/>
        <v>1.4000000000000001</v>
      </c>
      <c r="CX36" s="482">
        <f t="shared" ca="1" si="96"/>
        <v>1.4000000000000001</v>
      </c>
      <c r="CY36" s="483">
        <f t="shared" ca="1" si="97"/>
        <v>1.4000000000000001</v>
      </c>
      <c r="CZ36" s="483">
        <f t="shared" si="98"/>
        <v>0.1</v>
      </c>
      <c r="DA36" s="483">
        <f t="shared" ca="1" si="99"/>
        <v>3</v>
      </c>
      <c r="DB36" s="483">
        <f t="shared" ca="1" si="100"/>
        <v>1.4000000000000001</v>
      </c>
      <c r="DC36" s="482">
        <f t="shared" si="101"/>
        <v>0</v>
      </c>
      <c r="DD36" s="847">
        <f t="shared" si="102"/>
        <v>0</v>
      </c>
      <c r="DE36" s="440">
        <f t="shared" si="56"/>
        <v>800</v>
      </c>
      <c r="DF36" s="440">
        <f t="shared" si="57"/>
        <v>0</v>
      </c>
      <c r="DG36" s="481">
        <f t="shared" ca="1" si="103"/>
        <v>1.4000000000000001</v>
      </c>
      <c r="DH36" s="450">
        <f t="shared" si="104"/>
        <v>9.0000000000000011E-2</v>
      </c>
      <c r="DI36" s="450">
        <f>MIN(valkyrja_cap,Production!O36/valkyrja_bonus)</f>
        <v>1</v>
      </c>
      <c r="DJ36" s="847">
        <f>MIN(voodoo_magi_cap,Production!O36/voodoo_magi_bonus)</f>
        <v>0.83333333333333337</v>
      </c>
      <c r="DK36" s="847">
        <f>MIN(warlock_cap,Production!O36/warlock_bonus)</f>
        <v>1.25</v>
      </c>
      <c r="DL36" s="847">
        <f ca="1">MIN(nox_nightshade_cap,Construction!DF36/Construction!E36/nox_nightshade_swamp_bonus)</f>
        <v>2.8000000000000003</v>
      </c>
      <c r="DM36" s="482">
        <f t="shared" si="105"/>
        <v>0</v>
      </c>
      <c r="DN36" s="483">
        <f t="shared" ca="1" si="106"/>
        <v>2.8000000000000003</v>
      </c>
      <c r="DO36" s="483">
        <f t="shared" ca="1" si="107"/>
        <v>2.8000000000000003</v>
      </c>
      <c r="DP36" s="483">
        <f t="shared" si="108"/>
        <v>1</v>
      </c>
      <c r="DQ36" s="482">
        <f t="shared" si="109"/>
        <v>0</v>
      </c>
      <c r="DR36" s="483">
        <f t="shared" si="110"/>
        <v>0</v>
      </c>
      <c r="DS36" s="482">
        <f t="shared" si="111"/>
        <v>0</v>
      </c>
      <c r="DT36" s="483">
        <f t="shared" si="112"/>
        <v>0.1</v>
      </c>
      <c r="DX36" s="487">
        <f ca="1">MIN(6,CV36+Races!$F$19)*1.8 +  IF(CV36+Races!$F$19&gt;6,(CV36+Races!$F$19-6)*0.2,0) - Races!$N$19</f>
        <v>2.5200000000000005</v>
      </c>
      <c r="DY36" s="488">
        <f ca="1">1.8 * MIN(MAX(CW36+Races!$E$20,CX36+Races!$F$20),6)  +  0.45 * MIN(MIN(CW36+Races!$E$20,CX36+Races!$F$20),6)  +  0.2 * ( MAX(CW36+Races!$E$20-6,0) + MAX(CX36+Races!$F$20-6,0) )  -  Races!$N$20</f>
        <v>3.1500000000000012</v>
      </c>
      <c r="DZ36" s="57">
        <f t="shared" ca="1" si="113"/>
        <v>3780.0000000000009</v>
      </c>
      <c r="EA36" s="666">
        <f ca="1">MIN(6,CY36+Races!$F$35)*1.8 +  IF(CY36+Races!$F$35&gt;6,(CY36+Races!$F$35-6)*0.2,0) - Races!$N$19</f>
        <v>0.72000000000000064</v>
      </c>
      <c r="EB36" s="57">
        <f t="shared" ca="1" si="114"/>
        <v>0</v>
      </c>
      <c r="EC36" s="666">
        <f ca="1">1.8 * MIN(MAX(Races!$E$27,DB36+Races!$F$27),6)  +  0.45 * MIN(MIN(Races!$E$27,DB36+Races!$F$27),6)  +  0.2 * ( MAX(Races!$E$27-6,0) + MAX(DB36+Races!$F$27-6,0) )  -  Races!$N$20</f>
        <v>4.7700000000000005</v>
      </c>
      <c r="ED36" s="57">
        <f t="shared" ca="1" si="115"/>
        <v>0</v>
      </c>
      <c r="EE36" s="666">
        <f>1.8 * MIN(MAX(DC36+Races!$E$47,DD36+Races!$F$47),6)  +  0.45 * MIN(MIN(DC36+Races!$E$47,DD36+Races!$F$47),6)  +  0.2 * ( MAX(DC36+Races!$E$47-6,0) + MAX(DD36+Races!$F$47-6,0) )  -  Races!$N$47</f>
        <v>0</v>
      </c>
      <c r="EF36" s="57">
        <f t="shared" si="116"/>
        <v>0</v>
      </c>
      <c r="EG36" s="666">
        <f ca="1">1.8 * MIN(MAX(DG36+Races!$F$71,Races!$E$71),6)  +  0.45 * MIN(MIN(DG36+Races!$F$71,Races!$E$71),6)  +  0.2 * ( MAX(DG36+Races!$F$71-6,0) + MAX(Races!$E$71-6,0) )  -  Races!$N$71</f>
        <v>2.5200000000000014</v>
      </c>
      <c r="EH36" s="666">
        <f>1.8 * MIN(MAX(DH36+Races!$E$71,Races!$F$71),6)  +  0.45 * MIN(MIN(DH36+Races!$E$71,Races!$F$71),6)  +  0.2 * ( MAX(DH36+Races!$E$71-6,0) + MAX(Races!$F$71-6,0) )  -  Races!$N$71</f>
        <v>0.16200000000000081</v>
      </c>
      <c r="EI36" s="57">
        <f t="shared" ca="1" si="117"/>
        <v>2584.8000000000015</v>
      </c>
      <c r="EJ36" s="57"/>
      <c r="EK36" s="57"/>
      <c r="EL36" s="57"/>
      <c r="EM36" s="57">
        <f ca="1">Overview!$L$22*E36+Overview!$L$23*F36+Overview!$L$24*G36+Overview!$L$25*H36+Overview!$L$26*I36+Overview!$L$27*J36+Overview!$L$28*K36+Construction!E36*20+Construction!B36*5 + DZ36*$DV$4+EB36*$DV$5+ED36*$DV$6+EF36*$DV$7+EI36*$DV$9</f>
        <v>39460</v>
      </c>
      <c r="EO36" s="738">
        <f>(J36+2*K36)/Construction!E36</f>
        <v>0.1</v>
      </c>
      <c r="EP36" s="734">
        <f ca="1">EO36*(1+race_wizard_strength+tech_magical_weaponry_wiz*Techs!AV108)</f>
        <v>0.1</v>
      </c>
      <c r="EQ36" s="16">
        <f>(I36+halfer*H36/3)/Construction!E36</f>
        <v>0.1</v>
      </c>
    </row>
    <row r="37" spans="1:147" s="16" customFormat="1">
      <c r="A37" s="629">
        <f>Rezone!J37</f>
        <v>35</v>
      </c>
      <c r="B37" s="56">
        <f ca="1">SUM(E37:K37)+SUM(AF29:AG37)+SUM(AH26:AL37)+Z37+Explore!AL37</f>
        <v>5295</v>
      </c>
      <c r="C37" s="97">
        <f ca="1">Population!G37</f>
        <v>0.57305194805194803</v>
      </c>
      <c r="E37" s="52">
        <f t="shared" si="64"/>
        <v>0</v>
      </c>
      <c r="F37" s="16">
        <f t="shared" si="65"/>
        <v>0</v>
      </c>
      <c r="G37" s="16">
        <f t="shared" si="66"/>
        <v>1000</v>
      </c>
      <c r="H37" s="16">
        <f t="shared" si="67"/>
        <v>400</v>
      </c>
      <c r="I37" s="16">
        <f t="shared" si="68"/>
        <v>100</v>
      </c>
      <c r="J37" s="16">
        <f t="shared" si="69"/>
        <v>100</v>
      </c>
      <c r="K37" s="53">
        <f t="shared" si="70"/>
        <v>0</v>
      </c>
      <c r="M37" s="64">
        <f ca="1">Production!G37</f>
        <v>39460</v>
      </c>
      <c r="O37" s="234">
        <f t="shared" ca="1" si="75"/>
        <v>4400</v>
      </c>
      <c r="P37" s="455">
        <f ca="1">race_offense+Imps!AB37+ROUND(MIN(gn_bonus*Construction!BF37/Construction!$E37,gn_bonus_cap),4)+MAX(IF(Magic!$AN37&gt;0,warsong_bonus),IF(Magic!AP37&gt;0,howling_op_bonus),IF(Magic!AS37&gt;0,nightfall_bonus),IF(Magic!AT37&gt;0,crusade_bonus),IF(Magic!AU37&gt;0,killingrage_bonus),IF(Magic!AV37&gt;0,bloodrage_bonus)) + Production!O37/100*prestige_offense_bonus + MAX(tech_military_offense*Techs!AH37,tech_magical_weaponry_op*Techs!AV37)</f>
        <v>0.05</v>
      </c>
      <c r="Q37" s="235">
        <f t="shared" ca="1" si="46"/>
        <v>4620</v>
      </c>
      <c r="R37" s="234">
        <f ca="1">F37*(spec_dp+spirit*DR37)+G37*(elite1_dp+woodie*CV37+sylvan*CY37+gnome*DB37+dark_elf*DD37+icekin*DG37+orc*DJ37+nox*DL37+beast*DN37+sacred*DP37+spirit*DS37+blackorc*DK37)+H37*(elite2_dp+woodie*CX37+beast*DO37+sacred*DQ37) + fh_peas_dp*MIN(Population!C37,20*Construction!BD37)+kobold*DE37</f>
        <v>7200</v>
      </c>
      <c r="S37" s="235">
        <f t="shared" ca="1" si="76"/>
        <v>10895</v>
      </c>
      <c r="T37" s="1052">
        <f ca="1">race_defense+Imps!AC37+ROUND(MIN(gt_bonus*Construction!BH37/Construction!$E37,gt_bonus_cap),4)+MAX(IF(Magic!AM37&gt;0,frenzy_bonus,IF(Magic!AQ37&gt;0,blizzard_bonus,IF(Magic!AP37&gt;0,howling_dp_bonus,IF(Magic!AI37&gt;0,ares_call_bonus)))),IF(Magic!AX37&gt;0,MIN(Construction!DF37/Construction!E37,0.2),0))</f>
        <v>0</v>
      </c>
      <c r="U37" s="1046">
        <f t="shared" ca="1" si="47"/>
        <v>7200</v>
      </c>
      <c r="V37" s="308">
        <f t="shared" ca="1" si="48"/>
        <v>10895</v>
      </c>
      <c r="W37" s="310">
        <f>Construction!E37</f>
        <v>1000</v>
      </c>
      <c r="X37" s="367"/>
      <c r="Y37" s="146">
        <f t="shared" si="74"/>
        <v>0.4</v>
      </c>
      <c r="Z37" s="166">
        <f ca="1">Z36+Population!Z36 - IF(race="Lux",AF37,SUM(AF37:AK37)) - BE37 + SUM(BF37:BL37) - Explore!AI37</f>
        <v>3695</v>
      </c>
      <c r="AA37" s="164"/>
      <c r="AB37" s="91">
        <f>(Construction!$BA37+Construction!BY37)/(Construction!$E37-Explore!S37*20)</f>
        <v>0.2</v>
      </c>
      <c r="AC37" s="529"/>
      <c r="AD37" s="799">
        <f>Rezone!J37</f>
        <v>35</v>
      </c>
      <c r="AE37" s="589">
        <f>Explore!AA37</f>
        <v>43693.416666666584</v>
      </c>
      <c r="AF37" s="356"/>
      <c r="AG37" s="348"/>
      <c r="AH37" s="348"/>
      <c r="AI37" s="348"/>
      <c r="AJ37" s="348"/>
      <c r="AK37" s="348"/>
      <c r="AL37" s="357"/>
      <c r="AN37" s="56">
        <f ca="1">Production!$H37</f>
        <v>3309645</v>
      </c>
      <c r="AO37" s="26">
        <f ca="1">Production!$L37</f>
        <v>231000</v>
      </c>
      <c r="AP37" s="26">
        <f ca="1">Production!J37</f>
        <v>287232</v>
      </c>
      <c r="AQ37" s="26">
        <f ca="1">Production!M37</f>
        <v>20000</v>
      </c>
      <c r="AR37" s="26">
        <f ca="1">Production!K37</f>
        <v>41117</v>
      </c>
      <c r="AS37" s="26">
        <f ca="1">Production!I37</f>
        <v>162171</v>
      </c>
      <c r="AT37" s="26">
        <f ca="1">Production!N37</f>
        <v>200</v>
      </c>
      <c r="AU37" s="152">
        <f t="shared" ca="1" si="77"/>
        <v>0</v>
      </c>
      <c r="AV37" s="164">
        <f t="shared" ca="1" si="78"/>
        <v>0</v>
      </c>
      <c r="AW37" s="164">
        <f t="shared" ca="1" si="50"/>
        <v>0</v>
      </c>
      <c r="AX37" s="164">
        <f t="shared" ca="1" si="51"/>
        <v>0</v>
      </c>
      <c r="AY37" s="164">
        <f t="shared" ca="1" si="52"/>
        <v>0</v>
      </c>
      <c r="AZ37" s="164">
        <f t="shared" ca="1" si="53"/>
        <v>0</v>
      </c>
      <c r="BA37" s="166">
        <f t="shared" ca="1" si="54"/>
        <v>0</v>
      </c>
      <c r="BB37" s="16">
        <v>35</v>
      </c>
      <c r="BC37" s="574">
        <f t="shared" si="71"/>
        <v>43693.416666666584</v>
      </c>
      <c r="BD37" s="148">
        <f t="shared" ca="1" si="72"/>
        <v>3695</v>
      </c>
      <c r="BE37" s="356"/>
      <c r="BF37" s="348"/>
      <c r="BG37" s="348"/>
      <c r="BH37" s="348"/>
      <c r="BI37" s="348"/>
      <c r="BJ37" s="348"/>
      <c r="BK37" s="348"/>
      <c r="BL37" s="357"/>
      <c r="BN37" s="503">
        <f>Construction!BM37/Construction!E37</f>
        <v>0</v>
      </c>
      <c r="BO37" s="171">
        <f>Construction!BD37/Construction!E37</f>
        <v>0</v>
      </c>
      <c r="BP37" s="152">
        <f>ROUNDUP((1-MIN(AB37*smithy_bonus,smithy_bonus_cap))*(1+Techs!AO37*tech_master_of_frugality)*spec_op_plat,0)</f>
        <v>165</v>
      </c>
      <c r="BQ37" s="164">
        <f>ROUNDUP(IF(race="Gnome",1,(1-MIN(AB37*smithy_bonus,smithy_bonus_cap))*(1+Techs!AO37*tech_master_of_frugality))*spec_op_ore,0)</f>
        <v>15</v>
      </c>
      <c r="BR37" s="164">
        <f t="shared" si="79"/>
        <v>0</v>
      </c>
      <c r="BS37" s="164">
        <f t="shared" si="80"/>
        <v>0</v>
      </c>
      <c r="BT37" s="164">
        <f ca="1">ROUNDUP((1-MIN(AB37*smithy_bonus,smithy_bonus_cap))*(1+Techs!AO37*tech_master_of_frugality)*spec_dp_plat,0)</f>
        <v>165</v>
      </c>
      <c r="BU37" s="164">
        <f ca="1">ROUNDUP(IF(OR(race="Gnome",race="Imperial Gnome"),1,(1-MIN(AB37*smithy_bonus,smithy_bonus_cap))*(1+Techs!AO37*tech_master_of_frugality))*spec_dp_ore,0)</f>
        <v>6</v>
      </c>
      <c r="BV37" s="164">
        <f t="shared" ca="1" si="81"/>
        <v>0</v>
      </c>
      <c r="BW37" s="164">
        <f t="shared" ca="1" si="82"/>
        <v>0</v>
      </c>
      <c r="BX37" s="164">
        <f t="shared" ca="1" si="83"/>
        <v>0</v>
      </c>
      <c r="BY37" s="164">
        <f ca="1">ROUNDUP((1-MIN(AB37*smithy_bonus,smithy_bonus_cap))*(1+Techs!AO37*tech_master_of_frugality)*elite1_plat,0)</f>
        <v>600</v>
      </c>
      <c r="BZ37" s="164">
        <f ca="1">ROUNDUP(IF(race="Gnome",1,(1-MIN(AB37*smithy_bonus,smithy_bonus_cap))*(1+Techs!AO37*tech_master_of_frugality))*elite1_ore,0)</f>
        <v>45</v>
      </c>
      <c r="CA37" s="164">
        <f t="shared" ca="1" si="84"/>
        <v>0</v>
      </c>
      <c r="CB37" s="164">
        <f t="shared" ca="1" si="85"/>
        <v>0</v>
      </c>
      <c r="CC37" s="164">
        <f t="shared" ca="1" si="86"/>
        <v>0</v>
      </c>
      <c r="CD37" s="164">
        <f t="shared" ca="1" si="87"/>
        <v>0</v>
      </c>
      <c r="CE37" s="164">
        <f t="shared" ca="1" si="88"/>
        <v>0</v>
      </c>
      <c r="CF37" s="164">
        <f ca="1">ROUNDUP((1-MIN(AB37*smithy_bonus,smithy_bonus_cap))*(1+Techs!AO37*tech_master_of_frugality)*elite2_plat,0)</f>
        <v>750</v>
      </c>
      <c r="CG37" s="164">
        <f ca="1">ROUNDUP(IF(race="Gnome",1,(1-MIN(AB37*smithy_bonus,smithy_bonus_cap))*(1+Techs!AO37*tech_master_of_frugality))*elite2_ore,0)</f>
        <v>60</v>
      </c>
      <c r="CH37" s="164">
        <f t="shared" ca="1" si="89"/>
        <v>0</v>
      </c>
      <c r="CI37" s="164">
        <f t="shared" ca="1" si="90"/>
        <v>0</v>
      </c>
      <c r="CJ37" s="164">
        <f t="shared" ca="1" si="91"/>
        <v>0</v>
      </c>
      <c r="CK37" s="164">
        <f t="shared" ca="1" si="92"/>
        <v>0</v>
      </c>
      <c r="CL37" s="164">
        <f t="shared" ca="1" si="93"/>
        <v>0</v>
      </c>
      <c r="CM37" s="164">
        <f>ROUNDUP((1+tech_spy_cost*Techs!AJ37)*spy_plat,0)</f>
        <v>500</v>
      </c>
      <c r="CN37" s="164">
        <f>ROUNDUP((1+tech_wizard_cost*Techs!AM37-MIN(ROUND(wg_wiz_cost_bonus*BN37,4),wg_wiz_cost_cap))*wizard_plat,0)</f>
        <v>500</v>
      </c>
      <c r="CO37" s="166">
        <f>ROUNDUP((1+tech_wizard_cost*Techs!AM37-MIN(ROUND(wg_wiz_cost_bonus*BN37,4),wg_wiz_cost_cap))*archmage_plat,0)</f>
        <v>1000</v>
      </c>
      <c r="CQ37" s="465">
        <f ca="1">Construction!DF37/Construction!E37</f>
        <v>0.28000000000000003</v>
      </c>
      <c r="CR37" s="466">
        <f t="shared" si="73"/>
        <v>0</v>
      </c>
      <c r="CS37" s="466">
        <f>Construction!BK37/Construction!E37</f>
        <v>0.05</v>
      </c>
      <c r="CT37" s="466">
        <f>Construction!BJ37/Construction!E37</f>
        <v>0</v>
      </c>
      <c r="CU37" s="466">
        <f>Construction!AY37/Construction!E37</f>
        <v>0</v>
      </c>
      <c r="CV37" s="481">
        <f t="shared" ca="1" si="94"/>
        <v>1.4000000000000001</v>
      </c>
      <c r="CW37" s="482">
        <f t="shared" ca="1" si="95"/>
        <v>1.4000000000000001</v>
      </c>
      <c r="CX37" s="482">
        <f t="shared" ca="1" si="96"/>
        <v>1.4000000000000001</v>
      </c>
      <c r="CY37" s="483">
        <f t="shared" ca="1" si="97"/>
        <v>1.4000000000000001</v>
      </c>
      <c r="CZ37" s="483">
        <f t="shared" si="98"/>
        <v>0.1</v>
      </c>
      <c r="DA37" s="483">
        <f t="shared" ca="1" si="99"/>
        <v>3</v>
      </c>
      <c r="DB37" s="483">
        <f t="shared" ca="1" si="100"/>
        <v>1.4000000000000001</v>
      </c>
      <c r="DC37" s="482">
        <f t="shared" si="101"/>
        <v>0</v>
      </c>
      <c r="DD37" s="847">
        <f t="shared" si="102"/>
        <v>0</v>
      </c>
      <c r="DE37" s="440">
        <f t="shared" si="56"/>
        <v>800</v>
      </c>
      <c r="DF37" s="440">
        <f t="shared" si="57"/>
        <v>0</v>
      </c>
      <c r="DG37" s="481">
        <f t="shared" ca="1" si="103"/>
        <v>1.4000000000000001</v>
      </c>
      <c r="DH37" s="450">
        <f t="shared" si="104"/>
        <v>9.0000000000000011E-2</v>
      </c>
      <c r="DI37" s="450">
        <f>MIN(valkyrja_cap,Production!O37/valkyrja_bonus)</f>
        <v>1</v>
      </c>
      <c r="DJ37" s="847">
        <f>MIN(voodoo_magi_cap,Production!O37/voodoo_magi_bonus)</f>
        <v>0.83333333333333337</v>
      </c>
      <c r="DK37" s="847">
        <f>MIN(warlock_cap,Production!O37/warlock_bonus)</f>
        <v>1.25</v>
      </c>
      <c r="DL37" s="847">
        <f ca="1">MIN(nox_nightshade_cap,Construction!DF37/Construction!E37/nox_nightshade_swamp_bonus)</f>
        <v>2.8000000000000003</v>
      </c>
      <c r="DM37" s="482">
        <f t="shared" si="105"/>
        <v>0</v>
      </c>
      <c r="DN37" s="483">
        <f t="shared" ca="1" si="106"/>
        <v>2.8000000000000003</v>
      </c>
      <c r="DO37" s="483">
        <f t="shared" ca="1" si="107"/>
        <v>2.8000000000000003</v>
      </c>
      <c r="DP37" s="483">
        <f t="shared" si="108"/>
        <v>1</v>
      </c>
      <c r="DQ37" s="482">
        <f t="shared" si="109"/>
        <v>0</v>
      </c>
      <c r="DR37" s="483">
        <f t="shared" si="110"/>
        <v>0</v>
      </c>
      <c r="DS37" s="482">
        <f t="shared" si="111"/>
        <v>0</v>
      </c>
      <c r="DT37" s="483">
        <f t="shared" si="112"/>
        <v>0.1</v>
      </c>
      <c r="DX37" s="487">
        <f ca="1">MIN(6,CV37+Races!$F$19)*1.8 +  IF(CV37+Races!$F$19&gt;6,(CV37+Races!$F$19-6)*0.2,0) - Races!$N$19</f>
        <v>2.5200000000000005</v>
      </c>
      <c r="DY37" s="488">
        <f ca="1">1.8 * MIN(MAX(CW37+Races!$E$20,CX37+Races!$F$20),6)  +  0.45 * MIN(MIN(CW37+Races!$E$20,CX37+Races!$F$20),6)  +  0.2 * ( MAX(CW37+Races!$E$20-6,0) + MAX(CX37+Races!$F$20-6,0) )  -  Races!$N$20</f>
        <v>3.1500000000000012</v>
      </c>
      <c r="DZ37" s="57">
        <f t="shared" ca="1" si="113"/>
        <v>3780.0000000000009</v>
      </c>
      <c r="EA37" s="666">
        <f ca="1">MIN(6,CY37+Races!$F$35)*1.8 +  IF(CY37+Races!$F$35&gt;6,(CY37+Races!$F$35-6)*0.2,0) - Races!$N$19</f>
        <v>0.72000000000000064</v>
      </c>
      <c r="EB37" s="57">
        <f t="shared" ca="1" si="114"/>
        <v>0</v>
      </c>
      <c r="EC37" s="666">
        <f ca="1">1.8 * MIN(MAX(Races!$E$27,DB37+Races!$F$27),6)  +  0.45 * MIN(MIN(Races!$E$27,DB37+Races!$F$27),6)  +  0.2 * ( MAX(Races!$E$27-6,0) + MAX(DB37+Races!$F$27-6,0) )  -  Races!$N$20</f>
        <v>4.7700000000000005</v>
      </c>
      <c r="ED37" s="57">
        <f t="shared" ca="1" si="115"/>
        <v>0</v>
      </c>
      <c r="EE37" s="666">
        <f>1.8 * MIN(MAX(DC37+Races!$E$47,DD37+Races!$F$47),6)  +  0.45 * MIN(MIN(DC37+Races!$E$47,DD37+Races!$F$47),6)  +  0.2 * ( MAX(DC37+Races!$E$47-6,0) + MAX(DD37+Races!$F$47-6,0) )  -  Races!$N$47</f>
        <v>0</v>
      </c>
      <c r="EF37" s="57">
        <f t="shared" si="116"/>
        <v>0</v>
      </c>
      <c r="EG37" s="666">
        <f ca="1">1.8 * MIN(MAX(DG37+Races!$F$71,Races!$E$71),6)  +  0.45 * MIN(MIN(DG37+Races!$F$71,Races!$E$71),6)  +  0.2 * ( MAX(DG37+Races!$F$71-6,0) + MAX(Races!$E$71-6,0) )  -  Races!$N$71</f>
        <v>2.5200000000000014</v>
      </c>
      <c r="EH37" s="666">
        <f>1.8 * MIN(MAX(DH37+Races!$E$71,Races!$F$71),6)  +  0.45 * MIN(MIN(DH37+Races!$E$71,Races!$F$71),6)  +  0.2 * ( MAX(DH37+Races!$E$71-6,0) + MAX(Races!$F$71-6,0) )  -  Races!$N$71</f>
        <v>0.16200000000000081</v>
      </c>
      <c r="EI37" s="57">
        <f t="shared" ca="1" si="117"/>
        <v>2584.8000000000015</v>
      </c>
      <c r="EJ37" s="57"/>
      <c r="EK37" s="57"/>
      <c r="EL37" s="57"/>
      <c r="EM37" s="57">
        <f ca="1">Overview!$L$22*E37+Overview!$L$23*F37+Overview!$L$24*G37+Overview!$L$25*H37+Overview!$L$26*I37+Overview!$L$27*J37+Overview!$L$28*K37+Construction!E37*20+Construction!B37*5 + DZ37*$DV$4+EB37*$DV$5+ED37*$DV$6+EF37*$DV$7+EI37*$DV$9</f>
        <v>39460</v>
      </c>
      <c r="EO37" s="738">
        <f>(J37+2*K37)/Construction!E37</f>
        <v>0.1</v>
      </c>
      <c r="EP37" s="734">
        <f ca="1">EO37*(1+race_wizard_strength+tech_magical_weaponry_wiz*Techs!AV109)</f>
        <v>0.1</v>
      </c>
      <c r="EQ37" s="16">
        <f>(I37+halfer*H37/3)/Construction!E37</f>
        <v>0.1</v>
      </c>
    </row>
    <row r="38" spans="1:147" s="16" customFormat="1">
      <c r="A38" s="629">
        <f>Rezone!J38</f>
        <v>36</v>
      </c>
      <c r="B38" s="56">
        <f ca="1">SUM(E38:K38)+SUM(AF30:AG38)+SUM(AH27:AL38)+Z38+Explore!AL38</f>
        <v>5295</v>
      </c>
      <c r="C38" s="97">
        <f ca="1">Population!G38</f>
        <v>0.57305194805194803</v>
      </c>
      <c r="E38" s="52">
        <f t="shared" si="64"/>
        <v>0</v>
      </c>
      <c r="F38" s="16">
        <f t="shared" si="65"/>
        <v>0</v>
      </c>
      <c r="G38" s="16">
        <f t="shared" si="66"/>
        <v>1000</v>
      </c>
      <c r="H38" s="16">
        <f t="shared" si="67"/>
        <v>400</v>
      </c>
      <c r="I38" s="16">
        <f t="shared" si="68"/>
        <v>100</v>
      </c>
      <c r="J38" s="16">
        <f t="shared" si="69"/>
        <v>100</v>
      </c>
      <c r="K38" s="53">
        <f t="shared" si="70"/>
        <v>0</v>
      </c>
      <c r="M38" s="64">
        <f ca="1">Production!G38</f>
        <v>39460</v>
      </c>
      <c r="O38" s="234">
        <f t="shared" ca="1" si="75"/>
        <v>4400</v>
      </c>
      <c r="P38" s="455">
        <f ca="1">race_offense+Imps!AB38+ROUND(MIN(gn_bonus*Construction!BF38/Construction!$E38,gn_bonus_cap),4)+MAX(IF(Magic!$AN38&gt;0,warsong_bonus),IF(Magic!AP38&gt;0,howling_op_bonus),IF(Magic!AS38&gt;0,nightfall_bonus),IF(Magic!AT38&gt;0,crusade_bonus),IF(Magic!AU38&gt;0,killingrage_bonus),IF(Magic!AV38&gt;0,bloodrage_bonus)) + Production!O38/100*prestige_offense_bonus + MAX(tech_military_offense*Techs!AH38,tech_magical_weaponry_op*Techs!AV38)</f>
        <v>0.05</v>
      </c>
      <c r="Q38" s="235">
        <f t="shared" ca="1" si="46"/>
        <v>4620</v>
      </c>
      <c r="R38" s="234">
        <f ca="1">F38*(spec_dp+spirit*DR38)+G38*(elite1_dp+woodie*CV38+sylvan*CY38+gnome*DB38+dark_elf*DD38+icekin*DG38+orc*DJ38+nox*DL38+beast*DN38+sacred*DP38+spirit*DS38+blackorc*DK38)+H38*(elite2_dp+woodie*CX38+beast*DO38+sacred*DQ38) + fh_peas_dp*MIN(Population!C38,20*Construction!BD38)+kobold*DE38</f>
        <v>7200</v>
      </c>
      <c r="S38" s="235">
        <f t="shared" ca="1" si="76"/>
        <v>10895</v>
      </c>
      <c r="T38" s="1052">
        <f ca="1">race_defense+Imps!AC38+ROUND(MIN(gt_bonus*Construction!BH38/Construction!$E38,gt_bonus_cap),4)+MAX(IF(Magic!AM38&gt;0,frenzy_bonus,IF(Magic!AQ38&gt;0,blizzard_bonus,IF(Magic!AP38&gt;0,howling_dp_bonus,IF(Magic!AI38&gt;0,ares_call_bonus)))),IF(Magic!AX38&gt;0,MIN(Construction!DF38/Construction!E38,0.2),0))</f>
        <v>0</v>
      </c>
      <c r="U38" s="1046">
        <f t="shared" ca="1" si="47"/>
        <v>7200</v>
      </c>
      <c r="V38" s="308">
        <f t="shared" ca="1" si="48"/>
        <v>10895</v>
      </c>
      <c r="W38" s="310">
        <f>Construction!E38</f>
        <v>1000</v>
      </c>
      <c r="X38" s="367"/>
      <c r="Y38" s="146">
        <f t="shared" si="74"/>
        <v>0.4</v>
      </c>
      <c r="Z38" s="166">
        <f ca="1">Z37+Population!Z37 - IF(race="Lux",AF38,SUM(AF38:AK38)) - BE38 + SUM(BF38:BL38) - Explore!AI38</f>
        <v>3695</v>
      </c>
      <c r="AA38" s="164"/>
      <c r="AB38" s="91">
        <f>(Construction!$BA38+Construction!BY38)/(Construction!$E38-Explore!S38*20)</f>
        <v>0.2</v>
      </c>
      <c r="AC38" s="529"/>
      <c r="AD38" s="799">
        <f>Rezone!J38</f>
        <v>36</v>
      </c>
      <c r="AE38" s="589">
        <f>Explore!AA38</f>
        <v>43693.458333333248</v>
      </c>
      <c r="AF38" s="356"/>
      <c r="AG38" s="348"/>
      <c r="AH38" s="348"/>
      <c r="AI38" s="348"/>
      <c r="AJ38" s="348"/>
      <c r="AK38" s="348"/>
      <c r="AL38" s="357"/>
      <c r="AN38" s="56">
        <f ca="1">Production!$H38</f>
        <v>3320296</v>
      </c>
      <c r="AO38" s="26">
        <f ca="1">Production!$L38</f>
        <v>231000</v>
      </c>
      <c r="AP38" s="26">
        <f ca="1">Production!J38</f>
        <v>286860</v>
      </c>
      <c r="AQ38" s="26">
        <f ca="1">Production!M38</f>
        <v>20000</v>
      </c>
      <c r="AR38" s="26">
        <f ca="1">Production!K38</f>
        <v>41545</v>
      </c>
      <c r="AS38" s="26">
        <f ca="1">Production!I38</f>
        <v>165279</v>
      </c>
      <c r="AT38" s="26">
        <f ca="1">Production!N38</f>
        <v>200</v>
      </c>
      <c r="AU38" s="152">
        <f t="shared" ca="1" si="77"/>
        <v>0</v>
      </c>
      <c r="AV38" s="164">
        <f t="shared" ca="1" si="78"/>
        <v>0</v>
      </c>
      <c r="AW38" s="164">
        <f t="shared" ca="1" si="50"/>
        <v>0</v>
      </c>
      <c r="AX38" s="164">
        <f t="shared" ca="1" si="51"/>
        <v>0</v>
      </c>
      <c r="AY38" s="164">
        <f t="shared" ca="1" si="52"/>
        <v>0</v>
      </c>
      <c r="AZ38" s="164">
        <f t="shared" ca="1" si="53"/>
        <v>0</v>
      </c>
      <c r="BA38" s="166">
        <f t="shared" ca="1" si="54"/>
        <v>0</v>
      </c>
      <c r="BB38" s="16">
        <v>36</v>
      </c>
      <c r="BC38" s="574">
        <f t="shared" si="71"/>
        <v>43693.458333333248</v>
      </c>
      <c r="BD38" s="148">
        <f t="shared" ca="1" si="72"/>
        <v>3695</v>
      </c>
      <c r="BE38" s="356"/>
      <c r="BF38" s="348"/>
      <c r="BG38" s="348"/>
      <c r="BH38" s="348"/>
      <c r="BI38" s="348"/>
      <c r="BJ38" s="348"/>
      <c r="BK38" s="348"/>
      <c r="BL38" s="357"/>
      <c r="BN38" s="503">
        <f>Construction!BM38/Construction!E38</f>
        <v>0</v>
      </c>
      <c r="BO38" s="171">
        <f>Construction!BD38/Construction!E38</f>
        <v>0</v>
      </c>
      <c r="BP38" s="152">
        <f>ROUNDUP((1-MIN(AB38*smithy_bonus,smithy_bonus_cap))*(1+Techs!AO38*tech_master_of_frugality)*spec_op_plat,0)</f>
        <v>165</v>
      </c>
      <c r="BQ38" s="164">
        <f>ROUNDUP(IF(race="Gnome",1,(1-MIN(AB38*smithy_bonus,smithy_bonus_cap))*(1+Techs!AO38*tech_master_of_frugality))*spec_op_ore,0)</f>
        <v>15</v>
      </c>
      <c r="BR38" s="164">
        <f t="shared" si="79"/>
        <v>0</v>
      </c>
      <c r="BS38" s="164">
        <f t="shared" si="80"/>
        <v>0</v>
      </c>
      <c r="BT38" s="164">
        <f ca="1">ROUNDUP((1-MIN(AB38*smithy_bonus,smithy_bonus_cap))*(1+Techs!AO38*tech_master_of_frugality)*spec_dp_plat,0)</f>
        <v>165</v>
      </c>
      <c r="BU38" s="164">
        <f ca="1">ROUNDUP(IF(OR(race="Gnome",race="Imperial Gnome"),1,(1-MIN(AB38*smithy_bonus,smithy_bonus_cap))*(1+Techs!AO38*tech_master_of_frugality))*spec_dp_ore,0)</f>
        <v>6</v>
      </c>
      <c r="BV38" s="164">
        <f t="shared" ca="1" si="81"/>
        <v>0</v>
      </c>
      <c r="BW38" s="164">
        <f t="shared" ca="1" si="82"/>
        <v>0</v>
      </c>
      <c r="BX38" s="164">
        <f t="shared" ca="1" si="83"/>
        <v>0</v>
      </c>
      <c r="BY38" s="164">
        <f ca="1">ROUNDUP((1-MIN(AB38*smithy_bonus,smithy_bonus_cap))*(1+Techs!AO38*tech_master_of_frugality)*elite1_plat,0)</f>
        <v>600</v>
      </c>
      <c r="BZ38" s="164">
        <f ca="1">ROUNDUP(IF(race="Gnome",1,(1-MIN(AB38*smithy_bonus,smithy_bonus_cap))*(1+Techs!AO38*tech_master_of_frugality))*elite1_ore,0)</f>
        <v>45</v>
      </c>
      <c r="CA38" s="164">
        <f t="shared" ca="1" si="84"/>
        <v>0</v>
      </c>
      <c r="CB38" s="164">
        <f t="shared" ca="1" si="85"/>
        <v>0</v>
      </c>
      <c r="CC38" s="164">
        <f t="shared" ca="1" si="86"/>
        <v>0</v>
      </c>
      <c r="CD38" s="164">
        <f t="shared" ca="1" si="87"/>
        <v>0</v>
      </c>
      <c r="CE38" s="164">
        <f t="shared" ca="1" si="88"/>
        <v>0</v>
      </c>
      <c r="CF38" s="164">
        <f ca="1">ROUNDUP((1-MIN(AB38*smithy_bonus,smithy_bonus_cap))*(1+Techs!AO38*tech_master_of_frugality)*elite2_plat,0)</f>
        <v>750</v>
      </c>
      <c r="CG38" s="164">
        <f ca="1">ROUNDUP(IF(race="Gnome",1,(1-MIN(AB38*smithy_bonus,smithy_bonus_cap))*(1+Techs!AO38*tech_master_of_frugality))*elite2_ore,0)</f>
        <v>60</v>
      </c>
      <c r="CH38" s="164">
        <f t="shared" ca="1" si="89"/>
        <v>0</v>
      </c>
      <c r="CI38" s="164">
        <f t="shared" ca="1" si="90"/>
        <v>0</v>
      </c>
      <c r="CJ38" s="164">
        <f t="shared" ca="1" si="91"/>
        <v>0</v>
      </c>
      <c r="CK38" s="164">
        <f t="shared" ca="1" si="92"/>
        <v>0</v>
      </c>
      <c r="CL38" s="164">
        <f t="shared" ca="1" si="93"/>
        <v>0</v>
      </c>
      <c r="CM38" s="164">
        <f>ROUNDUP((1+tech_spy_cost*Techs!AJ38)*spy_plat,0)</f>
        <v>500</v>
      </c>
      <c r="CN38" s="164">
        <f>ROUNDUP((1+tech_wizard_cost*Techs!AM38-MIN(ROUND(wg_wiz_cost_bonus*BN38,4),wg_wiz_cost_cap))*wizard_plat,0)</f>
        <v>500</v>
      </c>
      <c r="CO38" s="166">
        <f>ROUNDUP((1+tech_wizard_cost*Techs!AM38-MIN(ROUND(wg_wiz_cost_bonus*BN38,4),wg_wiz_cost_cap))*archmage_plat,0)</f>
        <v>1000</v>
      </c>
      <c r="CQ38" s="465">
        <f ca="1">Construction!DF38/Construction!E38</f>
        <v>0.28000000000000003</v>
      </c>
      <c r="CR38" s="466">
        <f t="shared" si="73"/>
        <v>0</v>
      </c>
      <c r="CS38" s="466">
        <f>Construction!BK38/Construction!E38</f>
        <v>0.05</v>
      </c>
      <c r="CT38" s="466">
        <f>Construction!BJ38/Construction!E38</f>
        <v>0</v>
      </c>
      <c r="CU38" s="466">
        <f>Construction!AY38/Construction!E38</f>
        <v>0</v>
      </c>
      <c r="CV38" s="481">
        <f t="shared" ca="1" si="94"/>
        <v>1.4000000000000001</v>
      </c>
      <c r="CW38" s="482">
        <f t="shared" ca="1" si="95"/>
        <v>1.4000000000000001</v>
      </c>
      <c r="CX38" s="482">
        <f t="shared" ca="1" si="96"/>
        <v>1.4000000000000001</v>
      </c>
      <c r="CY38" s="483">
        <f t="shared" ca="1" si="97"/>
        <v>1.4000000000000001</v>
      </c>
      <c r="CZ38" s="483">
        <f t="shared" si="98"/>
        <v>0.1</v>
      </c>
      <c r="DA38" s="483">
        <f t="shared" ca="1" si="99"/>
        <v>3</v>
      </c>
      <c r="DB38" s="483">
        <f t="shared" ca="1" si="100"/>
        <v>1.4000000000000001</v>
      </c>
      <c r="DC38" s="482">
        <f t="shared" si="101"/>
        <v>0</v>
      </c>
      <c r="DD38" s="847">
        <f t="shared" si="102"/>
        <v>0</v>
      </c>
      <c r="DE38" s="440">
        <f t="shared" si="56"/>
        <v>800</v>
      </c>
      <c r="DF38" s="440">
        <f t="shared" si="57"/>
        <v>0</v>
      </c>
      <c r="DG38" s="481">
        <f t="shared" ca="1" si="103"/>
        <v>1.4000000000000001</v>
      </c>
      <c r="DH38" s="450">
        <f t="shared" si="104"/>
        <v>9.0000000000000011E-2</v>
      </c>
      <c r="DI38" s="450">
        <f>MIN(valkyrja_cap,Production!O38/valkyrja_bonus)</f>
        <v>1</v>
      </c>
      <c r="DJ38" s="847">
        <f>MIN(voodoo_magi_cap,Production!O38/voodoo_magi_bonus)</f>
        <v>0.83333333333333337</v>
      </c>
      <c r="DK38" s="847">
        <f>MIN(warlock_cap,Production!O38/warlock_bonus)</f>
        <v>1.25</v>
      </c>
      <c r="DL38" s="847">
        <f ca="1">MIN(nox_nightshade_cap,Construction!DF38/Construction!E38/nox_nightshade_swamp_bonus)</f>
        <v>2.8000000000000003</v>
      </c>
      <c r="DM38" s="482">
        <f t="shared" si="105"/>
        <v>0</v>
      </c>
      <c r="DN38" s="483">
        <f t="shared" ca="1" si="106"/>
        <v>2.8000000000000003</v>
      </c>
      <c r="DO38" s="483">
        <f t="shared" ca="1" si="107"/>
        <v>2.8000000000000003</v>
      </c>
      <c r="DP38" s="483">
        <f t="shared" si="108"/>
        <v>1</v>
      </c>
      <c r="DQ38" s="482">
        <f t="shared" si="109"/>
        <v>0</v>
      </c>
      <c r="DR38" s="483">
        <f t="shared" si="110"/>
        <v>0</v>
      </c>
      <c r="DS38" s="482">
        <f t="shared" si="111"/>
        <v>0</v>
      </c>
      <c r="DT38" s="483">
        <f t="shared" si="112"/>
        <v>0.1</v>
      </c>
      <c r="DX38" s="487">
        <f ca="1">MIN(6,CV38+Races!$F$19)*1.8 +  IF(CV38+Races!$F$19&gt;6,(CV38+Races!$F$19-6)*0.2,0) - Races!$N$19</f>
        <v>2.5200000000000005</v>
      </c>
      <c r="DY38" s="488">
        <f ca="1">1.8 * MIN(MAX(CW38+Races!$E$20,CX38+Races!$F$20),6)  +  0.45 * MIN(MIN(CW38+Races!$E$20,CX38+Races!$F$20),6)  +  0.2 * ( MAX(CW38+Races!$E$20-6,0) + MAX(CX38+Races!$F$20-6,0) )  -  Races!$N$20</f>
        <v>3.1500000000000012</v>
      </c>
      <c r="DZ38" s="57">
        <f t="shared" ca="1" si="113"/>
        <v>3780.0000000000009</v>
      </c>
      <c r="EA38" s="666">
        <f ca="1">MIN(6,CY38+Races!$F$35)*1.8 +  IF(CY38+Races!$F$35&gt;6,(CY38+Races!$F$35-6)*0.2,0) - Races!$N$19</f>
        <v>0.72000000000000064</v>
      </c>
      <c r="EB38" s="57">
        <f t="shared" ca="1" si="114"/>
        <v>0</v>
      </c>
      <c r="EC38" s="666">
        <f ca="1">1.8 * MIN(MAX(Races!$E$27,DB38+Races!$F$27),6)  +  0.45 * MIN(MIN(Races!$E$27,DB38+Races!$F$27),6)  +  0.2 * ( MAX(Races!$E$27-6,0) + MAX(DB38+Races!$F$27-6,0) )  -  Races!$N$20</f>
        <v>4.7700000000000005</v>
      </c>
      <c r="ED38" s="57">
        <f t="shared" ca="1" si="115"/>
        <v>0</v>
      </c>
      <c r="EE38" s="666">
        <f>1.8 * MIN(MAX(DC38+Races!$E$47,DD38+Races!$F$47),6)  +  0.45 * MIN(MIN(DC38+Races!$E$47,DD38+Races!$F$47),6)  +  0.2 * ( MAX(DC38+Races!$E$47-6,0) + MAX(DD38+Races!$F$47-6,0) )  -  Races!$N$47</f>
        <v>0</v>
      </c>
      <c r="EF38" s="57">
        <f t="shared" si="116"/>
        <v>0</v>
      </c>
      <c r="EG38" s="666">
        <f ca="1">1.8 * MIN(MAX(DG38+Races!$F$71,Races!$E$71),6)  +  0.45 * MIN(MIN(DG38+Races!$F$71,Races!$E$71),6)  +  0.2 * ( MAX(DG38+Races!$F$71-6,0) + MAX(Races!$E$71-6,0) )  -  Races!$N$71</f>
        <v>2.5200000000000014</v>
      </c>
      <c r="EH38" s="666">
        <f>1.8 * MIN(MAX(DH38+Races!$E$71,Races!$F$71),6)  +  0.45 * MIN(MIN(DH38+Races!$E$71,Races!$F$71),6)  +  0.2 * ( MAX(DH38+Races!$E$71-6,0) + MAX(Races!$F$71-6,0) )  -  Races!$N$71</f>
        <v>0.16200000000000081</v>
      </c>
      <c r="EI38" s="57">
        <f t="shared" ca="1" si="117"/>
        <v>2584.8000000000015</v>
      </c>
      <c r="EJ38" s="57"/>
      <c r="EK38" s="57"/>
      <c r="EL38" s="57"/>
      <c r="EM38" s="57">
        <f ca="1">Overview!$L$22*E38+Overview!$L$23*F38+Overview!$L$24*G38+Overview!$L$25*H38+Overview!$L$26*I38+Overview!$L$27*J38+Overview!$L$28*K38+Construction!E38*20+Construction!B38*5 + DZ38*$DV$4+EB38*$DV$5+ED38*$DV$6+EF38*$DV$7+EI38*$DV$9</f>
        <v>39460</v>
      </c>
      <c r="EO38" s="738">
        <f>(J38+2*K38)/Construction!E38</f>
        <v>0.1</v>
      </c>
      <c r="EP38" s="734">
        <f ca="1">EO38*(1+race_wizard_strength+tech_magical_weaponry_wiz*Techs!AV110)</f>
        <v>0.1</v>
      </c>
      <c r="EQ38" s="16">
        <f>(I38+halfer*H38/3)/Construction!E38</f>
        <v>0.1</v>
      </c>
    </row>
    <row r="39" spans="1:147" s="12" customFormat="1">
      <c r="A39" s="319">
        <f>Rezone!J39</f>
        <v>37</v>
      </c>
      <c r="B39" s="54">
        <f ca="1">SUM(E39:K39)+SUM(AF31:AG39)+SUM(AH28:AL39)+Z39+Explore!AL39</f>
        <v>5295</v>
      </c>
      <c r="C39" s="96">
        <f ca="1">Population!G39</f>
        <v>0.57305194805194803</v>
      </c>
      <c r="D39" s="286"/>
      <c r="E39" s="50">
        <f t="shared" si="64"/>
        <v>0</v>
      </c>
      <c r="F39" s="12">
        <f t="shared" si="65"/>
        <v>0</v>
      </c>
      <c r="G39" s="12">
        <f t="shared" si="66"/>
        <v>1000</v>
      </c>
      <c r="H39" s="12">
        <f t="shared" si="67"/>
        <v>400</v>
      </c>
      <c r="I39" s="12">
        <f t="shared" si="68"/>
        <v>100</v>
      </c>
      <c r="J39" s="12">
        <f t="shared" si="69"/>
        <v>100</v>
      </c>
      <c r="K39" s="51">
        <f t="shared" si="70"/>
        <v>0</v>
      </c>
      <c r="L39" s="286"/>
      <c r="M39" s="93">
        <f ca="1">Production!G39</f>
        <v>39460</v>
      </c>
      <c r="N39" s="286"/>
      <c r="O39" s="141">
        <f t="shared" ca="1" si="75"/>
        <v>4400</v>
      </c>
      <c r="P39" s="447">
        <f ca="1">race_offense+Imps!AB39+ROUND(MIN(gn_bonus*Construction!BF39/Construction!$E39,gn_bonus_cap),4)+MAX(IF(Magic!$AN39&gt;0,warsong_bonus),IF(Magic!AP39&gt;0,howling_op_bonus),IF(Magic!AS39&gt;0,nightfall_bonus),IF(Magic!AT39&gt;0,crusade_bonus),IF(Magic!AU39&gt;0,killingrage_bonus),IF(Magic!AV39&gt;0,bloodrage_bonus)) + Production!O39/100*prestige_offense_bonus + MAX(tech_military_offense*Techs!AH39,tech_magical_weaponry_op*Techs!AV39)</f>
        <v>0.05</v>
      </c>
      <c r="Q39" s="229">
        <f t="shared" ca="1" si="46"/>
        <v>4620</v>
      </c>
      <c r="R39" s="227">
        <f ca="1">F39*(spec_dp+spirit*DR39)+G39*(elite1_dp+woodie*CV39+sylvan*CY39+gnome*DB39+dark_elf*DD39+icekin*DG39+orc*DJ39+nox*DL39+beast*DN39+sacred*DP39+spirit*DS39+blackorc*DK39)+H39*(elite2_dp+woodie*CX39+beast*DO39+sacred*DQ39) + fh_peas_dp*MIN(Population!C39,20*Construction!BD39)+kobold*DE39</f>
        <v>7200</v>
      </c>
      <c r="S39" s="229">
        <f t="shared" ca="1" si="76"/>
        <v>10895</v>
      </c>
      <c r="T39" s="1178">
        <f ca="1">race_defense+Imps!AC39+ROUND(MIN(gt_bonus*Construction!BH39/Construction!$E39,gt_bonus_cap),4)+MAX(IF(Magic!AM39&gt;0,frenzy_bonus,IF(Magic!AQ39&gt;0,blizzard_bonus,IF(Magic!AP39&gt;0,howling_dp_bonus,IF(Magic!AI39&gt;0,ares_call_bonus)))),IF(Magic!AX39&gt;0,MIN(Construction!DF39/Construction!E39,0.2),0))</f>
        <v>0</v>
      </c>
      <c r="U39" s="1047">
        <f t="shared" ca="1" si="47"/>
        <v>7200</v>
      </c>
      <c r="V39" s="311">
        <f t="shared" ca="1" si="48"/>
        <v>10895</v>
      </c>
      <c r="W39" s="311">
        <f>Construction!E39</f>
        <v>1000</v>
      </c>
      <c r="X39" s="368"/>
      <c r="Y39" s="145">
        <f t="shared" si="74"/>
        <v>0.4</v>
      </c>
      <c r="Z39" s="158">
        <f ca="1">Z38+Population!Z38 - IF(race="Lux",AF39,SUM(AF39:AK39)) - BE39 + SUM(BF39:BL39) - Explore!AI39</f>
        <v>3695</v>
      </c>
      <c r="AA39" s="153"/>
      <c r="AB39" s="306">
        <f>(Construction!$BA39+Construction!BY39)/(Construction!$E39-Explore!S39*20)</f>
        <v>0.2</v>
      </c>
      <c r="AC39" s="1065"/>
      <c r="AD39" s="1064">
        <f>Rezone!J39</f>
        <v>37</v>
      </c>
      <c r="AE39" s="588">
        <f>Explore!AA39</f>
        <v>43693.499999999913</v>
      </c>
      <c r="AF39" s="373"/>
      <c r="AG39" s="349"/>
      <c r="AH39" s="349"/>
      <c r="AI39" s="349"/>
      <c r="AJ39" s="349"/>
      <c r="AK39" s="349"/>
      <c r="AL39" s="374"/>
      <c r="AM39" s="1063"/>
      <c r="AN39" s="54">
        <f ca="1">Production!$H39</f>
        <v>3330947</v>
      </c>
      <c r="AO39" s="13">
        <f ca="1">Production!$L39</f>
        <v>231000</v>
      </c>
      <c r="AP39" s="13">
        <f ca="1">Production!J39</f>
        <v>286491</v>
      </c>
      <c r="AQ39" s="13">
        <f ca="1">Production!M39</f>
        <v>20000</v>
      </c>
      <c r="AR39" s="13">
        <f ca="1">Production!K39</f>
        <v>41964</v>
      </c>
      <c r="AS39" s="13">
        <f ca="1">Production!I39</f>
        <v>168356</v>
      </c>
      <c r="AT39" s="13">
        <f ca="1">Production!N39</f>
        <v>200</v>
      </c>
      <c r="AU39" s="151">
        <f t="shared" ca="1" si="77"/>
        <v>0</v>
      </c>
      <c r="AV39" s="153">
        <f t="shared" ca="1" si="78"/>
        <v>0</v>
      </c>
      <c r="AW39" s="153">
        <f t="shared" ca="1" si="50"/>
        <v>0</v>
      </c>
      <c r="AX39" s="153">
        <f t="shared" ca="1" si="51"/>
        <v>0</v>
      </c>
      <c r="AY39" s="153">
        <f t="shared" ca="1" si="52"/>
        <v>0</v>
      </c>
      <c r="AZ39" s="153">
        <f t="shared" ca="1" si="53"/>
        <v>0</v>
      </c>
      <c r="BA39" s="158">
        <f t="shared" ca="1" si="54"/>
        <v>0</v>
      </c>
      <c r="BB39" s="12">
        <v>37</v>
      </c>
      <c r="BC39" s="679">
        <f t="shared" si="71"/>
        <v>43693.499999999913</v>
      </c>
      <c r="BD39" s="149">
        <f t="shared" ca="1" si="72"/>
        <v>3695</v>
      </c>
      <c r="BE39" s="373"/>
      <c r="BF39" s="349"/>
      <c r="BG39" s="349"/>
      <c r="BH39" s="349"/>
      <c r="BI39" s="349"/>
      <c r="BJ39" s="349"/>
      <c r="BK39" s="349"/>
      <c r="BL39" s="374"/>
      <c r="BN39" s="502">
        <f>Construction!BM39/Construction!E39</f>
        <v>0</v>
      </c>
      <c r="BO39" s="162">
        <f>Construction!BD39/Construction!E39</f>
        <v>0</v>
      </c>
      <c r="BP39" s="151">
        <f>ROUNDUP((1-MIN(AB39*smithy_bonus,smithy_bonus_cap))*(1+Techs!AO39*tech_master_of_frugality)*spec_op_plat,0)</f>
        <v>165</v>
      </c>
      <c r="BQ39" s="153">
        <f>ROUNDUP(IF(race="Gnome",1,(1-MIN(AB39*smithy_bonus,smithy_bonus_cap))*(1+Techs!AO39*tech_master_of_frugality))*spec_op_ore,0)</f>
        <v>15</v>
      </c>
      <c r="BR39" s="153">
        <f t="shared" si="79"/>
        <v>0</v>
      </c>
      <c r="BS39" s="153">
        <f t="shared" si="80"/>
        <v>0</v>
      </c>
      <c r="BT39" s="153">
        <f ca="1">ROUNDUP((1-MIN(AB39*smithy_bonus,smithy_bonus_cap))*(1+Techs!AO39*tech_master_of_frugality)*spec_dp_plat,0)</f>
        <v>165</v>
      </c>
      <c r="BU39" s="153">
        <f ca="1">ROUNDUP(IF(OR(race="Gnome",race="Imperial Gnome"),1,(1-MIN(AB39*smithy_bonus,smithy_bonus_cap))*(1+Techs!AO39*tech_master_of_frugality))*spec_dp_ore,0)</f>
        <v>6</v>
      </c>
      <c r="BV39" s="153">
        <f t="shared" ca="1" si="81"/>
        <v>0</v>
      </c>
      <c r="BW39" s="153">
        <f t="shared" ca="1" si="82"/>
        <v>0</v>
      </c>
      <c r="BX39" s="153">
        <f t="shared" ca="1" si="83"/>
        <v>0</v>
      </c>
      <c r="BY39" s="153">
        <f ca="1">ROUNDUP((1-MIN(AB39*smithy_bonus,smithy_bonus_cap))*(1+Techs!AO39*tech_master_of_frugality)*elite1_plat,0)</f>
        <v>600</v>
      </c>
      <c r="BZ39" s="153">
        <f ca="1">ROUNDUP(IF(race="Gnome",1,(1-MIN(AB39*smithy_bonus,smithy_bonus_cap))*(1+Techs!AO39*tech_master_of_frugality))*elite1_ore,0)</f>
        <v>45</v>
      </c>
      <c r="CA39" s="153">
        <f t="shared" ca="1" si="84"/>
        <v>0</v>
      </c>
      <c r="CB39" s="153">
        <f t="shared" ca="1" si="85"/>
        <v>0</v>
      </c>
      <c r="CC39" s="153">
        <f t="shared" ca="1" si="86"/>
        <v>0</v>
      </c>
      <c r="CD39" s="153">
        <f t="shared" ca="1" si="87"/>
        <v>0</v>
      </c>
      <c r="CE39" s="153">
        <f t="shared" ca="1" si="88"/>
        <v>0</v>
      </c>
      <c r="CF39" s="153">
        <f ca="1">ROUNDUP((1-MIN(AB39*smithy_bonus,smithy_bonus_cap))*(1+Techs!AO39*tech_master_of_frugality)*elite2_plat,0)</f>
        <v>750</v>
      </c>
      <c r="CG39" s="153">
        <f ca="1">ROUNDUP(IF(race="Gnome",1,(1-MIN(AB39*smithy_bonus,smithy_bonus_cap))*(1+Techs!AO39*tech_master_of_frugality))*elite2_ore,0)</f>
        <v>60</v>
      </c>
      <c r="CH39" s="153">
        <f t="shared" ca="1" si="89"/>
        <v>0</v>
      </c>
      <c r="CI39" s="153">
        <f t="shared" ca="1" si="90"/>
        <v>0</v>
      </c>
      <c r="CJ39" s="153">
        <f t="shared" ca="1" si="91"/>
        <v>0</v>
      </c>
      <c r="CK39" s="153">
        <f t="shared" ca="1" si="92"/>
        <v>0</v>
      </c>
      <c r="CL39" s="153">
        <f t="shared" ca="1" si="93"/>
        <v>0</v>
      </c>
      <c r="CM39" s="153">
        <f>ROUNDUP((1+tech_spy_cost*Techs!AJ39)*spy_plat,0)</f>
        <v>500</v>
      </c>
      <c r="CN39" s="153">
        <f>ROUNDUP((1+tech_wizard_cost*Techs!AM39-MIN(ROUND(wg_wiz_cost_bonus*BN39,4),wg_wiz_cost_cap))*wizard_plat,0)</f>
        <v>500</v>
      </c>
      <c r="CO39" s="158">
        <f>ROUNDUP((1+tech_wizard_cost*Techs!AM39-MIN(ROUND(wg_wiz_cost_bonus*BN39,4),wg_wiz_cost_cap))*archmage_plat,0)</f>
        <v>1000</v>
      </c>
      <c r="CQ39" s="467">
        <f ca="1">Construction!DF39/Construction!E39</f>
        <v>0.28000000000000003</v>
      </c>
      <c r="CR39" s="468">
        <f t="shared" si="73"/>
        <v>0</v>
      </c>
      <c r="CS39" s="468">
        <f>Construction!BK39/Construction!E39</f>
        <v>0.05</v>
      </c>
      <c r="CT39" s="468">
        <f>Construction!BJ39/Construction!E39</f>
        <v>0</v>
      </c>
      <c r="CU39" s="468">
        <f>Construction!AY39/Construction!E39</f>
        <v>0</v>
      </c>
      <c r="CV39" s="490">
        <f t="shared" ca="1" si="94"/>
        <v>1.4000000000000001</v>
      </c>
      <c r="CW39" s="491">
        <f t="shared" ca="1" si="95"/>
        <v>1.4000000000000001</v>
      </c>
      <c r="CX39" s="491">
        <f t="shared" ca="1" si="96"/>
        <v>1.4000000000000001</v>
      </c>
      <c r="CY39" s="492">
        <f t="shared" ca="1" si="97"/>
        <v>1.4000000000000001</v>
      </c>
      <c r="CZ39" s="492">
        <f t="shared" si="98"/>
        <v>0.1</v>
      </c>
      <c r="DA39" s="492">
        <f t="shared" ca="1" si="99"/>
        <v>3</v>
      </c>
      <c r="DB39" s="492">
        <f t="shared" ca="1" si="100"/>
        <v>1.4000000000000001</v>
      </c>
      <c r="DC39" s="491">
        <f t="shared" si="101"/>
        <v>0</v>
      </c>
      <c r="DD39" s="851">
        <f t="shared" si="102"/>
        <v>0</v>
      </c>
      <c r="DE39" s="732">
        <f t="shared" si="56"/>
        <v>800</v>
      </c>
      <c r="DF39" s="732">
        <f t="shared" si="57"/>
        <v>0</v>
      </c>
      <c r="DG39" s="490">
        <f t="shared" ca="1" si="103"/>
        <v>1.4000000000000001</v>
      </c>
      <c r="DH39" s="453">
        <f t="shared" si="104"/>
        <v>9.0000000000000011E-2</v>
      </c>
      <c r="DI39" s="453">
        <f>MIN(valkyrja_cap,Production!O39/valkyrja_bonus)</f>
        <v>1</v>
      </c>
      <c r="DJ39" s="851">
        <f>MIN(voodoo_magi_cap,Production!O39/voodoo_magi_bonus)</f>
        <v>0.83333333333333337</v>
      </c>
      <c r="DK39" s="851">
        <f>MIN(warlock_cap,Production!O39/warlock_bonus)</f>
        <v>1.25</v>
      </c>
      <c r="DL39" s="851">
        <f ca="1">MIN(nox_nightshade_cap,Construction!DF39/Construction!E39/nox_nightshade_swamp_bonus)</f>
        <v>2.8000000000000003</v>
      </c>
      <c r="DM39" s="491">
        <f t="shared" si="105"/>
        <v>0</v>
      </c>
      <c r="DN39" s="492">
        <f t="shared" ca="1" si="106"/>
        <v>2.8000000000000003</v>
      </c>
      <c r="DO39" s="492">
        <f t="shared" ca="1" si="107"/>
        <v>2.8000000000000003</v>
      </c>
      <c r="DP39" s="492">
        <f t="shared" si="108"/>
        <v>1</v>
      </c>
      <c r="DQ39" s="491">
        <f t="shared" si="109"/>
        <v>0</v>
      </c>
      <c r="DR39" s="492">
        <f t="shared" si="110"/>
        <v>0</v>
      </c>
      <c r="DS39" s="491">
        <f t="shared" si="111"/>
        <v>0</v>
      </c>
      <c r="DT39" s="492">
        <f t="shared" si="112"/>
        <v>0.1</v>
      </c>
      <c r="DX39" s="490">
        <f ca="1">MIN(6,CV39+Races!$F$19)*1.8 +  IF(CV39+Races!$F$19&gt;6,(CV39+Races!$F$19-6)*0.2,0) - Races!$N$19</f>
        <v>2.5200000000000005</v>
      </c>
      <c r="DY39" s="491">
        <f ca="1">1.8 * MIN(MAX(CW39+Races!$E$20,CX39+Races!$F$20),6)  +  0.45 * MIN(MIN(CW39+Races!$E$20,CX39+Races!$F$20),6)  +  0.2 * ( MAX(CW39+Races!$E$20-6,0) + MAX(CX39+Races!$F$20-6,0) )  -  Races!$N$20</f>
        <v>3.1500000000000012</v>
      </c>
      <c r="DZ39" s="55">
        <f t="shared" ca="1" si="113"/>
        <v>3780.0000000000009</v>
      </c>
      <c r="EA39" s="668">
        <f ca="1">MIN(6,CY39+Races!$F$35)*1.8 +  IF(CY39+Races!$F$35&gt;6,(CY39+Races!$F$35-6)*0.2,0) - Races!$N$19</f>
        <v>0.72000000000000064</v>
      </c>
      <c r="EB39" s="55">
        <f t="shared" ca="1" si="114"/>
        <v>0</v>
      </c>
      <c r="EC39" s="668">
        <f ca="1">1.8 * MIN(MAX(Races!$E$27,DB39+Races!$F$27),6)  +  0.45 * MIN(MIN(Races!$E$27,DB39+Races!$F$27),6)  +  0.2 * ( MAX(Races!$E$27-6,0) + MAX(DB39+Races!$F$27-6,0) )  -  Races!$N$20</f>
        <v>4.7700000000000005</v>
      </c>
      <c r="ED39" s="55">
        <f t="shared" ca="1" si="115"/>
        <v>0</v>
      </c>
      <c r="EE39" s="668">
        <f>1.8 * MIN(MAX(DC39+Races!$E$47,DD39+Races!$F$47),6)  +  0.45 * MIN(MIN(DC39+Races!$E$47,DD39+Races!$F$47),6)  +  0.2 * ( MAX(DC39+Races!$E$47-6,0) + MAX(DD39+Races!$F$47-6,0) )  -  Races!$N$47</f>
        <v>0</v>
      </c>
      <c r="EF39" s="55">
        <f t="shared" si="116"/>
        <v>0</v>
      </c>
      <c r="EG39" s="668">
        <f ca="1">1.8 * MIN(MAX(DG39+Races!$F$71,Races!$E$71),6)  +  0.45 * MIN(MIN(DG39+Races!$F$71,Races!$E$71),6)  +  0.2 * ( MAX(DG39+Races!$F$71-6,0) + MAX(Races!$E$71-6,0) )  -  Races!$N$71</f>
        <v>2.5200000000000014</v>
      </c>
      <c r="EH39" s="668">
        <f>1.8 * MIN(MAX(DH39+Races!$E$71,Races!$F$71),6)  +  0.45 * MIN(MIN(DH39+Races!$E$71,Races!$F$71),6)  +  0.2 * ( MAX(DH39+Races!$E$71-6,0) + MAX(Races!$F$71-6,0) )  -  Races!$N$71</f>
        <v>0.16200000000000081</v>
      </c>
      <c r="EI39" s="55">
        <f t="shared" ca="1" si="117"/>
        <v>2584.8000000000015</v>
      </c>
      <c r="EJ39" s="55"/>
      <c r="EK39" s="55"/>
      <c r="EL39" s="55"/>
      <c r="EM39" s="55">
        <f ca="1">Overview!$L$22*E39+Overview!$L$23*F39+Overview!$L$24*G39+Overview!$L$25*H39+Overview!$L$26*I39+Overview!$L$27*J39+Overview!$L$28*K39+Construction!E39*20+Construction!B39*5 + DZ39*$DV$4+EB39*$DV$5+ED39*$DV$6+EF39*$DV$7+EI39*$DV$9</f>
        <v>39460</v>
      </c>
      <c r="EO39" s="741">
        <f>(J39+2*K39)/Construction!E39</f>
        <v>0.1</v>
      </c>
      <c r="EP39" s="735">
        <f ca="1">EO39*(1+race_wizard_strength+tech_magical_weaponry_wiz*Techs!AV111)</f>
        <v>0.1</v>
      </c>
      <c r="EQ39" s="12">
        <f>(I39+halfer*H39/3)/Construction!E39</f>
        <v>0.1</v>
      </c>
    </row>
    <row r="40" spans="1:147" s="16" customFormat="1">
      <c r="A40" s="629">
        <f>Rezone!J40</f>
        <v>38</v>
      </c>
      <c r="B40" s="56">
        <f ca="1">SUM(E40:K40)+SUM(AF32:AG40)+SUM(AH29:AL40)+Z40+Explore!AL40</f>
        <v>5295</v>
      </c>
      <c r="C40" s="97">
        <f ca="1">Population!G40</f>
        <v>0.57305194805194803</v>
      </c>
      <c r="E40" s="52">
        <f t="shared" si="64"/>
        <v>0</v>
      </c>
      <c r="F40" s="16">
        <f t="shared" si="65"/>
        <v>0</v>
      </c>
      <c r="G40" s="16">
        <f t="shared" si="66"/>
        <v>1000</v>
      </c>
      <c r="H40" s="16">
        <f t="shared" si="67"/>
        <v>400</v>
      </c>
      <c r="I40" s="16">
        <f t="shared" si="68"/>
        <v>100</v>
      </c>
      <c r="J40" s="16">
        <f t="shared" si="69"/>
        <v>100</v>
      </c>
      <c r="K40" s="53">
        <f t="shared" si="70"/>
        <v>0</v>
      </c>
      <c r="M40" s="64">
        <f ca="1">Production!G40</f>
        <v>39460</v>
      </c>
      <c r="O40" s="142">
        <f t="shared" ca="1" si="75"/>
        <v>4400</v>
      </c>
      <c r="P40" s="455">
        <f ca="1">race_offense+Imps!AB40+ROUND(MIN(gn_bonus*Construction!BF40/Construction!$E40,gn_bonus_cap),4)+MAX(IF(Magic!$AN40&gt;0,warsong_bonus),IF(Magic!AP40&gt;0,howling_op_bonus),IF(Magic!AS40&gt;0,nightfall_bonus),IF(Magic!AT40&gt;0,crusade_bonus),IF(Magic!AU40&gt;0,killingrage_bonus),IF(Magic!AV40&gt;0,bloodrage_bonus)) + Production!O40/100*prestige_offense_bonus + MAX(tech_military_offense*Techs!AH40,tech_magical_weaponry_op*Techs!AV40)</f>
        <v>0.05</v>
      </c>
      <c r="Q40" s="235">
        <f t="shared" ca="1" si="46"/>
        <v>4620</v>
      </c>
      <c r="R40" s="234">
        <f ca="1">F40*(spec_dp+spirit*DR40)+G40*(elite1_dp+woodie*CV40+sylvan*CY40+gnome*DB40+dark_elf*DD40+icekin*DG40+orc*DJ40+nox*DL40+beast*DN40+sacred*DP40+spirit*DS40+blackorc*DK40)+H40*(elite2_dp+woodie*CX40+beast*DO40+sacred*DQ40) + fh_peas_dp*MIN(Population!C40,20*Construction!BD40)+kobold*DE40</f>
        <v>7200</v>
      </c>
      <c r="S40" s="235">
        <f t="shared" ca="1" si="76"/>
        <v>10895</v>
      </c>
      <c r="T40" s="1052">
        <f ca="1">race_defense+Imps!AC40+ROUND(MIN(gt_bonus*Construction!BH40/Construction!$E40,gt_bonus_cap),4)+MAX(IF(Magic!AM40&gt;0,frenzy_bonus,IF(Magic!AQ40&gt;0,blizzard_bonus,IF(Magic!AP40&gt;0,howling_dp_bonus,IF(Magic!AI40&gt;0,ares_call_bonus)))),IF(Magic!AX40&gt;0,MIN(Construction!DF40/Construction!E40,0.2),0))</f>
        <v>0</v>
      </c>
      <c r="U40" s="1046">
        <f t="shared" ca="1" si="47"/>
        <v>7200</v>
      </c>
      <c r="V40" s="310">
        <f t="shared" ca="1" si="48"/>
        <v>10895</v>
      </c>
      <c r="W40" s="310">
        <f>Construction!E40</f>
        <v>1000</v>
      </c>
      <c r="X40" s="367"/>
      <c r="Y40" s="146">
        <f t="shared" si="74"/>
        <v>0.4</v>
      </c>
      <c r="Z40" s="166">
        <f ca="1">Z39+Population!Z39 - IF(race="Lux",AF40,SUM(AF40:AK40)) - BE40 + SUM(BF40:BL40) - Explore!AI40</f>
        <v>3695</v>
      </c>
      <c r="AA40" s="164"/>
      <c r="AB40" s="91">
        <f>(Construction!$BA40+Construction!BY40)/(Construction!$E40-Explore!S40*20)</f>
        <v>0.2</v>
      </c>
      <c r="AC40" s="529"/>
      <c r="AD40" s="799">
        <f>Rezone!J40</f>
        <v>38</v>
      </c>
      <c r="AE40" s="589">
        <f>Explore!AA40</f>
        <v>43693.541666666577</v>
      </c>
      <c r="AF40" s="356"/>
      <c r="AG40" s="348"/>
      <c r="AH40" s="348"/>
      <c r="AI40" s="348"/>
      <c r="AJ40" s="348"/>
      <c r="AK40" s="348"/>
      <c r="AL40" s="357"/>
      <c r="AN40" s="56">
        <f ca="1">Production!$H40</f>
        <v>3341598</v>
      </c>
      <c r="AO40" s="26">
        <f ca="1">Production!$L40</f>
        <v>231000</v>
      </c>
      <c r="AP40" s="26">
        <f ca="1">Production!J40</f>
        <v>286126</v>
      </c>
      <c r="AQ40" s="26">
        <f ca="1">Production!M40</f>
        <v>20000</v>
      </c>
      <c r="AR40" s="26">
        <f ca="1">Production!K40</f>
        <v>42375</v>
      </c>
      <c r="AS40" s="26">
        <f ca="1">Production!I40</f>
        <v>171402</v>
      </c>
      <c r="AT40" s="26">
        <f ca="1">Production!N40</f>
        <v>200</v>
      </c>
      <c r="AU40" s="152">
        <f t="shared" ca="1" si="77"/>
        <v>0</v>
      </c>
      <c r="AV40" s="164">
        <f t="shared" ca="1" si="78"/>
        <v>0</v>
      </c>
      <c r="AW40" s="164">
        <f t="shared" ca="1" si="50"/>
        <v>0</v>
      </c>
      <c r="AX40" s="164">
        <f t="shared" ca="1" si="51"/>
        <v>0</v>
      </c>
      <c r="AY40" s="164">
        <f t="shared" ca="1" si="52"/>
        <v>0</v>
      </c>
      <c r="AZ40" s="164">
        <f t="shared" ca="1" si="53"/>
        <v>0</v>
      </c>
      <c r="BA40" s="166">
        <f t="shared" ca="1" si="54"/>
        <v>0</v>
      </c>
      <c r="BB40" s="16">
        <v>38</v>
      </c>
      <c r="BC40" s="574">
        <f t="shared" si="71"/>
        <v>43693.541666666577</v>
      </c>
      <c r="BD40" s="148">
        <f t="shared" ca="1" si="72"/>
        <v>3695</v>
      </c>
      <c r="BE40" s="356"/>
      <c r="BF40" s="348"/>
      <c r="BG40" s="348"/>
      <c r="BH40" s="348"/>
      <c r="BI40" s="348"/>
      <c r="BJ40" s="348"/>
      <c r="BK40" s="348"/>
      <c r="BL40" s="357"/>
      <c r="BN40" s="503">
        <f>Construction!BM40/Construction!E40</f>
        <v>0</v>
      </c>
      <c r="BO40" s="171">
        <f>Construction!BD40/Construction!E40</f>
        <v>0</v>
      </c>
      <c r="BP40" s="152">
        <f>ROUNDUP((1-MIN(AB40*smithy_bonus,smithy_bonus_cap))*(1+Techs!AO40*tech_master_of_frugality)*spec_op_plat,0)</f>
        <v>165</v>
      </c>
      <c r="BQ40" s="164">
        <f>ROUNDUP(IF(race="Gnome",1,(1-MIN(AB40*smithy_bonus,smithy_bonus_cap))*(1+Techs!AO40*tech_master_of_frugality))*spec_op_ore,0)</f>
        <v>15</v>
      </c>
      <c r="BR40" s="164">
        <f t="shared" si="79"/>
        <v>0</v>
      </c>
      <c r="BS40" s="164">
        <f t="shared" si="80"/>
        <v>0</v>
      </c>
      <c r="BT40" s="164">
        <f ca="1">ROUNDUP((1-MIN(AB40*smithy_bonus,smithy_bonus_cap))*(1+Techs!AO40*tech_master_of_frugality)*spec_dp_plat,0)</f>
        <v>165</v>
      </c>
      <c r="BU40" s="164">
        <f ca="1">ROUNDUP(IF(OR(race="Gnome",race="Imperial Gnome"),1,(1-MIN(AB40*smithy_bonus,smithy_bonus_cap))*(1+Techs!AO40*tech_master_of_frugality))*spec_dp_ore,0)</f>
        <v>6</v>
      </c>
      <c r="BV40" s="164">
        <f t="shared" ca="1" si="81"/>
        <v>0</v>
      </c>
      <c r="BW40" s="164">
        <f t="shared" ca="1" si="82"/>
        <v>0</v>
      </c>
      <c r="BX40" s="164">
        <f t="shared" ca="1" si="83"/>
        <v>0</v>
      </c>
      <c r="BY40" s="164">
        <f ca="1">ROUNDUP((1-MIN(AB40*smithy_bonus,smithy_bonus_cap))*(1+Techs!AO40*tech_master_of_frugality)*elite1_plat,0)</f>
        <v>600</v>
      </c>
      <c r="BZ40" s="164">
        <f ca="1">ROUNDUP(IF(race="Gnome",1,(1-MIN(AB40*smithy_bonus,smithy_bonus_cap))*(1+Techs!AO40*tech_master_of_frugality))*elite1_ore,0)</f>
        <v>45</v>
      </c>
      <c r="CA40" s="164">
        <f t="shared" ca="1" si="84"/>
        <v>0</v>
      </c>
      <c r="CB40" s="164">
        <f t="shared" ca="1" si="85"/>
        <v>0</v>
      </c>
      <c r="CC40" s="164">
        <f t="shared" ca="1" si="86"/>
        <v>0</v>
      </c>
      <c r="CD40" s="164">
        <f t="shared" ca="1" si="87"/>
        <v>0</v>
      </c>
      <c r="CE40" s="164">
        <f t="shared" ca="1" si="88"/>
        <v>0</v>
      </c>
      <c r="CF40" s="164">
        <f ca="1">ROUNDUP((1-MIN(AB40*smithy_bonus,smithy_bonus_cap))*(1+Techs!AO40*tech_master_of_frugality)*elite2_plat,0)</f>
        <v>750</v>
      </c>
      <c r="CG40" s="164">
        <f ca="1">ROUNDUP(IF(race="Gnome",1,(1-MIN(AB40*smithy_bonus,smithy_bonus_cap))*(1+Techs!AO40*tech_master_of_frugality))*elite2_ore,0)</f>
        <v>60</v>
      </c>
      <c r="CH40" s="164">
        <f t="shared" ca="1" si="89"/>
        <v>0</v>
      </c>
      <c r="CI40" s="164">
        <f t="shared" ca="1" si="90"/>
        <v>0</v>
      </c>
      <c r="CJ40" s="164">
        <f t="shared" ca="1" si="91"/>
        <v>0</v>
      </c>
      <c r="CK40" s="164">
        <f t="shared" ca="1" si="92"/>
        <v>0</v>
      </c>
      <c r="CL40" s="164">
        <f t="shared" ca="1" si="93"/>
        <v>0</v>
      </c>
      <c r="CM40" s="164">
        <f>ROUNDUP((1+tech_spy_cost*Techs!AJ40)*spy_plat,0)</f>
        <v>500</v>
      </c>
      <c r="CN40" s="164">
        <f>ROUNDUP((1+tech_wizard_cost*Techs!AM40-MIN(ROUND(wg_wiz_cost_bonus*BN40,4),wg_wiz_cost_cap))*wizard_plat,0)</f>
        <v>500</v>
      </c>
      <c r="CO40" s="166">
        <f>ROUNDUP((1+tech_wizard_cost*Techs!AM40-MIN(ROUND(wg_wiz_cost_bonus*BN40,4),wg_wiz_cost_cap))*archmage_plat,0)</f>
        <v>1000</v>
      </c>
      <c r="CQ40" s="465">
        <f ca="1">Construction!DF40/Construction!E40</f>
        <v>0.28000000000000003</v>
      </c>
      <c r="CR40" s="466">
        <f t="shared" si="73"/>
        <v>0</v>
      </c>
      <c r="CS40" s="466">
        <f>Construction!BK40/Construction!E40</f>
        <v>0.05</v>
      </c>
      <c r="CT40" s="466">
        <f>Construction!BJ40/Construction!E40</f>
        <v>0</v>
      </c>
      <c r="CU40" s="466">
        <f>Construction!AY40/Construction!E40</f>
        <v>0</v>
      </c>
      <c r="CV40" s="487">
        <f t="shared" ca="1" si="94"/>
        <v>1.4000000000000001</v>
      </c>
      <c r="CW40" s="488">
        <f t="shared" ca="1" si="95"/>
        <v>1.4000000000000001</v>
      </c>
      <c r="CX40" s="488">
        <f t="shared" ca="1" si="96"/>
        <v>1.4000000000000001</v>
      </c>
      <c r="CY40" s="489">
        <f t="shared" ca="1" si="97"/>
        <v>1.4000000000000001</v>
      </c>
      <c r="CZ40" s="489">
        <f t="shared" si="98"/>
        <v>0.1</v>
      </c>
      <c r="DA40" s="489">
        <f t="shared" ca="1" si="99"/>
        <v>3</v>
      </c>
      <c r="DB40" s="489">
        <f t="shared" ca="1" si="100"/>
        <v>1.4000000000000001</v>
      </c>
      <c r="DC40" s="488">
        <f t="shared" si="101"/>
        <v>0</v>
      </c>
      <c r="DD40" s="848">
        <f t="shared" si="102"/>
        <v>0</v>
      </c>
      <c r="DE40" s="442">
        <f t="shared" si="56"/>
        <v>800</v>
      </c>
      <c r="DF40" s="442">
        <f t="shared" si="57"/>
        <v>0</v>
      </c>
      <c r="DG40" s="487">
        <f t="shared" ca="1" si="103"/>
        <v>1.4000000000000001</v>
      </c>
      <c r="DH40" s="452">
        <f t="shared" si="104"/>
        <v>9.0000000000000011E-2</v>
      </c>
      <c r="DI40" s="452">
        <f>MIN(valkyrja_cap,Production!O40/valkyrja_bonus)</f>
        <v>1</v>
      </c>
      <c r="DJ40" s="848">
        <f>MIN(voodoo_magi_cap,Production!O40/voodoo_magi_bonus)</f>
        <v>0.83333333333333337</v>
      </c>
      <c r="DK40" s="848">
        <f>MIN(warlock_cap,Production!O40/warlock_bonus)</f>
        <v>1.25</v>
      </c>
      <c r="DL40" s="848">
        <f ca="1">MIN(nox_nightshade_cap,Construction!DF40/Construction!E40/nox_nightshade_swamp_bonus)</f>
        <v>2.8000000000000003</v>
      </c>
      <c r="DM40" s="488">
        <f t="shared" si="105"/>
        <v>0</v>
      </c>
      <c r="DN40" s="489">
        <f t="shared" ca="1" si="106"/>
        <v>2.8000000000000003</v>
      </c>
      <c r="DO40" s="489">
        <f t="shared" ca="1" si="107"/>
        <v>2.8000000000000003</v>
      </c>
      <c r="DP40" s="489">
        <f t="shared" si="108"/>
        <v>1</v>
      </c>
      <c r="DQ40" s="488">
        <f t="shared" si="109"/>
        <v>0</v>
      </c>
      <c r="DR40" s="489">
        <f t="shared" si="110"/>
        <v>0</v>
      </c>
      <c r="DS40" s="488">
        <f t="shared" si="111"/>
        <v>0</v>
      </c>
      <c r="DT40" s="489">
        <f t="shared" si="112"/>
        <v>0.1</v>
      </c>
      <c r="DX40" s="487">
        <f ca="1">MIN(6,CV40+Races!$F$19)*1.8 +  IF(CV40+Races!$F$19&gt;6,(CV40+Races!$F$19-6)*0.2,0) - Races!$N$19</f>
        <v>2.5200000000000005</v>
      </c>
      <c r="DY40" s="488">
        <f ca="1">1.8 * MIN(MAX(CW40+Races!$E$20,CX40+Races!$F$20),6)  +  0.45 * MIN(MIN(CW40+Races!$E$20,CX40+Races!$F$20),6)  +  0.2 * ( MAX(CW40+Races!$E$20-6,0) + MAX(CX40+Races!$F$20-6,0) )  -  Races!$N$20</f>
        <v>3.1500000000000012</v>
      </c>
      <c r="DZ40" s="57">
        <f t="shared" ca="1" si="113"/>
        <v>3780.0000000000009</v>
      </c>
      <c r="EA40" s="666">
        <f ca="1">MIN(6,CY40+Races!$F$35)*1.8 +  IF(CY40+Races!$F$35&gt;6,(CY40+Races!$F$35-6)*0.2,0) - Races!$N$19</f>
        <v>0.72000000000000064</v>
      </c>
      <c r="EB40" s="57">
        <f t="shared" ca="1" si="114"/>
        <v>0</v>
      </c>
      <c r="EC40" s="666">
        <f ca="1">1.8 * MIN(MAX(Races!$E$27,DB40+Races!$F$27),6)  +  0.45 * MIN(MIN(Races!$E$27,DB40+Races!$F$27),6)  +  0.2 * ( MAX(Races!$E$27-6,0) + MAX(DB40+Races!$F$27-6,0) )  -  Races!$N$20</f>
        <v>4.7700000000000005</v>
      </c>
      <c r="ED40" s="57">
        <f t="shared" ca="1" si="115"/>
        <v>0</v>
      </c>
      <c r="EE40" s="666">
        <f>1.8 * MIN(MAX(DC40+Races!$E$47,DD40+Races!$F$47),6)  +  0.45 * MIN(MIN(DC40+Races!$E$47,DD40+Races!$F$47),6)  +  0.2 * ( MAX(DC40+Races!$E$47-6,0) + MAX(DD40+Races!$F$47-6,0) )  -  Races!$N$47</f>
        <v>0</v>
      </c>
      <c r="EF40" s="57">
        <f t="shared" si="116"/>
        <v>0</v>
      </c>
      <c r="EG40" s="666">
        <f ca="1">1.8 * MIN(MAX(DG40+Races!$F$71,Races!$E$71),6)  +  0.45 * MIN(MIN(DG40+Races!$F$71,Races!$E$71),6)  +  0.2 * ( MAX(DG40+Races!$F$71-6,0) + MAX(Races!$E$71-6,0) )  -  Races!$N$71</f>
        <v>2.5200000000000014</v>
      </c>
      <c r="EH40" s="666">
        <f>1.8 * MIN(MAX(DH40+Races!$E$71,Races!$F$71),6)  +  0.45 * MIN(MIN(DH40+Races!$E$71,Races!$F$71),6)  +  0.2 * ( MAX(DH40+Races!$E$71-6,0) + MAX(Races!$F$71-6,0) )  -  Races!$N$71</f>
        <v>0.16200000000000081</v>
      </c>
      <c r="EI40" s="57">
        <f t="shared" ca="1" si="117"/>
        <v>2584.8000000000015</v>
      </c>
      <c r="EJ40" s="57"/>
      <c r="EK40" s="57"/>
      <c r="EL40" s="57"/>
      <c r="EM40" s="57">
        <f ca="1">Overview!$L$22*E40+Overview!$L$23*F40+Overview!$L$24*G40+Overview!$L$25*H40+Overview!$L$26*I40+Overview!$L$27*J40+Overview!$L$28*K40+Construction!E40*20+Construction!B40*5 + DZ40*$DV$4+EB40*$DV$5+ED40*$DV$6+EF40*$DV$7+EI40*$DV$9</f>
        <v>39460</v>
      </c>
      <c r="EO40" s="738">
        <f>(J40+2*K40)/Construction!E40</f>
        <v>0.1</v>
      </c>
      <c r="EP40" s="734">
        <f ca="1">EO40*(1+race_wizard_strength+tech_magical_weaponry_wiz*Techs!AV112)</f>
        <v>0.1</v>
      </c>
      <c r="EQ40" s="16">
        <f>(I40+halfer*H40/3)/Construction!E40</f>
        <v>0.1</v>
      </c>
    </row>
    <row r="41" spans="1:147" s="16" customFormat="1">
      <c r="A41" s="629">
        <f>Rezone!J41</f>
        <v>39</v>
      </c>
      <c r="B41" s="56">
        <f ca="1">SUM(E41:K41)+SUM(AF33:AG41)+SUM(AH30:AL41)+Z41+Explore!AL41</f>
        <v>5295</v>
      </c>
      <c r="C41" s="97">
        <f ca="1">Population!G41</f>
        <v>0.57305194805194803</v>
      </c>
      <c r="E41" s="52">
        <f t="shared" si="64"/>
        <v>0</v>
      </c>
      <c r="F41" s="16">
        <f t="shared" si="65"/>
        <v>0</v>
      </c>
      <c r="G41" s="16">
        <f t="shared" si="66"/>
        <v>1000</v>
      </c>
      <c r="H41" s="16">
        <f t="shared" si="67"/>
        <v>400</v>
      </c>
      <c r="I41" s="16">
        <f t="shared" si="68"/>
        <v>100</v>
      </c>
      <c r="J41" s="16">
        <f t="shared" si="69"/>
        <v>100</v>
      </c>
      <c r="K41" s="53">
        <f t="shared" si="70"/>
        <v>0</v>
      </c>
      <c r="M41" s="64">
        <f ca="1">Production!G41</f>
        <v>39460</v>
      </c>
      <c r="O41" s="142">
        <f t="shared" ca="1" si="75"/>
        <v>4400</v>
      </c>
      <c r="P41" s="455">
        <f ca="1">race_offense+Imps!AB41+ROUND(MIN(gn_bonus*Construction!BF41/Construction!$E41,gn_bonus_cap),4)+MAX(IF(Magic!$AN41&gt;0,warsong_bonus),IF(Magic!AP41&gt;0,howling_op_bonus),IF(Magic!AS41&gt;0,nightfall_bonus),IF(Magic!AT41&gt;0,crusade_bonus),IF(Magic!AU41&gt;0,killingrage_bonus),IF(Magic!AV41&gt;0,bloodrage_bonus)) + Production!O41/100*prestige_offense_bonus + MAX(tech_military_offense*Techs!AH41,tech_magical_weaponry_op*Techs!AV41)</f>
        <v>0.05</v>
      </c>
      <c r="Q41" s="235">
        <f t="shared" ca="1" si="46"/>
        <v>4620</v>
      </c>
      <c r="R41" s="234">
        <f ca="1">F41*(spec_dp+spirit*DR41)+G41*(elite1_dp+woodie*CV41+sylvan*CY41+gnome*DB41+dark_elf*DD41+icekin*DG41+orc*DJ41+nox*DL41+beast*DN41+sacred*DP41+spirit*DS41+blackorc*DK41)+H41*(elite2_dp+woodie*CX41+beast*DO41+sacred*DQ41) + fh_peas_dp*MIN(Population!C41,20*Construction!BD41)+kobold*DE41</f>
        <v>7200</v>
      </c>
      <c r="S41" s="235">
        <f t="shared" ca="1" si="76"/>
        <v>10895</v>
      </c>
      <c r="T41" s="1052">
        <f ca="1">race_defense+Imps!AC41+ROUND(MIN(gt_bonus*Construction!BH41/Construction!$E41,gt_bonus_cap),4)+MAX(IF(Magic!AM41&gt;0,frenzy_bonus,IF(Magic!AQ41&gt;0,blizzard_bonus,IF(Magic!AP41&gt;0,howling_dp_bonus,IF(Magic!AI41&gt;0,ares_call_bonus)))),IF(Magic!AX41&gt;0,MIN(Construction!DF41/Construction!E41,0.2),0))</f>
        <v>0</v>
      </c>
      <c r="U41" s="1046">
        <f t="shared" ca="1" si="47"/>
        <v>7200</v>
      </c>
      <c r="V41" s="310">
        <f t="shared" ca="1" si="48"/>
        <v>10895</v>
      </c>
      <c r="W41" s="310">
        <f>Construction!E41</f>
        <v>1000</v>
      </c>
      <c r="X41" s="367"/>
      <c r="Y41" s="146">
        <f t="shared" si="74"/>
        <v>0.4</v>
      </c>
      <c r="Z41" s="166">
        <f ca="1">Z40+Population!Z40 - IF(race="Lux",AF41,SUM(AF41:AK41)) - BE41 + SUM(BF41:BL41) - Explore!AI41</f>
        <v>3695</v>
      </c>
      <c r="AA41" s="164"/>
      <c r="AB41" s="91">
        <f>(Construction!$BA41+Construction!BY41)/(Construction!$E41-Explore!S41*20)</f>
        <v>0.2</v>
      </c>
      <c r="AC41" s="529"/>
      <c r="AD41" s="799">
        <f>Rezone!J41</f>
        <v>39</v>
      </c>
      <c r="AE41" s="589">
        <f>Explore!AA41</f>
        <v>43693.583333333241</v>
      </c>
      <c r="AF41" s="356"/>
      <c r="AG41" s="348"/>
      <c r="AH41" s="348"/>
      <c r="AI41" s="348"/>
      <c r="AJ41" s="348"/>
      <c r="AK41" s="348"/>
      <c r="AL41" s="357"/>
      <c r="AN41" s="56">
        <f ca="1">Production!$H41</f>
        <v>3352249</v>
      </c>
      <c r="AO41" s="26">
        <f ca="1">Production!$L41</f>
        <v>231000</v>
      </c>
      <c r="AP41" s="26">
        <f ca="1">Production!J41</f>
        <v>285765</v>
      </c>
      <c r="AQ41" s="26">
        <f ca="1">Production!M41</f>
        <v>20000</v>
      </c>
      <c r="AR41" s="26">
        <f ca="1">Production!K41</f>
        <v>42778</v>
      </c>
      <c r="AS41" s="26">
        <f ca="1">Production!I41</f>
        <v>174418</v>
      </c>
      <c r="AT41" s="26">
        <f ca="1">Production!N41</f>
        <v>200</v>
      </c>
      <c r="AU41" s="152">
        <f t="shared" ca="1" si="77"/>
        <v>0</v>
      </c>
      <c r="AV41" s="164">
        <f t="shared" ca="1" si="78"/>
        <v>0</v>
      </c>
      <c r="AW41" s="164">
        <f t="shared" ca="1" si="50"/>
        <v>0</v>
      </c>
      <c r="AX41" s="164">
        <f t="shared" ca="1" si="51"/>
        <v>0</v>
      </c>
      <c r="AY41" s="164">
        <f t="shared" ca="1" si="52"/>
        <v>0</v>
      </c>
      <c r="AZ41" s="164">
        <f t="shared" ca="1" si="53"/>
        <v>0</v>
      </c>
      <c r="BA41" s="166">
        <f t="shared" ca="1" si="54"/>
        <v>0</v>
      </c>
      <c r="BB41" s="16">
        <v>39</v>
      </c>
      <c r="BC41" s="574">
        <f t="shared" si="71"/>
        <v>43693.583333333241</v>
      </c>
      <c r="BD41" s="148">
        <f t="shared" ca="1" si="72"/>
        <v>3695</v>
      </c>
      <c r="BE41" s="356"/>
      <c r="BF41" s="348"/>
      <c r="BG41" s="348"/>
      <c r="BH41" s="348"/>
      <c r="BI41" s="348"/>
      <c r="BJ41" s="348"/>
      <c r="BK41" s="348"/>
      <c r="BL41" s="357"/>
      <c r="BN41" s="503">
        <f>Construction!BM41/Construction!E41</f>
        <v>0</v>
      </c>
      <c r="BO41" s="171">
        <f>Construction!BD41/Construction!E41</f>
        <v>0</v>
      </c>
      <c r="BP41" s="152">
        <f>ROUNDUP((1-MIN(AB41*smithy_bonus,smithy_bonus_cap))*(1+Techs!AO41*tech_master_of_frugality)*spec_op_plat,0)</f>
        <v>165</v>
      </c>
      <c r="BQ41" s="164">
        <f>ROUNDUP(IF(race="Gnome",1,(1-MIN(AB41*smithy_bonus,smithy_bonus_cap))*(1+Techs!AO41*tech_master_of_frugality))*spec_op_ore,0)</f>
        <v>15</v>
      </c>
      <c r="BR41" s="164">
        <f t="shared" si="79"/>
        <v>0</v>
      </c>
      <c r="BS41" s="164">
        <f t="shared" si="80"/>
        <v>0</v>
      </c>
      <c r="BT41" s="164">
        <f ca="1">ROUNDUP((1-MIN(AB41*smithy_bonus,smithy_bonus_cap))*(1+Techs!AO41*tech_master_of_frugality)*spec_dp_plat,0)</f>
        <v>165</v>
      </c>
      <c r="BU41" s="164">
        <f ca="1">ROUNDUP(IF(OR(race="Gnome",race="Imperial Gnome"),1,(1-MIN(AB41*smithy_bonus,smithy_bonus_cap))*(1+Techs!AO41*tech_master_of_frugality))*spec_dp_ore,0)</f>
        <v>6</v>
      </c>
      <c r="BV41" s="164">
        <f t="shared" ca="1" si="81"/>
        <v>0</v>
      </c>
      <c r="BW41" s="164">
        <f t="shared" ca="1" si="82"/>
        <v>0</v>
      </c>
      <c r="BX41" s="164">
        <f t="shared" ca="1" si="83"/>
        <v>0</v>
      </c>
      <c r="BY41" s="164">
        <f ca="1">ROUNDUP((1-MIN(AB41*smithy_bonus,smithy_bonus_cap))*(1+Techs!AO41*tech_master_of_frugality)*elite1_plat,0)</f>
        <v>600</v>
      </c>
      <c r="BZ41" s="164">
        <f ca="1">ROUNDUP(IF(race="Gnome",1,(1-MIN(AB41*smithy_bonus,smithy_bonus_cap))*(1+Techs!AO41*tech_master_of_frugality))*elite1_ore,0)</f>
        <v>45</v>
      </c>
      <c r="CA41" s="164">
        <f t="shared" ca="1" si="84"/>
        <v>0</v>
      </c>
      <c r="CB41" s="164">
        <f t="shared" ca="1" si="85"/>
        <v>0</v>
      </c>
      <c r="CC41" s="164">
        <f t="shared" ca="1" si="86"/>
        <v>0</v>
      </c>
      <c r="CD41" s="164">
        <f t="shared" ca="1" si="87"/>
        <v>0</v>
      </c>
      <c r="CE41" s="164">
        <f t="shared" ca="1" si="88"/>
        <v>0</v>
      </c>
      <c r="CF41" s="164">
        <f ca="1">ROUNDUP((1-MIN(AB41*smithy_bonus,smithy_bonus_cap))*(1+Techs!AO41*tech_master_of_frugality)*elite2_plat,0)</f>
        <v>750</v>
      </c>
      <c r="CG41" s="164">
        <f ca="1">ROUNDUP(IF(race="Gnome",1,(1-MIN(AB41*smithy_bonus,smithy_bonus_cap))*(1+Techs!AO41*tech_master_of_frugality))*elite2_ore,0)</f>
        <v>60</v>
      </c>
      <c r="CH41" s="164">
        <f t="shared" ca="1" si="89"/>
        <v>0</v>
      </c>
      <c r="CI41" s="164">
        <f t="shared" ca="1" si="90"/>
        <v>0</v>
      </c>
      <c r="CJ41" s="164">
        <f t="shared" ca="1" si="91"/>
        <v>0</v>
      </c>
      <c r="CK41" s="164">
        <f t="shared" ca="1" si="92"/>
        <v>0</v>
      </c>
      <c r="CL41" s="164">
        <f t="shared" ca="1" si="93"/>
        <v>0</v>
      </c>
      <c r="CM41" s="164">
        <f>ROUNDUP((1+tech_spy_cost*Techs!AJ41)*spy_plat,0)</f>
        <v>500</v>
      </c>
      <c r="CN41" s="164">
        <f>ROUNDUP((1+tech_wizard_cost*Techs!AM41-MIN(ROUND(wg_wiz_cost_bonus*BN41,4),wg_wiz_cost_cap))*wizard_plat,0)</f>
        <v>500</v>
      </c>
      <c r="CO41" s="166">
        <f>ROUNDUP((1+tech_wizard_cost*Techs!AM41-MIN(ROUND(wg_wiz_cost_bonus*BN41,4),wg_wiz_cost_cap))*archmage_plat,0)</f>
        <v>1000</v>
      </c>
      <c r="CQ41" s="465">
        <f ca="1">Construction!DF41/Construction!E41</f>
        <v>0.28000000000000003</v>
      </c>
      <c r="CR41" s="466">
        <f t="shared" si="73"/>
        <v>0</v>
      </c>
      <c r="CS41" s="466">
        <f>Construction!BK41/Construction!E41</f>
        <v>0.05</v>
      </c>
      <c r="CT41" s="466">
        <f>Construction!BJ41/Construction!E41</f>
        <v>0</v>
      </c>
      <c r="CU41" s="466">
        <f>Construction!AY41/Construction!E41</f>
        <v>0</v>
      </c>
      <c r="CV41" s="487">
        <f t="shared" ca="1" si="94"/>
        <v>1.4000000000000001</v>
      </c>
      <c r="CW41" s="488">
        <f t="shared" ca="1" si="95"/>
        <v>1.4000000000000001</v>
      </c>
      <c r="CX41" s="488">
        <f t="shared" ca="1" si="96"/>
        <v>1.4000000000000001</v>
      </c>
      <c r="CY41" s="489">
        <f t="shared" ca="1" si="97"/>
        <v>1.4000000000000001</v>
      </c>
      <c r="CZ41" s="489">
        <f t="shared" si="98"/>
        <v>0.1</v>
      </c>
      <c r="DA41" s="489">
        <f t="shared" ca="1" si="99"/>
        <v>3</v>
      </c>
      <c r="DB41" s="489">
        <f t="shared" ca="1" si="100"/>
        <v>1.4000000000000001</v>
      </c>
      <c r="DC41" s="488">
        <f t="shared" si="101"/>
        <v>0</v>
      </c>
      <c r="DD41" s="848">
        <f t="shared" si="102"/>
        <v>0</v>
      </c>
      <c r="DE41" s="442">
        <f t="shared" si="56"/>
        <v>800</v>
      </c>
      <c r="DF41" s="442">
        <f t="shared" si="57"/>
        <v>0</v>
      </c>
      <c r="DG41" s="487">
        <f t="shared" ca="1" si="103"/>
        <v>1.4000000000000001</v>
      </c>
      <c r="DH41" s="452">
        <f t="shared" si="104"/>
        <v>9.0000000000000011E-2</v>
      </c>
      <c r="DI41" s="452">
        <f>MIN(valkyrja_cap,Production!O41/valkyrja_bonus)</f>
        <v>1</v>
      </c>
      <c r="DJ41" s="848">
        <f>MIN(voodoo_magi_cap,Production!O41/voodoo_magi_bonus)</f>
        <v>0.83333333333333337</v>
      </c>
      <c r="DK41" s="848">
        <f>MIN(warlock_cap,Production!O41/warlock_bonus)</f>
        <v>1.25</v>
      </c>
      <c r="DL41" s="848">
        <f ca="1">MIN(nox_nightshade_cap,Construction!DF41/Construction!E41/nox_nightshade_swamp_bonus)</f>
        <v>2.8000000000000003</v>
      </c>
      <c r="DM41" s="488">
        <f t="shared" si="105"/>
        <v>0</v>
      </c>
      <c r="DN41" s="489">
        <f t="shared" ca="1" si="106"/>
        <v>2.8000000000000003</v>
      </c>
      <c r="DO41" s="489">
        <f t="shared" ca="1" si="107"/>
        <v>2.8000000000000003</v>
      </c>
      <c r="DP41" s="489">
        <f t="shared" si="108"/>
        <v>1</v>
      </c>
      <c r="DQ41" s="488">
        <f t="shared" si="109"/>
        <v>0</v>
      </c>
      <c r="DR41" s="489">
        <f t="shared" si="110"/>
        <v>0</v>
      </c>
      <c r="DS41" s="488">
        <f t="shared" si="111"/>
        <v>0</v>
      </c>
      <c r="DT41" s="489">
        <f t="shared" si="112"/>
        <v>0.1</v>
      </c>
      <c r="DX41" s="487">
        <f ca="1">MIN(6,CV41+Races!$F$19)*1.8 +  IF(CV41+Races!$F$19&gt;6,(CV41+Races!$F$19-6)*0.2,0) - Races!$N$19</f>
        <v>2.5200000000000005</v>
      </c>
      <c r="DY41" s="488">
        <f ca="1">1.8 * MIN(MAX(CW41+Races!$E$20,CX41+Races!$F$20),6)  +  0.45 * MIN(MIN(CW41+Races!$E$20,CX41+Races!$F$20),6)  +  0.2 * ( MAX(CW41+Races!$E$20-6,0) + MAX(CX41+Races!$F$20-6,0) )  -  Races!$N$20</f>
        <v>3.1500000000000012</v>
      </c>
      <c r="DZ41" s="57">
        <f t="shared" ca="1" si="113"/>
        <v>3780.0000000000009</v>
      </c>
      <c r="EA41" s="666">
        <f ca="1">MIN(6,CY41+Races!$F$35)*1.8 +  IF(CY41+Races!$F$35&gt;6,(CY41+Races!$F$35-6)*0.2,0) - Races!$N$19</f>
        <v>0.72000000000000064</v>
      </c>
      <c r="EB41" s="57">
        <f t="shared" ca="1" si="114"/>
        <v>0</v>
      </c>
      <c r="EC41" s="666">
        <f ca="1">1.8 * MIN(MAX(Races!$E$27,DB41+Races!$F$27),6)  +  0.45 * MIN(MIN(Races!$E$27,DB41+Races!$F$27),6)  +  0.2 * ( MAX(Races!$E$27-6,0) + MAX(DB41+Races!$F$27-6,0) )  -  Races!$N$20</f>
        <v>4.7700000000000005</v>
      </c>
      <c r="ED41" s="57">
        <f t="shared" ca="1" si="115"/>
        <v>0</v>
      </c>
      <c r="EE41" s="666">
        <f>1.8 * MIN(MAX(DC41+Races!$E$47,DD41+Races!$F$47),6)  +  0.45 * MIN(MIN(DC41+Races!$E$47,DD41+Races!$F$47),6)  +  0.2 * ( MAX(DC41+Races!$E$47-6,0) + MAX(DD41+Races!$F$47-6,0) )  -  Races!$N$47</f>
        <v>0</v>
      </c>
      <c r="EF41" s="57">
        <f t="shared" si="116"/>
        <v>0</v>
      </c>
      <c r="EG41" s="666">
        <f ca="1">1.8 * MIN(MAX(DG41+Races!$F$71,Races!$E$71),6)  +  0.45 * MIN(MIN(DG41+Races!$F$71,Races!$E$71),6)  +  0.2 * ( MAX(DG41+Races!$F$71-6,0) + MAX(Races!$E$71-6,0) )  -  Races!$N$71</f>
        <v>2.5200000000000014</v>
      </c>
      <c r="EH41" s="666">
        <f>1.8 * MIN(MAX(DH41+Races!$E$71,Races!$F$71),6)  +  0.45 * MIN(MIN(DH41+Races!$E$71,Races!$F$71),6)  +  0.2 * ( MAX(DH41+Races!$E$71-6,0) + MAX(Races!$F$71-6,0) )  -  Races!$N$71</f>
        <v>0.16200000000000081</v>
      </c>
      <c r="EI41" s="57">
        <f t="shared" ca="1" si="117"/>
        <v>2584.8000000000015</v>
      </c>
      <c r="EJ41" s="57"/>
      <c r="EK41" s="57"/>
      <c r="EL41" s="57"/>
      <c r="EM41" s="57">
        <f ca="1">Overview!$L$22*E41+Overview!$L$23*F41+Overview!$L$24*G41+Overview!$L$25*H41+Overview!$L$26*I41+Overview!$L$27*J41+Overview!$L$28*K41+Construction!E41*20+Construction!B41*5 + DZ41*$DV$4+EB41*$DV$5+ED41*$DV$6+EF41*$DV$7+EI41*$DV$9</f>
        <v>39460</v>
      </c>
      <c r="EO41" s="738">
        <f>(J41+2*K41)/Construction!E41</f>
        <v>0.1</v>
      </c>
      <c r="EP41" s="734">
        <f ca="1">EO41*(1+race_wizard_strength+tech_magical_weaponry_wiz*Techs!AV113)</f>
        <v>0.1</v>
      </c>
      <c r="EQ41" s="16">
        <f>(I41+halfer*H41/3)/Construction!E41</f>
        <v>0.1</v>
      </c>
    </row>
    <row r="42" spans="1:147" s="16" customFormat="1">
      <c r="A42" s="629">
        <f>Rezone!J42</f>
        <v>40</v>
      </c>
      <c r="B42" s="56">
        <f ca="1">SUM(E42:K42)+SUM(AF34:AG42)+SUM(AH31:AL42)+Z42+Explore!AL42</f>
        <v>5295</v>
      </c>
      <c r="C42" s="97">
        <f ca="1">Population!G42</f>
        <v>0.57305194805194803</v>
      </c>
      <c r="E42" s="52">
        <f t="shared" si="64"/>
        <v>0</v>
      </c>
      <c r="F42" s="16">
        <f t="shared" si="65"/>
        <v>0</v>
      </c>
      <c r="G42" s="16">
        <f t="shared" si="66"/>
        <v>1000</v>
      </c>
      <c r="H42" s="16">
        <f t="shared" si="67"/>
        <v>400</v>
      </c>
      <c r="I42" s="16">
        <f t="shared" si="68"/>
        <v>100</v>
      </c>
      <c r="J42" s="16">
        <f t="shared" si="69"/>
        <v>100</v>
      </c>
      <c r="K42" s="53">
        <f t="shared" si="70"/>
        <v>0</v>
      </c>
      <c r="M42" s="64">
        <f ca="1">Production!G42</f>
        <v>39460</v>
      </c>
      <c r="O42" s="142">
        <f t="shared" ca="1" si="75"/>
        <v>4400</v>
      </c>
      <c r="P42" s="455">
        <f ca="1">race_offense+Imps!AB42+ROUND(MIN(gn_bonus*Construction!BF42/Construction!$E42,gn_bonus_cap),4)+MAX(IF(Magic!$AN42&gt;0,warsong_bonus),IF(Magic!AP42&gt;0,howling_op_bonus),IF(Magic!AS42&gt;0,nightfall_bonus),IF(Magic!AT42&gt;0,crusade_bonus),IF(Magic!AU42&gt;0,killingrage_bonus),IF(Magic!AV42&gt;0,bloodrage_bonus)) + Production!O42/100*prestige_offense_bonus + MAX(tech_military_offense*Techs!AH42,tech_magical_weaponry_op*Techs!AV42)</f>
        <v>0.05</v>
      </c>
      <c r="Q42" s="235">
        <f t="shared" ca="1" si="46"/>
        <v>4620</v>
      </c>
      <c r="R42" s="234">
        <f ca="1">F42*(spec_dp+spirit*DR42)+G42*(elite1_dp+woodie*CV42+sylvan*CY42+gnome*DB42+dark_elf*DD42+icekin*DG42+orc*DJ42+nox*DL42+beast*DN42+sacred*DP42+spirit*DS42+blackorc*DK42)+H42*(elite2_dp+woodie*CX42+beast*DO42+sacred*DQ42) + fh_peas_dp*MIN(Population!C42,20*Construction!BD42)+kobold*DE42</f>
        <v>7200</v>
      </c>
      <c r="S42" s="235">
        <f t="shared" ca="1" si="76"/>
        <v>10895</v>
      </c>
      <c r="T42" s="1052">
        <f ca="1">race_defense+Imps!AC42+ROUND(MIN(gt_bonus*Construction!BH42/Construction!$E42,gt_bonus_cap),4)+MAX(IF(Magic!AM42&gt;0,frenzy_bonus,IF(Magic!AQ42&gt;0,blizzard_bonus,IF(Magic!AP42&gt;0,howling_dp_bonus,IF(Magic!AI42&gt;0,ares_call_bonus)))),IF(Magic!AX42&gt;0,MIN(Construction!DF42/Construction!E42,0.2),0))</f>
        <v>0</v>
      </c>
      <c r="U42" s="1046">
        <f t="shared" ca="1" si="47"/>
        <v>7200</v>
      </c>
      <c r="V42" s="310">
        <f t="shared" ca="1" si="48"/>
        <v>10895</v>
      </c>
      <c r="W42" s="310">
        <f>Construction!E42</f>
        <v>1000</v>
      </c>
      <c r="X42" s="367"/>
      <c r="Y42" s="146">
        <f t="shared" si="74"/>
        <v>0.4</v>
      </c>
      <c r="Z42" s="166">
        <f ca="1">Z41+Population!Z41 - IF(race="Lux",AF42,SUM(AF42:AK42)) - BE42 + SUM(BF42:BL42) - Explore!AI42</f>
        <v>3695</v>
      </c>
      <c r="AA42" s="164"/>
      <c r="AB42" s="91">
        <f>(Construction!$BA42+Construction!BY42)/(Construction!$E42-Explore!S42*20)</f>
        <v>0.2</v>
      </c>
      <c r="AC42" s="529"/>
      <c r="AD42" s="799">
        <f>Rezone!J42</f>
        <v>40</v>
      </c>
      <c r="AE42" s="589">
        <f>Explore!AA42</f>
        <v>43693.624999999905</v>
      </c>
      <c r="AF42" s="356"/>
      <c r="AG42" s="348"/>
      <c r="AH42" s="348"/>
      <c r="AI42" s="348"/>
      <c r="AJ42" s="348"/>
      <c r="AK42" s="348"/>
      <c r="AL42" s="357"/>
      <c r="AN42" s="56">
        <f ca="1">Production!$H42</f>
        <v>3362900</v>
      </c>
      <c r="AO42" s="26">
        <f ca="1">Production!$L42</f>
        <v>231000</v>
      </c>
      <c r="AP42" s="26">
        <f ca="1">Production!J42</f>
        <v>285407</v>
      </c>
      <c r="AQ42" s="26">
        <f ca="1">Production!M42</f>
        <v>20000</v>
      </c>
      <c r="AR42" s="26">
        <f ca="1">Production!K42</f>
        <v>43172</v>
      </c>
      <c r="AS42" s="26">
        <f ca="1">Production!I42</f>
        <v>177404</v>
      </c>
      <c r="AT42" s="26">
        <f ca="1">Production!N42</f>
        <v>200</v>
      </c>
      <c r="AU42" s="152">
        <f t="shared" ca="1" si="77"/>
        <v>0</v>
      </c>
      <c r="AV42" s="164">
        <f t="shared" ca="1" si="78"/>
        <v>0</v>
      </c>
      <c r="AW42" s="164">
        <f t="shared" ca="1" si="50"/>
        <v>0</v>
      </c>
      <c r="AX42" s="164">
        <f t="shared" ca="1" si="51"/>
        <v>0</v>
      </c>
      <c r="AY42" s="164">
        <f t="shared" ca="1" si="52"/>
        <v>0</v>
      </c>
      <c r="AZ42" s="164">
        <f t="shared" ca="1" si="53"/>
        <v>0</v>
      </c>
      <c r="BA42" s="166">
        <f t="shared" ca="1" si="54"/>
        <v>0</v>
      </c>
      <c r="BB42" s="16">
        <v>40</v>
      </c>
      <c r="BC42" s="574">
        <f t="shared" si="71"/>
        <v>43693.624999999905</v>
      </c>
      <c r="BD42" s="148">
        <f t="shared" ca="1" si="72"/>
        <v>3695</v>
      </c>
      <c r="BE42" s="356"/>
      <c r="BF42" s="348"/>
      <c r="BG42" s="348"/>
      <c r="BH42" s="348"/>
      <c r="BI42" s="348"/>
      <c r="BJ42" s="348"/>
      <c r="BK42" s="348"/>
      <c r="BL42" s="357"/>
      <c r="BN42" s="503">
        <f>Construction!BM42/Construction!E42</f>
        <v>0</v>
      </c>
      <c r="BO42" s="171">
        <f>Construction!BD42/Construction!E42</f>
        <v>0</v>
      </c>
      <c r="BP42" s="152">
        <f>ROUNDUP((1-MIN(AB42*smithy_bonus,smithy_bonus_cap))*(1+Techs!AO42*tech_master_of_frugality)*spec_op_plat,0)</f>
        <v>165</v>
      </c>
      <c r="BQ42" s="164">
        <f>ROUNDUP(IF(race="Gnome",1,(1-MIN(AB42*smithy_bonus,smithy_bonus_cap))*(1+Techs!AO42*tech_master_of_frugality))*spec_op_ore,0)</f>
        <v>15</v>
      </c>
      <c r="BR42" s="164">
        <f t="shared" si="79"/>
        <v>0</v>
      </c>
      <c r="BS42" s="164">
        <f t="shared" si="80"/>
        <v>0</v>
      </c>
      <c r="BT42" s="164">
        <f ca="1">ROUNDUP((1-MIN(AB42*smithy_bonus,smithy_bonus_cap))*(1+Techs!AO42*tech_master_of_frugality)*spec_dp_plat,0)</f>
        <v>165</v>
      </c>
      <c r="BU42" s="164">
        <f ca="1">ROUNDUP(IF(OR(race="Gnome",race="Imperial Gnome"),1,(1-MIN(AB42*smithy_bonus,smithy_bonus_cap))*(1+Techs!AO42*tech_master_of_frugality))*spec_dp_ore,0)</f>
        <v>6</v>
      </c>
      <c r="BV42" s="164">
        <f t="shared" ca="1" si="81"/>
        <v>0</v>
      </c>
      <c r="BW42" s="164">
        <f t="shared" ca="1" si="82"/>
        <v>0</v>
      </c>
      <c r="BX42" s="164">
        <f t="shared" ca="1" si="83"/>
        <v>0</v>
      </c>
      <c r="BY42" s="164">
        <f ca="1">ROUNDUP((1-MIN(AB42*smithy_bonus,smithy_bonus_cap))*(1+Techs!AO42*tech_master_of_frugality)*elite1_plat,0)</f>
        <v>600</v>
      </c>
      <c r="BZ42" s="164">
        <f ca="1">ROUNDUP(IF(race="Gnome",1,(1-MIN(AB42*smithy_bonus,smithy_bonus_cap))*(1+Techs!AO42*tech_master_of_frugality))*elite1_ore,0)</f>
        <v>45</v>
      </c>
      <c r="CA42" s="164">
        <f t="shared" ca="1" si="84"/>
        <v>0</v>
      </c>
      <c r="CB42" s="164">
        <f t="shared" ca="1" si="85"/>
        <v>0</v>
      </c>
      <c r="CC42" s="164">
        <f t="shared" ca="1" si="86"/>
        <v>0</v>
      </c>
      <c r="CD42" s="164">
        <f t="shared" ca="1" si="87"/>
        <v>0</v>
      </c>
      <c r="CE42" s="164">
        <f t="shared" ca="1" si="88"/>
        <v>0</v>
      </c>
      <c r="CF42" s="164">
        <f ca="1">ROUNDUP((1-MIN(AB42*smithy_bonus,smithy_bonus_cap))*(1+Techs!AO42*tech_master_of_frugality)*elite2_plat,0)</f>
        <v>750</v>
      </c>
      <c r="CG42" s="164">
        <f ca="1">ROUNDUP(IF(race="Gnome",1,(1-MIN(AB42*smithy_bonus,smithy_bonus_cap))*(1+Techs!AO42*tech_master_of_frugality))*elite2_ore,0)</f>
        <v>60</v>
      </c>
      <c r="CH42" s="164">
        <f t="shared" ca="1" si="89"/>
        <v>0</v>
      </c>
      <c r="CI42" s="164">
        <f t="shared" ca="1" si="90"/>
        <v>0</v>
      </c>
      <c r="CJ42" s="164">
        <f t="shared" ca="1" si="91"/>
        <v>0</v>
      </c>
      <c r="CK42" s="164">
        <f t="shared" ca="1" si="92"/>
        <v>0</v>
      </c>
      <c r="CL42" s="164">
        <f t="shared" ca="1" si="93"/>
        <v>0</v>
      </c>
      <c r="CM42" s="164">
        <f>ROUNDUP((1+tech_spy_cost*Techs!AJ42)*spy_plat,0)</f>
        <v>500</v>
      </c>
      <c r="CN42" s="164">
        <f>ROUNDUP((1+tech_wizard_cost*Techs!AM42-MIN(ROUND(wg_wiz_cost_bonus*BN42,4),wg_wiz_cost_cap))*wizard_plat,0)</f>
        <v>500</v>
      </c>
      <c r="CO42" s="166">
        <f>ROUNDUP((1+tech_wizard_cost*Techs!AM42-MIN(ROUND(wg_wiz_cost_bonus*BN42,4),wg_wiz_cost_cap))*archmage_plat,0)</f>
        <v>1000</v>
      </c>
      <c r="CQ42" s="465">
        <f ca="1">Construction!DF42/Construction!E42</f>
        <v>0.28000000000000003</v>
      </c>
      <c r="CR42" s="466">
        <f t="shared" si="73"/>
        <v>0</v>
      </c>
      <c r="CS42" s="466">
        <f>Construction!BK42/Construction!E42</f>
        <v>0.05</v>
      </c>
      <c r="CT42" s="466">
        <f>Construction!BJ42/Construction!E42</f>
        <v>0</v>
      </c>
      <c r="CU42" s="466">
        <f>Construction!AY42/Construction!E42</f>
        <v>0</v>
      </c>
      <c r="CV42" s="487">
        <f t="shared" ca="1" si="94"/>
        <v>1.4000000000000001</v>
      </c>
      <c r="CW42" s="488">
        <f t="shared" ca="1" si="95"/>
        <v>1.4000000000000001</v>
      </c>
      <c r="CX42" s="488">
        <f t="shared" ca="1" si="96"/>
        <v>1.4000000000000001</v>
      </c>
      <c r="CY42" s="489">
        <f t="shared" ca="1" si="97"/>
        <v>1.4000000000000001</v>
      </c>
      <c r="CZ42" s="489">
        <f t="shared" si="98"/>
        <v>0.1</v>
      </c>
      <c r="DA42" s="489">
        <f t="shared" ca="1" si="99"/>
        <v>3</v>
      </c>
      <c r="DB42" s="489">
        <f t="shared" ca="1" si="100"/>
        <v>1.4000000000000001</v>
      </c>
      <c r="DC42" s="488">
        <f t="shared" si="101"/>
        <v>0</v>
      </c>
      <c r="DD42" s="848">
        <f t="shared" si="102"/>
        <v>0</v>
      </c>
      <c r="DE42" s="442">
        <f t="shared" si="56"/>
        <v>800</v>
      </c>
      <c r="DF42" s="442">
        <f t="shared" si="57"/>
        <v>0</v>
      </c>
      <c r="DG42" s="487">
        <f t="shared" ca="1" si="103"/>
        <v>1.4000000000000001</v>
      </c>
      <c r="DH42" s="452">
        <f t="shared" si="104"/>
        <v>9.0000000000000011E-2</v>
      </c>
      <c r="DI42" s="452">
        <f>MIN(valkyrja_cap,Production!O42/valkyrja_bonus)</f>
        <v>1</v>
      </c>
      <c r="DJ42" s="848">
        <f>MIN(voodoo_magi_cap,Production!O42/voodoo_magi_bonus)</f>
        <v>0.83333333333333337</v>
      </c>
      <c r="DK42" s="848">
        <f>MIN(warlock_cap,Production!O42/warlock_bonus)</f>
        <v>1.25</v>
      </c>
      <c r="DL42" s="848">
        <f ca="1">MIN(nox_nightshade_cap,Construction!DF42/Construction!E42/nox_nightshade_swamp_bonus)</f>
        <v>2.8000000000000003</v>
      </c>
      <c r="DM42" s="488">
        <f t="shared" si="105"/>
        <v>0</v>
      </c>
      <c r="DN42" s="489">
        <f t="shared" ca="1" si="106"/>
        <v>2.8000000000000003</v>
      </c>
      <c r="DO42" s="489">
        <f t="shared" ca="1" si="107"/>
        <v>2.8000000000000003</v>
      </c>
      <c r="DP42" s="489">
        <f t="shared" si="108"/>
        <v>1</v>
      </c>
      <c r="DQ42" s="488">
        <f t="shared" si="109"/>
        <v>0</v>
      </c>
      <c r="DR42" s="489">
        <f t="shared" si="110"/>
        <v>0</v>
      </c>
      <c r="DS42" s="488">
        <f t="shared" si="111"/>
        <v>0</v>
      </c>
      <c r="DT42" s="489">
        <f t="shared" si="112"/>
        <v>0.1</v>
      </c>
      <c r="DX42" s="487">
        <f ca="1">MIN(6,CV42+Races!$F$19)*1.8 +  IF(CV42+Races!$F$19&gt;6,(CV42+Races!$F$19-6)*0.2,0) - Races!$N$19</f>
        <v>2.5200000000000005</v>
      </c>
      <c r="DY42" s="488">
        <f ca="1">1.8 * MIN(MAX(CW42+Races!$E$20,CX42+Races!$F$20),6)  +  0.45 * MIN(MIN(CW42+Races!$E$20,CX42+Races!$F$20),6)  +  0.2 * ( MAX(CW42+Races!$E$20-6,0) + MAX(CX42+Races!$F$20-6,0) )  -  Races!$N$20</f>
        <v>3.1500000000000012</v>
      </c>
      <c r="DZ42" s="57">
        <f t="shared" ca="1" si="113"/>
        <v>3780.0000000000009</v>
      </c>
      <c r="EA42" s="666">
        <f ca="1">MIN(6,CY42+Races!$F$35)*1.8 +  IF(CY42+Races!$F$35&gt;6,(CY42+Races!$F$35-6)*0.2,0) - Races!$N$19</f>
        <v>0.72000000000000064</v>
      </c>
      <c r="EB42" s="57">
        <f t="shared" ca="1" si="114"/>
        <v>0</v>
      </c>
      <c r="EC42" s="666">
        <f ca="1">1.8 * MIN(MAX(Races!$E$27,DB42+Races!$F$27),6)  +  0.45 * MIN(MIN(Races!$E$27,DB42+Races!$F$27),6)  +  0.2 * ( MAX(Races!$E$27-6,0) + MAX(DB42+Races!$F$27-6,0) )  -  Races!$N$20</f>
        <v>4.7700000000000005</v>
      </c>
      <c r="ED42" s="57">
        <f t="shared" ca="1" si="115"/>
        <v>0</v>
      </c>
      <c r="EE42" s="666">
        <f>1.8 * MIN(MAX(DC42+Races!$E$47,DD42+Races!$F$47),6)  +  0.45 * MIN(MIN(DC42+Races!$E$47,DD42+Races!$F$47),6)  +  0.2 * ( MAX(DC42+Races!$E$47-6,0) + MAX(DD42+Races!$F$47-6,0) )  -  Races!$N$47</f>
        <v>0</v>
      </c>
      <c r="EF42" s="57">
        <f t="shared" si="116"/>
        <v>0</v>
      </c>
      <c r="EG42" s="666">
        <f ca="1">1.8 * MIN(MAX(DG42+Races!$F$71,Races!$E$71),6)  +  0.45 * MIN(MIN(DG42+Races!$F$71,Races!$E$71),6)  +  0.2 * ( MAX(DG42+Races!$F$71-6,0) + MAX(Races!$E$71-6,0) )  -  Races!$N$71</f>
        <v>2.5200000000000014</v>
      </c>
      <c r="EH42" s="666">
        <f>1.8 * MIN(MAX(DH42+Races!$E$71,Races!$F$71),6)  +  0.45 * MIN(MIN(DH42+Races!$E$71,Races!$F$71),6)  +  0.2 * ( MAX(DH42+Races!$E$71-6,0) + MAX(Races!$F$71-6,0) )  -  Races!$N$71</f>
        <v>0.16200000000000081</v>
      </c>
      <c r="EI42" s="57">
        <f t="shared" ca="1" si="117"/>
        <v>2584.8000000000015</v>
      </c>
      <c r="EJ42" s="57"/>
      <c r="EK42" s="57"/>
      <c r="EL42" s="57"/>
      <c r="EM42" s="57">
        <f ca="1">Overview!$L$22*E42+Overview!$L$23*F42+Overview!$L$24*G42+Overview!$L$25*H42+Overview!$L$26*I42+Overview!$L$27*J42+Overview!$L$28*K42+Construction!E42*20+Construction!B42*5 + DZ42*$DV$4+EB42*$DV$5+ED42*$DV$6+EF42*$DV$7+EI42*$DV$9</f>
        <v>39460</v>
      </c>
      <c r="EO42" s="738">
        <f>(J42+2*K42)/Construction!E42</f>
        <v>0.1</v>
      </c>
      <c r="EP42" s="734">
        <f ca="1">EO42*(1+race_wizard_strength+tech_magical_weaponry_wiz*Techs!AV114)</f>
        <v>0.1</v>
      </c>
      <c r="EQ42" s="16">
        <f>(I42+halfer*H42/3)/Construction!E42</f>
        <v>0.1</v>
      </c>
    </row>
    <row r="43" spans="1:147" s="16" customFormat="1">
      <c r="A43" s="629">
        <f>Rezone!J43</f>
        <v>41</v>
      </c>
      <c r="B43" s="56">
        <f ca="1">SUM(E43:K43)+SUM(AF35:AG43)+SUM(AH32:AL43)+Z43+Explore!AL43</f>
        <v>5295</v>
      </c>
      <c r="C43" s="97">
        <f ca="1">Population!G43</f>
        <v>0.57305194805194803</v>
      </c>
      <c r="E43" s="52">
        <f t="shared" si="64"/>
        <v>0</v>
      </c>
      <c r="F43" s="16">
        <f t="shared" si="65"/>
        <v>0</v>
      </c>
      <c r="G43" s="16">
        <f t="shared" si="66"/>
        <v>1000</v>
      </c>
      <c r="H43" s="16">
        <f t="shared" si="67"/>
        <v>400</v>
      </c>
      <c r="I43" s="16">
        <f t="shared" si="68"/>
        <v>100</v>
      </c>
      <c r="J43" s="16">
        <f t="shared" si="69"/>
        <v>100</v>
      </c>
      <c r="K43" s="53">
        <f t="shared" si="70"/>
        <v>0</v>
      </c>
      <c r="M43" s="64">
        <f ca="1">Production!G43</f>
        <v>39460</v>
      </c>
      <c r="O43" s="142">
        <f t="shared" ca="1" si="75"/>
        <v>4400</v>
      </c>
      <c r="P43" s="455">
        <f ca="1">race_offense+Imps!AB43+ROUND(MIN(gn_bonus*Construction!BF43/Construction!$E43,gn_bonus_cap),4)+MAX(IF(Magic!$AN43&gt;0,warsong_bonus),IF(Magic!AP43&gt;0,howling_op_bonus),IF(Magic!AS43&gt;0,nightfall_bonus),IF(Magic!AT43&gt;0,crusade_bonus),IF(Magic!AU43&gt;0,killingrage_bonus),IF(Magic!AV43&gt;0,bloodrage_bonus)) + Production!O43/100*prestige_offense_bonus + MAX(tech_military_offense*Techs!AH43,tech_magical_weaponry_op*Techs!AV43)</f>
        <v>0.05</v>
      </c>
      <c r="Q43" s="235">
        <f t="shared" ca="1" si="46"/>
        <v>4620</v>
      </c>
      <c r="R43" s="234">
        <f ca="1">F43*(spec_dp+spirit*DR43)+G43*(elite1_dp+woodie*CV43+sylvan*CY43+gnome*DB43+dark_elf*DD43+icekin*DG43+orc*DJ43+nox*DL43+beast*DN43+sacred*DP43+spirit*DS43+blackorc*DK43)+H43*(elite2_dp+woodie*CX43+beast*DO43+sacred*DQ43) + fh_peas_dp*MIN(Population!C43,20*Construction!BD43)+kobold*DE43</f>
        <v>7200</v>
      </c>
      <c r="S43" s="235">
        <f t="shared" ca="1" si="76"/>
        <v>10895</v>
      </c>
      <c r="T43" s="1052">
        <f ca="1">race_defense+Imps!AC43+ROUND(MIN(gt_bonus*Construction!BH43/Construction!$E43,gt_bonus_cap),4)+MAX(IF(Magic!AM43&gt;0,frenzy_bonus,IF(Magic!AQ43&gt;0,blizzard_bonus,IF(Magic!AP43&gt;0,howling_dp_bonus,IF(Magic!AI43&gt;0,ares_call_bonus)))),IF(Magic!AX43&gt;0,MIN(Construction!DF43/Construction!E43,0.2),0))</f>
        <v>0</v>
      </c>
      <c r="U43" s="1046">
        <f t="shared" ca="1" si="47"/>
        <v>7200</v>
      </c>
      <c r="V43" s="310">
        <f t="shared" ca="1" si="48"/>
        <v>10895</v>
      </c>
      <c r="W43" s="310">
        <f>Construction!E43</f>
        <v>1000</v>
      </c>
      <c r="X43" s="367"/>
      <c r="Y43" s="146">
        <f t="shared" si="74"/>
        <v>0.4</v>
      </c>
      <c r="Z43" s="166">
        <f ca="1">Z42+Population!Z42 - IF(race="Lux",AF43,SUM(AF43:AK43)) - BE43 + SUM(BF43:BL43) - Explore!AI43</f>
        <v>3695</v>
      </c>
      <c r="AA43" s="164"/>
      <c r="AB43" s="91">
        <f>(Construction!$BA43+Construction!BY43)/(Construction!$E43-Explore!S43*20)</f>
        <v>0.2</v>
      </c>
      <c r="AC43" s="529"/>
      <c r="AD43" s="799">
        <f>Rezone!J43</f>
        <v>41</v>
      </c>
      <c r="AE43" s="589">
        <f>Explore!AA43</f>
        <v>43693.66666666657</v>
      </c>
      <c r="AF43" s="356"/>
      <c r="AG43" s="348"/>
      <c r="AH43" s="348"/>
      <c r="AI43" s="348"/>
      <c r="AJ43" s="348"/>
      <c r="AK43" s="348"/>
      <c r="AL43" s="357"/>
      <c r="AN43" s="56">
        <f ca="1">Production!$H43</f>
        <v>3373551</v>
      </c>
      <c r="AO43" s="26">
        <f ca="1">Production!$L43</f>
        <v>231000</v>
      </c>
      <c r="AP43" s="26">
        <f ca="1">Production!J43</f>
        <v>285053</v>
      </c>
      <c r="AQ43" s="26">
        <f ca="1">Production!M43</f>
        <v>20000</v>
      </c>
      <c r="AR43" s="26">
        <f ca="1">Production!K43</f>
        <v>43559</v>
      </c>
      <c r="AS43" s="26">
        <f ca="1">Production!I43</f>
        <v>180360</v>
      </c>
      <c r="AT43" s="26">
        <f ca="1">Production!N43</f>
        <v>200</v>
      </c>
      <c r="AU43" s="152">
        <f t="shared" ca="1" si="77"/>
        <v>0</v>
      </c>
      <c r="AV43" s="164">
        <f t="shared" ca="1" si="78"/>
        <v>0</v>
      </c>
      <c r="AW43" s="164">
        <f t="shared" ca="1" si="50"/>
        <v>0</v>
      </c>
      <c r="AX43" s="164">
        <f t="shared" ca="1" si="51"/>
        <v>0</v>
      </c>
      <c r="AY43" s="164">
        <f t="shared" ca="1" si="52"/>
        <v>0</v>
      </c>
      <c r="AZ43" s="164">
        <f t="shared" ca="1" si="53"/>
        <v>0</v>
      </c>
      <c r="BA43" s="166">
        <f t="shared" ca="1" si="54"/>
        <v>0</v>
      </c>
      <c r="BB43" s="16">
        <v>41</v>
      </c>
      <c r="BC43" s="574">
        <f t="shared" si="71"/>
        <v>43693.66666666657</v>
      </c>
      <c r="BD43" s="148">
        <f t="shared" ca="1" si="72"/>
        <v>3695</v>
      </c>
      <c r="BE43" s="356"/>
      <c r="BF43" s="348"/>
      <c r="BG43" s="348"/>
      <c r="BH43" s="348"/>
      <c r="BI43" s="348"/>
      <c r="BJ43" s="348"/>
      <c r="BK43" s="348"/>
      <c r="BL43" s="357"/>
      <c r="BN43" s="503">
        <f>Construction!BM43/Construction!E43</f>
        <v>0</v>
      </c>
      <c r="BO43" s="171">
        <f>Construction!BD43/Construction!E43</f>
        <v>0</v>
      </c>
      <c r="BP43" s="152">
        <f>ROUNDUP((1-MIN(AB43*smithy_bonus,smithy_bonus_cap))*(1+Techs!AO43*tech_master_of_frugality)*spec_op_plat,0)</f>
        <v>165</v>
      </c>
      <c r="BQ43" s="164">
        <f>ROUNDUP(IF(race="Gnome",1,(1-MIN(AB43*smithy_bonus,smithy_bonus_cap))*(1+Techs!AO43*tech_master_of_frugality))*spec_op_ore,0)</f>
        <v>15</v>
      </c>
      <c r="BR43" s="164">
        <f t="shared" si="79"/>
        <v>0</v>
      </c>
      <c r="BS43" s="164">
        <f t="shared" si="80"/>
        <v>0</v>
      </c>
      <c r="BT43" s="164">
        <f ca="1">ROUNDUP((1-MIN(AB43*smithy_bonus,smithy_bonus_cap))*(1+Techs!AO43*tech_master_of_frugality)*spec_dp_plat,0)</f>
        <v>165</v>
      </c>
      <c r="BU43" s="164">
        <f ca="1">ROUNDUP(IF(OR(race="Gnome",race="Imperial Gnome"),1,(1-MIN(AB43*smithy_bonus,smithy_bonus_cap))*(1+Techs!AO43*tech_master_of_frugality))*spec_dp_ore,0)</f>
        <v>6</v>
      </c>
      <c r="BV43" s="164">
        <f t="shared" ca="1" si="81"/>
        <v>0</v>
      </c>
      <c r="BW43" s="164">
        <f t="shared" ca="1" si="82"/>
        <v>0</v>
      </c>
      <c r="BX43" s="164">
        <f t="shared" ca="1" si="83"/>
        <v>0</v>
      </c>
      <c r="BY43" s="164">
        <f ca="1">ROUNDUP((1-MIN(AB43*smithy_bonus,smithy_bonus_cap))*(1+Techs!AO43*tech_master_of_frugality)*elite1_plat,0)</f>
        <v>600</v>
      </c>
      <c r="BZ43" s="164">
        <f ca="1">ROUNDUP(IF(race="Gnome",1,(1-MIN(AB43*smithy_bonus,smithy_bonus_cap))*(1+Techs!AO43*tech_master_of_frugality))*elite1_ore,0)</f>
        <v>45</v>
      </c>
      <c r="CA43" s="164">
        <f t="shared" ca="1" si="84"/>
        <v>0</v>
      </c>
      <c r="CB43" s="164">
        <f t="shared" ca="1" si="85"/>
        <v>0</v>
      </c>
      <c r="CC43" s="164">
        <f t="shared" ca="1" si="86"/>
        <v>0</v>
      </c>
      <c r="CD43" s="164">
        <f t="shared" ca="1" si="87"/>
        <v>0</v>
      </c>
      <c r="CE43" s="164">
        <f t="shared" ca="1" si="88"/>
        <v>0</v>
      </c>
      <c r="CF43" s="164">
        <f ca="1">ROUNDUP((1-MIN(AB43*smithy_bonus,smithy_bonus_cap))*(1+Techs!AO43*tech_master_of_frugality)*elite2_plat,0)</f>
        <v>750</v>
      </c>
      <c r="CG43" s="164">
        <f ca="1">ROUNDUP(IF(race="Gnome",1,(1-MIN(AB43*smithy_bonus,smithy_bonus_cap))*(1+Techs!AO43*tech_master_of_frugality))*elite2_ore,0)</f>
        <v>60</v>
      </c>
      <c r="CH43" s="164">
        <f t="shared" ca="1" si="89"/>
        <v>0</v>
      </c>
      <c r="CI43" s="164">
        <f t="shared" ca="1" si="90"/>
        <v>0</v>
      </c>
      <c r="CJ43" s="164">
        <f t="shared" ca="1" si="91"/>
        <v>0</v>
      </c>
      <c r="CK43" s="164">
        <f t="shared" ca="1" si="92"/>
        <v>0</v>
      </c>
      <c r="CL43" s="164">
        <f t="shared" ca="1" si="93"/>
        <v>0</v>
      </c>
      <c r="CM43" s="164">
        <f>ROUNDUP((1+tech_spy_cost*Techs!AJ43)*spy_plat,0)</f>
        <v>500</v>
      </c>
      <c r="CN43" s="164">
        <f>ROUNDUP((1+tech_wizard_cost*Techs!AM43-MIN(ROUND(wg_wiz_cost_bonus*BN43,4),wg_wiz_cost_cap))*wizard_plat,0)</f>
        <v>500</v>
      </c>
      <c r="CO43" s="166">
        <f>ROUNDUP((1+tech_wizard_cost*Techs!AM43-MIN(ROUND(wg_wiz_cost_bonus*BN43,4),wg_wiz_cost_cap))*archmage_plat,0)</f>
        <v>1000</v>
      </c>
      <c r="CQ43" s="465">
        <f ca="1">Construction!DF43/Construction!E43</f>
        <v>0.28000000000000003</v>
      </c>
      <c r="CR43" s="466">
        <f t="shared" si="73"/>
        <v>0</v>
      </c>
      <c r="CS43" s="466">
        <f>Construction!BK43/Construction!E43</f>
        <v>0.05</v>
      </c>
      <c r="CT43" s="466">
        <f>Construction!BJ43/Construction!E43</f>
        <v>0</v>
      </c>
      <c r="CU43" s="466">
        <f>Construction!AY43/Construction!E43</f>
        <v>0</v>
      </c>
      <c r="CV43" s="487">
        <f t="shared" ca="1" si="94"/>
        <v>1.4000000000000001</v>
      </c>
      <c r="CW43" s="488">
        <f t="shared" ca="1" si="95"/>
        <v>1.4000000000000001</v>
      </c>
      <c r="CX43" s="488">
        <f t="shared" ca="1" si="96"/>
        <v>1.4000000000000001</v>
      </c>
      <c r="CY43" s="489">
        <f t="shared" ca="1" si="97"/>
        <v>1.4000000000000001</v>
      </c>
      <c r="CZ43" s="489">
        <f t="shared" si="98"/>
        <v>0.1</v>
      </c>
      <c r="DA43" s="489">
        <f t="shared" ca="1" si="99"/>
        <v>3</v>
      </c>
      <c r="DB43" s="489">
        <f t="shared" ca="1" si="100"/>
        <v>1.4000000000000001</v>
      </c>
      <c r="DC43" s="488">
        <f t="shared" si="101"/>
        <v>0</v>
      </c>
      <c r="DD43" s="848">
        <f t="shared" si="102"/>
        <v>0</v>
      </c>
      <c r="DE43" s="442">
        <f t="shared" si="56"/>
        <v>800</v>
      </c>
      <c r="DF43" s="442">
        <f t="shared" si="57"/>
        <v>0</v>
      </c>
      <c r="DG43" s="487">
        <f t="shared" ca="1" si="103"/>
        <v>1.4000000000000001</v>
      </c>
      <c r="DH43" s="452">
        <f t="shared" si="104"/>
        <v>9.0000000000000011E-2</v>
      </c>
      <c r="DI43" s="452">
        <f>MIN(valkyrja_cap,Production!O43/valkyrja_bonus)</f>
        <v>1</v>
      </c>
      <c r="DJ43" s="848">
        <f>MIN(voodoo_magi_cap,Production!O43/voodoo_magi_bonus)</f>
        <v>0.83333333333333337</v>
      </c>
      <c r="DK43" s="848">
        <f>MIN(warlock_cap,Production!O43/warlock_bonus)</f>
        <v>1.25</v>
      </c>
      <c r="DL43" s="848">
        <f ca="1">MIN(nox_nightshade_cap,Construction!DF43/Construction!E43/nox_nightshade_swamp_bonus)</f>
        <v>2.8000000000000003</v>
      </c>
      <c r="DM43" s="488">
        <f t="shared" si="105"/>
        <v>0</v>
      </c>
      <c r="DN43" s="489">
        <f t="shared" ca="1" si="106"/>
        <v>2.8000000000000003</v>
      </c>
      <c r="DO43" s="489">
        <f t="shared" ca="1" si="107"/>
        <v>2.8000000000000003</v>
      </c>
      <c r="DP43" s="489">
        <f t="shared" si="108"/>
        <v>1</v>
      </c>
      <c r="DQ43" s="488">
        <f t="shared" si="109"/>
        <v>0</v>
      </c>
      <c r="DR43" s="489">
        <f t="shared" si="110"/>
        <v>0</v>
      </c>
      <c r="DS43" s="488">
        <f t="shared" si="111"/>
        <v>0</v>
      </c>
      <c r="DT43" s="489">
        <f t="shared" si="112"/>
        <v>0.1</v>
      </c>
      <c r="DX43" s="487">
        <f ca="1">MIN(6,CV43+Races!$F$19)*1.8 +  IF(CV43+Races!$F$19&gt;6,(CV43+Races!$F$19-6)*0.2,0) - Races!$N$19</f>
        <v>2.5200000000000005</v>
      </c>
      <c r="DY43" s="488">
        <f ca="1">1.8 * MIN(MAX(CW43+Races!$E$20,CX43+Races!$F$20),6)  +  0.45 * MIN(MIN(CW43+Races!$E$20,CX43+Races!$F$20),6)  +  0.2 * ( MAX(CW43+Races!$E$20-6,0) + MAX(CX43+Races!$F$20-6,0) )  -  Races!$N$20</f>
        <v>3.1500000000000012</v>
      </c>
      <c r="DZ43" s="57">
        <f t="shared" ca="1" si="113"/>
        <v>3780.0000000000009</v>
      </c>
      <c r="EA43" s="666">
        <f ca="1">MIN(6,CY43+Races!$F$35)*1.8 +  IF(CY43+Races!$F$35&gt;6,(CY43+Races!$F$35-6)*0.2,0) - Races!$N$19</f>
        <v>0.72000000000000064</v>
      </c>
      <c r="EB43" s="57">
        <f t="shared" ca="1" si="114"/>
        <v>0</v>
      </c>
      <c r="EC43" s="666">
        <f ca="1">1.8 * MIN(MAX(Races!$E$27,DB43+Races!$F$27),6)  +  0.45 * MIN(MIN(Races!$E$27,DB43+Races!$F$27),6)  +  0.2 * ( MAX(Races!$E$27-6,0) + MAX(DB43+Races!$F$27-6,0) )  -  Races!$N$20</f>
        <v>4.7700000000000005</v>
      </c>
      <c r="ED43" s="57">
        <f t="shared" ca="1" si="115"/>
        <v>0</v>
      </c>
      <c r="EE43" s="666">
        <f>1.8 * MIN(MAX(DC43+Races!$E$47,DD43+Races!$F$47),6)  +  0.45 * MIN(MIN(DC43+Races!$E$47,DD43+Races!$F$47),6)  +  0.2 * ( MAX(DC43+Races!$E$47-6,0) + MAX(DD43+Races!$F$47-6,0) )  -  Races!$N$47</f>
        <v>0</v>
      </c>
      <c r="EF43" s="57">
        <f t="shared" si="116"/>
        <v>0</v>
      </c>
      <c r="EG43" s="666">
        <f ca="1">1.8 * MIN(MAX(DG43+Races!$F$71,Races!$E$71),6)  +  0.45 * MIN(MIN(DG43+Races!$F$71,Races!$E$71),6)  +  0.2 * ( MAX(DG43+Races!$F$71-6,0) + MAX(Races!$E$71-6,0) )  -  Races!$N$71</f>
        <v>2.5200000000000014</v>
      </c>
      <c r="EH43" s="666">
        <f>1.8 * MIN(MAX(DH43+Races!$E$71,Races!$F$71),6)  +  0.45 * MIN(MIN(DH43+Races!$E$71,Races!$F$71),6)  +  0.2 * ( MAX(DH43+Races!$E$71-6,0) + MAX(Races!$F$71-6,0) )  -  Races!$N$71</f>
        <v>0.16200000000000081</v>
      </c>
      <c r="EI43" s="57">
        <f t="shared" ca="1" si="117"/>
        <v>2584.8000000000015</v>
      </c>
      <c r="EJ43" s="57"/>
      <c r="EK43" s="57"/>
      <c r="EL43" s="57"/>
      <c r="EM43" s="57">
        <f ca="1">Overview!$L$22*E43+Overview!$L$23*F43+Overview!$L$24*G43+Overview!$L$25*H43+Overview!$L$26*I43+Overview!$L$27*J43+Overview!$L$28*K43+Construction!E43*20+Construction!B43*5 + DZ43*$DV$4+EB43*$DV$5+ED43*$DV$6+EF43*$DV$7+EI43*$DV$9</f>
        <v>39460</v>
      </c>
      <c r="EO43" s="738">
        <f>(J43+2*K43)/Construction!E43</f>
        <v>0.1</v>
      </c>
      <c r="EP43" s="734">
        <f ca="1">EO43*(1+race_wizard_strength+tech_magical_weaponry_wiz*Techs!AV115)</f>
        <v>0.1</v>
      </c>
      <c r="EQ43" s="16">
        <f>(I43+halfer*H43/3)/Construction!E43</f>
        <v>0.1</v>
      </c>
    </row>
    <row r="44" spans="1:147" s="16" customFormat="1">
      <c r="A44" s="629">
        <f>Rezone!J44</f>
        <v>42</v>
      </c>
      <c r="B44" s="56">
        <f ca="1">SUM(E44:K44)+SUM(AF36:AG44)+SUM(AH33:AL44)+Z44+Explore!AL44</f>
        <v>5295</v>
      </c>
      <c r="C44" s="97">
        <f ca="1">Population!G44</f>
        <v>0.57305194805194803</v>
      </c>
      <c r="E44" s="52">
        <f t="shared" si="64"/>
        <v>0</v>
      </c>
      <c r="F44" s="16">
        <f t="shared" si="65"/>
        <v>0</v>
      </c>
      <c r="G44" s="16">
        <f t="shared" si="66"/>
        <v>1000</v>
      </c>
      <c r="H44" s="16">
        <f t="shared" si="67"/>
        <v>400</v>
      </c>
      <c r="I44" s="16">
        <f t="shared" si="68"/>
        <v>100</v>
      </c>
      <c r="J44" s="16">
        <f t="shared" si="69"/>
        <v>100</v>
      </c>
      <c r="K44" s="53">
        <f t="shared" si="70"/>
        <v>0</v>
      </c>
      <c r="M44" s="64">
        <f ca="1">Production!G44</f>
        <v>39460</v>
      </c>
      <c r="O44" s="142">
        <f t="shared" ca="1" si="75"/>
        <v>4400</v>
      </c>
      <c r="P44" s="455">
        <f ca="1">race_offense+Imps!AB44+ROUND(MIN(gn_bonus*Construction!BF44/Construction!$E44,gn_bonus_cap),4)+MAX(IF(Magic!$AN44&gt;0,warsong_bonus),IF(Magic!AP44&gt;0,howling_op_bonus),IF(Magic!AS44&gt;0,nightfall_bonus),IF(Magic!AT44&gt;0,crusade_bonus),IF(Magic!AU44&gt;0,killingrage_bonus),IF(Magic!AV44&gt;0,bloodrage_bonus)) + Production!O44/100*prestige_offense_bonus + MAX(tech_military_offense*Techs!AH44,tech_magical_weaponry_op*Techs!AV44)</f>
        <v>0.05</v>
      </c>
      <c r="Q44" s="235">
        <f t="shared" ca="1" si="46"/>
        <v>4620</v>
      </c>
      <c r="R44" s="234">
        <f ca="1">F44*(spec_dp+spirit*DR44)+G44*(elite1_dp+woodie*CV44+sylvan*CY44+gnome*DB44+dark_elf*DD44+icekin*DG44+orc*DJ44+nox*DL44+beast*DN44+sacred*DP44+spirit*DS44+blackorc*DK44)+H44*(elite2_dp+woodie*CX44+beast*DO44+sacred*DQ44) + fh_peas_dp*MIN(Population!C44,20*Construction!BD44)+kobold*DE44</f>
        <v>7200</v>
      </c>
      <c r="S44" s="235">
        <f t="shared" ca="1" si="76"/>
        <v>10895</v>
      </c>
      <c r="T44" s="1052">
        <f ca="1">race_defense+Imps!AC44+ROUND(MIN(gt_bonus*Construction!BH44/Construction!$E44,gt_bonus_cap),4)+MAX(IF(Magic!AM44&gt;0,frenzy_bonus,IF(Magic!AQ44&gt;0,blizzard_bonus,IF(Magic!AP44&gt;0,howling_dp_bonus,IF(Magic!AI44&gt;0,ares_call_bonus)))),IF(Magic!AX44&gt;0,MIN(Construction!DF44/Construction!E44,0.2),0))</f>
        <v>0</v>
      </c>
      <c r="U44" s="1046">
        <f t="shared" ca="1" si="47"/>
        <v>7200</v>
      </c>
      <c r="V44" s="310">
        <f t="shared" ca="1" si="48"/>
        <v>10895</v>
      </c>
      <c r="W44" s="310">
        <f>Construction!E44</f>
        <v>1000</v>
      </c>
      <c r="X44" s="367"/>
      <c r="Y44" s="146">
        <f t="shared" si="74"/>
        <v>0.4</v>
      </c>
      <c r="Z44" s="166">
        <f ca="1">Z43+Population!Z43 - IF(race="Lux",AF44,SUM(AF44:AK44)) - BE44 + SUM(BF44:BL44) - Explore!AI44</f>
        <v>3695</v>
      </c>
      <c r="AA44" s="164"/>
      <c r="AB44" s="91">
        <f>(Construction!$BA44+Construction!BY44)/(Construction!$E44-Explore!S44*20)</f>
        <v>0.2</v>
      </c>
      <c r="AC44" s="529"/>
      <c r="AD44" s="799">
        <f>Rezone!J44</f>
        <v>42</v>
      </c>
      <c r="AE44" s="589">
        <f>Explore!AA44</f>
        <v>43693.708333333234</v>
      </c>
      <c r="AF44" s="356"/>
      <c r="AG44" s="348"/>
      <c r="AH44" s="348"/>
      <c r="AI44" s="348"/>
      <c r="AJ44" s="348"/>
      <c r="AK44" s="348"/>
      <c r="AL44" s="357"/>
      <c r="AN44" s="56">
        <f ca="1">Production!$H44</f>
        <v>3384202</v>
      </c>
      <c r="AO44" s="26">
        <f ca="1">Production!$L44</f>
        <v>231000</v>
      </c>
      <c r="AP44" s="26">
        <f ca="1">Production!J44</f>
        <v>284702</v>
      </c>
      <c r="AQ44" s="26">
        <f ca="1">Production!M44</f>
        <v>20000</v>
      </c>
      <c r="AR44" s="26">
        <f ca="1">Production!K44</f>
        <v>43938</v>
      </c>
      <c r="AS44" s="26">
        <f ca="1">Production!I44</f>
        <v>183286</v>
      </c>
      <c r="AT44" s="26">
        <f ca="1">Production!N44</f>
        <v>200</v>
      </c>
      <c r="AU44" s="152">
        <f t="shared" ca="1" si="77"/>
        <v>0</v>
      </c>
      <c r="AV44" s="164">
        <f t="shared" ca="1" si="78"/>
        <v>0</v>
      </c>
      <c r="AW44" s="164">
        <f t="shared" ca="1" si="50"/>
        <v>0</v>
      </c>
      <c r="AX44" s="164">
        <f t="shared" ca="1" si="51"/>
        <v>0</v>
      </c>
      <c r="AY44" s="164">
        <f t="shared" ca="1" si="52"/>
        <v>0</v>
      </c>
      <c r="AZ44" s="164">
        <f t="shared" ca="1" si="53"/>
        <v>0</v>
      </c>
      <c r="BA44" s="166">
        <f t="shared" ca="1" si="54"/>
        <v>0</v>
      </c>
      <c r="BB44" s="16">
        <v>42</v>
      </c>
      <c r="BC44" s="574">
        <f t="shared" si="71"/>
        <v>43693.708333333234</v>
      </c>
      <c r="BD44" s="148">
        <f t="shared" ca="1" si="72"/>
        <v>3695</v>
      </c>
      <c r="BE44" s="356"/>
      <c r="BF44" s="348"/>
      <c r="BG44" s="348"/>
      <c r="BH44" s="348"/>
      <c r="BI44" s="348"/>
      <c r="BJ44" s="348"/>
      <c r="BK44" s="348"/>
      <c r="BL44" s="357"/>
      <c r="BN44" s="503">
        <f>Construction!BM44/Construction!E44</f>
        <v>0</v>
      </c>
      <c r="BO44" s="171">
        <f>Construction!BD44/Construction!E44</f>
        <v>0</v>
      </c>
      <c r="BP44" s="152">
        <f>ROUNDUP((1-MIN(AB44*smithy_bonus,smithy_bonus_cap))*(1+Techs!AO44*tech_master_of_frugality)*spec_op_plat,0)</f>
        <v>165</v>
      </c>
      <c r="BQ44" s="164">
        <f>ROUNDUP(IF(race="Gnome",1,(1-MIN(AB44*smithy_bonus,smithy_bonus_cap))*(1+Techs!AO44*tech_master_of_frugality))*spec_op_ore,0)</f>
        <v>15</v>
      </c>
      <c r="BR44" s="164">
        <f t="shared" si="79"/>
        <v>0</v>
      </c>
      <c r="BS44" s="164">
        <f t="shared" si="80"/>
        <v>0</v>
      </c>
      <c r="BT44" s="164">
        <f ca="1">ROUNDUP((1-MIN(AB44*smithy_bonus,smithy_bonus_cap))*(1+Techs!AO44*tech_master_of_frugality)*spec_dp_plat,0)</f>
        <v>165</v>
      </c>
      <c r="BU44" s="164">
        <f ca="1">ROUNDUP(IF(OR(race="Gnome",race="Imperial Gnome"),1,(1-MIN(AB44*smithy_bonus,smithy_bonus_cap))*(1+Techs!AO44*tech_master_of_frugality))*spec_dp_ore,0)</f>
        <v>6</v>
      </c>
      <c r="BV44" s="164">
        <f t="shared" ca="1" si="81"/>
        <v>0</v>
      </c>
      <c r="BW44" s="164">
        <f t="shared" ca="1" si="82"/>
        <v>0</v>
      </c>
      <c r="BX44" s="164">
        <f t="shared" ca="1" si="83"/>
        <v>0</v>
      </c>
      <c r="BY44" s="164">
        <f ca="1">ROUNDUP((1-MIN(AB44*smithy_bonus,smithy_bonus_cap))*(1+Techs!AO44*tech_master_of_frugality)*elite1_plat,0)</f>
        <v>600</v>
      </c>
      <c r="BZ44" s="164">
        <f ca="1">ROUNDUP(IF(race="Gnome",1,(1-MIN(AB44*smithy_bonus,smithy_bonus_cap))*(1+Techs!AO44*tech_master_of_frugality))*elite1_ore,0)</f>
        <v>45</v>
      </c>
      <c r="CA44" s="164">
        <f t="shared" ca="1" si="84"/>
        <v>0</v>
      </c>
      <c r="CB44" s="164">
        <f t="shared" ca="1" si="85"/>
        <v>0</v>
      </c>
      <c r="CC44" s="164">
        <f t="shared" ca="1" si="86"/>
        <v>0</v>
      </c>
      <c r="CD44" s="164">
        <f t="shared" ca="1" si="87"/>
        <v>0</v>
      </c>
      <c r="CE44" s="164">
        <f t="shared" ca="1" si="88"/>
        <v>0</v>
      </c>
      <c r="CF44" s="164">
        <f ca="1">ROUNDUP((1-MIN(AB44*smithy_bonus,smithy_bonus_cap))*(1+Techs!AO44*tech_master_of_frugality)*elite2_plat,0)</f>
        <v>750</v>
      </c>
      <c r="CG44" s="164">
        <f ca="1">ROUNDUP(IF(race="Gnome",1,(1-MIN(AB44*smithy_bonus,smithy_bonus_cap))*(1+Techs!AO44*tech_master_of_frugality))*elite2_ore,0)</f>
        <v>60</v>
      </c>
      <c r="CH44" s="164">
        <f t="shared" ca="1" si="89"/>
        <v>0</v>
      </c>
      <c r="CI44" s="164">
        <f t="shared" ca="1" si="90"/>
        <v>0</v>
      </c>
      <c r="CJ44" s="164">
        <f t="shared" ca="1" si="91"/>
        <v>0</v>
      </c>
      <c r="CK44" s="164">
        <f t="shared" ca="1" si="92"/>
        <v>0</v>
      </c>
      <c r="CL44" s="164">
        <f t="shared" ca="1" si="93"/>
        <v>0</v>
      </c>
      <c r="CM44" s="164">
        <f>ROUNDUP((1+tech_spy_cost*Techs!AJ44)*spy_plat,0)</f>
        <v>500</v>
      </c>
      <c r="CN44" s="164">
        <f>ROUNDUP((1+tech_wizard_cost*Techs!AM44-MIN(ROUND(wg_wiz_cost_bonus*BN44,4),wg_wiz_cost_cap))*wizard_plat,0)</f>
        <v>500</v>
      </c>
      <c r="CO44" s="166">
        <f>ROUNDUP((1+tech_wizard_cost*Techs!AM44-MIN(ROUND(wg_wiz_cost_bonus*BN44,4),wg_wiz_cost_cap))*archmage_plat,0)</f>
        <v>1000</v>
      </c>
      <c r="CQ44" s="465">
        <f ca="1">Construction!DF44/Construction!E44</f>
        <v>0.28000000000000003</v>
      </c>
      <c r="CR44" s="466">
        <f t="shared" si="73"/>
        <v>0</v>
      </c>
      <c r="CS44" s="466">
        <f>Construction!BK44/Construction!E44</f>
        <v>0.05</v>
      </c>
      <c r="CT44" s="466">
        <f>Construction!BJ44/Construction!E44</f>
        <v>0</v>
      </c>
      <c r="CU44" s="466">
        <f>Construction!AY44/Construction!E44</f>
        <v>0</v>
      </c>
      <c r="CV44" s="487">
        <f t="shared" ca="1" si="94"/>
        <v>1.4000000000000001</v>
      </c>
      <c r="CW44" s="488">
        <f t="shared" ca="1" si="95"/>
        <v>1.4000000000000001</v>
      </c>
      <c r="CX44" s="488">
        <f t="shared" ca="1" si="96"/>
        <v>1.4000000000000001</v>
      </c>
      <c r="CY44" s="489">
        <f t="shared" ca="1" si="97"/>
        <v>1.4000000000000001</v>
      </c>
      <c r="CZ44" s="489">
        <f t="shared" si="98"/>
        <v>0.1</v>
      </c>
      <c r="DA44" s="489">
        <f t="shared" ca="1" si="99"/>
        <v>3</v>
      </c>
      <c r="DB44" s="489">
        <f t="shared" ca="1" si="100"/>
        <v>1.4000000000000001</v>
      </c>
      <c r="DC44" s="488">
        <f t="shared" si="101"/>
        <v>0</v>
      </c>
      <c r="DD44" s="848">
        <f t="shared" si="102"/>
        <v>0</v>
      </c>
      <c r="DE44" s="442">
        <f t="shared" si="56"/>
        <v>800</v>
      </c>
      <c r="DF44" s="442">
        <f t="shared" si="57"/>
        <v>0</v>
      </c>
      <c r="DG44" s="487">
        <f t="shared" ca="1" si="103"/>
        <v>1.4000000000000001</v>
      </c>
      <c r="DH44" s="452">
        <f t="shared" si="104"/>
        <v>9.0000000000000011E-2</v>
      </c>
      <c r="DI44" s="452">
        <f>MIN(valkyrja_cap,Production!O44/valkyrja_bonus)</f>
        <v>1</v>
      </c>
      <c r="DJ44" s="848">
        <f>MIN(voodoo_magi_cap,Production!O44/voodoo_magi_bonus)</f>
        <v>0.83333333333333337</v>
      </c>
      <c r="DK44" s="848">
        <f>MIN(warlock_cap,Production!O44/warlock_bonus)</f>
        <v>1.25</v>
      </c>
      <c r="DL44" s="848">
        <f ca="1">MIN(nox_nightshade_cap,Construction!DF44/Construction!E44/nox_nightshade_swamp_bonus)</f>
        <v>2.8000000000000003</v>
      </c>
      <c r="DM44" s="488">
        <f t="shared" si="105"/>
        <v>0</v>
      </c>
      <c r="DN44" s="489">
        <f t="shared" ca="1" si="106"/>
        <v>2.8000000000000003</v>
      </c>
      <c r="DO44" s="489">
        <f t="shared" ca="1" si="107"/>
        <v>2.8000000000000003</v>
      </c>
      <c r="DP44" s="489">
        <f t="shared" si="108"/>
        <v>1</v>
      </c>
      <c r="DQ44" s="488">
        <f t="shared" si="109"/>
        <v>0</v>
      </c>
      <c r="DR44" s="489">
        <f t="shared" si="110"/>
        <v>0</v>
      </c>
      <c r="DS44" s="488">
        <f t="shared" si="111"/>
        <v>0</v>
      </c>
      <c r="DT44" s="489">
        <f t="shared" si="112"/>
        <v>0.1</v>
      </c>
      <c r="DX44" s="487">
        <f ca="1">MIN(6,CV44+Races!$F$19)*1.8 +  IF(CV44+Races!$F$19&gt;6,(CV44+Races!$F$19-6)*0.2,0) - Races!$N$19</f>
        <v>2.5200000000000005</v>
      </c>
      <c r="DY44" s="488">
        <f ca="1">1.8 * MIN(MAX(CW44+Races!$E$20,CX44+Races!$F$20),6)  +  0.45 * MIN(MIN(CW44+Races!$E$20,CX44+Races!$F$20),6)  +  0.2 * ( MAX(CW44+Races!$E$20-6,0) + MAX(CX44+Races!$F$20-6,0) )  -  Races!$N$20</f>
        <v>3.1500000000000012</v>
      </c>
      <c r="DZ44" s="57">
        <f t="shared" ca="1" si="113"/>
        <v>3780.0000000000009</v>
      </c>
      <c r="EA44" s="666">
        <f ca="1">MIN(6,CY44+Races!$F$35)*1.8 +  IF(CY44+Races!$F$35&gt;6,(CY44+Races!$F$35-6)*0.2,0) - Races!$N$19</f>
        <v>0.72000000000000064</v>
      </c>
      <c r="EB44" s="57">
        <f t="shared" ca="1" si="114"/>
        <v>0</v>
      </c>
      <c r="EC44" s="666">
        <f ca="1">1.8 * MIN(MAX(Races!$E$27,DB44+Races!$F$27),6)  +  0.45 * MIN(MIN(Races!$E$27,DB44+Races!$F$27),6)  +  0.2 * ( MAX(Races!$E$27-6,0) + MAX(DB44+Races!$F$27-6,0) )  -  Races!$N$20</f>
        <v>4.7700000000000005</v>
      </c>
      <c r="ED44" s="57">
        <f t="shared" ca="1" si="115"/>
        <v>0</v>
      </c>
      <c r="EE44" s="666">
        <f>1.8 * MIN(MAX(DC44+Races!$E$47,DD44+Races!$F$47),6)  +  0.45 * MIN(MIN(DC44+Races!$E$47,DD44+Races!$F$47),6)  +  0.2 * ( MAX(DC44+Races!$E$47-6,0) + MAX(DD44+Races!$F$47-6,0) )  -  Races!$N$47</f>
        <v>0</v>
      </c>
      <c r="EF44" s="57">
        <f t="shared" si="116"/>
        <v>0</v>
      </c>
      <c r="EG44" s="666">
        <f ca="1">1.8 * MIN(MAX(DG44+Races!$F$71,Races!$E$71),6)  +  0.45 * MIN(MIN(DG44+Races!$F$71,Races!$E$71),6)  +  0.2 * ( MAX(DG44+Races!$F$71-6,0) + MAX(Races!$E$71-6,0) )  -  Races!$N$71</f>
        <v>2.5200000000000014</v>
      </c>
      <c r="EH44" s="666">
        <f>1.8 * MIN(MAX(DH44+Races!$E$71,Races!$F$71),6)  +  0.45 * MIN(MIN(DH44+Races!$E$71,Races!$F$71),6)  +  0.2 * ( MAX(DH44+Races!$E$71-6,0) + MAX(Races!$F$71-6,0) )  -  Races!$N$71</f>
        <v>0.16200000000000081</v>
      </c>
      <c r="EI44" s="57">
        <f t="shared" ca="1" si="117"/>
        <v>2584.8000000000015</v>
      </c>
      <c r="EJ44" s="57"/>
      <c r="EK44" s="57"/>
      <c r="EL44" s="57"/>
      <c r="EM44" s="57">
        <f ca="1">Overview!$L$22*E44+Overview!$L$23*F44+Overview!$L$24*G44+Overview!$L$25*H44+Overview!$L$26*I44+Overview!$L$27*J44+Overview!$L$28*K44+Construction!E44*20+Construction!B44*5 + DZ44*$DV$4+EB44*$DV$5+ED44*$DV$6+EF44*$DV$7+EI44*$DV$9</f>
        <v>39460</v>
      </c>
      <c r="EO44" s="738">
        <f>(J44+2*K44)/Construction!E44</f>
        <v>0.1</v>
      </c>
      <c r="EP44" s="734">
        <f ca="1">EO44*(1+race_wizard_strength+tech_magical_weaponry_wiz*Techs!AV116)</f>
        <v>0.1</v>
      </c>
      <c r="EQ44" s="16">
        <f>(I44+halfer*H44/3)/Construction!E44</f>
        <v>0.1</v>
      </c>
    </row>
    <row r="45" spans="1:147" s="16" customFormat="1">
      <c r="A45" s="629">
        <f>Rezone!J45</f>
        <v>43</v>
      </c>
      <c r="B45" s="56">
        <f ca="1">SUM(E45:K45)+SUM(AF37:AG45)+SUM(AH34:AL45)+Z45+Explore!AL45</f>
        <v>5295</v>
      </c>
      <c r="C45" s="97">
        <f ca="1">Population!G45</f>
        <v>0.57305194805194803</v>
      </c>
      <c r="E45" s="52">
        <f t="shared" si="64"/>
        <v>0</v>
      </c>
      <c r="F45" s="16">
        <f t="shared" si="65"/>
        <v>0</v>
      </c>
      <c r="G45" s="16">
        <f t="shared" si="66"/>
        <v>1000</v>
      </c>
      <c r="H45" s="16">
        <f t="shared" si="67"/>
        <v>400</v>
      </c>
      <c r="I45" s="16">
        <f t="shared" si="68"/>
        <v>100</v>
      </c>
      <c r="J45" s="16">
        <f t="shared" si="69"/>
        <v>100</v>
      </c>
      <c r="K45" s="53">
        <f t="shared" si="70"/>
        <v>0</v>
      </c>
      <c r="M45" s="64">
        <f ca="1">Production!G45</f>
        <v>39460</v>
      </c>
      <c r="O45" s="142">
        <f t="shared" ca="1" si="75"/>
        <v>4400</v>
      </c>
      <c r="P45" s="455">
        <f ca="1">race_offense+Imps!AB45+ROUND(MIN(gn_bonus*Construction!BF45/Construction!$E45,gn_bonus_cap),4)+MAX(IF(Magic!$AN45&gt;0,warsong_bonus),IF(Magic!AP45&gt;0,howling_op_bonus),IF(Magic!AS45&gt;0,nightfall_bonus),IF(Magic!AT45&gt;0,crusade_bonus),IF(Magic!AU45&gt;0,killingrage_bonus),IF(Magic!AV45&gt;0,bloodrage_bonus)) + Production!O45/100*prestige_offense_bonus + MAX(tech_military_offense*Techs!AH45,tech_magical_weaponry_op*Techs!AV45)</f>
        <v>0.05</v>
      </c>
      <c r="Q45" s="235">
        <f t="shared" ca="1" si="46"/>
        <v>4620</v>
      </c>
      <c r="R45" s="234">
        <f ca="1">F45*(spec_dp+spirit*DR45)+G45*(elite1_dp+woodie*CV45+sylvan*CY45+gnome*DB45+dark_elf*DD45+icekin*DG45+orc*DJ45+nox*DL45+beast*DN45+sacred*DP45+spirit*DS45+blackorc*DK45)+H45*(elite2_dp+woodie*CX45+beast*DO45+sacred*DQ45) + fh_peas_dp*MIN(Population!C45,20*Construction!BD45)+kobold*DE45</f>
        <v>7200</v>
      </c>
      <c r="S45" s="235">
        <f t="shared" ca="1" si="76"/>
        <v>10895</v>
      </c>
      <c r="T45" s="1052">
        <f ca="1">race_defense+Imps!AC45+ROUND(MIN(gt_bonus*Construction!BH45/Construction!$E45,gt_bonus_cap),4)+MAX(IF(Magic!AM45&gt;0,frenzy_bonus,IF(Magic!AQ45&gt;0,blizzard_bonus,IF(Magic!AP45&gt;0,howling_dp_bonus,IF(Magic!AI45&gt;0,ares_call_bonus)))),IF(Magic!AX45&gt;0,MIN(Construction!DF45/Construction!E45,0.2),0))</f>
        <v>0</v>
      </c>
      <c r="U45" s="1046">
        <f t="shared" ca="1" si="47"/>
        <v>7200</v>
      </c>
      <c r="V45" s="310">
        <f t="shared" ca="1" si="48"/>
        <v>10895</v>
      </c>
      <c r="W45" s="310">
        <f>Construction!E45</f>
        <v>1000</v>
      </c>
      <c r="X45" s="367"/>
      <c r="Y45" s="146">
        <f t="shared" si="74"/>
        <v>0.4</v>
      </c>
      <c r="Z45" s="166">
        <f ca="1">Z44+Population!Z44 - IF(race="Lux",AF45,SUM(AF45:AK45)) - BE45 + SUM(BF45:BL45) - Explore!AI45</f>
        <v>3695</v>
      </c>
      <c r="AA45" s="164"/>
      <c r="AB45" s="91">
        <f>(Construction!$BA45+Construction!BY45)/(Construction!$E45-Explore!S45*20)</f>
        <v>0.2</v>
      </c>
      <c r="AC45" s="529"/>
      <c r="AD45" s="799">
        <f>Rezone!J45</f>
        <v>43</v>
      </c>
      <c r="AE45" s="589">
        <f>Explore!AA45</f>
        <v>43693.749999999898</v>
      </c>
      <c r="AF45" s="356"/>
      <c r="AG45" s="348"/>
      <c r="AH45" s="348"/>
      <c r="AI45" s="348"/>
      <c r="AJ45" s="348"/>
      <c r="AK45" s="348"/>
      <c r="AL45" s="357"/>
      <c r="AN45" s="56">
        <f ca="1">Production!$H45</f>
        <v>3394853</v>
      </c>
      <c r="AO45" s="26">
        <f ca="1">Production!$L45</f>
        <v>231000</v>
      </c>
      <c r="AP45" s="26">
        <f ca="1">Production!J45</f>
        <v>284355</v>
      </c>
      <c r="AQ45" s="26">
        <f ca="1">Production!M45</f>
        <v>20000</v>
      </c>
      <c r="AR45" s="26">
        <f ca="1">Production!K45</f>
        <v>44309</v>
      </c>
      <c r="AS45" s="26">
        <f ca="1">Production!I45</f>
        <v>186183</v>
      </c>
      <c r="AT45" s="26">
        <f ca="1">Production!N45</f>
        <v>200</v>
      </c>
      <c r="AU45" s="152">
        <f t="shared" ca="1" si="77"/>
        <v>0</v>
      </c>
      <c r="AV45" s="164">
        <f t="shared" ca="1" si="78"/>
        <v>0</v>
      </c>
      <c r="AW45" s="164">
        <f t="shared" ca="1" si="50"/>
        <v>0</v>
      </c>
      <c r="AX45" s="164">
        <f t="shared" ca="1" si="51"/>
        <v>0</v>
      </c>
      <c r="AY45" s="164">
        <f t="shared" ca="1" si="52"/>
        <v>0</v>
      </c>
      <c r="AZ45" s="164">
        <f t="shared" ca="1" si="53"/>
        <v>0</v>
      </c>
      <c r="BA45" s="166">
        <f t="shared" ca="1" si="54"/>
        <v>0</v>
      </c>
      <c r="BB45" s="16">
        <v>43</v>
      </c>
      <c r="BC45" s="574">
        <f t="shared" si="71"/>
        <v>43693.749999999898</v>
      </c>
      <c r="BD45" s="148">
        <f t="shared" ca="1" si="72"/>
        <v>3695</v>
      </c>
      <c r="BE45" s="356"/>
      <c r="BF45" s="348"/>
      <c r="BG45" s="348"/>
      <c r="BH45" s="348"/>
      <c r="BI45" s="348"/>
      <c r="BJ45" s="348"/>
      <c r="BK45" s="348"/>
      <c r="BL45" s="357"/>
      <c r="BN45" s="503">
        <f>Construction!BM45/Construction!E45</f>
        <v>0</v>
      </c>
      <c r="BO45" s="171">
        <f>Construction!BD45/Construction!E45</f>
        <v>0</v>
      </c>
      <c r="BP45" s="152">
        <f>ROUNDUP((1-MIN(AB45*smithy_bonus,smithy_bonus_cap))*(1+Techs!AO45*tech_master_of_frugality)*spec_op_plat,0)</f>
        <v>165</v>
      </c>
      <c r="BQ45" s="164">
        <f>ROUNDUP(IF(race="Gnome",1,(1-MIN(AB45*smithy_bonus,smithy_bonus_cap))*(1+Techs!AO45*tech_master_of_frugality))*spec_op_ore,0)</f>
        <v>15</v>
      </c>
      <c r="BR45" s="164">
        <f t="shared" si="79"/>
        <v>0</v>
      </c>
      <c r="BS45" s="164">
        <f t="shared" si="80"/>
        <v>0</v>
      </c>
      <c r="BT45" s="164">
        <f ca="1">ROUNDUP((1-MIN(AB45*smithy_bonus,smithy_bonus_cap))*(1+Techs!AO45*tech_master_of_frugality)*spec_dp_plat,0)</f>
        <v>165</v>
      </c>
      <c r="BU45" s="164">
        <f ca="1">ROUNDUP(IF(OR(race="Gnome",race="Imperial Gnome"),1,(1-MIN(AB45*smithy_bonus,smithy_bonus_cap))*(1+Techs!AO45*tech_master_of_frugality))*spec_dp_ore,0)</f>
        <v>6</v>
      </c>
      <c r="BV45" s="164">
        <f t="shared" ca="1" si="81"/>
        <v>0</v>
      </c>
      <c r="BW45" s="164">
        <f t="shared" ca="1" si="82"/>
        <v>0</v>
      </c>
      <c r="BX45" s="164">
        <f t="shared" ca="1" si="83"/>
        <v>0</v>
      </c>
      <c r="BY45" s="164">
        <f ca="1">ROUNDUP((1-MIN(AB45*smithy_bonus,smithy_bonus_cap))*(1+Techs!AO45*tech_master_of_frugality)*elite1_plat,0)</f>
        <v>600</v>
      </c>
      <c r="BZ45" s="164">
        <f ca="1">ROUNDUP(IF(race="Gnome",1,(1-MIN(AB45*smithy_bonus,smithy_bonus_cap))*(1+Techs!AO45*tech_master_of_frugality))*elite1_ore,0)</f>
        <v>45</v>
      </c>
      <c r="CA45" s="164">
        <f t="shared" ca="1" si="84"/>
        <v>0</v>
      </c>
      <c r="CB45" s="164">
        <f t="shared" ca="1" si="85"/>
        <v>0</v>
      </c>
      <c r="CC45" s="164">
        <f t="shared" ca="1" si="86"/>
        <v>0</v>
      </c>
      <c r="CD45" s="164">
        <f t="shared" ca="1" si="87"/>
        <v>0</v>
      </c>
      <c r="CE45" s="164">
        <f t="shared" ca="1" si="88"/>
        <v>0</v>
      </c>
      <c r="CF45" s="164">
        <f ca="1">ROUNDUP((1-MIN(AB45*smithy_bonus,smithy_bonus_cap))*(1+Techs!AO45*tech_master_of_frugality)*elite2_plat,0)</f>
        <v>750</v>
      </c>
      <c r="CG45" s="164">
        <f ca="1">ROUNDUP(IF(race="Gnome",1,(1-MIN(AB45*smithy_bonus,smithy_bonus_cap))*(1+Techs!AO45*tech_master_of_frugality))*elite2_ore,0)</f>
        <v>60</v>
      </c>
      <c r="CH45" s="164">
        <f t="shared" ca="1" si="89"/>
        <v>0</v>
      </c>
      <c r="CI45" s="164">
        <f t="shared" ca="1" si="90"/>
        <v>0</v>
      </c>
      <c r="CJ45" s="164">
        <f t="shared" ca="1" si="91"/>
        <v>0</v>
      </c>
      <c r="CK45" s="164">
        <f t="shared" ca="1" si="92"/>
        <v>0</v>
      </c>
      <c r="CL45" s="164">
        <f t="shared" ca="1" si="93"/>
        <v>0</v>
      </c>
      <c r="CM45" s="164">
        <f>ROUNDUP((1+tech_spy_cost*Techs!AJ45)*spy_plat,0)</f>
        <v>500</v>
      </c>
      <c r="CN45" s="164">
        <f>ROUNDUP((1+tech_wizard_cost*Techs!AM45-MIN(ROUND(wg_wiz_cost_bonus*BN45,4),wg_wiz_cost_cap))*wizard_plat,0)</f>
        <v>500</v>
      </c>
      <c r="CO45" s="166">
        <f>ROUNDUP((1+tech_wizard_cost*Techs!AM45-MIN(ROUND(wg_wiz_cost_bonus*BN45,4),wg_wiz_cost_cap))*archmage_plat,0)</f>
        <v>1000</v>
      </c>
      <c r="CQ45" s="465">
        <f ca="1">Construction!DF45/Construction!E45</f>
        <v>0.28000000000000003</v>
      </c>
      <c r="CR45" s="466">
        <f t="shared" si="73"/>
        <v>0</v>
      </c>
      <c r="CS45" s="466">
        <f>Construction!BK45/Construction!E45</f>
        <v>0.05</v>
      </c>
      <c r="CT45" s="466">
        <f>Construction!BJ45/Construction!E45</f>
        <v>0</v>
      </c>
      <c r="CU45" s="466">
        <f>Construction!AY45/Construction!E45</f>
        <v>0</v>
      </c>
      <c r="CV45" s="487">
        <f t="shared" ca="1" si="94"/>
        <v>1.4000000000000001</v>
      </c>
      <c r="CW45" s="488">
        <f t="shared" ca="1" si="95"/>
        <v>1.4000000000000001</v>
      </c>
      <c r="CX45" s="488">
        <f t="shared" ca="1" si="96"/>
        <v>1.4000000000000001</v>
      </c>
      <c r="CY45" s="489">
        <f t="shared" ca="1" si="97"/>
        <v>1.4000000000000001</v>
      </c>
      <c r="CZ45" s="489">
        <f t="shared" si="98"/>
        <v>0.1</v>
      </c>
      <c r="DA45" s="489">
        <f t="shared" ca="1" si="99"/>
        <v>3</v>
      </c>
      <c r="DB45" s="489">
        <f t="shared" ca="1" si="100"/>
        <v>1.4000000000000001</v>
      </c>
      <c r="DC45" s="488">
        <f t="shared" si="101"/>
        <v>0</v>
      </c>
      <c r="DD45" s="848">
        <f t="shared" si="102"/>
        <v>0</v>
      </c>
      <c r="DE45" s="442">
        <f t="shared" si="56"/>
        <v>800</v>
      </c>
      <c r="DF45" s="442">
        <f t="shared" si="57"/>
        <v>0</v>
      </c>
      <c r="DG45" s="487">
        <f t="shared" ca="1" si="103"/>
        <v>1.4000000000000001</v>
      </c>
      <c r="DH45" s="452">
        <f t="shared" si="104"/>
        <v>9.0000000000000011E-2</v>
      </c>
      <c r="DI45" s="452">
        <f>MIN(valkyrja_cap,Production!O45/valkyrja_bonus)</f>
        <v>1</v>
      </c>
      <c r="DJ45" s="848">
        <f>MIN(voodoo_magi_cap,Production!O45/voodoo_magi_bonus)</f>
        <v>0.83333333333333337</v>
      </c>
      <c r="DK45" s="848">
        <f>MIN(warlock_cap,Production!O45/warlock_bonus)</f>
        <v>1.25</v>
      </c>
      <c r="DL45" s="848">
        <f ca="1">MIN(nox_nightshade_cap,Construction!DF45/Construction!E45/nox_nightshade_swamp_bonus)</f>
        <v>2.8000000000000003</v>
      </c>
      <c r="DM45" s="488">
        <f t="shared" si="105"/>
        <v>0</v>
      </c>
      <c r="DN45" s="489">
        <f t="shared" ca="1" si="106"/>
        <v>2.8000000000000003</v>
      </c>
      <c r="DO45" s="489">
        <f t="shared" ca="1" si="107"/>
        <v>2.8000000000000003</v>
      </c>
      <c r="DP45" s="489">
        <f t="shared" si="108"/>
        <v>1</v>
      </c>
      <c r="DQ45" s="488">
        <f t="shared" si="109"/>
        <v>0</v>
      </c>
      <c r="DR45" s="489">
        <f t="shared" si="110"/>
        <v>0</v>
      </c>
      <c r="DS45" s="488">
        <f t="shared" si="111"/>
        <v>0</v>
      </c>
      <c r="DT45" s="489">
        <f t="shared" si="112"/>
        <v>0.1</v>
      </c>
      <c r="DX45" s="487">
        <f ca="1">MIN(6,CV45+Races!$F$19)*1.8 +  IF(CV45+Races!$F$19&gt;6,(CV45+Races!$F$19-6)*0.2,0) - Races!$N$19</f>
        <v>2.5200000000000005</v>
      </c>
      <c r="DY45" s="488">
        <f ca="1">1.8 * MIN(MAX(CW45+Races!$E$20,CX45+Races!$F$20),6)  +  0.45 * MIN(MIN(CW45+Races!$E$20,CX45+Races!$F$20),6)  +  0.2 * ( MAX(CW45+Races!$E$20-6,0) + MAX(CX45+Races!$F$20-6,0) )  -  Races!$N$20</f>
        <v>3.1500000000000012</v>
      </c>
      <c r="DZ45" s="57">
        <f t="shared" ca="1" si="113"/>
        <v>3780.0000000000009</v>
      </c>
      <c r="EA45" s="666">
        <f ca="1">MIN(6,CY45+Races!$F$35)*1.8 +  IF(CY45+Races!$F$35&gt;6,(CY45+Races!$F$35-6)*0.2,0) - Races!$N$19</f>
        <v>0.72000000000000064</v>
      </c>
      <c r="EB45" s="57">
        <f t="shared" ca="1" si="114"/>
        <v>0</v>
      </c>
      <c r="EC45" s="666">
        <f ca="1">1.8 * MIN(MAX(Races!$E$27,DB45+Races!$F$27),6)  +  0.45 * MIN(MIN(Races!$E$27,DB45+Races!$F$27),6)  +  0.2 * ( MAX(Races!$E$27-6,0) + MAX(DB45+Races!$F$27-6,0) )  -  Races!$N$20</f>
        <v>4.7700000000000005</v>
      </c>
      <c r="ED45" s="57">
        <f t="shared" ca="1" si="115"/>
        <v>0</v>
      </c>
      <c r="EE45" s="666">
        <f>1.8 * MIN(MAX(DC45+Races!$E$47,DD45+Races!$F$47),6)  +  0.45 * MIN(MIN(DC45+Races!$E$47,DD45+Races!$F$47),6)  +  0.2 * ( MAX(DC45+Races!$E$47-6,0) + MAX(DD45+Races!$F$47-6,0) )  -  Races!$N$47</f>
        <v>0</v>
      </c>
      <c r="EF45" s="57">
        <f t="shared" si="116"/>
        <v>0</v>
      </c>
      <c r="EG45" s="666">
        <f ca="1">1.8 * MIN(MAX(DG45+Races!$F$71,Races!$E$71),6)  +  0.45 * MIN(MIN(DG45+Races!$F$71,Races!$E$71),6)  +  0.2 * ( MAX(DG45+Races!$F$71-6,0) + MAX(Races!$E$71-6,0) )  -  Races!$N$71</f>
        <v>2.5200000000000014</v>
      </c>
      <c r="EH45" s="666">
        <f>1.8 * MIN(MAX(DH45+Races!$E$71,Races!$F$71),6)  +  0.45 * MIN(MIN(DH45+Races!$E$71,Races!$F$71),6)  +  0.2 * ( MAX(DH45+Races!$E$71-6,0) + MAX(Races!$F$71-6,0) )  -  Races!$N$71</f>
        <v>0.16200000000000081</v>
      </c>
      <c r="EI45" s="57">
        <f t="shared" ca="1" si="117"/>
        <v>2584.8000000000015</v>
      </c>
      <c r="EJ45" s="57"/>
      <c r="EK45" s="57"/>
      <c r="EL45" s="57"/>
      <c r="EM45" s="57">
        <f ca="1">Overview!$L$22*E45+Overview!$L$23*F45+Overview!$L$24*G45+Overview!$L$25*H45+Overview!$L$26*I45+Overview!$L$27*J45+Overview!$L$28*K45+Construction!E45*20+Construction!B45*5 + DZ45*$DV$4+EB45*$DV$5+ED45*$DV$6+EF45*$DV$7+EI45*$DV$9</f>
        <v>39460</v>
      </c>
      <c r="EO45" s="738">
        <f>(J45+2*K45)/Construction!E45</f>
        <v>0.1</v>
      </c>
      <c r="EP45" s="734">
        <f ca="1">EO45*(1+race_wizard_strength+tech_magical_weaponry_wiz*Techs!AV117)</f>
        <v>0.1</v>
      </c>
      <c r="EQ45" s="16">
        <f>(I45+halfer*H45/3)/Construction!E45</f>
        <v>0.1</v>
      </c>
    </row>
    <row r="46" spans="1:147" s="16" customFormat="1">
      <c r="A46" s="629">
        <f>Rezone!J46</f>
        <v>44</v>
      </c>
      <c r="B46" s="56">
        <f ca="1">SUM(E46:K46)+SUM(AF38:AG46)+SUM(AH35:AL46)+Z46+Explore!AL46</f>
        <v>5295</v>
      </c>
      <c r="C46" s="97">
        <f ca="1">Population!G46</f>
        <v>0.57305194805194803</v>
      </c>
      <c r="E46" s="52">
        <f t="shared" si="64"/>
        <v>0</v>
      </c>
      <c r="F46" s="16">
        <f t="shared" si="65"/>
        <v>0</v>
      </c>
      <c r="G46" s="16">
        <f t="shared" si="66"/>
        <v>1000</v>
      </c>
      <c r="H46" s="16">
        <f t="shared" si="67"/>
        <v>400</v>
      </c>
      <c r="I46" s="16">
        <f t="shared" si="68"/>
        <v>100</v>
      </c>
      <c r="J46" s="16">
        <f t="shared" si="69"/>
        <v>100</v>
      </c>
      <c r="K46" s="53">
        <f t="shared" si="70"/>
        <v>0</v>
      </c>
      <c r="M46" s="64">
        <f ca="1">Production!G46</f>
        <v>39460</v>
      </c>
      <c r="O46" s="142">
        <f t="shared" ca="1" si="75"/>
        <v>4400</v>
      </c>
      <c r="P46" s="455">
        <f ca="1">race_offense+Imps!AB46+ROUND(MIN(gn_bonus*Construction!BF46/Construction!$E46,gn_bonus_cap),4)+MAX(IF(Magic!$AN46&gt;0,warsong_bonus),IF(Magic!AP46&gt;0,howling_op_bonus),IF(Magic!AS46&gt;0,nightfall_bonus),IF(Magic!AT46&gt;0,crusade_bonus),IF(Magic!AU46&gt;0,killingrage_bonus),IF(Magic!AV46&gt;0,bloodrage_bonus)) + Production!O46/100*prestige_offense_bonus + MAX(tech_military_offense*Techs!AH46,tech_magical_weaponry_op*Techs!AV46)</f>
        <v>0.05</v>
      </c>
      <c r="Q46" s="235">
        <f t="shared" ca="1" si="46"/>
        <v>4620</v>
      </c>
      <c r="R46" s="234">
        <f ca="1">F46*(spec_dp+spirit*DR46)+G46*(elite1_dp+woodie*CV46+sylvan*CY46+gnome*DB46+dark_elf*DD46+icekin*DG46+orc*DJ46+nox*DL46+beast*DN46+sacred*DP46+spirit*DS46+blackorc*DK46)+H46*(elite2_dp+woodie*CX46+beast*DO46+sacred*DQ46) + fh_peas_dp*MIN(Population!C46,20*Construction!BD46)+kobold*DE46</f>
        <v>7200</v>
      </c>
      <c r="S46" s="235">
        <f t="shared" ca="1" si="76"/>
        <v>10895</v>
      </c>
      <c r="T46" s="1052">
        <f ca="1">race_defense+Imps!AC46+ROUND(MIN(gt_bonus*Construction!BH46/Construction!$E46,gt_bonus_cap),4)+MAX(IF(Magic!AM46&gt;0,frenzy_bonus,IF(Magic!AQ46&gt;0,blizzard_bonus,IF(Magic!AP46&gt;0,howling_dp_bonus,IF(Magic!AI46&gt;0,ares_call_bonus)))),IF(Magic!AX46&gt;0,MIN(Construction!DF46/Construction!E46,0.2),0))</f>
        <v>0</v>
      </c>
      <c r="U46" s="1046">
        <f t="shared" ca="1" si="47"/>
        <v>7200</v>
      </c>
      <c r="V46" s="310">
        <f t="shared" ca="1" si="48"/>
        <v>10895</v>
      </c>
      <c r="W46" s="310">
        <f>Construction!E46</f>
        <v>1000</v>
      </c>
      <c r="X46" s="367"/>
      <c r="Y46" s="146">
        <f t="shared" si="74"/>
        <v>0.4</v>
      </c>
      <c r="Z46" s="166">
        <f ca="1">Z45+Population!Z45 - IF(race="Lux",AF46,SUM(AF46:AK46)) - BE46 + SUM(BF46:BL46) - Explore!AI46</f>
        <v>3695</v>
      </c>
      <c r="AA46" s="164"/>
      <c r="AB46" s="91">
        <f>(Construction!$BA46+Construction!BY46)/(Construction!$E46-Explore!S46*20)</f>
        <v>0.2</v>
      </c>
      <c r="AC46" s="529"/>
      <c r="AD46" s="799">
        <f>Rezone!J46</f>
        <v>44</v>
      </c>
      <c r="AE46" s="589">
        <f>Explore!AA46</f>
        <v>43693.791666666562</v>
      </c>
      <c r="AF46" s="356"/>
      <c r="AG46" s="348"/>
      <c r="AH46" s="348"/>
      <c r="AI46" s="348"/>
      <c r="AJ46" s="348"/>
      <c r="AK46" s="348"/>
      <c r="AL46" s="357"/>
      <c r="AN46" s="56">
        <f ca="1">Production!$H46</f>
        <v>3405504</v>
      </c>
      <c r="AO46" s="26">
        <f ca="1">Production!$L46</f>
        <v>231000</v>
      </c>
      <c r="AP46" s="26">
        <f ca="1">Production!J46</f>
        <v>284011</v>
      </c>
      <c r="AQ46" s="26">
        <f ca="1">Production!M46</f>
        <v>20000</v>
      </c>
      <c r="AR46" s="26">
        <f ca="1">Production!K46</f>
        <v>44673</v>
      </c>
      <c r="AS46" s="26">
        <f ca="1">Production!I46</f>
        <v>189051</v>
      </c>
      <c r="AT46" s="26">
        <f ca="1">Production!N46</f>
        <v>200</v>
      </c>
      <c r="AU46" s="152">
        <f t="shared" ca="1" si="77"/>
        <v>0</v>
      </c>
      <c r="AV46" s="164">
        <f t="shared" ca="1" si="78"/>
        <v>0</v>
      </c>
      <c r="AW46" s="164">
        <f t="shared" ca="1" si="50"/>
        <v>0</v>
      </c>
      <c r="AX46" s="164">
        <f t="shared" ca="1" si="51"/>
        <v>0</v>
      </c>
      <c r="AY46" s="164">
        <f t="shared" ca="1" si="52"/>
        <v>0</v>
      </c>
      <c r="AZ46" s="164">
        <f t="shared" ca="1" si="53"/>
        <v>0</v>
      </c>
      <c r="BA46" s="166">
        <f t="shared" ca="1" si="54"/>
        <v>0</v>
      </c>
      <c r="BB46" s="16">
        <v>44</v>
      </c>
      <c r="BC46" s="574">
        <f t="shared" si="71"/>
        <v>43693.791666666562</v>
      </c>
      <c r="BD46" s="148">
        <f t="shared" ca="1" si="72"/>
        <v>3695</v>
      </c>
      <c r="BE46" s="356"/>
      <c r="BF46" s="348"/>
      <c r="BG46" s="348"/>
      <c r="BH46" s="348"/>
      <c r="BI46" s="348"/>
      <c r="BJ46" s="348"/>
      <c r="BK46" s="348"/>
      <c r="BL46" s="357"/>
      <c r="BN46" s="503">
        <f>Construction!BM46/Construction!E46</f>
        <v>0</v>
      </c>
      <c r="BO46" s="171">
        <f>Construction!BD46/Construction!E46</f>
        <v>0</v>
      </c>
      <c r="BP46" s="152">
        <f>ROUNDUP((1-MIN(AB46*smithy_bonus,smithy_bonus_cap))*(1+Techs!AO46*tech_master_of_frugality)*spec_op_plat,0)</f>
        <v>165</v>
      </c>
      <c r="BQ46" s="164">
        <f>ROUNDUP(IF(race="Gnome",1,(1-MIN(AB46*smithy_bonus,smithy_bonus_cap))*(1+Techs!AO46*tech_master_of_frugality))*spec_op_ore,0)</f>
        <v>15</v>
      </c>
      <c r="BR46" s="164">
        <f t="shared" si="79"/>
        <v>0</v>
      </c>
      <c r="BS46" s="164">
        <f t="shared" si="80"/>
        <v>0</v>
      </c>
      <c r="BT46" s="164">
        <f ca="1">ROUNDUP((1-MIN(AB46*smithy_bonus,smithy_bonus_cap))*(1+Techs!AO46*tech_master_of_frugality)*spec_dp_plat,0)</f>
        <v>165</v>
      </c>
      <c r="BU46" s="164">
        <f ca="1">ROUNDUP(IF(OR(race="Gnome",race="Imperial Gnome"),1,(1-MIN(AB46*smithy_bonus,smithy_bonus_cap))*(1+Techs!AO46*tech_master_of_frugality))*spec_dp_ore,0)</f>
        <v>6</v>
      </c>
      <c r="BV46" s="164">
        <f t="shared" ca="1" si="81"/>
        <v>0</v>
      </c>
      <c r="BW46" s="164">
        <f t="shared" ca="1" si="82"/>
        <v>0</v>
      </c>
      <c r="BX46" s="164">
        <f t="shared" ca="1" si="83"/>
        <v>0</v>
      </c>
      <c r="BY46" s="164">
        <f ca="1">ROUNDUP((1-MIN(AB46*smithy_bonus,smithy_bonus_cap))*(1+Techs!AO46*tech_master_of_frugality)*elite1_plat,0)</f>
        <v>600</v>
      </c>
      <c r="BZ46" s="164">
        <f ca="1">ROUNDUP(IF(race="Gnome",1,(1-MIN(AB46*smithy_bonus,smithy_bonus_cap))*(1+Techs!AO46*tech_master_of_frugality))*elite1_ore,0)</f>
        <v>45</v>
      </c>
      <c r="CA46" s="164">
        <f t="shared" ca="1" si="84"/>
        <v>0</v>
      </c>
      <c r="CB46" s="164">
        <f t="shared" ca="1" si="85"/>
        <v>0</v>
      </c>
      <c r="CC46" s="164">
        <f t="shared" ca="1" si="86"/>
        <v>0</v>
      </c>
      <c r="CD46" s="164">
        <f t="shared" ca="1" si="87"/>
        <v>0</v>
      </c>
      <c r="CE46" s="164">
        <f t="shared" ca="1" si="88"/>
        <v>0</v>
      </c>
      <c r="CF46" s="164">
        <f ca="1">ROUNDUP((1-MIN(AB46*smithy_bonus,smithy_bonus_cap))*(1+Techs!AO46*tech_master_of_frugality)*elite2_plat,0)</f>
        <v>750</v>
      </c>
      <c r="CG46" s="164">
        <f ca="1">ROUNDUP(IF(race="Gnome",1,(1-MIN(AB46*smithy_bonus,smithy_bonus_cap))*(1+Techs!AO46*tech_master_of_frugality))*elite2_ore,0)</f>
        <v>60</v>
      </c>
      <c r="CH46" s="164">
        <f t="shared" ca="1" si="89"/>
        <v>0</v>
      </c>
      <c r="CI46" s="164">
        <f t="shared" ca="1" si="90"/>
        <v>0</v>
      </c>
      <c r="CJ46" s="164">
        <f t="shared" ca="1" si="91"/>
        <v>0</v>
      </c>
      <c r="CK46" s="164">
        <f t="shared" ca="1" si="92"/>
        <v>0</v>
      </c>
      <c r="CL46" s="164">
        <f t="shared" ca="1" si="93"/>
        <v>0</v>
      </c>
      <c r="CM46" s="164">
        <f>ROUNDUP((1+tech_spy_cost*Techs!AJ46)*spy_plat,0)</f>
        <v>500</v>
      </c>
      <c r="CN46" s="164">
        <f>ROUNDUP((1+tech_wizard_cost*Techs!AM46-MIN(ROUND(wg_wiz_cost_bonus*BN46,4),wg_wiz_cost_cap))*wizard_plat,0)</f>
        <v>500</v>
      </c>
      <c r="CO46" s="166">
        <f>ROUNDUP((1+tech_wizard_cost*Techs!AM46-MIN(ROUND(wg_wiz_cost_bonus*BN46,4),wg_wiz_cost_cap))*archmage_plat,0)</f>
        <v>1000</v>
      </c>
      <c r="CQ46" s="465">
        <f ca="1">Construction!DF46/Construction!E46</f>
        <v>0.28000000000000003</v>
      </c>
      <c r="CR46" s="466">
        <f t="shared" si="73"/>
        <v>0</v>
      </c>
      <c r="CS46" s="466">
        <f>Construction!BK46/Construction!E46</f>
        <v>0.05</v>
      </c>
      <c r="CT46" s="466">
        <f>Construction!BJ46/Construction!E46</f>
        <v>0</v>
      </c>
      <c r="CU46" s="466">
        <f>Construction!AY46/Construction!E46</f>
        <v>0</v>
      </c>
      <c r="CV46" s="487">
        <f t="shared" ca="1" si="94"/>
        <v>1.4000000000000001</v>
      </c>
      <c r="CW46" s="488">
        <f t="shared" ca="1" si="95"/>
        <v>1.4000000000000001</v>
      </c>
      <c r="CX46" s="488">
        <f t="shared" ca="1" si="96"/>
        <v>1.4000000000000001</v>
      </c>
      <c r="CY46" s="489">
        <f t="shared" ca="1" si="97"/>
        <v>1.4000000000000001</v>
      </c>
      <c r="CZ46" s="489">
        <f t="shared" si="98"/>
        <v>0.1</v>
      </c>
      <c r="DA46" s="489">
        <f t="shared" ca="1" si="99"/>
        <v>3</v>
      </c>
      <c r="DB46" s="489">
        <f t="shared" ca="1" si="100"/>
        <v>1.4000000000000001</v>
      </c>
      <c r="DC46" s="488">
        <f t="shared" si="101"/>
        <v>0</v>
      </c>
      <c r="DD46" s="848">
        <f t="shared" si="102"/>
        <v>0</v>
      </c>
      <c r="DE46" s="442">
        <f t="shared" si="56"/>
        <v>800</v>
      </c>
      <c r="DF46" s="442">
        <f t="shared" si="57"/>
        <v>0</v>
      </c>
      <c r="DG46" s="487">
        <f t="shared" ca="1" si="103"/>
        <v>1.4000000000000001</v>
      </c>
      <c r="DH46" s="452">
        <f t="shared" si="104"/>
        <v>9.0000000000000011E-2</v>
      </c>
      <c r="DI46" s="452">
        <f>MIN(valkyrja_cap,Production!O46/valkyrja_bonus)</f>
        <v>1</v>
      </c>
      <c r="DJ46" s="848">
        <f>MIN(voodoo_magi_cap,Production!O46/voodoo_magi_bonus)</f>
        <v>0.83333333333333337</v>
      </c>
      <c r="DK46" s="848">
        <f>MIN(warlock_cap,Production!O46/warlock_bonus)</f>
        <v>1.25</v>
      </c>
      <c r="DL46" s="848">
        <f ca="1">MIN(nox_nightshade_cap,Construction!DF46/Construction!E46/nox_nightshade_swamp_bonus)</f>
        <v>2.8000000000000003</v>
      </c>
      <c r="DM46" s="488">
        <f t="shared" si="105"/>
        <v>0</v>
      </c>
      <c r="DN46" s="489">
        <f t="shared" ca="1" si="106"/>
        <v>2.8000000000000003</v>
      </c>
      <c r="DO46" s="489">
        <f t="shared" ca="1" si="107"/>
        <v>2.8000000000000003</v>
      </c>
      <c r="DP46" s="489">
        <f t="shared" si="108"/>
        <v>1</v>
      </c>
      <c r="DQ46" s="488">
        <f t="shared" si="109"/>
        <v>0</v>
      </c>
      <c r="DR46" s="489">
        <f t="shared" si="110"/>
        <v>0</v>
      </c>
      <c r="DS46" s="488">
        <f t="shared" si="111"/>
        <v>0</v>
      </c>
      <c r="DT46" s="489">
        <f t="shared" si="112"/>
        <v>0.1</v>
      </c>
      <c r="DX46" s="487">
        <f ca="1">MIN(6,CV46+Races!$F$19)*1.8 +  IF(CV46+Races!$F$19&gt;6,(CV46+Races!$F$19-6)*0.2,0) - Races!$N$19</f>
        <v>2.5200000000000005</v>
      </c>
      <c r="DY46" s="488">
        <f ca="1">1.8 * MIN(MAX(CW46+Races!$E$20,CX46+Races!$F$20),6)  +  0.45 * MIN(MIN(CW46+Races!$E$20,CX46+Races!$F$20),6)  +  0.2 * ( MAX(CW46+Races!$E$20-6,0) + MAX(CX46+Races!$F$20-6,0) )  -  Races!$N$20</f>
        <v>3.1500000000000012</v>
      </c>
      <c r="DZ46" s="57">
        <f t="shared" ca="1" si="113"/>
        <v>3780.0000000000009</v>
      </c>
      <c r="EA46" s="666">
        <f ca="1">MIN(6,CY46+Races!$F$35)*1.8 +  IF(CY46+Races!$F$35&gt;6,(CY46+Races!$F$35-6)*0.2,0) - Races!$N$19</f>
        <v>0.72000000000000064</v>
      </c>
      <c r="EB46" s="57">
        <f t="shared" ca="1" si="114"/>
        <v>0</v>
      </c>
      <c r="EC46" s="666">
        <f ca="1">1.8 * MIN(MAX(Races!$E$27,DB46+Races!$F$27),6)  +  0.45 * MIN(MIN(Races!$E$27,DB46+Races!$F$27),6)  +  0.2 * ( MAX(Races!$E$27-6,0) + MAX(DB46+Races!$F$27-6,0) )  -  Races!$N$20</f>
        <v>4.7700000000000005</v>
      </c>
      <c r="ED46" s="57">
        <f t="shared" ca="1" si="115"/>
        <v>0</v>
      </c>
      <c r="EE46" s="666">
        <f>1.8 * MIN(MAX(DC46+Races!$E$47,DD46+Races!$F$47),6)  +  0.45 * MIN(MIN(DC46+Races!$E$47,DD46+Races!$F$47),6)  +  0.2 * ( MAX(DC46+Races!$E$47-6,0) + MAX(DD46+Races!$F$47-6,0) )  -  Races!$N$47</f>
        <v>0</v>
      </c>
      <c r="EF46" s="57">
        <f t="shared" si="116"/>
        <v>0</v>
      </c>
      <c r="EG46" s="666">
        <f ca="1">1.8 * MIN(MAX(DG46+Races!$F$71,Races!$E$71),6)  +  0.45 * MIN(MIN(DG46+Races!$F$71,Races!$E$71),6)  +  0.2 * ( MAX(DG46+Races!$F$71-6,0) + MAX(Races!$E$71-6,0) )  -  Races!$N$71</f>
        <v>2.5200000000000014</v>
      </c>
      <c r="EH46" s="666">
        <f>1.8 * MIN(MAX(DH46+Races!$E$71,Races!$F$71),6)  +  0.45 * MIN(MIN(DH46+Races!$E$71,Races!$F$71),6)  +  0.2 * ( MAX(DH46+Races!$E$71-6,0) + MAX(Races!$F$71-6,0) )  -  Races!$N$71</f>
        <v>0.16200000000000081</v>
      </c>
      <c r="EI46" s="57">
        <f t="shared" ca="1" si="117"/>
        <v>2584.8000000000015</v>
      </c>
      <c r="EJ46" s="57"/>
      <c r="EK46" s="57"/>
      <c r="EL46" s="57"/>
      <c r="EM46" s="57">
        <f ca="1">Overview!$L$22*E46+Overview!$L$23*F46+Overview!$L$24*G46+Overview!$L$25*H46+Overview!$L$26*I46+Overview!$L$27*J46+Overview!$L$28*K46+Construction!E46*20+Construction!B46*5 + DZ46*$DV$4+EB46*$DV$5+ED46*$DV$6+EF46*$DV$7+EI46*$DV$9</f>
        <v>39460</v>
      </c>
      <c r="EO46" s="738">
        <f>(J46+2*K46)/Construction!E46</f>
        <v>0.1</v>
      </c>
      <c r="EP46" s="734">
        <f ca="1">EO46*(1+race_wizard_strength+tech_magical_weaponry_wiz*Techs!AV118)</f>
        <v>0.1</v>
      </c>
      <c r="EQ46" s="16">
        <f>(I46+halfer*H46/3)/Construction!E46</f>
        <v>0.1</v>
      </c>
    </row>
    <row r="47" spans="1:147" s="16" customFormat="1">
      <c r="A47" s="629">
        <f>Rezone!J47</f>
        <v>45</v>
      </c>
      <c r="B47" s="56">
        <f ca="1">SUM(E47:K47)+SUM(AF39:AG47)+SUM(AH36:AL47)+Z47+Explore!AL47</f>
        <v>5295</v>
      </c>
      <c r="C47" s="97">
        <f ca="1">Population!G47</f>
        <v>0.57305194805194803</v>
      </c>
      <c r="E47" s="52">
        <f t="shared" ref="E47:E78" si="118">E46 - BF47 + AF38 - IF(race="Lux",AG47+AH47,0)</f>
        <v>0</v>
      </c>
      <c r="F47" s="16">
        <f t="shared" ref="F47:F78" si="119">F46 - BG47 + IF(race="Lux",AG35,AG38) - IF(race="Lux",AI47,0)</f>
        <v>0</v>
      </c>
      <c r="G47" s="16">
        <f t="shared" ref="G47:G78" si="120">G46 + AH35 - BH47 - IF(race="Lux",AI47,0)</f>
        <v>1000</v>
      </c>
      <c r="H47" s="16">
        <f t="shared" ref="H47:H78" si="121">H46 + AI35 - BI47</f>
        <v>400</v>
      </c>
      <c r="I47" s="16">
        <f t="shared" ref="I47:I78" si="122">I46 + AJ35 - BJ47</f>
        <v>100</v>
      </c>
      <c r="J47" s="16">
        <f t="shared" ref="J47:J78" si="123">J46 + AK35 - AL47 - BK47</f>
        <v>100</v>
      </c>
      <c r="K47" s="53">
        <f t="shared" ref="K47:K78" si="124">K46 + AL35 - BL47</f>
        <v>0</v>
      </c>
      <c r="M47" s="64">
        <f ca="1">Production!G47</f>
        <v>39460</v>
      </c>
      <c r="O47" s="142">
        <f t="shared" ca="1" si="75"/>
        <v>4400</v>
      </c>
      <c r="P47" s="455">
        <f ca="1">race_offense+Imps!AB47+ROUND(MIN(gn_bonus*Construction!BF47/Construction!$E47,gn_bonus_cap),4)+MAX(IF(Magic!$AN47&gt;0,warsong_bonus),IF(Magic!AP47&gt;0,howling_op_bonus),IF(Magic!AS47&gt;0,nightfall_bonus),IF(Magic!AT47&gt;0,crusade_bonus),IF(Magic!AU47&gt;0,killingrage_bonus),IF(Magic!AV47&gt;0,bloodrage_bonus)) + Production!O47/100*prestige_offense_bonus + MAX(tech_military_offense*Techs!AH47,tech_magical_weaponry_op*Techs!AV47)</f>
        <v>0.05</v>
      </c>
      <c r="Q47" s="235">
        <f t="shared" ca="1" si="46"/>
        <v>4620</v>
      </c>
      <c r="R47" s="234">
        <f ca="1">F47*(spec_dp+spirit*DR47)+G47*(elite1_dp+woodie*CV47+sylvan*CY47+gnome*DB47+dark_elf*DD47+icekin*DG47+orc*DJ47+nox*DL47+beast*DN47+sacred*DP47+spirit*DS47+blackorc*DK47)+H47*(elite2_dp+woodie*CX47+beast*DO47+sacred*DQ47) + fh_peas_dp*MIN(Population!C47,20*Construction!BD47)+kobold*DE47</f>
        <v>7200</v>
      </c>
      <c r="S47" s="235">
        <f t="shared" ca="1" si="76"/>
        <v>10895</v>
      </c>
      <c r="T47" s="1052">
        <f ca="1">race_defense+Imps!AC47+ROUND(MIN(gt_bonus*Construction!BH47/Construction!$E47,gt_bonus_cap),4)+MAX(IF(Magic!AM47&gt;0,frenzy_bonus,IF(Magic!AQ47&gt;0,blizzard_bonus,IF(Magic!AP47&gt;0,howling_dp_bonus,IF(Magic!AI47&gt;0,ares_call_bonus)))),IF(Magic!AX47&gt;0,MIN(Construction!DF47/Construction!E47,0.2),0))</f>
        <v>0</v>
      </c>
      <c r="U47" s="1046">
        <f t="shared" ca="1" si="47"/>
        <v>7200</v>
      </c>
      <c r="V47" s="310">
        <f t="shared" ca="1" si="48"/>
        <v>10895</v>
      </c>
      <c r="W47" s="310">
        <f>Construction!E47</f>
        <v>1000</v>
      </c>
      <c r="X47" s="367"/>
      <c r="Y47" s="146">
        <f t="shared" si="74"/>
        <v>0.4</v>
      </c>
      <c r="Z47" s="166">
        <f ca="1">Z46+Population!Z46 - IF(race="Lux",AF47,SUM(AF47:AK47)) - BE47 + SUM(BF47:BL47) - Explore!AI47</f>
        <v>3695</v>
      </c>
      <c r="AA47" s="164"/>
      <c r="AB47" s="91">
        <f>(Construction!$BA47+Construction!BY47)/(Construction!$E47-Explore!S47*20)</f>
        <v>0.2</v>
      </c>
      <c r="AC47" s="529"/>
      <c r="AD47" s="799">
        <f>Rezone!J47</f>
        <v>45</v>
      </c>
      <c r="AE47" s="589">
        <f>Explore!AA47</f>
        <v>43693.833333333227</v>
      </c>
      <c r="AF47" s="356"/>
      <c r="AG47" s="348"/>
      <c r="AH47" s="348"/>
      <c r="AI47" s="348"/>
      <c r="AJ47" s="348"/>
      <c r="AK47" s="348"/>
      <c r="AL47" s="357"/>
      <c r="AN47" s="56">
        <f ca="1">Production!$H47</f>
        <v>3416155</v>
      </c>
      <c r="AO47" s="26">
        <f ca="1">Production!$L47</f>
        <v>231000</v>
      </c>
      <c r="AP47" s="26">
        <f ca="1">Production!J47</f>
        <v>283671</v>
      </c>
      <c r="AQ47" s="26">
        <f ca="1">Production!M47</f>
        <v>20000</v>
      </c>
      <c r="AR47" s="26">
        <f ca="1">Production!K47</f>
        <v>45030</v>
      </c>
      <c r="AS47" s="26">
        <f ca="1">Production!I47</f>
        <v>191890</v>
      </c>
      <c r="AT47" s="26">
        <f ca="1">Production!N47</f>
        <v>200</v>
      </c>
      <c r="AU47" s="152">
        <f t="shared" ca="1" si="77"/>
        <v>0</v>
      </c>
      <c r="AV47" s="164">
        <f t="shared" ca="1" si="78"/>
        <v>0</v>
      </c>
      <c r="AW47" s="164">
        <f t="shared" ca="1" si="50"/>
        <v>0</v>
      </c>
      <c r="AX47" s="164">
        <f t="shared" ca="1" si="51"/>
        <v>0</v>
      </c>
      <c r="AY47" s="164">
        <f t="shared" ca="1" si="52"/>
        <v>0</v>
      </c>
      <c r="AZ47" s="164">
        <f t="shared" ca="1" si="53"/>
        <v>0</v>
      </c>
      <c r="BA47" s="166">
        <f t="shared" ca="1" si="54"/>
        <v>0</v>
      </c>
      <c r="BB47" s="16">
        <v>45</v>
      </c>
      <c r="BC47" s="574">
        <f t="shared" si="71"/>
        <v>43693.833333333227</v>
      </c>
      <c r="BD47" s="148">
        <f t="shared" ca="1" si="72"/>
        <v>3695</v>
      </c>
      <c r="BE47" s="356"/>
      <c r="BF47" s="348"/>
      <c r="BG47" s="348"/>
      <c r="BH47" s="348"/>
      <c r="BI47" s="348"/>
      <c r="BJ47" s="348"/>
      <c r="BK47" s="348"/>
      <c r="BL47" s="357"/>
      <c r="BN47" s="503">
        <f>Construction!BM47/Construction!E47</f>
        <v>0</v>
      </c>
      <c r="BO47" s="171">
        <f>Construction!BD47/Construction!E47</f>
        <v>0</v>
      </c>
      <c r="BP47" s="152">
        <f>ROUNDUP((1-MIN(AB47*smithy_bonus,smithy_bonus_cap))*(1+Techs!AO47*tech_master_of_frugality)*spec_op_plat,0)</f>
        <v>165</v>
      </c>
      <c r="BQ47" s="164">
        <f>ROUNDUP(IF(race="Gnome",1,(1-MIN(AB47*smithy_bonus,smithy_bonus_cap))*(1+Techs!AO47*tech_master_of_frugality))*spec_op_ore,0)</f>
        <v>15</v>
      </c>
      <c r="BR47" s="164">
        <f t="shared" si="79"/>
        <v>0</v>
      </c>
      <c r="BS47" s="164">
        <f t="shared" si="80"/>
        <v>0</v>
      </c>
      <c r="BT47" s="164">
        <f ca="1">ROUNDUP((1-MIN(AB47*smithy_bonus,smithy_bonus_cap))*(1+Techs!AO47*tech_master_of_frugality)*spec_dp_plat,0)</f>
        <v>165</v>
      </c>
      <c r="BU47" s="164">
        <f ca="1">ROUNDUP(IF(OR(race="Gnome",race="Imperial Gnome"),1,(1-MIN(AB47*smithy_bonus,smithy_bonus_cap))*(1+Techs!AO47*tech_master_of_frugality))*spec_dp_ore,0)</f>
        <v>6</v>
      </c>
      <c r="BV47" s="164">
        <f t="shared" ca="1" si="81"/>
        <v>0</v>
      </c>
      <c r="BW47" s="164">
        <f t="shared" ca="1" si="82"/>
        <v>0</v>
      </c>
      <c r="BX47" s="164">
        <f t="shared" ca="1" si="83"/>
        <v>0</v>
      </c>
      <c r="BY47" s="164">
        <f ca="1">ROUNDUP((1-MIN(AB47*smithy_bonus,smithy_bonus_cap))*(1+Techs!AO47*tech_master_of_frugality)*elite1_plat,0)</f>
        <v>600</v>
      </c>
      <c r="BZ47" s="164">
        <f ca="1">ROUNDUP(IF(race="Gnome",1,(1-MIN(AB47*smithy_bonus,smithy_bonus_cap))*(1+Techs!AO47*tech_master_of_frugality))*elite1_ore,0)</f>
        <v>45</v>
      </c>
      <c r="CA47" s="164">
        <f t="shared" ca="1" si="84"/>
        <v>0</v>
      </c>
      <c r="CB47" s="164">
        <f t="shared" ca="1" si="85"/>
        <v>0</v>
      </c>
      <c r="CC47" s="164">
        <f t="shared" ca="1" si="86"/>
        <v>0</v>
      </c>
      <c r="CD47" s="164">
        <f t="shared" ca="1" si="87"/>
        <v>0</v>
      </c>
      <c r="CE47" s="164">
        <f t="shared" ca="1" si="88"/>
        <v>0</v>
      </c>
      <c r="CF47" s="164">
        <f ca="1">ROUNDUP((1-MIN(AB47*smithy_bonus,smithy_bonus_cap))*(1+Techs!AO47*tech_master_of_frugality)*elite2_plat,0)</f>
        <v>750</v>
      </c>
      <c r="CG47" s="164">
        <f ca="1">ROUNDUP(IF(race="Gnome",1,(1-MIN(AB47*smithy_bonus,smithy_bonus_cap))*(1+Techs!AO47*tech_master_of_frugality))*elite2_ore,0)</f>
        <v>60</v>
      </c>
      <c r="CH47" s="164">
        <f t="shared" ca="1" si="89"/>
        <v>0</v>
      </c>
      <c r="CI47" s="164">
        <f t="shared" ca="1" si="90"/>
        <v>0</v>
      </c>
      <c r="CJ47" s="164">
        <f t="shared" ca="1" si="91"/>
        <v>0</v>
      </c>
      <c r="CK47" s="164">
        <f t="shared" ca="1" si="92"/>
        <v>0</v>
      </c>
      <c r="CL47" s="164">
        <f t="shared" ca="1" si="93"/>
        <v>0</v>
      </c>
      <c r="CM47" s="164">
        <f>ROUNDUP((1+tech_spy_cost*Techs!AJ47)*spy_plat,0)</f>
        <v>500</v>
      </c>
      <c r="CN47" s="164">
        <f>ROUNDUP((1+tech_wizard_cost*Techs!AM47-MIN(ROUND(wg_wiz_cost_bonus*BN47,4),wg_wiz_cost_cap))*wizard_plat,0)</f>
        <v>500</v>
      </c>
      <c r="CO47" s="166">
        <f>ROUNDUP((1+tech_wizard_cost*Techs!AM47-MIN(ROUND(wg_wiz_cost_bonus*BN47,4),wg_wiz_cost_cap))*archmage_plat,0)</f>
        <v>1000</v>
      </c>
      <c r="CQ47" s="465">
        <f ca="1">Construction!DF47/Construction!E47</f>
        <v>0.28000000000000003</v>
      </c>
      <c r="CR47" s="466">
        <f t="shared" si="73"/>
        <v>0</v>
      </c>
      <c r="CS47" s="466">
        <f>Construction!BK47/Construction!E47</f>
        <v>0.05</v>
      </c>
      <c r="CT47" s="466">
        <f>Construction!BJ47/Construction!E47</f>
        <v>0</v>
      </c>
      <c r="CU47" s="466">
        <f>Construction!AY47/Construction!E47</f>
        <v>0</v>
      </c>
      <c r="CV47" s="487">
        <f t="shared" ca="1" si="94"/>
        <v>1.4000000000000001</v>
      </c>
      <c r="CW47" s="488">
        <f t="shared" ca="1" si="95"/>
        <v>1.4000000000000001</v>
      </c>
      <c r="CX47" s="488">
        <f t="shared" ca="1" si="96"/>
        <v>1.4000000000000001</v>
      </c>
      <c r="CY47" s="489">
        <f t="shared" ca="1" si="97"/>
        <v>1.4000000000000001</v>
      </c>
      <c r="CZ47" s="489">
        <f t="shared" si="98"/>
        <v>0.1</v>
      </c>
      <c r="DA47" s="489">
        <f t="shared" ca="1" si="99"/>
        <v>3</v>
      </c>
      <c r="DB47" s="489">
        <f t="shared" ca="1" si="100"/>
        <v>1.4000000000000001</v>
      </c>
      <c r="DC47" s="488">
        <f t="shared" si="101"/>
        <v>0</v>
      </c>
      <c r="DD47" s="848">
        <f t="shared" si="102"/>
        <v>0</v>
      </c>
      <c r="DE47" s="442">
        <f t="shared" si="56"/>
        <v>800</v>
      </c>
      <c r="DF47" s="442">
        <f t="shared" si="57"/>
        <v>0</v>
      </c>
      <c r="DG47" s="487">
        <f t="shared" ca="1" si="103"/>
        <v>1.4000000000000001</v>
      </c>
      <c r="DH47" s="452">
        <f t="shared" si="104"/>
        <v>9.0000000000000011E-2</v>
      </c>
      <c r="DI47" s="452">
        <f>MIN(valkyrja_cap,Production!O47/valkyrja_bonus)</f>
        <v>1</v>
      </c>
      <c r="DJ47" s="848">
        <f>MIN(voodoo_magi_cap,Production!O47/voodoo_magi_bonus)</f>
        <v>0.83333333333333337</v>
      </c>
      <c r="DK47" s="848">
        <f>MIN(warlock_cap,Production!O47/warlock_bonus)</f>
        <v>1.25</v>
      </c>
      <c r="DL47" s="848">
        <f ca="1">MIN(nox_nightshade_cap,Construction!DF47/Construction!E47/nox_nightshade_swamp_bonus)</f>
        <v>2.8000000000000003</v>
      </c>
      <c r="DM47" s="488">
        <f t="shared" si="105"/>
        <v>0</v>
      </c>
      <c r="DN47" s="489">
        <f t="shared" ca="1" si="106"/>
        <v>2.8000000000000003</v>
      </c>
      <c r="DO47" s="489">
        <f t="shared" ca="1" si="107"/>
        <v>2.8000000000000003</v>
      </c>
      <c r="DP47" s="489">
        <f t="shared" si="108"/>
        <v>1</v>
      </c>
      <c r="DQ47" s="488">
        <f t="shared" si="109"/>
        <v>0</v>
      </c>
      <c r="DR47" s="489">
        <f t="shared" si="110"/>
        <v>0</v>
      </c>
      <c r="DS47" s="488">
        <f t="shared" si="111"/>
        <v>0</v>
      </c>
      <c r="DT47" s="489">
        <f t="shared" si="112"/>
        <v>0.1</v>
      </c>
      <c r="DX47" s="487">
        <f ca="1">MIN(6,CV47+Races!$F$19)*1.8 +  IF(CV47+Races!$F$19&gt;6,(CV47+Races!$F$19-6)*0.2,0) - Races!$N$19</f>
        <v>2.5200000000000005</v>
      </c>
      <c r="DY47" s="488">
        <f ca="1">1.8 * MIN(MAX(CW47+Races!$E$20,CX47+Races!$F$20),6)  +  0.45 * MIN(MIN(CW47+Races!$E$20,CX47+Races!$F$20),6)  +  0.2 * ( MAX(CW47+Races!$E$20-6,0) + MAX(CX47+Races!$F$20-6,0) )  -  Races!$N$20</f>
        <v>3.1500000000000012</v>
      </c>
      <c r="DZ47" s="57">
        <f t="shared" ca="1" si="113"/>
        <v>3780.0000000000009</v>
      </c>
      <c r="EA47" s="666">
        <f ca="1">MIN(6,CY47+Races!$F$35)*1.8 +  IF(CY47+Races!$F$35&gt;6,(CY47+Races!$F$35-6)*0.2,0) - Races!$N$19</f>
        <v>0.72000000000000064</v>
      </c>
      <c r="EB47" s="57">
        <f t="shared" ca="1" si="114"/>
        <v>0</v>
      </c>
      <c r="EC47" s="666">
        <f ca="1">1.8 * MIN(MAX(Races!$E$27,DB47+Races!$F$27),6)  +  0.45 * MIN(MIN(Races!$E$27,DB47+Races!$F$27),6)  +  0.2 * ( MAX(Races!$E$27-6,0) + MAX(DB47+Races!$F$27-6,0) )  -  Races!$N$20</f>
        <v>4.7700000000000005</v>
      </c>
      <c r="ED47" s="57">
        <f t="shared" ca="1" si="115"/>
        <v>0</v>
      </c>
      <c r="EE47" s="666">
        <f>1.8 * MIN(MAX(DC47+Races!$E$47,DD47+Races!$F$47),6)  +  0.45 * MIN(MIN(DC47+Races!$E$47,DD47+Races!$F$47),6)  +  0.2 * ( MAX(DC47+Races!$E$47-6,0) + MAX(DD47+Races!$F$47-6,0) )  -  Races!$N$47</f>
        <v>0</v>
      </c>
      <c r="EF47" s="57">
        <f t="shared" si="116"/>
        <v>0</v>
      </c>
      <c r="EG47" s="666">
        <f ca="1">1.8 * MIN(MAX(DG47+Races!$F$71,Races!$E$71),6)  +  0.45 * MIN(MIN(DG47+Races!$F$71,Races!$E$71),6)  +  0.2 * ( MAX(DG47+Races!$F$71-6,0) + MAX(Races!$E$71-6,0) )  -  Races!$N$71</f>
        <v>2.5200000000000014</v>
      </c>
      <c r="EH47" s="666">
        <f>1.8 * MIN(MAX(DH47+Races!$E$71,Races!$F$71),6)  +  0.45 * MIN(MIN(DH47+Races!$E$71,Races!$F$71),6)  +  0.2 * ( MAX(DH47+Races!$E$71-6,0) + MAX(Races!$F$71-6,0) )  -  Races!$N$71</f>
        <v>0.16200000000000081</v>
      </c>
      <c r="EI47" s="57">
        <f t="shared" ca="1" si="117"/>
        <v>2584.8000000000015</v>
      </c>
      <c r="EJ47" s="57"/>
      <c r="EK47" s="57"/>
      <c r="EL47" s="57"/>
      <c r="EM47" s="57">
        <f ca="1">Overview!$L$22*E47+Overview!$L$23*F47+Overview!$L$24*G47+Overview!$L$25*H47+Overview!$L$26*I47+Overview!$L$27*J47+Overview!$L$28*K47+Construction!E47*20+Construction!B47*5 + DZ47*$DV$4+EB47*$DV$5+ED47*$DV$6+EF47*$DV$7+EI47*$DV$9</f>
        <v>39460</v>
      </c>
      <c r="EO47" s="738">
        <f>(J47+2*K47)/Construction!E47</f>
        <v>0.1</v>
      </c>
      <c r="EP47" s="734">
        <f ca="1">EO47*(1+race_wizard_strength+tech_magical_weaponry_wiz*Techs!AV119)</f>
        <v>0.1</v>
      </c>
      <c r="EQ47" s="16">
        <f>(I47+halfer*H47/3)/Construction!E47</f>
        <v>0.1</v>
      </c>
    </row>
    <row r="48" spans="1:147" s="16" customFormat="1">
      <c r="A48" s="629">
        <f>Rezone!J48</f>
        <v>46</v>
      </c>
      <c r="B48" s="56">
        <f ca="1">SUM(E48:K48)+SUM(AF40:AG48)+SUM(AH37:AL48)+Z48+Explore!AL48</f>
        <v>5295</v>
      </c>
      <c r="C48" s="97">
        <f ca="1">Population!G48</f>
        <v>0.57305194805194803</v>
      </c>
      <c r="E48" s="52">
        <f t="shared" si="118"/>
        <v>0</v>
      </c>
      <c r="F48" s="16">
        <f t="shared" si="119"/>
        <v>0</v>
      </c>
      <c r="G48" s="16">
        <f t="shared" si="120"/>
        <v>1000</v>
      </c>
      <c r="H48" s="16">
        <f t="shared" si="121"/>
        <v>400</v>
      </c>
      <c r="I48" s="16">
        <f t="shared" si="122"/>
        <v>100</v>
      </c>
      <c r="J48" s="16">
        <f t="shared" si="123"/>
        <v>100</v>
      </c>
      <c r="K48" s="53">
        <f t="shared" si="124"/>
        <v>0</v>
      </c>
      <c r="M48" s="64">
        <f ca="1">Production!G48</f>
        <v>39460</v>
      </c>
      <c r="O48" s="142">
        <f t="shared" ca="1" si="75"/>
        <v>4400</v>
      </c>
      <c r="P48" s="455">
        <f ca="1">race_offense+Imps!AB48+ROUND(MIN(gn_bonus*Construction!BF48/Construction!$E48,gn_bonus_cap),4)+MAX(IF(Magic!$AN48&gt;0,warsong_bonus),IF(Magic!AP48&gt;0,howling_op_bonus),IF(Magic!AS48&gt;0,nightfall_bonus),IF(Magic!AT48&gt;0,crusade_bonus),IF(Magic!AU48&gt;0,killingrage_bonus),IF(Magic!AV48&gt;0,bloodrage_bonus)) + Production!O48/100*prestige_offense_bonus + MAX(tech_military_offense*Techs!AH48,tech_magical_weaponry_op*Techs!AV48)</f>
        <v>0.05</v>
      </c>
      <c r="Q48" s="235">
        <f t="shared" ca="1" si="46"/>
        <v>4620</v>
      </c>
      <c r="R48" s="234">
        <f ca="1">F48*(spec_dp+spirit*DR48)+G48*(elite1_dp+woodie*CV48+sylvan*CY48+gnome*DB48+dark_elf*DD48+icekin*DG48+orc*DJ48+nox*DL48+beast*DN48+sacred*DP48+spirit*DS48+blackorc*DK48)+H48*(elite2_dp+woodie*CX48+beast*DO48+sacred*DQ48) + fh_peas_dp*MIN(Population!C48,20*Construction!BD48)+kobold*DE48</f>
        <v>7200</v>
      </c>
      <c r="S48" s="235">
        <f t="shared" ca="1" si="76"/>
        <v>10895</v>
      </c>
      <c r="T48" s="1052">
        <f ca="1">race_defense+Imps!AC48+ROUND(MIN(gt_bonus*Construction!BH48/Construction!$E48,gt_bonus_cap),4)+MAX(IF(Magic!AM48&gt;0,frenzy_bonus,IF(Magic!AQ48&gt;0,blizzard_bonus,IF(Magic!AP48&gt;0,howling_dp_bonus,IF(Magic!AI48&gt;0,ares_call_bonus)))),IF(Magic!AX48&gt;0,MIN(Construction!DF48/Construction!E48,0.2),0))</f>
        <v>0</v>
      </c>
      <c r="U48" s="1046">
        <f t="shared" ca="1" si="47"/>
        <v>7200</v>
      </c>
      <c r="V48" s="310">
        <f t="shared" ca="1" si="48"/>
        <v>10895</v>
      </c>
      <c r="W48" s="310">
        <f>Construction!E48</f>
        <v>1000</v>
      </c>
      <c r="X48" s="367"/>
      <c r="Y48" s="146">
        <f t="shared" si="74"/>
        <v>0.4</v>
      </c>
      <c r="Z48" s="166">
        <f ca="1">Z47+Population!Z47 - IF(race="Lux",AF48,SUM(AF48:AK48)) - BE48 + SUM(BF48:BL48) - Explore!AI48</f>
        <v>3695</v>
      </c>
      <c r="AA48" s="164"/>
      <c r="AB48" s="91">
        <f>(Construction!$BA48+Construction!BY48)/(Construction!$E48-Explore!S48*20)</f>
        <v>0.2</v>
      </c>
      <c r="AC48" s="529"/>
      <c r="AD48" s="799">
        <f>Rezone!J48</f>
        <v>46</v>
      </c>
      <c r="AE48" s="589">
        <f>Explore!AA48</f>
        <v>43693.874999999891</v>
      </c>
      <c r="AF48" s="356"/>
      <c r="AG48" s="348"/>
      <c r="AH48" s="348"/>
      <c r="AI48" s="348"/>
      <c r="AJ48" s="348"/>
      <c r="AK48" s="348"/>
      <c r="AL48" s="357"/>
      <c r="AN48" s="56">
        <f ca="1">Production!$H48</f>
        <v>3426806</v>
      </c>
      <c r="AO48" s="26">
        <f ca="1">Production!$L48</f>
        <v>231000</v>
      </c>
      <c r="AP48" s="26">
        <f ca="1">Production!J48</f>
        <v>283334</v>
      </c>
      <c r="AQ48" s="26">
        <f ca="1">Production!M48</f>
        <v>20000</v>
      </c>
      <c r="AR48" s="26">
        <f ca="1">Production!K48</f>
        <v>45379</v>
      </c>
      <c r="AS48" s="26">
        <f ca="1">Production!I48</f>
        <v>194701</v>
      </c>
      <c r="AT48" s="26">
        <f ca="1">Production!N48</f>
        <v>200</v>
      </c>
      <c r="AU48" s="152">
        <f t="shared" ca="1" si="77"/>
        <v>0</v>
      </c>
      <c r="AV48" s="164">
        <f t="shared" ca="1" si="78"/>
        <v>0</v>
      </c>
      <c r="AW48" s="164">
        <f t="shared" ca="1" si="50"/>
        <v>0</v>
      </c>
      <c r="AX48" s="164">
        <f t="shared" ca="1" si="51"/>
        <v>0</v>
      </c>
      <c r="AY48" s="164">
        <f t="shared" ca="1" si="52"/>
        <v>0</v>
      </c>
      <c r="AZ48" s="164">
        <f t="shared" ca="1" si="53"/>
        <v>0</v>
      </c>
      <c r="BA48" s="166">
        <f t="shared" ca="1" si="54"/>
        <v>0</v>
      </c>
      <c r="BB48" s="16">
        <v>46</v>
      </c>
      <c r="BC48" s="574">
        <f t="shared" si="71"/>
        <v>43693.874999999891</v>
      </c>
      <c r="BD48" s="148">
        <f t="shared" ca="1" si="72"/>
        <v>3695</v>
      </c>
      <c r="BE48" s="356"/>
      <c r="BF48" s="348"/>
      <c r="BG48" s="348"/>
      <c r="BH48" s="348"/>
      <c r="BI48" s="348"/>
      <c r="BJ48" s="348"/>
      <c r="BK48" s="348"/>
      <c r="BL48" s="357"/>
      <c r="BN48" s="503">
        <f>Construction!BM48/Construction!E48</f>
        <v>0</v>
      </c>
      <c r="BO48" s="171">
        <f>Construction!BD48/Construction!E48</f>
        <v>0</v>
      </c>
      <c r="BP48" s="152">
        <f>ROUNDUP((1-MIN(AB48*smithy_bonus,smithy_bonus_cap))*(1+Techs!AO48*tech_master_of_frugality)*spec_op_plat,0)</f>
        <v>165</v>
      </c>
      <c r="BQ48" s="164">
        <f>ROUNDUP(IF(race="Gnome",1,(1-MIN(AB48*smithy_bonus,smithy_bonus_cap))*(1+Techs!AO48*tech_master_of_frugality))*spec_op_ore,0)</f>
        <v>15</v>
      </c>
      <c r="BR48" s="164">
        <f t="shared" si="79"/>
        <v>0</v>
      </c>
      <c r="BS48" s="164">
        <f t="shared" si="80"/>
        <v>0</v>
      </c>
      <c r="BT48" s="164">
        <f ca="1">ROUNDUP((1-MIN(AB48*smithy_bonus,smithy_bonus_cap))*(1+Techs!AO48*tech_master_of_frugality)*spec_dp_plat,0)</f>
        <v>165</v>
      </c>
      <c r="BU48" s="164">
        <f ca="1">ROUNDUP(IF(OR(race="Gnome",race="Imperial Gnome"),1,(1-MIN(AB48*smithy_bonus,smithy_bonus_cap))*(1+Techs!AO48*tech_master_of_frugality))*spec_dp_ore,0)</f>
        <v>6</v>
      </c>
      <c r="BV48" s="164">
        <f t="shared" ca="1" si="81"/>
        <v>0</v>
      </c>
      <c r="BW48" s="164">
        <f t="shared" ca="1" si="82"/>
        <v>0</v>
      </c>
      <c r="BX48" s="164">
        <f t="shared" ca="1" si="83"/>
        <v>0</v>
      </c>
      <c r="BY48" s="164">
        <f ca="1">ROUNDUP((1-MIN(AB48*smithy_bonus,smithy_bonus_cap))*(1+Techs!AO48*tech_master_of_frugality)*elite1_plat,0)</f>
        <v>600</v>
      </c>
      <c r="BZ48" s="164">
        <f ca="1">ROUNDUP(IF(race="Gnome",1,(1-MIN(AB48*smithy_bonus,smithy_bonus_cap))*(1+Techs!AO48*tech_master_of_frugality))*elite1_ore,0)</f>
        <v>45</v>
      </c>
      <c r="CA48" s="164">
        <f t="shared" ca="1" si="84"/>
        <v>0</v>
      </c>
      <c r="CB48" s="164">
        <f t="shared" ca="1" si="85"/>
        <v>0</v>
      </c>
      <c r="CC48" s="164">
        <f t="shared" ca="1" si="86"/>
        <v>0</v>
      </c>
      <c r="CD48" s="164">
        <f t="shared" ca="1" si="87"/>
        <v>0</v>
      </c>
      <c r="CE48" s="164">
        <f t="shared" ca="1" si="88"/>
        <v>0</v>
      </c>
      <c r="CF48" s="164">
        <f ca="1">ROUNDUP((1-MIN(AB48*smithy_bonus,smithy_bonus_cap))*(1+Techs!AO48*tech_master_of_frugality)*elite2_plat,0)</f>
        <v>750</v>
      </c>
      <c r="CG48" s="164">
        <f ca="1">ROUNDUP(IF(race="Gnome",1,(1-MIN(AB48*smithy_bonus,smithy_bonus_cap))*(1+Techs!AO48*tech_master_of_frugality))*elite2_ore,0)</f>
        <v>60</v>
      </c>
      <c r="CH48" s="164">
        <f t="shared" ca="1" si="89"/>
        <v>0</v>
      </c>
      <c r="CI48" s="164">
        <f t="shared" ca="1" si="90"/>
        <v>0</v>
      </c>
      <c r="CJ48" s="164">
        <f t="shared" ca="1" si="91"/>
        <v>0</v>
      </c>
      <c r="CK48" s="164">
        <f t="shared" ca="1" si="92"/>
        <v>0</v>
      </c>
      <c r="CL48" s="164">
        <f t="shared" ca="1" si="93"/>
        <v>0</v>
      </c>
      <c r="CM48" s="164">
        <f>ROUNDUP((1+tech_spy_cost*Techs!AJ48)*spy_plat,0)</f>
        <v>500</v>
      </c>
      <c r="CN48" s="164">
        <f>ROUNDUP((1+tech_wizard_cost*Techs!AM48-MIN(ROUND(wg_wiz_cost_bonus*BN48,4),wg_wiz_cost_cap))*wizard_plat,0)</f>
        <v>500</v>
      </c>
      <c r="CO48" s="166">
        <f>ROUNDUP((1+tech_wizard_cost*Techs!AM48-MIN(ROUND(wg_wiz_cost_bonus*BN48,4),wg_wiz_cost_cap))*archmage_plat,0)</f>
        <v>1000</v>
      </c>
      <c r="CQ48" s="465">
        <f ca="1">Construction!DF48/Construction!E48</f>
        <v>0.28000000000000003</v>
      </c>
      <c r="CR48" s="466">
        <f t="shared" si="73"/>
        <v>0</v>
      </c>
      <c r="CS48" s="466">
        <f>Construction!BK48/Construction!E48</f>
        <v>0.05</v>
      </c>
      <c r="CT48" s="466">
        <f>Construction!BJ48/Construction!E48</f>
        <v>0</v>
      </c>
      <c r="CU48" s="466">
        <f>Construction!AY48/Construction!E48</f>
        <v>0</v>
      </c>
      <c r="CV48" s="487">
        <f t="shared" ca="1" si="94"/>
        <v>1.4000000000000001</v>
      </c>
      <c r="CW48" s="488">
        <f t="shared" ca="1" si="95"/>
        <v>1.4000000000000001</v>
      </c>
      <c r="CX48" s="488">
        <f t="shared" ca="1" si="96"/>
        <v>1.4000000000000001</v>
      </c>
      <c r="CY48" s="489">
        <f t="shared" ca="1" si="97"/>
        <v>1.4000000000000001</v>
      </c>
      <c r="CZ48" s="489">
        <f t="shared" si="98"/>
        <v>0.1</v>
      </c>
      <c r="DA48" s="489">
        <f t="shared" ca="1" si="99"/>
        <v>3</v>
      </c>
      <c r="DB48" s="489">
        <f t="shared" ca="1" si="100"/>
        <v>1.4000000000000001</v>
      </c>
      <c r="DC48" s="488">
        <f t="shared" si="101"/>
        <v>0</v>
      </c>
      <c r="DD48" s="848">
        <f t="shared" si="102"/>
        <v>0</v>
      </c>
      <c r="DE48" s="442">
        <f t="shared" si="56"/>
        <v>800</v>
      </c>
      <c r="DF48" s="442">
        <f t="shared" si="57"/>
        <v>0</v>
      </c>
      <c r="DG48" s="487">
        <f t="shared" ca="1" si="103"/>
        <v>1.4000000000000001</v>
      </c>
      <c r="DH48" s="452">
        <f t="shared" si="104"/>
        <v>9.0000000000000011E-2</v>
      </c>
      <c r="DI48" s="452">
        <f>MIN(valkyrja_cap,Production!O48/valkyrja_bonus)</f>
        <v>1</v>
      </c>
      <c r="DJ48" s="848">
        <f>MIN(voodoo_magi_cap,Production!O48/voodoo_magi_bonus)</f>
        <v>0.83333333333333337</v>
      </c>
      <c r="DK48" s="848">
        <f>MIN(warlock_cap,Production!O48/warlock_bonus)</f>
        <v>1.25</v>
      </c>
      <c r="DL48" s="848">
        <f ca="1">MIN(nox_nightshade_cap,Construction!DF48/Construction!E48/nox_nightshade_swamp_bonus)</f>
        <v>2.8000000000000003</v>
      </c>
      <c r="DM48" s="488">
        <f t="shared" si="105"/>
        <v>0</v>
      </c>
      <c r="DN48" s="489">
        <f t="shared" ca="1" si="106"/>
        <v>2.8000000000000003</v>
      </c>
      <c r="DO48" s="489">
        <f t="shared" ca="1" si="107"/>
        <v>2.8000000000000003</v>
      </c>
      <c r="DP48" s="489">
        <f t="shared" si="108"/>
        <v>1</v>
      </c>
      <c r="DQ48" s="488">
        <f t="shared" si="109"/>
        <v>0</v>
      </c>
      <c r="DR48" s="489">
        <f t="shared" si="110"/>
        <v>0</v>
      </c>
      <c r="DS48" s="488">
        <f t="shared" si="111"/>
        <v>0</v>
      </c>
      <c r="DT48" s="489">
        <f t="shared" si="112"/>
        <v>0.1</v>
      </c>
      <c r="DX48" s="487">
        <f ca="1">MIN(6,CV48+Races!$F$19)*1.8 +  IF(CV48+Races!$F$19&gt;6,(CV48+Races!$F$19-6)*0.2,0) - Races!$N$19</f>
        <v>2.5200000000000005</v>
      </c>
      <c r="DY48" s="488">
        <f ca="1">1.8 * MIN(MAX(CW48+Races!$E$20,CX48+Races!$F$20),6)  +  0.45 * MIN(MIN(CW48+Races!$E$20,CX48+Races!$F$20),6)  +  0.2 * ( MAX(CW48+Races!$E$20-6,0) + MAX(CX48+Races!$F$20-6,0) )  -  Races!$N$20</f>
        <v>3.1500000000000012</v>
      </c>
      <c r="DZ48" s="57">
        <f t="shared" ca="1" si="113"/>
        <v>3780.0000000000009</v>
      </c>
      <c r="EA48" s="666">
        <f ca="1">MIN(6,CY48+Races!$F$35)*1.8 +  IF(CY48+Races!$F$35&gt;6,(CY48+Races!$F$35-6)*0.2,0) - Races!$N$19</f>
        <v>0.72000000000000064</v>
      </c>
      <c r="EB48" s="57">
        <f t="shared" ca="1" si="114"/>
        <v>0</v>
      </c>
      <c r="EC48" s="666">
        <f ca="1">1.8 * MIN(MAX(Races!$E$27,DB48+Races!$F$27),6)  +  0.45 * MIN(MIN(Races!$E$27,DB48+Races!$F$27),6)  +  0.2 * ( MAX(Races!$E$27-6,0) + MAX(DB48+Races!$F$27-6,0) )  -  Races!$N$20</f>
        <v>4.7700000000000005</v>
      </c>
      <c r="ED48" s="57">
        <f t="shared" ca="1" si="115"/>
        <v>0</v>
      </c>
      <c r="EE48" s="666">
        <f>1.8 * MIN(MAX(DC48+Races!$E$47,DD48+Races!$F$47),6)  +  0.45 * MIN(MIN(DC48+Races!$E$47,DD48+Races!$F$47),6)  +  0.2 * ( MAX(DC48+Races!$E$47-6,0) + MAX(DD48+Races!$F$47-6,0) )  -  Races!$N$47</f>
        <v>0</v>
      </c>
      <c r="EF48" s="57">
        <f t="shared" si="116"/>
        <v>0</v>
      </c>
      <c r="EG48" s="666">
        <f ca="1">1.8 * MIN(MAX(DG48+Races!$F$71,Races!$E$71),6)  +  0.45 * MIN(MIN(DG48+Races!$F$71,Races!$E$71),6)  +  0.2 * ( MAX(DG48+Races!$F$71-6,0) + MAX(Races!$E$71-6,0) )  -  Races!$N$71</f>
        <v>2.5200000000000014</v>
      </c>
      <c r="EH48" s="666">
        <f>1.8 * MIN(MAX(DH48+Races!$E$71,Races!$F$71),6)  +  0.45 * MIN(MIN(DH48+Races!$E$71,Races!$F$71),6)  +  0.2 * ( MAX(DH48+Races!$E$71-6,0) + MAX(Races!$F$71-6,0) )  -  Races!$N$71</f>
        <v>0.16200000000000081</v>
      </c>
      <c r="EI48" s="57">
        <f t="shared" ca="1" si="117"/>
        <v>2584.8000000000015</v>
      </c>
      <c r="EJ48" s="57"/>
      <c r="EK48" s="57"/>
      <c r="EL48" s="57"/>
      <c r="EM48" s="57">
        <f ca="1">Overview!$L$22*E48+Overview!$L$23*F48+Overview!$L$24*G48+Overview!$L$25*H48+Overview!$L$26*I48+Overview!$L$27*J48+Overview!$L$28*K48+Construction!E48*20+Construction!B48*5 + DZ48*$DV$4+EB48*$DV$5+ED48*$DV$6+EF48*$DV$7+EI48*$DV$9</f>
        <v>39460</v>
      </c>
      <c r="EO48" s="738">
        <f>(J48+2*K48)/Construction!E48</f>
        <v>0.1</v>
      </c>
      <c r="EP48" s="734">
        <f ca="1">EO48*(1+race_wizard_strength+tech_magical_weaponry_wiz*Techs!AV120)</f>
        <v>0.1</v>
      </c>
      <c r="EQ48" s="16">
        <f>(I48+halfer*H48/3)/Construction!E48</f>
        <v>0.1</v>
      </c>
    </row>
    <row r="49" spans="1:147" s="16" customFormat="1">
      <c r="A49" s="629">
        <f>Rezone!J49</f>
        <v>47</v>
      </c>
      <c r="B49" s="56">
        <f ca="1">SUM(E49:K49)+SUM(AF41:AG49)+SUM(AH38:AL49)+Z49+Explore!AL49</f>
        <v>5295</v>
      </c>
      <c r="C49" s="97">
        <f ca="1">Population!G49</f>
        <v>0.57305194805194803</v>
      </c>
      <c r="E49" s="52">
        <f t="shared" si="118"/>
        <v>0</v>
      </c>
      <c r="F49" s="16">
        <f t="shared" si="119"/>
        <v>0</v>
      </c>
      <c r="G49" s="16">
        <f t="shared" si="120"/>
        <v>1000</v>
      </c>
      <c r="H49" s="16">
        <f t="shared" si="121"/>
        <v>400</v>
      </c>
      <c r="I49" s="16">
        <f t="shared" si="122"/>
        <v>100</v>
      </c>
      <c r="J49" s="16">
        <f t="shared" si="123"/>
        <v>100</v>
      </c>
      <c r="K49" s="53">
        <f t="shared" si="124"/>
        <v>0</v>
      </c>
      <c r="M49" s="64">
        <f ca="1">Production!G49</f>
        <v>39460</v>
      </c>
      <c r="O49" s="142">
        <f t="shared" ca="1" si="75"/>
        <v>4400</v>
      </c>
      <c r="P49" s="455">
        <f ca="1">race_offense+Imps!AB49+ROUND(MIN(gn_bonus*Construction!BF49/Construction!$E49,gn_bonus_cap),4)+MAX(IF(Magic!$AN49&gt;0,warsong_bonus),IF(Magic!AP49&gt;0,howling_op_bonus),IF(Magic!AS49&gt;0,nightfall_bonus),IF(Magic!AT49&gt;0,crusade_bonus),IF(Magic!AU49&gt;0,killingrage_bonus),IF(Magic!AV49&gt;0,bloodrage_bonus)) + Production!O49/100*prestige_offense_bonus + MAX(tech_military_offense*Techs!AH49,tech_magical_weaponry_op*Techs!AV49)</f>
        <v>0.05</v>
      </c>
      <c r="Q49" s="235">
        <f t="shared" ca="1" si="46"/>
        <v>4620</v>
      </c>
      <c r="R49" s="234">
        <f ca="1">F49*(spec_dp+spirit*DR49)+G49*(elite1_dp+woodie*CV49+sylvan*CY49+gnome*DB49+dark_elf*DD49+icekin*DG49+orc*DJ49+nox*DL49+beast*DN49+sacred*DP49+spirit*DS49+blackorc*DK49)+H49*(elite2_dp+woodie*CX49+beast*DO49+sacred*DQ49) + fh_peas_dp*MIN(Population!C49,20*Construction!BD49)+kobold*DE49</f>
        <v>7200</v>
      </c>
      <c r="S49" s="235">
        <f t="shared" ca="1" si="76"/>
        <v>10895</v>
      </c>
      <c r="T49" s="1052">
        <f ca="1">race_defense+Imps!AC49+ROUND(MIN(gt_bonus*Construction!BH49/Construction!$E49,gt_bonus_cap),4)+MAX(IF(Magic!AM49&gt;0,frenzy_bonus,IF(Magic!AQ49&gt;0,blizzard_bonus,IF(Magic!AP49&gt;0,howling_dp_bonus,IF(Magic!AI49&gt;0,ares_call_bonus)))),IF(Magic!AX49&gt;0,MIN(Construction!DF49/Construction!E49,0.2),0))</f>
        <v>0</v>
      </c>
      <c r="U49" s="1046">
        <f t="shared" ca="1" si="47"/>
        <v>7200</v>
      </c>
      <c r="V49" s="310">
        <f t="shared" ca="1" si="48"/>
        <v>10895</v>
      </c>
      <c r="W49" s="310">
        <f>Construction!E49</f>
        <v>1000</v>
      </c>
      <c r="X49" s="367"/>
      <c r="Y49" s="146">
        <f t="shared" si="74"/>
        <v>0.4</v>
      </c>
      <c r="Z49" s="166">
        <f ca="1">Z48+Population!Z48 - IF(race="Lux",AF49,SUM(AF49:AK49)) - BE49 + SUM(BF49:BL49) - Explore!AI49</f>
        <v>3695</v>
      </c>
      <c r="AA49" s="164"/>
      <c r="AB49" s="91">
        <f>(Construction!$BA49+Construction!BY49)/(Construction!$E49-Explore!S49*20)</f>
        <v>0.2</v>
      </c>
      <c r="AC49" s="529"/>
      <c r="AD49" s="799">
        <f>Rezone!J49</f>
        <v>47</v>
      </c>
      <c r="AE49" s="589">
        <f>Explore!AA49</f>
        <v>43693.916666666555</v>
      </c>
      <c r="AF49" s="356"/>
      <c r="AG49" s="348"/>
      <c r="AH49" s="348"/>
      <c r="AI49" s="348"/>
      <c r="AJ49" s="348"/>
      <c r="AK49" s="348"/>
      <c r="AL49" s="357"/>
      <c r="AN49" s="56">
        <f ca="1">Production!$H49</f>
        <v>3437457</v>
      </c>
      <c r="AO49" s="26">
        <f ca="1">Production!$L49</f>
        <v>231000</v>
      </c>
      <c r="AP49" s="26">
        <f ca="1">Production!J49</f>
        <v>283001</v>
      </c>
      <c r="AQ49" s="26">
        <f ca="1">Production!M49</f>
        <v>20000</v>
      </c>
      <c r="AR49" s="26">
        <f ca="1">Production!K49</f>
        <v>45721</v>
      </c>
      <c r="AS49" s="26">
        <f ca="1">Production!I49</f>
        <v>197484</v>
      </c>
      <c r="AT49" s="26">
        <f ca="1">Production!N49</f>
        <v>200</v>
      </c>
      <c r="AU49" s="152">
        <f t="shared" ca="1" si="77"/>
        <v>0</v>
      </c>
      <c r="AV49" s="164">
        <f t="shared" ca="1" si="78"/>
        <v>0</v>
      </c>
      <c r="AW49" s="164">
        <f t="shared" ca="1" si="50"/>
        <v>0</v>
      </c>
      <c r="AX49" s="164">
        <f t="shared" ca="1" si="51"/>
        <v>0</v>
      </c>
      <c r="AY49" s="164">
        <f t="shared" ca="1" si="52"/>
        <v>0</v>
      </c>
      <c r="AZ49" s="164">
        <f t="shared" ca="1" si="53"/>
        <v>0</v>
      </c>
      <c r="BA49" s="166">
        <f t="shared" ca="1" si="54"/>
        <v>0</v>
      </c>
      <c r="BB49" s="16">
        <v>47</v>
      </c>
      <c r="BC49" s="574">
        <f t="shared" si="71"/>
        <v>43693.916666666555</v>
      </c>
      <c r="BD49" s="148">
        <f t="shared" ca="1" si="72"/>
        <v>3695</v>
      </c>
      <c r="BE49" s="356"/>
      <c r="BF49" s="348"/>
      <c r="BG49" s="348"/>
      <c r="BH49" s="348"/>
      <c r="BI49" s="348"/>
      <c r="BJ49" s="348"/>
      <c r="BK49" s="348"/>
      <c r="BL49" s="357"/>
      <c r="BN49" s="503">
        <f>Construction!BM49/Construction!E49</f>
        <v>0</v>
      </c>
      <c r="BO49" s="171">
        <f>Construction!BD49/Construction!E49</f>
        <v>0</v>
      </c>
      <c r="BP49" s="152">
        <f>ROUNDUP((1-MIN(AB49*smithy_bonus,smithy_bonus_cap))*(1+Techs!AO49*tech_master_of_frugality)*spec_op_plat,0)</f>
        <v>165</v>
      </c>
      <c r="BQ49" s="164">
        <f>ROUNDUP(IF(race="Gnome",1,(1-MIN(AB49*smithy_bonus,smithy_bonus_cap))*(1+Techs!AO49*tech_master_of_frugality))*spec_op_ore,0)</f>
        <v>15</v>
      </c>
      <c r="BR49" s="164">
        <f t="shared" si="79"/>
        <v>0</v>
      </c>
      <c r="BS49" s="164">
        <f t="shared" si="80"/>
        <v>0</v>
      </c>
      <c r="BT49" s="164">
        <f ca="1">ROUNDUP((1-MIN(AB49*smithy_bonus,smithy_bonus_cap))*(1+Techs!AO49*tech_master_of_frugality)*spec_dp_plat,0)</f>
        <v>165</v>
      </c>
      <c r="BU49" s="164">
        <f ca="1">ROUNDUP(IF(OR(race="Gnome",race="Imperial Gnome"),1,(1-MIN(AB49*smithy_bonus,smithy_bonus_cap))*(1+Techs!AO49*tech_master_of_frugality))*spec_dp_ore,0)</f>
        <v>6</v>
      </c>
      <c r="BV49" s="164">
        <f t="shared" ca="1" si="81"/>
        <v>0</v>
      </c>
      <c r="BW49" s="164">
        <f t="shared" ca="1" si="82"/>
        <v>0</v>
      </c>
      <c r="BX49" s="164">
        <f t="shared" ca="1" si="83"/>
        <v>0</v>
      </c>
      <c r="BY49" s="164">
        <f ca="1">ROUNDUP((1-MIN(AB49*smithy_bonus,smithy_bonus_cap))*(1+Techs!AO49*tech_master_of_frugality)*elite1_plat,0)</f>
        <v>600</v>
      </c>
      <c r="BZ49" s="164">
        <f ca="1">ROUNDUP(IF(race="Gnome",1,(1-MIN(AB49*smithy_bonus,smithy_bonus_cap))*(1+Techs!AO49*tech_master_of_frugality))*elite1_ore,0)</f>
        <v>45</v>
      </c>
      <c r="CA49" s="164">
        <f t="shared" ca="1" si="84"/>
        <v>0</v>
      </c>
      <c r="CB49" s="164">
        <f t="shared" ca="1" si="85"/>
        <v>0</v>
      </c>
      <c r="CC49" s="164">
        <f t="shared" ca="1" si="86"/>
        <v>0</v>
      </c>
      <c r="CD49" s="164">
        <f t="shared" ca="1" si="87"/>
        <v>0</v>
      </c>
      <c r="CE49" s="164">
        <f t="shared" ca="1" si="88"/>
        <v>0</v>
      </c>
      <c r="CF49" s="164">
        <f ca="1">ROUNDUP((1-MIN(AB49*smithy_bonus,smithy_bonus_cap))*(1+Techs!AO49*tech_master_of_frugality)*elite2_plat,0)</f>
        <v>750</v>
      </c>
      <c r="CG49" s="164">
        <f ca="1">ROUNDUP(IF(race="Gnome",1,(1-MIN(AB49*smithy_bonus,smithy_bonus_cap))*(1+Techs!AO49*tech_master_of_frugality))*elite2_ore,0)</f>
        <v>60</v>
      </c>
      <c r="CH49" s="164">
        <f t="shared" ca="1" si="89"/>
        <v>0</v>
      </c>
      <c r="CI49" s="164">
        <f t="shared" ca="1" si="90"/>
        <v>0</v>
      </c>
      <c r="CJ49" s="164">
        <f t="shared" ca="1" si="91"/>
        <v>0</v>
      </c>
      <c r="CK49" s="164">
        <f t="shared" ca="1" si="92"/>
        <v>0</v>
      </c>
      <c r="CL49" s="164">
        <f t="shared" ca="1" si="93"/>
        <v>0</v>
      </c>
      <c r="CM49" s="164">
        <f>ROUNDUP((1+tech_spy_cost*Techs!AJ49)*spy_plat,0)</f>
        <v>500</v>
      </c>
      <c r="CN49" s="164">
        <f>ROUNDUP((1+tech_wizard_cost*Techs!AM49-MIN(ROUND(wg_wiz_cost_bonus*BN49,4),wg_wiz_cost_cap))*wizard_plat,0)</f>
        <v>500</v>
      </c>
      <c r="CO49" s="166">
        <f>ROUNDUP((1+tech_wizard_cost*Techs!AM49-MIN(ROUND(wg_wiz_cost_bonus*BN49,4),wg_wiz_cost_cap))*archmage_plat,0)</f>
        <v>1000</v>
      </c>
      <c r="CQ49" s="465">
        <f ca="1">Construction!DF49/Construction!E49</f>
        <v>0.28000000000000003</v>
      </c>
      <c r="CR49" s="466">
        <f t="shared" si="73"/>
        <v>0</v>
      </c>
      <c r="CS49" s="466">
        <f>Construction!BK49/Construction!E49</f>
        <v>0.05</v>
      </c>
      <c r="CT49" s="466">
        <f>Construction!BJ49/Construction!E49</f>
        <v>0</v>
      </c>
      <c r="CU49" s="466">
        <f>Construction!AY49/Construction!E49</f>
        <v>0</v>
      </c>
      <c r="CV49" s="487">
        <f t="shared" ca="1" si="94"/>
        <v>1.4000000000000001</v>
      </c>
      <c r="CW49" s="488">
        <f t="shared" ca="1" si="95"/>
        <v>1.4000000000000001</v>
      </c>
      <c r="CX49" s="488">
        <f t="shared" ca="1" si="96"/>
        <v>1.4000000000000001</v>
      </c>
      <c r="CY49" s="489">
        <f t="shared" ca="1" si="97"/>
        <v>1.4000000000000001</v>
      </c>
      <c r="CZ49" s="489">
        <f t="shared" si="98"/>
        <v>0.1</v>
      </c>
      <c r="DA49" s="489">
        <f t="shared" ca="1" si="99"/>
        <v>3</v>
      </c>
      <c r="DB49" s="489">
        <f t="shared" ca="1" si="100"/>
        <v>1.4000000000000001</v>
      </c>
      <c r="DC49" s="488">
        <f t="shared" si="101"/>
        <v>0</v>
      </c>
      <c r="DD49" s="848">
        <f t="shared" si="102"/>
        <v>0</v>
      </c>
      <c r="DE49" s="442">
        <f t="shared" si="56"/>
        <v>800</v>
      </c>
      <c r="DF49" s="442">
        <f t="shared" si="57"/>
        <v>0</v>
      </c>
      <c r="DG49" s="487">
        <f t="shared" ca="1" si="103"/>
        <v>1.4000000000000001</v>
      </c>
      <c r="DH49" s="452">
        <f t="shared" si="104"/>
        <v>9.0000000000000011E-2</v>
      </c>
      <c r="DI49" s="452">
        <f>MIN(valkyrja_cap,Production!O49/valkyrja_bonus)</f>
        <v>1</v>
      </c>
      <c r="DJ49" s="848">
        <f>MIN(voodoo_magi_cap,Production!O49/voodoo_magi_bonus)</f>
        <v>0.83333333333333337</v>
      </c>
      <c r="DK49" s="848">
        <f>MIN(warlock_cap,Production!O49/warlock_bonus)</f>
        <v>1.25</v>
      </c>
      <c r="DL49" s="848">
        <f ca="1">MIN(nox_nightshade_cap,Construction!DF49/Construction!E49/nox_nightshade_swamp_bonus)</f>
        <v>2.8000000000000003</v>
      </c>
      <c r="DM49" s="488">
        <f t="shared" si="105"/>
        <v>0</v>
      </c>
      <c r="DN49" s="489">
        <f t="shared" ca="1" si="106"/>
        <v>2.8000000000000003</v>
      </c>
      <c r="DO49" s="489">
        <f t="shared" ca="1" si="107"/>
        <v>2.8000000000000003</v>
      </c>
      <c r="DP49" s="489">
        <f t="shared" si="108"/>
        <v>1</v>
      </c>
      <c r="DQ49" s="488">
        <f t="shared" si="109"/>
        <v>0</v>
      </c>
      <c r="DR49" s="489">
        <f t="shared" si="110"/>
        <v>0</v>
      </c>
      <c r="DS49" s="488">
        <f t="shared" si="111"/>
        <v>0</v>
      </c>
      <c r="DT49" s="489">
        <f t="shared" si="112"/>
        <v>0.1</v>
      </c>
      <c r="DX49" s="487">
        <f ca="1">MIN(6,CV49+Races!$F$19)*1.8 +  IF(CV49+Races!$F$19&gt;6,(CV49+Races!$F$19-6)*0.2,0) - Races!$N$19</f>
        <v>2.5200000000000005</v>
      </c>
      <c r="DY49" s="488">
        <f ca="1">1.8 * MIN(MAX(CW49+Races!$E$20,CX49+Races!$F$20),6)  +  0.45 * MIN(MIN(CW49+Races!$E$20,CX49+Races!$F$20),6)  +  0.2 * ( MAX(CW49+Races!$E$20-6,0) + MAX(CX49+Races!$F$20-6,0) )  -  Races!$N$20</f>
        <v>3.1500000000000012</v>
      </c>
      <c r="DZ49" s="57">
        <f t="shared" ca="1" si="113"/>
        <v>3780.0000000000009</v>
      </c>
      <c r="EA49" s="666">
        <f ca="1">MIN(6,CY49+Races!$F$35)*1.8 +  IF(CY49+Races!$F$35&gt;6,(CY49+Races!$F$35-6)*0.2,0) - Races!$N$19</f>
        <v>0.72000000000000064</v>
      </c>
      <c r="EB49" s="57">
        <f t="shared" ca="1" si="114"/>
        <v>0</v>
      </c>
      <c r="EC49" s="666">
        <f ca="1">1.8 * MIN(MAX(Races!$E$27,DB49+Races!$F$27),6)  +  0.45 * MIN(MIN(Races!$E$27,DB49+Races!$F$27),6)  +  0.2 * ( MAX(Races!$E$27-6,0) + MAX(DB49+Races!$F$27-6,0) )  -  Races!$N$20</f>
        <v>4.7700000000000005</v>
      </c>
      <c r="ED49" s="57">
        <f t="shared" ca="1" si="115"/>
        <v>0</v>
      </c>
      <c r="EE49" s="666">
        <f>1.8 * MIN(MAX(DC49+Races!$E$47,DD49+Races!$F$47),6)  +  0.45 * MIN(MIN(DC49+Races!$E$47,DD49+Races!$F$47),6)  +  0.2 * ( MAX(DC49+Races!$E$47-6,0) + MAX(DD49+Races!$F$47-6,0) )  -  Races!$N$47</f>
        <v>0</v>
      </c>
      <c r="EF49" s="57">
        <f t="shared" si="116"/>
        <v>0</v>
      </c>
      <c r="EG49" s="666">
        <f ca="1">1.8 * MIN(MAX(DG49+Races!$F$71,Races!$E$71),6)  +  0.45 * MIN(MIN(DG49+Races!$F$71,Races!$E$71),6)  +  0.2 * ( MAX(DG49+Races!$F$71-6,0) + MAX(Races!$E$71-6,0) )  -  Races!$N$71</f>
        <v>2.5200000000000014</v>
      </c>
      <c r="EH49" s="666">
        <f>1.8 * MIN(MAX(DH49+Races!$E$71,Races!$F$71),6)  +  0.45 * MIN(MIN(DH49+Races!$E$71,Races!$F$71),6)  +  0.2 * ( MAX(DH49+Races!$E$71-6,0) + MAX(Races!$F$71-6,0) )  -  Races!$N$71</f>
        <v>0.16200000000000081</v>
      </c>
      <c r="EI49" s="57">
        <f t="shared" ca="1" si="117"/>
        <v>2584.8000000000015</v>
      </c>
      <c r="EJ49" s="57"/>
      <c r="EK49" s="57"/>
      <c r="EL49" s="57"/>
      <c r="EM49" s="57">
        <f ca="1">Overview!$L$22*E49+Overview!$L$23*F49+Overview!$L$24*G49+Overview!$L$25*H49+Overview!$L$26*I49+Overview!$L$27*J49+Overview!$L$28*K49+Construction!E49*20+Construction!B49*5 + DZ49*$DV$4+EB49*$DV$5+ED49*$DV$6+EF49*$DV$7+EI49*$DV$9</f>
        <v>39460</v>
      </c>
      <c r="EO49" s="738">
        <f>(J49+2*K49)/Construction!E49</f>
        <v>0.1</v>
      </c>
      <c r="EP49" s="734">
        <f ca="1">EO49*(1+race_wizard_strength+tech_magical_weaponry_wiz*Techs!AV121)</f>
        <v>0.1</v>
      </c>
      <c r="EQ49" s="16">
        <f>(I49+halfer*H49/3)/Construction!E49</f>
        <v>0.1</v>
      </c>
    </row>
    <row r="50" spans="1:147" s="16" customFormat="1" ht="13.5" thickBot="1">
      <c r="A50" s="629">
        <f>Rezone!J50</f>
        <v>48</v>
      </c>
      <c r="B50" s="56">
        <f ca="1">SUM(E50:K50)+SUM(AF42:AG50)+SUM(AH39:AL50)+Z50+Explore!AL50</f>
        <v>5295</v>
      </c>
      <c r="C50" s="97">
        <f ca="1">Population!G50</f>
        <v>0.57305194805194803</v>
      </c>
      <c r="E50" s="52">
        <f t="shared" si="118"/>
        <v>0</v>
      </c>
      <c r="F50" s="16">
        <f t="shared" si="119"/>
        <v>0</v>
      </c>
      <c r="G50" s="16">
        <f t="shared" si="120"/>
        <v>1000</v>
      </c>
      <c r="H50" s="16">
        <f t="shared" si="121"/>
        <v>400</v>
      </c>
      <c r="I50" s="16">
        <f t="shared" si="122"/>
        <v>100</v>
      </c>
      <c r="J50" s="16">
        <f t="shared" si="123"/>
        <v>100</v>
      </c>
      <c r="K50" s="53">
        <f t="shared" si="124"/>
        <v>0</v>
      </c>
      <c r="M50" s="64">
        <f ca="1">Production!G50</f>
        <v>39460</v>
      </c>
      <c r="O50" s="142">
        <f t="shared" ca="1" si="75"/>
        <v>4400</v>
      </c>
      <c r="P50" s="455">
        <f ca="1">race_offense+Imps!AB50+ROUND(MIN(gn_bonus*Construction!BF50/Construction!$E50,gn_bonus_cap),4)+MAX(IF(Magic!$AN50&gt;0,warsong_bonus),IF(Magic!AP50&gt;0,howling_op_bonus),IF(Magic!AS50&gt;0,nightfall_bonus),IF(Magic!AT50&gt;0,crusade_bonus),IF(Magic!AU50&gt;0,killingrage_bonus),IF(Magic!AV50&gt;0,bloodrage_bonus)) + Production!O50/100*prestige_offense_bonus + MAX(tech_military_offense*Techs!AH50,tech_magical_weaponry_op*Techs!AV50)</f>
        <v>0.05</v>
      </c>
      <c r="Q50" s="235">
        <f t="shared" ca="1" si="46"/>
        <v>4620</v>
      </c>
      <c r="R50" s="234">
        <f ca="1">F50*(spec_dp+spirit*DR50)+G50*(elite1_dp+woodie*CV50+sylvan*CY50+gnome*DB50+dark_elf*DD50+icekin*DG50+orc*DJ50+nox*DL50+beast*DN50+sacred*DP50+spirit*DS50+blackorc*DK50)+H50*(elite2_dp+woodie*CX50+beast*DO50+sacred*DQ50) + fh_peas_dp*MIN(Population!C50,20*Construction!BD50)+kobold*DE50</f>
        <v>7200</v>
      </c>
      <c r="S50" s="235">
        <f t="shared" ca="1" si="76"/>
        <v>10895</v>
      </c>
      <c r="T50" s="1052">
        <f ca="1">race_defense+Imps!AC50+ROUND(MIN(gt_bonus*Construction!BH50/Construction!$E50,gt_bonus_cap),4)+MAX(IF(Magic!AM50&gt;0,frenzy_bonus,IF(Magic!AQ50&gt;0,blizzard_bonus,IF(Magic!AP50&gt;0,howling_dp_bonus,IF(Magic!AI50&gt;0,ares_call_bonus)))),IF(Magic!AX50&gt;0,MIN(Construction!DF50/Construction!E50,0.2),0))</f>
        <v>0</v>
      </c>
      <c r="U50" s="1046">
        <f t="shared" ca="1" si="47"/>
        <v>7200</v>
      </c>
      <c r="V50" s="310">
        <f t="shared" ca="1" si="48"/>
        <v>10895</v>
      </c>
      <c r="W50" s="310">
        <f>Construction!E50</f>
        <v>1000</v>
      </c>
      <c r="X50" s="367"/>
      <c r="Y50" s="146">
        <f t="shared" si="74"/>
        <v>0.4</v>
      </c>
      <c r="Z50" s="166">
        <f ca="1">Z49+Population!Z49 - IF(race="Lux",AF50,SUM(AF50:AK50)) - BE50 + SUM(BF50:BL50) - Explore!AI50</f>
        <v>3695</v>
      </c>
      <c r="AA50" s="164"/>
      <c r="AB50" s="91">
        <f>(Construction!$BA50+Construction!BY50)/(Construction!$E50-Explore!S50*20)</f>
        <v>0.2</v>
      </c>
      <c r="AC50" s="529"/>
      <c r="AD50" s="799">
        <f>Rezone!J50</f>
        <v>48</v>
      </c>
      <c r="AE50" s="589">
        <f>Explore!AA50</f>
        <v>43693.958333333219</v>
      </c>
      <c r="AF50" s="356"/>
      <c r="AG50" s="348"/>
      <c r="AH50" s="348"/>
      <c r="AI50" s="348"/>
      <c r="AJ50" s="348"/>
      <c r="AK50" s="348"/>
      <c r="AL50" s="357"/>
      <c r="AN50" s="56">
        <f ca="1">Production!$H50</f>
        <v>3448108</v>
      </c>
      <c r="AO50" s="26">
        <f ca="1">Production!$L50</f>
        <v>231000</v>
      </c>
      <c r="AP50" s="26">
        <f ca="1">Production!J50</f>
        <v>282671</v>
      </c>
      <c r="AQ50" s="26">
        <f ca="1">Production!M50</f>
        <v>20000</v>
      </c>
      <c r="AR50" s="26">
        <f ca="1">Production!K50</f>
        <v>46057</v>
      </c>
      <c r="AS50" s="26">
        <f ca="1">Production!I50</f>
        <v>200239</v>
      </c>
      <c r="AT50" s="26">
        <f ca="1">Production!N50</f>
        <v>200</v>
      </c>
      <c r="AU50" s="152">
        <f t="shared" ca="1" si="77"/>
        <v>0</v>
      </c>
      <c r="AV50" s="164">
        <f t="shared" ca="1" si="78"/>
        <v>0</v>
      </c>
      <c r="AW50" s="164">
        <f t="shared" ca="1" si="50"/>
        <v>0</v>
      </c>
      <c r="AX50" s="164">
        <f t="shared" ca="1" si="51"/>
        <v>0</v>
      </c>
      <c r="AY50" s="164">
        <f t="shared" ca="1" si="52"/>
        <v>0</v>
      </c>
      <c r="AZ50" s="164">
        <f t="shared" ca="1" si="53"/>
        <v>0</v>
      </c>
      <c r="BA50" s="166">
        <f t="shared" ca="1" si="54"/>
        <v>0</v>
      </c>
      <c r="BB50" s="16">
        <v>48</v>
      </c>
      <c r="BC50" s="574">
        <f t="shared" si="71"/>
        <v>43693.958333333219</v>
      </c>
      <c r="BD50" s="148">
        <f t="shared" ca="1" si="72"/>
        <v>3695</v>
      </c>
      <c r="BE50" s="356"/>
      <c r="BF50" s="348"/>
      <c r="BG50" s="348"/>
      <c r="BH50" s="348"/>
      <c r="BI50" s="348"/>
      <c r="BJ50" s="348"/>
      <c r="BK50" s="348"/>
      <c r="BL50" s="357"/>
      <c r="BN50" s="503">
        <f>Construction!BM50/Construction!E50</f>
        <v>0</v>
      </c>
      <c r="BO50" s="171">
        <f>Construction!BD50/Construction!E50</f>
        <v>0</v>
      </c>
      <c r="BP50" s="152">
        <f>ROUNDUP((1-MIN(AB50*smithy_bonus,smithy_bonus_cap))*(1+Techs!AO50*tech_master_of_frugality)*spec_op_plat,0)</f>
        <v>165</v>
      </c>
      <c r="BQ50" s="164">
        <f>ROUNDUP(IF(race="Gnome",1,(1-MIN(AB50*smithy_bonus,smithy_bonus_cap))*(1+Techs!AO50*tech_master_of_frugality))*spec_op_ore,0)</f>
        <v>15</v>
      </c>
      <c r="BR50" s="164">
        <f t="shared" si="79"/>
        <v>0</v>
      </c>
      <c r="BS50" s="164">
        <f t="shared" si="80"/>
        <v>0</v>
      </c>
      <c r="BT50" s="164">
        <f ca="1">ROUNDUP((1-MIN(AB50*smithy_bonus,smithy_bonus_cap))*(1+Techs!AO50*tech_master_of_frugality)*spec_dp_plat,0)</f>
        <v>165</v>
      </c>
      <c r="BU50" s="164">
        <f ca="1">ROUNDUP(IF(OR(race="Gnome",race="Imperial Gnome"),1,(1-MIN(AB50*smithy_bonus,smithy_bonus_cap))*(1+Techs!AO50*tech_master_of_frugality))*spec_dp_ore,0)</f>
        <v>6</v>
      </c>
      <c r="BV50" s="164">
        <f t="shared" ca="1" si="81"/>
        <v>0</v>
      </c>
      <c r="BW50" s="164">
        <f t="shared" ca="1" si="82"/>
        <v>0</v>
      </c>
      <c r="BX50" s="164">
        <f t="shared" ca="1" si="83"/>
        <v>0</v>
      </c>
      <c r="BY50" s="164">
        <f ca="1">ROUNDUP((1-MIN(AB50*smithy_bonus,smithy_bonus_cap))*(1+Techs!AO50*tech_master_of_frugality)*elite1_plat,0)</f>
        <v>600</v>
      </c>
      <c r="BZ50" s="164">
        <f ca="1">ROUNDUP(IF(race="Gnome",1,(1-MIN(AB50*smithy_bonus,smithy_bonus_cap))*(1+Techs!AO50*tech_master_of_frugality))*elite1_ore,0)</f>
        <v>45</v>
      </c>
      <c r="CA50" s="164">
        <f t="shared" ca="1" si="84"/>
        <v>0</v>
      </c>
      <c r="CB50" s="164">
        <f t="shared" ca="1" si="85"/>
        <v>0</v>
      </c>
      <c r="CC50" s="164">
        <f t="shared" ca="1" si="86"/>
        <v>0</v>
      </c>
      <c r="CD50" s="164">
        <f t="shared" ca="1" si="87"/>
        <v>0</v>
      </c>
      <c r="CE50" s="164">
        <f t="shared" ca="1" si="88"/>
        <v>0</v>
      </c>
      <c r="CF50" s="164">
        <f ca="1">ROUNDUP((1-MIN(AB50*smithy_bonus,smithy_bonus_cap))*(1+Techs!AO50*tech_master_of_frugality)*elite2_plat,0)</f>
        <v>750</v>
      </c>
      <c r="CG50" s="164">
        <f ca="1">ROUNDUP(IF(race="Gnome",1,(1-MIN(AB50*smithy_bonus,smithy_bonus_cap))*(1+Techs!AO50*tech_master_of_frugality))*elite2_ore,0)</f>
        <v>60</v>
      </c>
      <c r="CH50" s="164">
        <f t="shared" ca="1" si="89"/>
        <v>0</v>
      </c>
      <c r="CI50" s="164">
        <f t="shared" ca="1" si="90"/>
        <v>0</v>
      </c>
      <c r="CJ50" s="164">
        <f t="shared" ca="1" si="91"/>
        <v>0</v>
      </c>
      <c r="CK50" s="164">
        <f t="shared" ca="1" si="92"/>
        <v>0</v>
      </c>
      <c r="CL50" s="164">
        <f t="shared" ca="1" si="93"/>
        <v>0</v>
      </c>
      <c r="CM50" s="164">
        <f>ROUNDUP((1+tech_spy_cost*Techs!AJ50)*spy_plat,0)</f>
        <v>500</v>
      </c>
      <c r="CN50" s="164">
        <f>ROUNDUP((1+tech_wizard_cost*Techs!AM50-MIN(ROUND(wg_wiz_cost_bonus*BN50,4),wg_wiz_cost_cap))*wizard_plat,0)</f>
        <v>500</v>
      </c>
      <c r="CO50" s="166">
        <f>ROUNDUP((1+tech_wizard_cost*Techs!AM50-MIN(ROUND(wg_wiz_cost_bonus*BN50,4),wg_wiz_cost_cap))*archmage_plat,0)</f>
        <v>1000</v>
      </c>
      <c r="CQ50" s="465">
        <f ca="1">Construction!DF50/Construction!E50</f>
        <v>0.28000000000000003</v>
      </c>
      <c r="CR50" s="466">
        <f t="shared" si="73"/>
        <v>0</v>
      </c>
      <c r="CS50" s="466">
        <f>Construction!BK50/Construction!E50</f>
        <v>0.05</v>
      </c>
      <c r="CT50" s="466">
        <f>Construction!BJ50/Construction!E50</f>
        <v>0</v>
      </c>
      <c r="CU50" s="466">
        <f>Construction!AY50/Construction!E50</f>
        <v>0</v>
      </c>
      <c r="CV50" s="487">
        <f t="shared" ca="1" si="94"/>
        <v>1.4000000000000001</v>
      </c>
      <c r="CW50" s="488">
        <f t="shared" ca="1" si="95"/>
        <v>1.4000000000000001</v>
      </c>
      <c r="CX50" s="488">
        <f t="shared" ca="1" si="96"/>
        <v>1.4000000000000001</v>
      </c>
      <c r="CY50" s="489">
        <f t="shared" ca="1" si="97"/>
        <v>1.4000000000000001</v>
      </c>
      <c r="CZ50" s="489">
        <f t="shared" si="98"/>
        <v>0.1</v>
      </c>
      <c r="DA50" s="489">
        <f t="shared" ca="1" si="99"/>
        <v>3</v>
      </c>
      <c r="DB50" s="489">
        <f t="shared" ca="1" si="100"/>
        <v>1.4000000000000001</v>
      </c>
      <c r="DC50" s="488">
        <f t="shared" si="101"/>
        <v>0</v>
      </c>
      <c r="DD50" s="848">
        <f t="shared" si="102"/>
        <v>0</v>
      </c>
      <c r="DE50" s="442">
        <f t="shared" si="56"/>
        <v>800</v>
      </c>
      <c r="DF50" s="442">
        <f t="shared" si="57"/>
        <v>0</v>
      </c>
      <c r="DG50" s="487">
        <f t="shared" ca="1" si="103"/>
        <v>1.4000000000000001</v>
      </c>
      <c r="DH50" s="452">
        <f t="shared" si="104"/>
        <v>9.0000000000000011E-2</v>
      </c>
      <c r="DI50" s="452">
        <f>MIN(valkyrja_cap,Production!O50/valkyrja_bonus)</f>
        <v>1</v>
      </c>
      <c r="DJ50" s="848">
        <f>MIN(voodoo_magi_cap,Production!O50/voodoo_magi_bonus)</f>
        <v>0.83333333333333337</v>
      </c>
      <c r="DK50" s="848">
        <f>MIN(warlock_cap,Production!O50/warlock_bonus)</f>
        <v>1.25</v>
      </c>
      <c r="DL50" s="848">
        <f ca="1">MIN(nox_nightshade_cap,Construction!DF50/Construction!E50/nox_nightshade_swamp_bonus)</f>
        <v>2.8000000000000003</v>
      </c>
      <c r="DM50" s="488">
        <f t="shared" si="105"/>
        <v>0</v>
      </c>
      <c r="DN50" s="489">
        <f t="shared" ca="1" si="106"/>
        <v>2.8000000000000003</v>
      </c>
      <c r="DO50" s="489">
        <f t="shared" ca="1" si="107"/>
        <v>2.8000000000000003</v>
      </c>
      <c r="DP50" s="489">
        <f t="shared" si="108"/>
        <v>1</v>
      </c>
      <c r="DQ50" s="488">
        <f t="shared" si="109"/>
        <v>0</v>
      </c>
      <c r="DR50" s="489">
        <f t="shared" si="110"/>
        <v>0</v>
      </c>
      <c r="DS50" s="488">
        <f t="shared" si="111"/>
        <v>0</v>
      </c>
      <c r="DT50" s="489">
        <f t="shared" si="112"/>
        <v>0.1</v>
      </c>
      <c r="DX50" s="487">
        <f ca="1">MIN(6,CV50+Races!$F$19)*1.8 +  IF(CV50+Races!$F$19&gt;6,(CV50+Races!$F$19-6)*0.2,0) - Races!$N$19</f>
        <v>2.5200000000000005</v>
      </c>
      <c r="DY50" s="488">
        <f ca="1">1.8 * MIN(MAX(CW50+Races!$E$20,CX50+Races!$F$20),6)  +  0.45 * MIN(MIN(CW50+Races!$E$20,CX50+Races!$F$20),6)  +  0.2 * ( MAX(CW50+Races!$E$20-6,0) + MAX(CX50+Races!$F$20-6,0) )  -  Races!$N$20</f>
        <v>3.1500000000000012</v>
      </c>
      <c r="DZ50" s="57">
        <f t="shared" ca="1" si="113"/>
        <v>3780.0000000000009</v>
      </c>
      <c r="EA50" s="666">
        <f ca="1">MIN(6,CY50+Races!$F$35)*1.8 +  IF(CY50+Races!$F$35&gt;6,(CY50+Races!$F$35-6)*0.2,0) - Races!$N$19</f>
        <v>0.72000000000000064</v>
      </c>
      <c r="EB50" s="57">
        <f t="shared" ca="1" si="114"/>
        <v>0</v>
      </c>
      <c r="EC50" s="666">
        <f ca="1">1.8 * MIN(MAX(Races!$E$27,DB50+Races!$F$27),6)  +  0.45 * MIN(MIN(Races!$E$27,DB50+Races!$F$27),6)  +  0.2 * ( MAX(Races!$E$27-6,0) + MAX(DB50+Races!$F$27-6,0) )  -  Races!$N$20</f>
        <v>4.7700000000000005</v>
      </c>
      <c r="ED50" s="57">
        <f t="shared" ca="1" si="115"/>
        <v>0</v>
      </c>
      <c r="EE50" s="666">
        <f>1.8 * MIN(MAX(DC50+Races!$E$47,DD50+Races!$F$47),6)  +  0.45 * MIN(MIN(DC50+Races!$E$47,DD50+Races!$F$47),6)  +  0.2 * ( MAX(DC50+Races!$E$47-6,0) + MAX(DD50+Races!$F$47-6,0) )  -  Races!$N$47</f>
        <v>0</v>
      </c>
      <c r="EF50" s="57">
        <f t="shared" si="116"/>
        <v>0</v>
      </c>
      <c r="EG50" s="666">
        <f ca="1">1.8 * MIN(MAX(DG50+Races!$F$71,Races!$E$71),6)  +  0.45 * MIN(MIN(DG50+Races!$F$71,Races!$E$71),6)  +  0.2 * ( MAX(DG50+Races!$F$71-6,0) + MAX(Races!$E$71-6,0) )  -  Races!$N$71</f>
        <v>2.5200000000000014</v>
      </c>
      <c r="EH50" s="666">
        <f>1.8 * MIN(MAX(DH50+Races!$E$71,Races!$F$71),6)  +  0.45 * MIN(MIN(DH50+Races!$E$71,Races!$F$71),6)  +  0.2 * ( MAX(DH50+Races!$E$71-6,0) + MAX(Races!$F$71-6,0) )  -  Races!$N$71</f>
        <v>0.16200000000000081</v>
      </c>
      <c r="EI50" s="57">
        <f t="shared" ca="1" si="117"/>
        <v>2584.8000000000015</v>
      </c>
      <c r="EJ50" s="57"/>
      <c r="EK50" s="57"/>
      <c r="EL50" s="57"/>
      <c r="EM50" s="57">
        <f ca="1">Overview!$L$22*E50+Overview!$L$23*F50+Overview!$L$24*G50+Overview!$L$25*H50+Overview!$L$26*I50+Overview!$L$27*J50+Overview!$L$28*K50+Construction!E50*20+Construction!B50*5 + DZ50*$DV$4+EB50*$DV$5+ED50*$DV$6+EF50*$DV$7+EI50*$DV$9</f>
        <v>39460</v>
      </c>
      <c r="EO50" s="738">
        <f>(J50+2*K50)/Construction!E50</f>
        <v>0.1</v>
      </c>
      <c r="EP50" s="734">
        <f ca="1">EO50*(1+race_wizard_strength+tech_magical_weaponry_wiz*Techs!AV122)</f>
        <v>0.1</v>
      </c>
      <c r="EQ50" s="16">
        <f>(I50+halfer*H50/3)/Construction!E50</f>
        <v>0.1</v>
      </c>
    </row>
    <row r="51" spans="1:147" s="111" customFormat="1" ht="14.25" thickTop="1" thickBot="1">
      <c r="A51" s="1059">
        <f>Rezone!J51</f>
        <v>49</v>
      </c>
      <c r="B51" s="110">
        <f ca="1">SUM(E51:K51)+SUM(AF43:AG51)+SUM(AH40:AL51)+Z51+Explore!AL51</f>
        <v>5295</v>
      </c>
      <c r="C51" s="135">
        <f ca="1">Population!G51</f>
        <v>0.57305194805194803</v>
      </c>
      <c r="E51" s="113">
        <f t="shared" si="118"/>
        <v>0</v>
      </c>
      <c r="F51" s="111">
        <f t="shared" si="119"/>
        <v>0</v>
      </c>
      <c r="G51" s="111">
        <f t="shared" si="120"/>
        <v>1000</v>
      </c>
      <c r="H51" s="111">
        <f t="shared" si="121"/>
        <v>400</v>
      </c>
      <c r="I51" s="111">
        <f t="shared" si="122"/>
        <v>100</v>
      </c>
      <c r="J51" s="111">
        <f t="shared" si="123"/>
        <v>100</v>
      </c>
      <c r="K51" s="115">
        <f t="shared" si="124"/>
        <v>0</v>
      </c>
      <c r="M51" s="117">
        <f ca="1">Production!G51</f>
        <v>39460</v>
      </c>
      <c r="O51" s="144">
        <f t="shared" ca="1" si="75"/>
        <v>4400</v>
      </c>
      <c r="P51" s="1165">
        <f ca="1">race_offense+Imps!AB51+ROUND(MIN(gn_bonus*Construction!BF51/Construction!$E51,gn_bonus_cap),4)+MAX(IF(Magic!$AN51&gt;0,warsong_bonus),IF(Magic!AP51&gt;0,howling_op_bonus),IF(Magic!AS51&gt;0,nightfall_bonus),IF(Magic!AT51&gt;0,crusade_bonus),IF(Magic!AU51&gt;0,killingrage_bonus),IF(Magic!AV51&gt;0,bloodrage_bonus)) + Production!O51/100*prestige_offense_bonus + MAX(tech_military_offense*Techs!AH51,tech_magical_weaponry_op*Techs!AV51)</f>
        <v>0.05</v>
      </c>
      <c r="Q51" s="1058">
        <f t="shared" ca="1" si="46"/>
        <v>4620</v>
      </c>
      <c r="R51" s="1053">
        <f ca="1">F51*(spec_dp+spirit*DR51)+G51*(elite1_dp+woodie*CV51+sylvan*CY51+gnome*DB51+dark_elf*DD51+icekin*DG51+orc*DJ51+nox*DL51+beast*DN51+sacred*DP51+spirit*DS51+blackorc*DK51)+H51*(elite2_dp+woodie*CX51+beast*DO51+sacred*DQ51) + fh_peas_dp*MIN(Population!C51,20*Construction!BD51)+kobold*DE51</f>
        <v>7200</v>
      </c>
      <c r="S51" s="1058">
        <f t="shared" ca="1" si="76"/>
        <v>10895</v>
      </c>
      <c r="T51" s="1180">
        <f ca="1">race_defense+Imps!AC51+ROUND(MIN(gt_bonus*Construction!BH51/Construction!$E51,gt_bonus_cap),4)+MAX(IF(Magic!AM51&gt;0,frenzy_bonus,IF(Magic!AQ51&gt;0,blizzard_bonus,IF(Magic!AP51&gt;0,howling_dp_bonus,IF(Magic!AI51&gt;0,ares_call_bonus)))),IF(Magic!AX51&gt;0,MIN(Construction!DF51/Construction!E51,0.2),0))</f>
        <v>0</v>
      </c>
      <c r="U51" s="1054">
        <f t="shared" ca="1" si="47"/>
        <v>7200</v>
      </c>
      <c r="V51" s="312">
        <f t="shared" ca="1" si="48"/>
        <v>10895</v>
      </c>
      <c r="W51" s="312">
        <f>Construction!E51</f>
        <v>1000</v>
      </c>
      <c r="X51" s="369"/>
      <c r="Y51" s="147">
        <f t="shared" si="74"/>
        <v>0.4</v>
      </c>
      <c r="Z51" s="274">
        <f ca="1">Z50+Population!Z50 - IF(race="Lux",AF51,SUM(AF51:AK51)) - BE51 + SUM(BF51:BL51) - Explore!AI51</f>
        <v>3695</v>
      </c>
      <c r="AA51" s="277"/>
      <c r="AB51" s="133">
        <f>(Construction!$BA51+Construction!BY51)/(Construction!$E51-Explore!S51*20)</f>
        <v>0.2</v>
      </c>
      <c r="AC51" s="638"/>
      <c r="AD51" s="802">
        <f>Rezone!J51</f>
        <v>49</v>
      </c>
      <c r="AE51" s="591">
        <f>Explore!AA51</f>
        <v>43693.999999999884</v>
      </c>
      <c r="AF51" s="358"/>
      <c r="AG51" s="350"/>
      <c r="AH51" s="350"/>
      <c r="AI51" s="350"/>
      <c r="AJ51" s="350"/>
      <c r="AK51" s="350"/>
      <c r="AL51" s="359"/>
      <c r="AN51" s="110">
        <f ca="1">Production!$H51</f>
        <v>3458759</v>
      </c>
      <c r="AO51" s="108">
        <f ca="1">Production!$L51</f>
        <v>231000</v>
      </c>
      <c r="AP51" s="108">
        <f ca="1">Production!J51</f>
        <v>282344</v>
      </c>
      <c r="AQ51" s="108">
        <f ca="1">Production!M51</f>
        <v>20000</v>
      </c>
      <c r="AR51" s="108">
        <f ca="1">Production!K51</f>
        <v>46386</v>
      </c>
      <c r="AS51" s="108">
        <f ca="1">Production!I51</f>
        <v>202967</v>
      </c>
      <c r="AT51" s="108">
        <f ca="1">Production!N51</f>
        <v>200</v>
      </c>
      <c r="AU51" s="273">
        <f t="shared" ca="1" si="77"/>
        <v>0</v>
      </c>
      <c r="AV51" s="277">
        <f t="shared" ca="1" si="78"/>
        <v>0</v>
      </c>
      <c r="AW51" s="277">
        <f t="shared" ca="1" si="50"/>
        <v>0</v>
      </c>
      <c r="AX51" s="277">
        <f t="shared" ca="1" si="51"/>
        <v>0</v>
      </c>
      <c r="AY51" s="277">
        <f t="shared" ca="1" si="52"/>
        <v>0</v>
      </c>
      <c r="AZ51" s="277">
        <f t="shared" ca="1" si="53"/>
        <v>0</v>
      </c>
      <c r="BA51" s="274">
        <f t="shared" ca="1" si="54"/>
        <v>0</v>
      </c>
      <c r="BB51" s="111">
        <v>49</v>
      </c>
      <c r="BC51" s="575">
        <f t="shared" si="71"/>
        <v>43693.999999999884</v>
      </c>
      <c r="BD51" s="150">
        <f t="shared" ca="1" si="72"/>
        <v>3695</v>
      </c>
      <c r="BE51" s="358"/>
      <c r="BF51" s="350"/>
      <c r="BG51" s="350"/>
      <c r="BH51" s="350"/>
      <c r="BI51" s="350"/>
      <c r="BJ51" s="350"/>
      <c r="BK51" s="350"/>
      <c r="BL51" s="359"/>
      <c r="BN51" s="768">
        <f>Construction!BM51/Construction!E51</f>
        <v>0</v>
      </c>
      <c r="BO51" s="505">
        <f>Construction!BD51/Construction!E51</f>
        <v>0</v>
      </c>
      <c r="BP51" s="273">
        <f>ROUNDUP((1-MIN(AB51*smithy_bonus,smithy_bonus_cap))*(1+Techs!AO51*tech_master_of_frugality)*spec_op_plat,0)</f>
        <v>165</v>
      </c>
      <c r="BQ51" s="277">
        <f>ROUNDUP(IF(race="Gnome",1,(1-MIN(AB51*smithy_bonus,smithy_bonus_cap))*(1+Techs!AO51*tech_master_of_frugality))*spec_op_ore,0)</f>
        <v>15</v>
      </c>
      <c r="BR51" s="277">
        <f t="shared" si="79"/>
        <v>0</v>
      </c>
      <c r="BS51" s="277">
        <f t="shared" si="80"/>
        <v>0</v>
      </c>
      <c r="BT51" s="277">
        <f ca="1">ROUNDUP((1-MIN(AB51*smithy_bonus,smithy_bonus_cap))*(1+Techs!AO51*tech_master_of_frugality)*spec_dp_plat,0)</f>
        <v>165</v>
      </c>
      <c r="BU51" s="277">
        <f ca="1">ROUNDUP(IF(OR(race="Gnome",race="Imperial Gnome"),1,(1-MIN(AB51*smithy_bonus,smithy_bonus_cap))*(1+Techs!AO51*tech_master_of_frugality))*spec_dp_ore,0)</f>
        <v>6</v>
      </c>
      <c r="BV51" s="277">
        <f t="shared" ca="1" si="81"/>
        <v>0</v>
      </c>
      <c r="BW51" s="277">
        <f t="shared" ca="1" si="82"/>
        <v>0</v>
      </c>
      <c r="BX51" s="277">
        <f t="shared" ca="1" si="83"/>
        <v>0</v>
      </c>
      <c r="BY51" s="277">
        <f ca="1">ROUNDUP((1-MIN(AB51*smithy_bonus,smithy_bonus_cap))*(1+Techs!AO51*tech_master_of_frugality)*elite1_plat,0)</f>
        <v>600</v>
      </c>
      <c r="BZ51" s="277">
        <f ca="1">ROUNDUP(IF(race="Gnome",1,(1-MIN(AB51*smithy_bonus,smithy_bonus_cap))*(1+Techs!AO51*tech_master_of_frugality))*elite1_ore,0)</f>
        <v>45</v>
      </c>
      <c r="CA51" s="277">
        <f t="shared" ca="1" si="84"/>
        <v>0</v>
      </c>
      <c r="CB51" s="277">
        <f t="shared" ca="1" si="85"/>
        <v>0</v>
      </c>
      <c r="CC51" s="277">
        <f t="shared" ca="1" si="86"/>
        <v>0</v>
      </c>
      <c r="CD51" s="277">
        <f t="shared" ca="1" si="87"/>
        <v>0</v>
      </c>
      <c r="CE51" s="277">
        <f t="shared" ca="1" si="88"/>
        <v>0</v>
      </c>
      <c r="CF51" s="277">
        <f ca="1">ROUNDUP((1-MIN(AB51*smithy_bonus,smithy_bonus_cap))*(1+Techs!AO51*tech_master_of_frugality)*elite2_plat,0)</f>
        <v>750</v>
      </c>
      <c r="CG51" s="277">
        <f ca="1">ROUNDUP(IF(race="Gnome",1,(1-MIN(AB51*smithy_bonus,smithy_bonus_cap))*(1+Techs!AO51*tech_master_of_frugality))*elite2_ore,0)</f>
        <v>60</v>
      </c>
      <c r="CH51" s="277">
        <f t="shared" ca="1" si="89"/>
        <v>0</v>
      </c>
      <c r="CI51" s="277">
        <f t="shared" ca="1" si="90"/>
        <v>0</v>
      </c>
      <c r="CJ51" s="277">
        <f t="shared" ca="1" si="91"/>
        <v>0</v>
      </c>
      <c r="CK51" s="277">
        <f t="shared" ca="1" si="92"/>
        <v>0</v>
      </c>
      <c r="CL51" s="277">
        <f t="shared" ca="1" si="93"/>
        <v>0</v>
      </c>
      <c r="CM51" s="277">
        <f>ROUNDUP((1+tech_spy_cost*Techs!AJ51)*spy_plat,0)</f>
        <v>500</v>
      </c>
      <c r="CN51" s="277">
        <f>ROUNDUP((1+tech_wizard_cost*Techs!AM51-MIN(ROUND(wg_wiz_cost_bonus*BN51,4),wg_wiz_cost_cap))*wizard_plat,0)</f>
        <v>500</v>
      </c>
      <c r="CO51" s="274">
        <f>ROUNDUP((1+tech_wizard_cost*Techs!AM51-MIN(ROUND(wg_wiz_cost_bonus*BN51,4),wg_wiz_cost_cap))*archmage_plat,0)</f>
        <v>1000</v>
      </c>
      <c r="CP51" s="115"/>
      <c r="CQ51" s="469">
        <f ca="1">Construction!DF51/Construction!E51</f>
        <v>0.28000000000000003</v>
      </c>
      <c r="CR51" s="470">
        <f t="shared" si="73"/>
        <v>0</v>
      </c>
      <c r="CS51" s="470">
        <f>Construction!BK51/Construction!E51</f>
        <v>0.05</v>
      </c>
      <c r="CT51" s="470">
        <f>Construction!BJ51/Construction!E51</f>
        <v>0</v>
      </c>
      <c r="CU51" s="470">
        <f>Construction!AY51/Construction!E51</f>
        <v>0</v>
      </c>
      <c r="CV51" s="493">
        <f t="shared" ca="1" si="94"/>
        <v>1.4000000000000001</v>
      </c>
      <c r="CW51" s="494">
        <f t="shared" ca="1" si="95"/>
        <v>1.4000000000000001</v>
      </c>
      <c r="CX51" s="494">
        <f t="shared" ca="1" si="96"/>
        <v>1.4000000000000001</v>
      </c>
      <c r="CY51" s="495">
        <f t="shared" ca="1" si="97"/>
        <v>1.4000000000000001</v>
      </c>
      <c r="CZ51" s="495">
        <f t="shared" si="98"/>
        <v>0.1</v>
      </c>
      <c r="DA51" s="495">
        <f t="shared" ca="1" si="99"/>
        <v>3</v>
      </c>
      <c r="DB51" s="495">
        <f t="shared" ca="1" si="100"/>
        <v>1.4000000000000001</v>
      </c>
      <c r="DC51" s="494">
        <f t="shared" si="101"/>
        <v>0</v>
      </c>
      <c r="DD51" s="852">
        <f t="shared" si="102"/>
        <v>0</v>
      </c>
      <c r="DE51" s="443">
        <f t="shared" si="56"/>
        <v>800</v>
      </c>
      <c r="DF51" s="443">
        <f t="shared" si="57"/>
        <v>0</v>
      </c>
      <c r="DG51" s="493">
        <f t="shared" ca="1" si="103"/>
        <v>1.4000000000000001</v>
      </c>
      <c r="DH51" s="454">
        <f t="shared" si="104"/>
        <v>9.0000000000000011E-2</v>
      </c>
      <c r="DI51" s="454">
        <f>MIN(valkyrja_cap,Production!O51/valkyrja_bonus)</f>
        <v>1</v>
      </c>
      <c r="DJ51" s="852">
        <f>MIN(voodoo_magi_cap,Production!O51/voodoo_magi_bonus)</f>
        <v>0.83333333333333337</v>
      </c>
      <c r="DK51" s="852">
        <f>MIN(warlock_cap,Production!O51/warlock_bonus)</f>
        <v>1.25</v>
      </c>
      <c r="DL51" s="852">
        <f ca="1">MIN(nox_nightshade_cap,Construction!DF51/Construction!E51/nox_nightshade_swamp_bonus)</f>
        <v>2.8000000000000003</v>
      </c>
      <c r="DM51" s="494">
        <f t="shared" si="105"/>
        <v>0</v>
      </c>
      <c r="DN51" s="495">
        <f t="shared" ca="1" si="106"/>
        <v>2.8000000000000003</v>
      </c>
      <c r="DO51" s="495">
        <f t="shared" ca="1" si="107"/>
        <v>2.8000000000000003</v>
      </c>
      <c r="DP51" s="495">
        <f t="shared" si="108"/>
        <v>1</v>
      </c>
      <c r="DQ51" s="494">
        <f t="shared" si="109"/>
        <v>0</v>
      </c>
      <c r="DR51" s="495">
        <f t="shared" si="110"/>
        <v>0</v>
      </c>
      <c r="DS51" s="494">
        <f t="shared" si="111"/>
        <v>0</v>
      </c>
      <c r="DT51" s="495">
        <f t="shared" si="112"/>
        <v>0.1</v>
      </c>
      <c r="DX51" s="493">
        <f ca="1">MIN(6,CV51+Races!$F$19)*1.8 +  IF(CV51+Races!$F$19&gt;6,(CV51+Races!$F$19-6)*0.2,0) - Races!$N$19</f>
        <v>2.5200000000000005</v>
      </c>
      <c r="DY51" s="494">
        <f ca="1">1.8 * MIN(MAX(CW51+Races!$E$20,CX51+Races!$F$20),6)  +  0.45 * MIN(MIN(CW51+Races!$E$20,CX51+Races!$F$20),6)  +  0.2 * ( MAX(CW51+Races!$E$20-6,0) + MAX(CX51+Races!$F$20-6,0) )  -  Races!$N$20</f>
        <v>3.1500000000000012</v>
      </c>
      <c r="DZ51" s="109">
        <f t="shared" ca="1" si="113"/>
        <v>3780.0000000000009</v>
      </c>
      <c r="EA51" s="669">
        <f ca="1">MIN(6,CY51+Races!$F$35)*1.8 +  IF(CY51+Races!$F$35&gt;6,(CY51+Races!$F$35-6)*0.2,0) - Races!$N$19</f>
        <v>0.72000000000000064</v>
      </c>
      <c r="EB51" s="109">
        <f t="shared" ca="1" si="114"/>
        <v>0</v>
      </c>
      <c r="EC51" s="669">
        <f ca="1">1.8 * MIN(MAX(Races!$E$27,DB51+Races!$F$27),6)  +  0.45 * MIN(MIN(Races!$E$27,DB51+Races!$F$27),6)  +  0.2 * ( MAX(Races!$E$27-6,0) + MAX(DB51+Races!$F$27-6,0) )  -  Races!$N$20</f>
        <v>4.7700000000000005</v>
      </c>
      <c r="ED51" s="109">
        <f t="shared" ca="1" si="115"/>
        <v>0</v>
      </c>
      <c r="EE51" s="669">
        <f>1.8 * MIN(MAX(DC51+Races!$E$47,DD51+Races!$F$47),6)  +  0.45 * MIN(MIN(DC51+Races!$E$47,DD51+Races!$F$47),6)  +  0.2 * ( MAX(DC51+Races!$E$47-6,0) + MAX(DD51+Races!$F$47-6,0) )  -  Races!$N$47</f>
        <v>0</v>
      </c>
      <c r="EF51" s="109">
        <f t="shared" si="116"/>
        <v>0</v>
      </c>
      <c r="EG51" s="669">
        <f ca="1">1.8 * MIN(MAX(DG51+Races!$F$71,Races!$E$71),6)  +  0.45 * MIN(MIN(DG51+Races!$F$71,Races!$E$71),6)  +  0.2 * ( MAX(DG51+Races!$F$71-6,0) + MAX(Races!$E$71-6,0) )  -  Races!$N$71</f>
        <v>2.5200000000000014</v>
      </c>
      <c r="EH51" s="669">
        <f>1.8 * MIN(MAX(DH51+Races!$E$71,Races!$F$71),6)  +  0.45 * MIN(MIN(DH51+Races!$E$71,Races!$F$71),6)  +  0.2 * ( MAX(DH51+Races!$E$71-6,0) + MAX(Races!$F$71-6,0) )  -  Races!$N$71</f>
        <v>0.16200000000000081</v>
      </c>
      <c r="EI51" s="109">
        <f t="shared" ca="1" si="117"/>
        <v>2584.8000000000015</v>
      </c>
      <c r="EJ51" s="109"/>
      <c r="EK51" s="109"/>
      <c r="EL51" s="109"/>
      <c r="EM51" s="109">
        <f ca="1">Overview!$L$22*E51+Overview!$L$23*F51+Overview!$L$24*G51+Overview!$L$25*H51+Overview!$L$26*I51+Overview!$L$27*J51+Overview!$L$28*K51+Construction!E51*20+Construction!B51*5 + DZ51*$DV$4+EB51*$DV$5+ED51*$DV$6+EF51*$DV$7+EI51*$DV$9</f>
        <v>39460</v>
      </c>
      <c r="EO51" s="742">
        <f>(J51+2*K51)/Construction!E51</f>
        <v>0.1</v>
      </c>
      <c r="EP51" s="1060">
        <f ca="1">EO51*(1+race_wizard_strength+tech_magical_weaponry_wiz*Techs!AV123)</f>
        <v>0.1</v>
      </c>
      <c r="EQ51" s="111">
        <f>(I51+halfer*H51/3)/Construction!E51</f>
        <v>0.1</v>
      </c>
    </row>
    <row r="52" spans="1:147" s="16" customFormat="1" ht="13.5" thickTop="1">
      <c r="A52" s="629">
        <f>Rezone!J52</f>
        <v>50</v>
      </c>
      <c r="B52" s="56">
        <f ca="1">SUM(E52:K52)+SUM(AF44:AG52)+SUM(AH41:AL52)+Z52+Explore!AL52</f>
        <v>5295</v>
      </c>
      <c r="C52" s="97">
        <f ca="1">Population!G52</f>
        <v>0.57305194805194803</v>
      </c>
      <c r="E52" s="52">
        <f t="shared" si="118"/>
        <v>0</v>
      </c>
      <c r="F52" s="16">
        <f t="shared" si="119"/>
        <v>0</v>
      </c>
      <c r="G52" s="16">
        <f t="shared" si="120"/>
        <v>1000</v>
      </c>
      <c r="H52" s="16">
        <f t="shared" si="121"/>
        <v>400</v>
      </c>
      <c r="I52" s="16">
        <f t="shared" si="122"/>
        <v>100</v>
      </c>
      <c r="J52" s="16">
        <f t="shared" si="123"/>
        <v>100</v>
      </c>
      <c r="K52" s="53">
        <f t="shared" si="124"/>
        <v>0</v>
      </c>
      <c r="M52" s="64">
        <f ca="1">Production!G52</f>
        <v>39460</v>
      </c>
      <c r="O52" s="142">
        <f t="shared" ca="1" si="75"/>
        <v>4400</v>
      </c>
      <c r="P52" s="455">
        <f ca="1">race_offense+Imps!AB52+ROUND(MIN(gn_bonus*Construction!BF52/Construction!$E52,gn_bonus_cap),4)+MAX(IF(Magic!$AN52&gt;0,warsong_bonus),IF(Magic!AP52&gt;0,howling_op_bonus),IF(Magic!AS52&gt;0,nightfall_bonus),IF(Magic!AT52&gt;0,crusade_bonus),IF(Magic!AU52&gt;0,killingrage_bonus),IF(Magic!AV52&gt;0,bloodrage_bonus)) + Production!O52/100*prestige_offense_bonus + MAX(tech_military_offense*Techs!AH52,tech_magical_weaponry_op*Techs!AV52)</f>
        <v>0.05</v>
      </c>
      <c r="Q52" s="235">
        <f t="shared" ca="1" si="46"/>
        <v>4620</v>
      </c>
      <c r="R52" s="234">
        <f ca="1">F52*(spec_dp+spirit*DR52)+G52*(elite1_dp+woodie*CV52+sylvan*CY52+gnome*DB52+dark_elf*DD52+icekin*DG52+orc*DJ52+nox*DL52+beast*DN52+sacred*DP52+spirit*DS52+blackorc*DK52)+H52*(elite2_dp+woodie*CX52+beast*DO52+sacred*DQ52) + fh_peas_dp*MIN(Population!C52,20*Construction!BD52)+kobold*DE52</f>
        <v>7200</v>
      </c>
      <c r="S52" s="235">
        <f t="shared" ca="1" si="76"/>
        <v>10895</v>
      </c>
      <c r="T52" s="1052">
        <f ca="1">race_defense+Imps!AC52+ROUND(MIN(gt_bonus*Construction!BH52/Construction!$E52,gt_bonus_cap),4)+MAX(IF(Magic!AM52&gt;0,frenzy_bonus,IF(Magic!AQ52&gt;0,blizzard_bonus,IF(Magic!AP52&gt;0,howling_dp_bonus,IF(Magic!AI52&gt;0,ares_call_bonus)))),IF(Magic!AX52&gt;0,MIN(Construction!DF52/Construction!E52,0.2),0))</f>
        <v>0</v>
      </c>
      <c r="U52" s="1046">
        <f t="shared" ca="1" si="47"/>
        <v>7200</v>
      </c>
      <c r="V52" s="310">
        <f t="shared" ca="1" si="48"/>
        <v>10895</v>
      </c>
      <c r="W52" s="310">
        <f>Construction!E52</f>
        <v>1000</v>
      </c>
      <c r="X52" s="367"/>
      <c r="Y52" s="146">
        <f t="shared" si="74"/>
        <v>0.4</v>
      </c>
      <c r="Z52" s="166">
        <f ca="1">Z51+Population!Z51 - IF(race="Lux",AF52,SUM(AF52:AK52)) - BE52 + SUM(BF52:BL52) - Explore!AI52</f>
        <v>3695</v>
      </c>
      <c r="AA52" s="164"/>
      <c r="AB52" s="91">
        <f>(Construction!$BA52+Construction!BY52)/(Construction!$E52-Explore!S52*20)</f>
        <v>0.2</v>
      </c>
      <c r="AC52" s="529"/>
      <c r="AD52" s="799">
        <f>Rezone!J52</f>
        <v>50</v>
      </c>
      <c r="AE52" s="589">
        <f>Explore!AA52</f>
        <v>43694.041666666548</v>
      </c>
      <c r="AF52" s="375"/>
      <c r="AG52" s="348"/>
      <c r="AH52" s="376"/>
      <c r="AI52" s="348"/>
      <c r="AJ52" s="348"/>
      <c r="AK52" s="348"/>
      <c r="AL52" s="357"/>
      <c r="AN52" s="56">
        <f ca="1">Production!$H52</f>
        <v>3469410</v>
      </c>
      <c r="AO52" s="26">
        <f ca="1">Production!$L52</f>
        <v>231000</v>
      </c>
      <c r="AP52" s="26">
        <f ca="1">Production!J52</f>
        <v>282021</v>
      </c>
      <c r="AQ52" s="26">
        <f ca="1">Production!M52</f>
        <v>20000</v>
      </c>
      <c r="AR52" s="26">
        <f ca="1">Production!K52</f>
        <v>46708</v>
      </c>
      <c r="AS52" s="26">
        <f ca="1">Production!I52</f>
        <v>205667</v>
      </c>
      <c r="AT52" s="26">
        <f ca="1">Production!N52</f>
        <v>200</v>
      </c>
      <c r="AU52" s="152">
        <f t="shared" ca="1" si="77"/>
        <v>0</v>
      </c>
      <c r="AV52" s="164">
        <f t="shared" ca="1" si="78"/>
        <v>0</v>
      </c>
      <c r="AW52" s="164">
        <f t="shared" ca="1" si="50"/>
        <v>0</v>
      </c>
      <c r="AX52" s="164">
        <f t="shared" ca="1" si="51"/>
        <v>0</v>
      </c>
      <c r="AY52" s="164">
        <f t="shared" ca="1" si="52"/>
        <v>0</v>
      </c>
      <c r="AZ52" s="164">
        <f t="shared" ca="1" si="53"/>
        <v>0</v>
      </c>
      <c r="BA52" s="166">
        <f t="shared" ca="1" si="54"/>
        <v>0</v>
      </c>
      <c r="BB52" s="16">
        <v>50</v>
      </c>
      <c r="BC52" s="574">
        <f t="shared" si="71"/>
        <v>43694.041666666548</v>
      </c>
      <c r="BD52" s="148">
        <f t="shared" ca="1" si="72"/>
        <v>3695</v>
      </c>
      <c r="BE52" s="356"/>
      <c r="BF52" s="348"/>
      <c r="BG52" s="348"/>
      <c r="BH52" s="348"/>
      <c r="BI52" s="348"/>
      <c r="BJ52" s="348"/>
      <c r="BK52" s="348"/>
      <c r="BL52" s="357"/>
      <c r="BN52" s="503">
        <f>Construction!BM52/Construction!E52</f>
        <v>0</v>
      </c>
      <c r="BO52" s="171">
        <f>Construction!BD52/Construction!E52</f>
        <v>0</v>
      </c>
      <c r="BP52" s="152">
        <f>ROUNDUP((1-MIN(AB52*smithy_bonus,smithy_bonus_cap))*(1+Techs!AO52*tech_master_of_frugality)*spec_op_plat,0)</f>
        <v>165</v>
      </c>
      <c r="BQ52" s="164">
        <f>ROUNDUP(IF(race="Gnome",1,(1-MIN(AB52*smithy_bonus,smithy_bonus_cap))*(1+Techs!AO52*tech_master_of_frugality))*spec_op_ore,0)</f>
        <v>15</v>
      </c>
      <c r="BR52" s="164">
        <f t="shared" si="79"/>
        <v>0</v>
      </c>
      <c r="BS52" s="164">
        <f t="shared" si="80"/>
        <v>0</v>
      </c>
      <c r="BT52" s="164">
        <f ca="1">ROUNDUP((1-MIN(AB52*smithy_bonus,smithy_bonus_cap))*(1+Techs!AO52*tech_master_of_frugality)*spec_dp_plat,0)</f>
        <v>165</v>
      </c>
      <c r="BU52" s="164">
        <f ca="1">ROUNDUP(IF(OR(race="Gnome",race="Imperial Gnome"),1,(1-MIN(AB52*smithy_bonus,smithy_bonus_cap))*(1+Techs!AO52*tech_master_of_frugality))*spec_dp_ore,0)</f>
        <v>6</v>
      </c>
      <c r="BV52" s="164">
        <f t="shared" ca="1" si="81"/>
        <v>0</v>
      </c>
      <c r="BW52" s="164">
        <f t="shared" ca="1" si="82"/>
        <v>0</v>
      </c>
      <c r="BX52" s="164">
        <f t="shared" ca="1" si="83"/>
        <v>0</v>
      </c>
      <c r="BY52" s="164">
        <f ca="1">ROUNDUP((1-MIN(AB52*smithy_bonus,smithy_bonus_cap))*(1+Techs!AO52*tech_master_of_frugality)*elite1_plat,0)</f>
        <v>600</v>
      </c>
      <c r="BZ52" s="164">
        <f ca="1">ROUNDUP(IF(race="Gnome",1,(1-MIN(AB52*smithy_bonus,smithy_bonus_cap))*(1+Techs!AO52*tech_master_of_frugality))*elite1_ore,0)</f>
        <v>45</v>
      </c>
      <c r="CA52" s="164">
        <f t="shared" ca="1" si="84"/>
        <v>0</v>
      </c>
      <c r="CB52" s="164">
        <f t="shared" ca="1" si="85"/>
        <v>0</v>
      </c>
      <c r="CC52" s="164">
        <f t="shared" ca="1" si="86"/>
        <v>0</v>
      </c>
      <c r="CD52" s="164">
        <f t="shared" ca="1" si="87"/>
        <v>0</v>
      </c>
      <c r="CE52" s="164">
        <f t="shared" ca="1" si="88"/>
        <v>0</v>
      </c>
      <c r="CF52" s="164">
        <f ca="1">ROUNDUP((1-MIN(AB52*smithy_bonus,smithy_bonus_cap))*(1+Techs!AO52*tech_master_of_frugality)*elite2_plat,0)</f>
        <v>750</v>
      </c>
      <c r="CG52" s="164">
        <f ca="1">ROUNDUP(IF(race="Gnome",1,(1-MIN(AB52*smithy_bonus,smithy_bonus_cap))*(1+Techs!AO52*tech_master_of_frugality))*elite2_ore,0)</f>
        <v>60</v>
      </c>
      <c r="CH52" s="164">
        <f t="shared" ca="1" si="89"/>
        <v>0</v>
      </c>
      <c r="CI52" s="164">
        <f t="shared" ca="1" si="90"/>
        <v>0</v>
      </c>
      <c r="CJ52" s="164">
        <f t="shared" ca="1" si="91"/>
        <v>0</v>
      </c>
      <c r="CK52" s="164">
        <f t="shared" ca="1" si="92"/>
        <v>0</v>
      </c>
      <c r="CL52" s="164">
        <f t="shared" ca="1" si="93"/>
        <v>0</v>
      </c>
      <c r="CM52" s="164">
        <f>ROUNDUP((1+tech_spy_cost*Techs!AJ52)*spy_plat,0)</f>
        <v>500</v>
      </c>
      <c r="CN52" s="164">
        <f>ROUNDUP((1+tech_wizard_cost*Techs!AM52-MIN(ROUND(wg_wiz_cost_bonus*BN52,4),wg_wiz_cost_cap))*wizard_plat,0)</f>
        <v>500</v>
      </c>
      <c r="CO52" s="166">
        <f>ROUNDUP((1+tech_wizard_cost*Techs!AM52-MIN(ROUND(wg_wiz_cost_bonus*BN52,4),wg_wiz_cost_cap))*archmage_plat,0)</f>
        <v>1000</v>
      </c>
      <c r="CQ52" s="465">
        <f ca="1">Construction!DF52/Construction!E52</f>
        <v>0.28000000000000003</v>
      </c>
      <c r="CR52" s="466">
        <f t="shared" si="73"/>
        <v>0</v>
      </c>
      <c r="CS52" s="466">
        <f>Construction!BK52/Construction!E52</f>
        <v>0.05</v>
      </c>
      <c r="CT52" s="466">
        <f>Construction!BJ52/Construction!E52</f>
        <v>0</v>
      </c>
      <c r="CU52" s="466">
        <f>Construction!AY52/Construction!E52</f>
        <v>0</v>
      </c>
      <c r="CV52" s="487">
        <f t="shared" ca="1" si="94"/>
        <v>1.4000000000000001</v>
      </c>
      <c r="CW52" s="488">
        <f t="shared" ca="1" si="95"/>
        <v>1.4000000000000001</v>
      </c>
      <c r="CX52" s="488">
        <f t="shared" ca="1" si="96"/>
        <v>1.4000000000000001</v>
      </c>
      <c r="CY52" s="489">
        <f t="shared" ca="1" si="97"/>
        <v>1.4000000000000001</v>
      </c>
      <c r="CZ52" s="489">
        <f t="shared" si="98"/>
        <v>0.1</v>
      </c>
      <c r="DA52" s="489">
        <f t="shared" ca="1" si="99"/>
        <v>3</v>
      </c>
      <c r="DB52" s="489">
        <f t="shared" ca="1" si="100"/>
        <v>1.4000000000000001</v>
      </c>
      <c r="DC52" s="488">
        <f t="shared" si="101"/>
        <v>0</v>
      </c>
      <c r="DD52" s="848">
        <f t="shared" si="102"/>
        <v>0</v>
      </c>
      <c r="DE52" s="442">
        <f t="shared" si="56"/>
        <v>800</v>
      </c>
      <c r="DF52" s="442">
        <f t="shared" si="57"/>
        <v>0</v>
      </c>
      <c r="DG52" s="487">
        <f t="shared" ca="1" si="103"/>
        <v>1.4000000000000001</v>
      </c>
      <c r="DH52" s="452">
        <f t="shared" si="104"/>
        <v>9.0000000000000011E-2</v>
      </c>
      <c r="DI52" s="452">
        <f>MIN(valkyrja_cap,Production!O52/valkyrja_bonus)</f>
        <v>1</v>
      </c>
      <c r="DJ52" s="848">
        <f>MIN(voodoo_magi_cap,Production!O52/voodoo_magi_bonus)</f>
        <v>0.83333333333333337</v>
      </c>
      <c r="DK52" s="848">
        <f>MIN(warlock_cap,Production!O52/warlock_bonus)</f>
        <v>1.25</v>
      </c>
      <c r="DL52" s="848">
        <f ca="1">MIN(nox_nightshade_cap,Construction!DF52/Construction!E52/nox_nightshade_swamp_bonus)</f>
        <v>2.8000000000000003</v>
      </c>
      <c r="DM52" s="488">
        <f t="shared" si="105"/>
        <v>0</v>
      </c>
      <c r="DN52" s="489">
        <f t="shared" ca="1" si="106"/>
        <v>2.8000000000000003</v>
      </c>
      <c r="DO52" s="489">
        <f t="shared" ca="1" si="107"/>
        <v>2.8000000000000003</v>
      </c>
      <c r="DP52" s="489">
        <f t="shared" si="108"/>
        <v>1</v>
      </c>
      <c r="DQ52" s="488">
        <f t="shared" si="109"/>
        <v>0</v>
      </c>
      <c r="DR52" s="489">
        <f t="shared" si="110"/>
        <v>0</v>
      </c>
      <c r="DS52" s="488">
        <f t="shared" si="111"/>
        <v>0</v>
      </c>
      <c r="DT52" s="489">
        <f t="shared" si="112"/>
        <v>0.1</v>
      </c>
      <c r="DX52" s="487">
        <f ca="1">MIN(6,CV52+Races!$F$19)*1.8 +  IF(CV52+Races!$F$19&gt;6,(CV52+Races!$F$19-6)*0.2,0) - Races!$N$19</f>
        <v>2.5200000000000005</v>
      </c>
      <c r="DY52" s="488">
        <f ca="1">1.8 * MIN(MAX(CW52+Races!$E$20,CX52+Races!$F$20),6)  +  0.45 * MIN(MIN(CW52+Races!$E$20,CX52+Races!$F$20),6)  +  0.2 * ( MAX(CW52+Races!$E$20-6,0) + MAX(CX52+Races!$F$20-6,0) )  -  Races!$N$20</f>
        <v>3.1500000000000012</v>
      </c>
      <c r="DZ52" s="57">
        <f t="shared" ca="1" si="113"/>
        <v>3780.0000000000009</v>
      </c>
      <c r="EA52" s="666">
        <f ca="1">MIN(6,CY52+Races!$F$35)*1.8 +  IF(CY52+Races!$F$35&gt;6,(CY52+Races!$F$35-6)*0.2,0) - Races!$N$19</f>
        <v>0.72000000000000064</v>
      </c>
      <c r="EB52" s="57">
        <f t="shared" ca="1" si="114"/>
        <v>0</v>
      </c>
      <c r="EC52" s="666">
        <f ca="1">1.8 * MIN(MAX(Races!$E$27,DB52+Races!$F$27),6)  +  0.45 * MIN(MIN(Races!$E$27,DB52+Races!$F$27),6)  +  0.2 * ( MAX(Races!$E$27-6,0) + MAX(DB52+Races!$F$27-6,0) )  -  Races!$N$20</f>
        <v>4.7700000000000005</v>
      </c>
      <c r="ED52" s="57">
        <f t="shared" ca="1" si="115"/>
        <v>0</v>
      </c>
      <c r="EE52" s="666">
        <f>1.8 * MIN(MAX(DC52+Races!$E$47,DD52+Races!$F$47),6)  +  0.45 * MIN(MIN(DC52+Races!$E$47,DD52+Races!$F$47),6)  +  0.2 * ( MAX(DC52+Races!$E$47-6,0) + MAX(DD52+Races!$F$47-6,0) )  -  Races!$N$47</f>
        <v>0</v>
      </c>
      <c r="EF52" s="57">
        <f t="shared" si="116"/>
        <v>0</v>
      </c>
      <c r="EG52" s="666">
        <f ca="1">1.8 * MIN(MAX(DG52+Races!$F$71,Races!$E$71),6)  +  0.45 * MIN(MIN(DG52+Races!$F$71,Races!$E$71),6)  +  0.2 * ( MAX(DG52+Races!$F$71-6,0) + MAX(Races!$E$71-6,0) )  -  Races!$N$71</f>
        <v>2.5200000000000014</v>
      </c>
      <c r="EH52" s="666">
        <f>1.8 * MIN(MAX(DH52+Races!$E$71,Races!$F$71),6)  +  0.45 * MIN(MIN(DH52+Races!$E$71,Races!$F$71),6)  +  0.2 * ( MAX(DH52+Races!$E$71-6,0) + MAX(Races!$F$71-6,0) )  -  Races!$N$71</f>
        <v>0.16200000000000081</v>
      </c>
      <c r="EI52" s="57">
        <f t="shared" ca="1" si="117"/>
        <v>2584.8000000000015</v>
      </c>
      <c r="EJ52" s="57"/>
      <c r="EK52" s="57"/>
      <c r="EL52" s="57"/>
      <c r="EM52" s="57">
        <f ca="1">Overview!$L$22*E52+Overview!$L$23*F52+Overview!$L$24*G52+Overview!$L$25*H52+Overview!$L$26*I52+Overview!$L$27*J52+Overview!$L$28*K52+Construction!E52*20+Construction!B52*5 + DZ52*$DV$4+EB52*$DV$5+ED52*$DV$6+EF52*$DV$7+EI52*$DV$9</f>
        <v>39460</v>
      </c>
      <c r="EO52" s="738">
        <f>(J52+2*K52)/Construction!E52</f>
        <v>0.1</v>
      </c>
      <c r="EP52" s="734">
        <f ca="1">EO52*(1+race_wizard_strength+tech_magical_weaponry_wiz*Techs!AV124)</f>
        <v>0.1</v>
      </c>
      <c r="EQ52" s="16">
        <f>(I52+halfer*H52/3)/Construction!E52</f>
        <v>0.1</v>
      </c>
    </row>
    <row r="53" spans="1:147" s="16" customFormat="1">
      <c r="A53" s="629">
        <f>Rezone!J53</f>
        <v>51</v>
      </c>
      <c r="B53" s="56">
        <f ca="1">SUM(E53:K53)+SUM(AF45:AG53)+SUM(AH42:AL53)+Z53+Explore!AL53</f>
        <v>5295</v>
      </c>
      <c r="C53" s="97">
        <f ca="1">Population!G53</f>
        <v>0.57305194805194803</v>
      </c>
      <c r="E53" s="52">
        <f t="shared" si="118"/>
        <v>0</v>
      </c>
      <c r="F53" s="16">
        <f t="shared" si="119"/>
        <v>0</v>
      </c>
      <c r="G53" s="16">
        <f t="shared" si="120"/>
        <v>1000</v>
      </c>
      <c r="H53" s="16">
        <f t="shared" si="121"/>
        <v>400</v>
      </c>
      <c r="I53" s="16">
        <f t="shared" si="122"/>
        <v>100</v>
      </c>
      <c r="J53" s="16">
        <f t="shared" si="123"/>
        <v>100</v>
      </c>
      <c r="K53" s="53">
        <f t="shared" si="124"/>
        <v>0</v>
      </c>
      <c r="M53" s="64">
        <f ca="1">Production!G53</f>
        <v>39460</v>
      </c>
      <c r="O53" s="142">
        <f t="shared" ca="1" si="75"/>
        <v>4400</v>
      </c>
      <c r="P53" s="455">
        <f ca="1">race_offense+Imps!AB53+ROUND(MIN(gn_bonus*Construction!BF53/Construction!$E53,gn_bonus_cap),4)+MAX(IF(Magic!$AN53&gt;0,warsong_bonus),IF(Magic!AP53&gt;0,howling_op_bonus),IF(Magic!AS53&gt;0,nightfall_bonus),IF(Magic!AT53&gt;0,crusade_bonus),IF(Magic!AU53&gt;0,killingrage_bonus),IF(Magic!AV53&gt;0,bloodrage_bonus)) + Production!O53/100*prestige_offense_bonus + MAX(tech_military_offense*Techs!AH53,tech_magical_weaponry_op*Techs!AV53)</f>
        <v>0.05</v>
      </c>
      <c r="Q53" s="235">
        <f t="shared" ca="1" si="46"/>
        <v>4620</v>
      </c>
      <c r="R53" s="234">
        <f ca="1">F53*(spec_dp+spirit*DR53)+G53*(elite1_dp+woodie*CV53+sylvan*CY53+gnome*DB53+dark_elf*DD53+icekin*DG53+orc*DJ53+nox*DL53+beast*DN53+sacred*DP53+spirit*DS53+blackorc*DK53)+H53*(elite2_dp+woodie*CX53+beast*DO53+sacred*DQ53) + fh_peas_dp*MIN(Population!C53,20*Construction!BD53)+kobold*DE53</f>
        <v>7200</v>
      </c>
      <c r="S53" s="235">
        <f t="shared" ca="1" si="76"/>
        <v>10895</v>
      </c>
      <c r="T53" s="1052">
        <f ca="1">race_defense+Imps!AC53+ROUND(MIN(gt_bonus*Construction!BH53/Construction!$E53,gt_bonus_cap),4)+MAX(IF(Magic!AM53&gt;0,frenzy_bonus,IF(Magic!AQ53&gt;0,blizzard_bonus,IF(Magic!AP53&gt;0,howling_dp_bonus,IF(Magic!AI53&gt;0,ares_call_bonus)))),IF(Magic!AX53&gt;0,MIN(Construction!DF53/Construction!E53,0.2),0))</f>
        <v>0</v>
      </c>
      <c r="U53" s="1046">
        <f t="shared" ca="1" si="47"/>
        <v>7200</v>
      </c>
      <c r="V53" s="310">
        <f t="shared" ca="1" si="48"/>
        <v>10895</v>
      </c>
      <c r="W53" s="310">
        <f>Construction!E53</f>
        <v>1000</v>
      </c>
      <c r="X53" s="367"/>
      <c r="Y53" s="146">
        <f t="shared" si="74"/>
        <v>0.4</v>
      </c>
      <c r="Z53" s="166">
        <f ca="1">Z52+Population!Z52 - IF(race="Lux",AF53,SUM(AF53:AK53)) - BE53 + SUM(BF53:BL53) - Explore!AI53</f>
        <v>3695</v>
      </c>
      <c r="AA53" s="164"/>
      <c r="AB53" s="91">
        <f>(Construction!$BA53+Construction!BY53)/(Construction!$E53-Explore!S53*20)</f>
        <v>0.2</v>
      </c>
      <c r="AC53" s="529"/>
      <c r="AD53" s="799">
        <f>Rezone!J53</f>
        <v>51</v>
      </c>
      <c r="AE53" s="589">
        <f>Explore!AA53</f>
        <v>43694.083333333212</v>
      </c>
      <c r="AF53" s="356"/>
      <c r="AG53" s="348"/>
      <c r="AH53" s="348"/>
      <c r="AI53" s="348"/>
      <c r="AJ53" s="348"/>
      <c r="AK53" s="348"/>
      <c r="AL53" s="357"/>
      <c r="AN53" s="56">
        <f ca="1">Production!$H53</f>
        <v>3480061</v>
      </c>
      <c r="AO53" s="26">
        <f ca="1">Production!$L53</f>
        <v>231000</v>
      </c>
      <c r="AP53" s="26">
        <f ca="1">Production!J53</f>
        <v>281701</v>
      </c>
      <c r="AQ53" s="26">
        <f ca="1">Production!M53</f>
        <v>20000</v>
      </c>
      <c r="AR53" s="26">
        <f ca="1">Production!K53</f>
        <v>47024</v>
      </c>
      <c r="AS53" s="26">
        <f ca="1">Production!I53</f>
        <v>208340</v>
      </c>
      <c r="AT53" s="26">
        <f ca="1">Production!N53</f>
        <v>200</v>
      </c>
      <c r="AU53" s="152">
        <f t="shared" ca="1" si="77"/>
        <v>0</v>
      </c>
      <c r="AV53" s="164">
        <f t="shared" ca="1" si="78"/>
        <v>0</v>
      </c>
      <c r="AW53" s="164">
        <f t="shared" ca="1" si="50"/>
        <v>0</v>
      </c>
      <c r="AX53" s="164">
        <f t="shared" ca="1" si="51"/>
        <v>0</v>
      </c>
      <c r="AY53" s="164">
        <f t="shared" ca="1" si="52"/>
        <v>0</v>
      </c>
      <c r="AZ53" s="164">
        <f t="shared" ca="1" si="53"/>
        <v>0</v>
      </c>
      <c r="BA53" s="166">
        <f t="shared" ca="1" si="54"/>
        <v>0</v>
      </c>
      <c r="BB53" s="16">
        <v>51</v>
      </c>
      <c r="BC53" s="574">
        <f t="shared" si="71"/>
        <v>43694.083333333212</v>
      </c>
      <c r="BD53" s="148">
        <f t="shared" ca="1" si="72"/>
        <v>3695</v>
      </c>
      <c r="BE53" s="356"/>
      <c r="BF53" s="348"/>
      <c r="BG53" s="348"/>
      <c r="BH53" s="348"/>
      <c r="BI53" s="348"/>
      <c r="BJ53" s="348"/>
      <c r="BK53" s="348"/>
      <c r="BL53" s="357"/>
      <c r="BN53" s="503">
        <f>Construction!BM53/Construction!E53</f>
        <v>0</v>
      </c>
      <c r="BO53" s="171">
        <f>Construction!BD53/Construction!E53</f>
        <v>0</v>
      </c>
      <c r="BP53" s="152">
        <f>ROUNDUP((1-MIN(AB53*smithy_bonus,smithy_bonus_cap))*(1+Techs!AO53*tech_master_of_frugality)*spec_op_plat,0)</f>
        <v>165</v>
      </c>
      <c r="BQ53" s="164">
        <f>ROUNDUP(IF(race="Gnome",1,(1-MIN(AB53*smithy_bonus,smithy_bonus_cap))*(1+Techs!AO53*tech_master_of_frugality))*spec_op_ore,0)</f>
        <v>15</v>
      </c>
      <c r="BR53" s="164">
        <f t="shared" si="79"/>
        <v>0</v>
      </c>
      <c r="BS53" s="164">
        <f t="shared" si="80"/>
        <v>0</v>
      </c>
      <c r="BT53" s="164">
        <f ca="1">ROUNDUP((1-MIN(AB53*smithy_bonus,smithy_bonus_cap))*(1+Techs!AO53*tech_master_of_frugality)*spec_dp_plat,0)</f>
        <v>165</v>
      </c>
      <c r="BU53" s="164">
        <f ca="1">ROUNDUP(IF(OR(race="Gnome",race="Imperial Gnome"),1,(1-MIN(AB53*smithy_bonus,smithy_bonus_cap))*(1+Techs!AO53*tech_master_of_frugality))*spec_dp_ore,0)</f>
        <v>6</v>
      </c>
      <c r="BV53" s="164">
        <f t="shared" ca="1" si="81"/>
        <v>0</v>
      </c>
      <c r="BW53" s="164">
        <f t="shared" ca="1" si="82"/>
        <v>0</v>
      </c>
      <c r="BX53" s="164">
        <f t="shared" ca="1" si="83"/>
        <v>0</v>
      </c>
      <c r="BY53" s="164">
        <f ca="1">ROUNDUP((1-MIN(AB53*smithy_bonus,smithy_bonus_cap))*(1+Techs!AO53*tech_master_of_frugality)*elite1_plat,0)</f>
        <v>600</v>
      </c>
      <c r="BZ53" s="164">
        <f ca="1">ROUNDUP(IF(race="Gnome",1,(1-MIN(AB53*smithy_bonus,smithy_bonus_cap))*(1+Techs!AO53*tech_master_of_frugality))*elite1_ore,0)</f>
        <v>45</v>
      </c>
      <c r="CA53" s="164">
        <f t="shared" ca="1" si="84"/>
        <v>0</v>
      </c>
      <c r="CB53" s="164">
        <f t="shared" ca="1" si="85"/>
        <v>0</v>
      </c>
      <c r="CC53" s="164">
        <f t="shared" ca="1" si="86"/>
        <v>0</v>
      </c>
      <c r="CD53" s="164">
        <f t="shared" ca="1" si="87"/>
        <v>0</v>
      </c>
      <c r="CE53" s="164">
        <f t="shared" ca="1" si="88"/>
        <v>0</v>
      </c>
      <c r="CF53" s="164">
        <f ca="1">ROUNDUP((1-MIN(AB53*smithy_bonus,smithy_bonus_cap))*(1+Techs!AO53*tech_master_of_frugality)*elite2_plat,0)</f>
        <v>750</v>
      </c>
      <c r="CG53" s="164">
        <f ca="1">ROUNDUP(IF(race="Gnome",1,(1-MIN(AB53*smithy_bonus,smithy_bonus_cap))*(1+Techs!AO53*tech_master_of_frugality))*elite2_ore,0)</f>
        <v>60</v>
      </c>
      <c r="CH53" s="164">
        <f t="shared" ca="1" si="89"/>
        <v>0</v>
      </c>
      <c r="CI53" s="164">
        <f t="shared" ca="1" si="90"/>
        <v>0</v>
      </c>
      <c r="CJ53" s="164">
        <f t="shared" ca="1" si="91"/>
        <v>0</v>
      </c>
      <c r="CK53" s="164">
        <f t="shared" ca="1" si="92"/>
        <v>0</v>
      </c>
      <c r="CL53" s="164">
        <f t="shared" ca="1" si="93"/>
        <v>0</v>
      </c>
      <c r="CM53" s="164">
        <f>ROUNDUP((1+tech_spy_cost*Techs!AJ53)*spy_plat,0)</f>
        <v>500</v>
      </c>
      <c r="CN53" s="164">
        <f>ROUNDUP((1+tech_wizard_cost*Techs!AM53-MIN(ROUND(wg_wiz_cost_bonus*BN53,4),wg_wiz_cost_cap))*wizard_plat,0)</f>
        <v>500</v>
      </c>
      <c r="CO53" s="166">
        <f>ROUNDUP((1+tech_wizard_cost*Techs!AM53-MIN(ROUND(wg_wiz_cost_bonus*BN53,4),wg_wiz_cost_cap))*archmage_plat,0)</f>
        <v>1000</v>
      </c>
      <c r="CQ53" s="465">
        <f ca="1">Construction!DF53/Construction!E53</f>
        <v>0.28000000000000003</v>
      </c>
      <c r="CR53" s="466">
        <f t="shared" si="73"/>
        <v>0</v>
      </c>
      <c r="CS53" s="466">
        <f>Construction!BK53/Construction!E53</f>
        <v>0.05</v>
      </c>
      <c r="CT53" s="466">
        <f>Construction!BJ53/Construction!E53</f>
        <v>0</v>
      </c>
      <c r="CU53" s="466">
        <f>Construction!AY53/Construction!E53</f>
        <v>0</v>
      </c>
      <c r="CV53" s="487">
        <f t="shared" ca="1" si="94"/>
        <v>1.4000000000000001</v>
      </c>
      <c r="CW53" s="488">
        <f t="shared" ca="1" si="95"/>
        <v>1.4000000000000001</v>
      </c>
      <c r="CX53" s="488">
        <f t="shared" ca="1" si="96"/>
        <v>1.4000000000000001</v>
      </c>
      <c r="CY53" s="489">
        <f t="shared" ca="1" si="97"/>
        <v>1.4000000000000001</v>
      </c>
      <c r="CZ53" s="489">
        <f t="shared" si="98"/>
        <v>0.1</v>
      </c>
      <c r="DA53" s="489">
        <f t="shared" ca="1" si="99"/>
        <v>3</v>
      </c>
      <c r="DB53" s="489">
        <f t="shared" ca="1" si="100"/>
        <v>1.4000000000000001</v>
      </c>
      <c r="DC53" s="488">
        <f t="shared" si="101"/>
        <v>0</v>
      </c>
      <c r="DD53" s="848">
        <f t="shared" si="102"/>
        <v>0</v>
      </c>
      <c r="DE53" s="442">
        <f t="shared" si="56"/>
        <v>800</v>
      </c>
      <c r="DF53" s="442">
        <f t="shared" si="57"/>
        <v>0</v>
      </c>
      <c r="DG53" s="487">
        <f t="shared" ca="1" si="103"/>
        <v>1.4000000000000001</v>
      </c>
      <c r="DH53" s="452">
        <f t="shared" si="104"/>
        <v>9.0000000000000011E-2</v>
      </c>
      <c r="DI53" s="452">
        <f>MIN(valkyrja_cap,Production!O53/valkyrja_bonus)</f>
        <v>1</v>
      </c>
      <c r="DJ53" s="848">
        <f>MIN(voodoo_magi_cap,Production!O53/voodoo_magi_bonus)</f>
        <v>0.83333333333333337</v>
      </c>
      <c r="DK53" s="848">
        <f>MIN(warlock_cap,Production!O53/warlock_bonus)</f>
        <v>1.25</v>
      </c>
      <c r="DL53" s="848">
        <f ca="1">MIN(nox_nightshade_cap,Construction!DF53/Construction!E53/nox_nightshade_swamp_bonus)</f>
        <v>2.8000000000000003</v>
      </c>
      <c r="DM53" s="488">
        <f t="shared" si="105"/>
        <v>0</v>
      </c>
      <c r="DN53" s="489">
        <f t="shared" ca="1" si="106"/>
        <v>2.8000000000000003</v>
      </c>
      <c r="DO53" s="489">
        <f t="shared" ca="1" si="107"/>
        <v>2.8000000000000003</v>
      </c>
      <c r="DP53" s="489">
        <f t="shared" si="108"/>
        <v>1</v>
      </c>
      <c r="DQ53" s="488">
        <f t="shared" si="109"/>
        <v>0</v>
      </c>
      <c r="DR53" s="489">
        <f t="shared" si="110"/>
        <v>0</v>
      </c>
      <c r="DS53" s="488">
        <f t="shared" si="111"/>
        <v>0</v>
      </c>
      <c r="DT53" s="489">
        <f t="shared" si="112"/>
        <v>0.1</v>
      </c>
      <c r="DX53" s="487">
        <f ca="1">MIN(6,CV53+Races!$F$19)*1.8 +  IF(CV53+Races!$F$19&gt;6,(CV53+Races!$F$19-6)*0.2,0) - Races!$N$19</f>
        <v>2.5200000000000005</v>
      </c>
      <c r="DY53" s="488">
        <f ca="1">1.8 * MIN(MAX(CW53+Races!$E$20,CX53+Races!$F$20),6)  +  0.45 * MIN(MIN(CW53+Races!$E$20,CX53+Races!$F$20),6)  +  0.2 * ( MAX(CW53+Races!$E$20-6,0) + MAX(CX53+Races!$F$20-6,0) )  -  Races!$N$20</f>
        <v>3.1500000000000012</v>
      </c>
      <c r="DZ53" s="57">
        <f t="shared" ca="1" si="113"/>
        <v>3780.0000000000009</v>
      </c>
      <c r="EA53" s="666">
        <f ca="1">MIN(6,CY53+Races!$F$35)*1.8 +  IF(CY53+Races!$F$35&gt;6,(CY53+Races!$F$35-6)*0.2,0) - Races!$N$19</f>
        <v>0.72000000000000064</v>
      </c>
      <c r="EB53" s="57">
        <f t="shared" ca="1" si="114"/>
        <v>0</v>
      </c>
      <c r="EC53" s="666">
        <f ca="1">1.8 * MIN(MAX(Races!$E$27,DB53+Races!$F$27),6)  +  0.45 * MIN(MIN(Races!$E$27,DB53+Races!$F$27),6)  +  0.2 * ( MAX(Races!$E$27-6,0) + MAX(DB53+Races!$F$27-6,0) )  -  Races!$N$20</f>
        <v>4.7700000000000005</v>
      </c>
      <c r="ED53" s="57">
        <f t="shared" ca="1" si="115"/>
        <v>0</v>
      </c>
      <c r="EE53" s="666">
        <f>1.8 * MIN(MAX(DC53+Races!$E$47,DD53+Races!$F$47),6)  +  0.45 * MIN(MIN(DC53+Races!$E$47,DD53+Races!$F$47),6)  +  0.2 * ( MAX(DC53+Races!$E$47-6,0) + MAX(DD53+Races!$F$47-6,0) )  -  Races!$N$47</f>
        <v>0</v>
      </c>
      <c r="EF53" s="57">
        <f t="shared" si="116"/>
        <v>0</v>
      </c>
      <c r="EG53" s="666">
        <f ca="1">1.8 * MIN(MAX(DG53+Races!$F$71,Races!$E$71),6)  +  0.45 * MIN(MIN(DG53+Races!$F$71,Races!$E$71),6)  +  0.2 * ( MAX(DG53+Races!$F$71-6,0) + MAX(Races!$E$71-6,0) )  -  Races!$N$71</f>
        <v>2.5200000000000014</v>
      </c>
      <c r="EH53" s="666">
        <f>1.8 * MIN(MAX(DH53+Races!$E$71,Races!$F$71),6)  +  0.45 * MIN(MIN(DH53+Races!$E$71,Races!$F$71),6)  +  0.2 * ( MAX(DH53+Races!$E$71-6,0) + MAX(Races!$F$71-6,0) )  -  Races!$N$71</f>
        <v>0.16200000000000081</v>
      </c>
      <c r="EI53" s="57">
        <f t="shared" ca="1" si="117"/>
        <v>2584.8000000000015</v>
      </c>
      <c r="EJ53" s="57"/>
      <c r="EK53" s="57"/>
      <c r="EL53" s="57"/>
      <c r="EM53" s="57">
        <f ca="1">Overview!$L$22*E53+Overview!$L$23*F53+Overview!$L$24*G53+Overview!$L$25*H53+Overview!$L$26*I53+Overview!$L$27*J53+Overview!$L$28*K53+Construction!E53*20+Construction!B53*5 + DZ53*$DV$4+EB53*$DV$5+ED53*$DV$6+EF53*$DV$7+EI53*$DV$9</f>
        <v>39460</v>
      </c>
      <c r="EO53" s="738">
        <f>(J53+2*K53)/Construction!E53</f>
        <v>0.1</v>
      </c>
      <c r="EP53" s="734">
        <f ca="1">EO53*(1+race_wizard_strength+tech_magical_weaponry_wiz*Techs!AV125)</f>
        <v>0.1</v>
      </c>
      <c r="EQ53" s="16">
        <f>(I53+halfer*H53/3)/Construction!E53</f>
        <v>0.1</v>
      </c>
    </row>
    <row r="54" spans="1:147" s="16" customFormat="1">
      <c r="A54" s="629">
        <f>Rezone!J54</f>
        <v>52</v>
      </c>
      <c r="B54" s="56">
        <f ca="1">SUM(E54:K54)+SUM(AF46:AG54)+SUM(AH43:AL54)+Z54+Explore!AL54</f>
        <v>5295</v>
      </c>
      <c r="C54" s="97">
        <f ca="1">Population!G54</f>
        <v>0.57305194805194803</v>
      </c>
      <c r="E54" s="52">
        <f t="shared" si="118"/>
        <v>0</v>
      </c>
      <c r="F54" s="16">
        <f t="shared" si="119"/>
        <v>0</v>
      </c>
      <c r="G54" s="16">
        <f t="shared" si="120"/>
        <v>1000</v>
      </c>
      <c r="H54" s="16">
        <f t="shared" si="121"/>
        <v>400</v>
      </c>
      <c r="I54" s="16">
        <f t="shared" si="122"/>
        <v>100</v>
      </c>
      <c r="J54" s="16">
        <f t="shared" si="123"/>
        <v>100</v>
      </c>
      <c r="K54" s="53">
        <f t="shared" si="124"/>
        <v>0</v>
      </c>
      <c r="M54" s="64">
        <f ca="1">Production!G54</f>
        <v>39460</v>
      </c>
      <c r="O54" s="142">
        <f t="shared" ca="1" si="75"/>
        <v>4400</v>
      </c>
      <c r="P54" s="455">
        <f ca="1">race_offense+Imps!AB54+ROUND(MIN(gn_bonus*Construction!BF54/Construction!$E54,gn_bonus_cap),4)+MAX(IF(Magic!$AN54&gt;0,warsong_bonus),IF(Magic!AP54&gt;0,howling_op_bonus),IF(Magic!AS54&gt;0,nightfall_bonus),IF(Magic!AT54&gt;0,crusade_bonus),IF(Magic!AU54&gt;0,killingrage_bonus),IF(Magic!AV54&gt;0,bloodrage_bonus)) + Production!O54/100*prestige_offense_bonus + MAX(tech_military_offense*Techs!AH54,tech_magical_weaponry_op*Techs!AV54)</f>
        <v>0.05</v>
      </c>
      <c r="Q54" s="235">
        <f t="shared" ca="1" si="46"/>
        <v>4620</v>
      </c>
      <c r="R54" s="234">
        <f ca="1">F54*(spec_dp+spirit*DR54)+G54*(elite1_dp+woodie*CV54+sylvan*CY54+gnome*DB54+dark_elf*DD54+icekin*DG54+orc*DJ54+nox*DL54+beast*DN54+sacred*DP54+spirit*DS54+blackorc*DK54)+H54*(elite2_dp+woodie*CX54+beast*DO54+sacred*DQ54) + fh_peas_dp*MIN(Population!C54,20*Construction!BD54)+kobold*DE54</f>
        <v>7200</v>
      </c>
      <c r="S54" s="235">
        <f t="shared" ca="1" si="76"/>
        <v>10895</v>
      </c>
      <c r="T54" s="1052">
        <f ca="1">race_defense+Imps!AC54+ROUND(MIN(gt_bonus*Construction!BH54/Construction!$E54,gt_bonus_cap),4)+MAX(IF(Magic!AM54&gt;0,frenzy_bonus,IF(Magic!AQ54&gt;0,blizzard_bonus,IF(Magic!AP54&gt;0,howling_dp_bonus,IF(Magic!AI54&gt;0,ares_call_bonus)))),IF(Magic!AX54&gt;0,MIN(Construction!DF54/Construction!E54,0.2),0))</f>
        <v>0</v>
      </c>
      <c r="U54" s="1046">
        <f t="shared" ca="1" si="47"/>
        <v>7200</v>
      </c>
      <c r="V54" s="310">
        <f t="shared" ca="1" si="48"/>
        <v>10895</v>
      </c>
      <c r="W54" s="310">
        <f>Construction!E54</f>
        <v>1000</v>
      </c>
      <c r="X54" s="367"/>
      <c r="Y54" s="146">
        <f t="shared" si="74"/>
        <v>0.4</v>
      </c>
      <c r="Z54" s="166">
        <f ca="1">Z53+Population!Z53 - IF(race="Lux",AF54,SUM(AF54:AK54)) - BE54 + SUM(BF54:BL54) - Explore!AI54</f>
        <v>3695</v>
      </c>
      <c r="AA54" s="164"/>
      <c r="AB54" s="91">
        <f>(Construction!$BA54+Construction!BY54)/(Construction!$E54-Explore!S54*20)</f>
        <v>0.2</v>
      </c>
      <c r="AC54" s="529"/>
      <c r="AD54" s="799">
        <f>Rezone!J54</f>
        <v>52</v>
      </c>
      <c r="AE54" s="589">
        <f>Explore!AA54</f>
        <v>43694.124999999876</v>
      </c>
      <c r="AF54" s="356"/>
      <c r="AG54" s="348"/>
      <c r="AH54" s="348"/>
      <c r="AI54" s="348"/>
      <c r="AJ54" s="348"/>
      <c r="AK54" s="348"/>
      <c r="AL54" s="357"/>
      <c r="AN54" s="56">
        <f ca="1">Production!$H54</f>
        <v>3490712</v>
      </c>
      <c r="AO54" s="26">
        <f ca="1">Production!$L54</f>
        <v>231000</v>
      </c>
      <c r="AP54" s="26">
        <f ca="1">Production!J54</f>
        <v>281384</v>
      </c>
      <c r="AQ54" s="26">
        <f ca="1">Production!M54</f>
        <v>20000</v>
      </c>
      <c r="AR54" s="26">
        <f ca="1">Production!K54</f>
        <v>47334</v>
      </c>
      <c r="AS54" s="26">
        <f ca="1">Production!I54</f>
        <v>210987</v>
      </c>
      <c r="AT54" s="26">
        <f ca="1">Production!N54</f>
        <v>200</v>
      </c>
      <c r="AU54" s="152">
        <f t="shared" ca="1" si="77"/>
        <v>0</v>
      </c>
      <c r="AV54" s="164">
        <f t="shared" ca="1" si="78"/>
        <v>0</v>
      </c>
      <c r="AW54" s="164">
        <f t="shared" ca="1" si="50"/>
        <v>0</v>
      </c>
      <c r="AX54" s="164">
        <f t="shared" ca="1" si="51"/>
        <v>0</v>
      </c>
      <c r="AY54" s="164">
        <f t="shared" ca="1" si="52"/>
        <v>0</v>
      </c>
      <c r="AZ54" s="164">
        <f t="shared" ca="1" si="53"/>
        <v>0</v>
      </c>
      <c r="BA54" s="166">
        <f t="shared" ca="1" si="54"/>
        <v>0</v>
      </c>
      <c r="BB54" s="16">
        <v>52</v>
      </c>
      <c r="BC54" s="574">
        <f t="shared" si="71"/>
        <v>43694.124999999876</v>
      </c>
      <c r="BD54" s="148">
        <f t="shared" ca="1" si="72"/>
        <v>3695</v>
      </c>
      <c r="BE54" s="356"/>
      <c r="BF54" s="348"/>
      <c r="BG54" s="348"/>
      <c r="BH54" s="348"/>
      <c r="BI54" s="348"/>
      <c r="BJ54" s="348"/>
      <c r="BK54" s="348"/>
      <c r="BL54" s="357"/>
      <c r="BN54" s="503">
        <f>Construction!BM54/Construction!E54</f>
        <v>0</v>
      </c>
      <c r="BO54" s="171">
        <f>Construction!BD54/Construction!E54</f>
        <v>0</v>
      </c>
      <c r="BP54" s="152">
        <f>ROUNDUP((1-MIN(AB54*smithy_bonus,smithy_bonus_cap))*(1+Techs!AO54*tech_master_of_frugality)*spec_op_plat,0)</f>
        <v>165</v>
      </c>
      <c r="BQ54" s="164">
        <f>ROUNDUP(IF(race="Gnome",1,(1-MIN(AB54*smithy_bonus,smithy_bonus_cap))*(1+Techs!AO54*tech_master_of_frugality))*spec_op_ore,0)</f>
        <v>15</v>
      </c>
      <c r="BR54" s="164">
        <f t="shared" si="79"/>
        <v>0</v>
      </c>
      <c r="BS54" s="164">
        <f t="shared" si="80"/>
        <v>0</v>
      </c>
      <c r="BT54" s="164">
        <f ca="1">ROUNDUP((1-MIN(AB54*smithy_bonus,smithy_bonus_cap))*(1+Techs!AO54*tech_master_of_frugality)*spec_dp_plat,0)</f>
        <v>165</v>
      </c>
      <c r="BU54" s="164">
        <f ca="1">ROUNDUP(IF(OR(race="Gnome",race="Imperial Gnome"),1,(1-MIN(AB54*smithy_bonus,smithy_bonus_cap))*(1+Techs!AO54*tech_master_of_frugality))*spec_dp_ore,0)</f>
        <v>6</v>
      </c>
      <c r="BV54" s="164">
        <f t="shared" ca="1" si="81"/>
        <v>0</v>
      </c>
      <c r="BW54" s="164">
        <f t="shared" ca="1" si="82"/>
        <v>0</v>
      </c>
      <c r="BX54" s="164">
        <f t="shared" ca="1" si="83"/>
        <v>0</v>
      </c>
      <c r="BY54" s="164">
        <f ca="1">ROUNDUP((1-MIN(AB54*smithy_bonus,smithy_bonus_cap))*(1+Techs!AO54*tech_master_of_frugality)*elite1_plat,0)</f>
        <v>600</v>
      </c>
      <c r="BZ54" s="164">
        <f ca="1">ROUNDUP(IF(race="Gnome",1,(1-MIN(AB54*smithy_bonus,smithy_bonus_cap))*(1+Techs!AO54*tech_master_of_frugality))*elite1_ore,0)</f>
        <v>45</v>
      </c>
      <c r="CA54" s="164">
        <f t="shared" ca="1" si="84"/>
        <v>0</v>
      </c>
      <c r="CB54" s="164">
        <f t="shared" ca="1" si="85"/>
        <v>0</v>
      </c>
      <c r="CC54" s="164">
        <f t="shared" ca="1" si="86"/>
        <v>0</v>
      </c>
      <c r="CD54" s="164">
        <f t="shared" ca="1" si="87"/>
        <v>0</v>
      </c>
      <c r="CE54" s="164">
        <f t="shared" ca="1" si="88"/>
        <v>0</v>
      </c>
      <c r="CF54" s="164">
        <f ca="1">ROUNDUP((1-MIN(AB54*smithy_bonus,smithy_bonus_cap))*(1+Techs!AO54*tech_master_of_frugality)*elite2_plat,0)</f>
        <v>750</v>
      </c>
      <c r="CG54" s="164">
        <f ca="1">ROUNDUP(IF(race="Gnome",1,(1-MIN(AB54*smithy_bonus,smithy_bonus_cap))*(1+Techs!AO54*tech_master_of_frugality))*elite2_ore,0)</f>
        <v>60</v>
      </c>
      <c r="CH54" s="164">
        <f t="shared" ca="1" si="89"/>
        <v>0</v>
      </c>
      <c r="CI54" s="164">
        <f t="shared" ca="1" si="90"/>
        <v>0</v>
      </c>
      <c r="CJ54" s="164">
        <f t="shared" ca="1" si="91"/>
        <v>0</v>
      </c>
      <c r="CK54" s="164">
        <f t="shared" ca="1" si="92"/>
        <v>0</v>
      </c>
      <c r="CL54" s="164">
        <f t="shared" ca="1" si="93"/>
        <v>0</v>
      </c>
      <c r="CM54" s="164">
        <f>ROUNDUP((1+tech_spy_cost*Techs!AJ54)*spy_plat,0)</f>
        <v>500</v>
      </c>
      <c r="CN54" s="164">
        <f>ROUNDUP((1+tech_wizard_cost*Techs!AM54-MIN(ROUND(wg_wiz_cost_bonus*BN54,4),wg_wiz_cost_cap))*wizard_plat,0)</f>
        <v>500</v>
      </c>
      <c r="CO54" s="166">
        <f>ROUNDUP((1+tech_wizard_cost*Techs!AM54-MIN(ROUND(wg_wiz_cost_bonus*BN54,4),wg_wiz_cost_cap))*archmage_plat,0)</f>
        <v>1000</v>
      </c>
      <c r="CQ54" s="465">
        <f ca="1">Construction!DF54/Construction!E54</f>
        <v>0.28000000000000003</v>
      </c>
      <c r="CR54" s="466">
        <f t="shared" si="73"/>
        <v>0</v>
      </c>
      <c r="CS54" s="466">
        <f>Construction!BK54/Construction!E54</f>
        <v>0.05</v>
      </c>
      <c r="CT54" s="466">
        <f>Construction!BJ54/Construction!E54</f>
        <v>0</v>
      </c>
      <c r="CU54" s="466">
        <f>Construction!AY54/Construction!E54</f>
        <v>0</v>
      </c>
      <c r="CV54" s="487">
        <f t="shared" ca="1" si="94"/>
        <v>1.4000000000000001</v>
      </c>
      <c r="CW54" s="488">
        <f t="shared" ca="1" si="95"/>
        <v>1.4000000000000001</v>
      </c>
      <c r="CX54" s="488">
        <f t="shared" ca="1" si="96"/>
        <v>1.4000000000000001</v>
      </c>
      <c r="CY54" s="489">
        <f t="shared" ca="1" si="97"/>
        <v>1.4000000000000001</v>
      </c>
      <c r="CZ54" s="489">
        <f t="shared" si="98"/>
        <v>0.1</v>
      </c>
      <c r="DA54" s="489">
        <f t="shared" ca="1" si="99"/>
        <v>3</v>
      </c>
      <c r="DB54" s="489">
        <f t="shared" ca="1" si="100"/>
        <v>1.4000000000000001</v>
      </c>
      <c r="DC54" s="488">
        <f t="shared" si="101"/>
        <v>0</v>
      </c>
      <c r="DD54" s="848">
        <f t="shared" si="102"/>
        <v>0</v>
      </c>
      <c r="DE54" s="442">
        <f t="shared" si="56"/>
        <v>800</v>
      </c>
      <c r="DF54" s="442">
        <f t="shared" si="57"/>
        <v>0</v>
      </c>
      <c r="DG54" s="487">
        <f t="shared" ca="1" si="103"/>
        <v>1.4000000000000001</v>
      </c>
      <c r="DH54" s="452">
        <f t="shared" si="104"/>
        <v>9.0000000000000011E-2</v>
      </c>
      <c r="DI54" s="452">
        <f>MIN(valkyrja_cap,Production!O54/valkyrja_bonus)</f>
        <v>1</v>
      </c>
      <c r="DJ54" s="848">
        <f>MIN(voodoo_magi_cap,Production!O54/voodoo_magi_bonus)</f>
        <v>0.83333333333333337</v>
      </c>
      <c r="DK54" s="848">
        <f>MIN(warlock_cap,Production!O54/warlock_bonus)</f>
        <v>1.25</v>
      </c>
      <c r="DL54" s="848">
        <f ca="1">MIN(nox_nightshade_cap,Construction!DF54/Construction!E54/nox_nightshade_swamp_bonus)</f>
        <v>2.8000000000000003</v>
      </c>
      <c r="DM54" s="488">
        <f t="shared" si="105"/>
        <v>0</v>
      </c>
      <c r="DN54" s="489">
        <f t="shared" ca="1" si="106"/>
        <v>2.8000000000000003</v>
      </c>
      <c r="DO54" s="489">
        <f t="shared" ca="1" si="107"/>
        <v>2.8000000000000003</v>
      </c>
      <c r="DP54" s="489">
        <f t="shared" si="108"/>
        <v>1</v>
      </c>
      <c r="DQ54" s="488">
        <f t="shared" si="109"/>
        <v>0</v>
      </c>
      <c r="DR54" s="489">
        <f t="shared" si="110"/>
        <v>0</v>
      </c>
      <c r="DS54" s="488">
        <f t="shared" si="111"/>
        <v>0</v>
      </c>
      <c r="DT54" s="489">
        <f t="shared" si="112"/>
        <v>0.1</v>
      </c>
      <c r="DX54" s="487">
        <f ca="1">MIN(6,CV54+Races!$F$19)*1.8 +  IF(CV54+Races!$F$19&gt;6,(CV54+Races!$F$19-6)*0.2,0) - Races!$N$19</f>
        <v>2.5200000000000005</v>
      </c>
      <c r="DY54" s="488">
        <f ca="1">1.8 * MIN(MAX(CW54+Races!$E$20,CX54+Races!$F$20),6)  +  0.45 * MIN(MIN(CW54+Races!$E$20,CX54+Races!$F$20),6)  +  0.2 * ( MAX(CW54+Races!$E$20-6,0) + MAX(CX54+Races!$F$20-6,0) )  -  Races!$N$20</f>
        <v>3.1500000000000012</v>
      </c>
      <c r="DZ54" s="57">
        <f t="shared" ca="1" si="113"/>
        <v>3780.0000000000009</v>
      </c>
      <c r="EA54" s="666">
        <f ca="1">MIN(6,CY54+Races!$F$35)*1.8 +  IF(CY54+Races!$F$35&gt;6,(CY54+Races!$F$35-6)*0.2,0) - Races!$N$19</f>
        <v>0.72000000000000064</v>
      </c>
      <c r="EB54" s="57">
        <f t="shared" ca="1" si="114"/>
        <v>0</v>
      </c>
      <c r="EC54" s="666">
        <f ca="1">1.8 * MIN(MAX(Races!$E$27,DB54+Races!$F$27),6)  +  0.45 * MIN(MIN(Races!$E$27,DB54+Races!$F$27),6)  +  0.2 * ( MAX(Races!$E$27-6,0) + MAX(DB54+Races!$F$27-6,0) )  -  Races!$N$20</f>
        <v>4.7700000000000005</v>
      </c>
      <c r="ED54" s="57">
        <f t="shared" ca="1" si="115"/>
        <v>0</v>
      </c>
      <c r="EE54" s="666">
        <f>1.8 * MIN(MAX(DC54+Races!$E$47,DD54+Races!$F$47),6)  +  0.45 * MIN(MIN(DC54+Races!$E$47,DD54+Races!$F$47),6)  +  0.2 * ( MAX(DC54+Races!$E$47-6,0) + MAX(DD54+Races!$F$47-6,0) )  -  Races!$N$47</f>
        <v>0</v>
      </c>
      <c r="EF54" s="57">
        <f t="shared" si="116"/>
        <v>0</v>
      </c>
      <c r="EG54" s="666">
        <f ca="1">1.8 * MIN(MAX(DG54+Races!$F$71,Races!$E$71),6)  +  0.45 * MIN(MIN(DG54+Races!$F$71,Races!$E$71),6)  +  0.2 * ( MAX(DG54+Races!$F$71-6,0) + MAX(Races!$E$71-6,0) )  -  Races!$N$71</f>
        <v>2.5200000000000014</v>
      </c>
      <c r="EH54" s="666">
        <f>1.8 * MIN(MAX(DH54+Races!$E$71,Races!$F$71),6)  +  0.45 * MIN(MIN(DH54+Races!$E$71,Races!$F$71),6)  +  0.2 * ( MAX(DH54+Races!$E$71-6,0) + MAX(Races!$F$71-6,0) )  -  Races!$N$71</f>
        <v>0.16200000000000081</v>
      </c>
      <c r="EI54" s="57">
        <f t="shared" ca="1" si="117"/>
        <v>2584.8000000000015</v>
      </c>
      <c r="EJ54" s="57"/>
      <c r="EK54" s="57"/>
      <c r="EL54" s="57"/>
      <c r="EM54" s="57">
        <f ca="1">Overview!$L$22*E54+Overview!$L$23*F54+Overview!$L$24*G54+Overview!$L$25*H54+Overview!$L$26*I54+Overview!$L$27*J54+Overview!$L$28*K54+Construction!E54*20+Construction!B54*5 + DZ54*$DV$4+EB54*$DV$5+ED54*$DV$6+EF54*$DV$7+EI54*$DV$9</f>
        <v>39460</v>
      </c>
      <c r="EO54" s="738">
        <f>(J54+2*K54)/Construction!E54</f>
        <v>0.1</v>
      </c>
      <c r="EP54" s="734">
        <f ca="1">EO54*(1+race_wizard_strength+tech_magical_weaponry_wiz*Techs!AV126)</f>
        <v>0.1</v>
      </c>
      <c r="EQ54" s="16">
        <f>(I54+halfer*H54/3)/Construction!E54</f>
        <v>0.1</v>
      </c>
    </row>
    <row r="55" spans="1:147" s="16" customFormat="1">
      <c r="A55" s="629">
        <f>Rezone!J55</f>
        <v>53</v>
      </c>
      <c r="B55" s="56">
        <f ca="1">SUM(E55:K55)+SUM(AF47:AG55)+SUM(AH44:AL55)+Z55+Explore!AL55</f>
        <v>5295</v>
      </c>
      <c r="C55" s="97">
        <f ca="1">Population!G55</f>
        <v>0.57305194805194803</v>
      </c>
      <c r="E55" s="52">
        <f t="shared" si="118"/>
        <v>0</v>
      </c>
      <c r="F55" s="16">
        <f t="shared" si="119"/>
        <v>0</v>
      </c>
      <c r="G55" s="16">
        <f t="shared" si="120"/>
        <v>1000</v>
      </c>
      <c r="H55" s="16">
        <f t="shared" si="121"/>
        <v>400</v>
      </c>
      <c r="I55" s="16">
        <f t="shared" si="122"/>
        <v>100</v>
      </c>
      <c r="J55" s="16">
        <f t="shared" si="123"/>
        <v>100</v>
      </c>
      <c r="K55" s="53">
        <f t="shared" si="124"/>
        <v>0</v>
      </c>
      <c r="M55" s="64">
        <f ca="1">Production!G55</f>
        <v>39460</v>
      </c>
      <c r="O55" s="142">
        <f t="shared" ca="1" si="75"/>
        <v>4400</v>
      </c>
      <c r="P55" s="455">
        <f ca="1">race_offense+Imps!AB55+ROUND(MIN(gn_bonus*Construction!BF55/Construction!$E55,gn_bonus_cap),4)+MAX(IF(Magic!$AN55&gt;0,warsong_bonus),IF(Magic!AP55&gt;0,howling_op_bonus),IF(Magic!AS55&gt;0,nightfall_bonus),IF(Magic!AT55&gt;0,crusade_bonus),IF(Magic!AU55&gt;0,killingrage_bonus),IF(Magic!AV55&gt;0,bloodrage_bonus)) + Production!O55/100*prestige_offense_bonus + MAX(tech_military_offense*Techs!AH55,tech_magical_weaponry_op*Techs!AV55)</f>
        <v>0.05</v>
      </c>
      <c r="Q55" s="235">
        <f t="shared" ca="1" si="46"/>
        <v>4620</v>
      </c>
      <c r="R55" s="234">
        <f ca="1">F55*(spec_dp+spirit*DR55)+G55*(elite1_dp+woodie*CV55+sylvan*CY55+gnome*DB55+dark_elf*DD55+icekin*DG55+orc*DJ55+nox*DL55+beast*DN55+sacred*DP55+spirit*DS55+blackorc*DK55)+H55*(elite2_dp+woodie*CX55+beast*DO55+sacred*DQ55) + fh_peas_dp*MIN(Population!C55,20*Construction!BD55)+kobold*DE55</f>
        <v>7200</v>
      </c>
      <c r="S55" s="235">
        <f t="shared" ca="1" si="76"/>
        <v>10895</v>
      </c>
      <c r="T55" s="1052">
        <f ca="1">race_defense+Imps!AC55+ROUND(MIN(gt_bonus*Construction!BH55/Construction!$E55,gt_bonus_cap),4)+MAX(IF(Magic!AM55&gt;0,frenzy_bonus,IF(Magic!AQ55&gt;0,blizzard_bonus,IF(Magic!AP55&gt;0,howling_dp_bonus,IF(Magic!AI55&gt;0,ares_call_bonus)))),IF(Magic!AX55&gt;0,MIN(Construction!DF55/Construction!E55,0.2),0))</f>
        <v>0</v>
      </c>
      <c r="U55" s="1046">
        <f t="shared" ca="1" si="47"/>
        <v>7200</v>
      </c>
      <c r="V55" s="310">
        <f t="shared" ca="1" si="48"/>
        <v>10895</v>
      </c>
      <c r="W55" s="310">
        <f>Construction!E55</f>
        <v>1000</v>
      </c>
      <c r="X55" s="367"/>
      <c r="Y55" s="146">
        <f t="shared" si="74"/>
        <v>0.4</v>
      </c>
      <c r="Z55" s="166">
        <f ca="1">Z54+Population!Z54 - IF(race="Lux",AF55,SUM(AF55:AK55)) - BE55 + SUM(BF55:BL55) - Explore!AI55</f>
        <v>3695</v>
      </c>
      <c r="AA55" s="164"/>
      <c r="AB55" s="91">
        <f>(Construction!$BA55+Construction!BY55)/(Construction!$E55-Explore!S55*20)</f>
        <v>0.2</v>
      </c>
      <c r="AC55" s="529"/>
      <c r="AD55" s="799">
        <f>Rezone!J55</f>
        <v>53</v>
      </c>
      <c r="AE55" s="589">
        <f>Explore!AA55</f>
        <v>43694.166666666541</v>
      </c>
      <c r="AF55" s="356"/>
      <c r="AG55" s="348"/>
      <c r="AH55" s="348"/>
      <c r="AI55" s="348"/>
      <c r="AJ55" s="348"/>
      <c r="AK55" s="348"/>
      <c r="AL55" s="357"/>
      <c r="AN55" s="56">
        <f ca="1">Production!$H55</f>
        <v>3501363</v>
      </c>
      <c r="AO55" s="26">
        <f ca="1">Production!$L55</f>
        <v>231000</v>
      </c>
      <c r="AP55" s="26">
        <f ca="1">Production!J55</f>
        <v>281070</v>
      </c>
      <c r="AQ55" s="26">
        <f ca="1">Production!M55</f>
        <v>20000</v>
      </c>
      <c r="AR55" s="26">
        <f ca="1">Production!K55</f>
        <v>47637</v>
      </c>
      <c r="AS55" s="26">
        <f ca="1">Production!I55</f>
        <v>213607</v>
      </c>
      <c r="AT55" s="26">
        <f ca="1">Production!N55</f>
        <v>200</v>
      </c>
      <c r="AU55" s="152">
        <f t="shared" ca="1" si="77"/>
        <v>0</v>
      </c>
      <c r="AV55" s="164">
        <f t="shared" ca="1" si="78"/>
        <v>0</v>
      </c>
      <c r="AW55" s="164">
        <f t="shared" ca="1" si="50"/>
        <v>0</v>
      </c>
      <c r="AX55" s="164">
        <f t="shared" ca="1" si="51"/>
        <v>0</v>
      </c>
      <c r="AY55" s="164">
        <f t="shared" ca="1" si="52"/>
        <v>0</v>
      </c>
      <c r="AZ55" s="164">
        <f t="shared" ca="1" si="53"/>
        <v>0</v>
      </c>
      <c r="BA55" s="166">
        <f t="shared" ca="1" si="54"/>
        <v>0</v>
      </c>
      <c r="BB55" s="16">
        <v>53</v>
      </c>
      <c r="BC55" s="574">
        <f t="shared" si="71"/>
        <v>43694.166666666541</v>
      </c>
      <c r="BD55" s="148">
        <f t="shared" ca="1" si="72"/>
        <v>3695</v>
      </c>
      <c r="BE55" s="356"/>
      <c r="BF55" s="348"/>
      <c r="BG55" s="348"/>
      <c r="BH55" s="348"/>
      <c r="BI55" s="348"/>
      <c r="BJ55" s="348"/>
      <c r="BK55" s="348"/>
      <c r="BL55" s="357"/>
      <c r="BN55" s="503">
        <f>Construction!BM55/Construction!E55</f>
        <v>0</v>
      </c>
      <c r="BO55" s="171">
        <f>Construction!BD55/Construction!E55</f>
        <v>0</v>
      </c>
      <c r="BP55" s="152">
        <f>ROUNDUP((1-MIN(AB55*smithy_bonus,smithy_bonus_cap))*(1+Techs!AO55*tech_master_of_frugality)*spec_op_plat,0)</f>
        <v>165</v>
      </c>
      <c r="BQ55" s="164">
        <f>ROUNDUP(IF(race="Gnome",1,(1-MIN(AB55*smithy_bonus,smithy_bonus_cap))*(1+Techs!AO55*tech_master_of_frugality))*spec_op_ore,0)</f>
        <v>15</v>
      </c>
      <c r="BR55" s="164">
        <f t="shared" si="79"/>
        <v>0</v>
      </c>
      <c r="BS55" s="164">
        <f t="shared" si="80"/>
        <v>0</v>
      </c>
      <c r="BT55" s="164">
        <f ca="1">ROUNDUP((1-MIN(AB55*smithy_bonus,smithy_bonus_cap))*(1+Techs!AO55*tech_master_of_frugality)*spec_dp_plat,0)</f>
        <v>165</v>
      </c>
      <c r="BU55" s="164">
        <f ca="1">ROUNDUP(IF(OR(race="Gnome",race="Imperial Gnome"),1,(1-MIN(AB55*smithy_bonus,smithy_bonus_cap))*(1+Techs!AO55*tech_master_of_frugality))*spec_dp_ore,0)</f>
        <v>6</v>
      </c>
      <c r="BV55" s="164">
        <f t="shared" ca="1" si="81"/>
        <v>0</v>
      </c>
      <c r="BW55" s="164">
        <f t="shared" ca="1" si="82"/>
        <v>0</v>
      </c>
      <c r="BX55" s="164">
        <f t="shared" ca="1" si="83"/>
        <v>0</v>
      </c>
      <c r="BY55" s="164">
        <f ca="1">ROUNDUP((1-MIN(AB55*smithy_bonus,smithy_bonus_cap))*(1+Techs!AO55*tech_master_of_frugality)*elite1_plat,0)</f>
        <v>600</v>
      </c>
      <c r="BZ55" s="164">
        <f ca="1">ROUNDUP(IF(race="Gnome",1,(1-MIN(AB55*smithy_bonus,smithy_bonus_cap))*(1+Techs!AO55*tech_master_of_frugality))*elite1_ore,0)</f>
        <v>45</v>
      </c>
      <c r="CA55" s="164">
        <f t="shared" ca="1" si="84"/>
        <v>0</v>
      </c>
      <c r="CB55" s="164">
        <f t="shared" ca="1" si="85"/>
        <v>0</v>
      </c>
      <c r="CC55" s="164">
        <f t="shared" ca="1" si="86"/>
        <v>0</v>
      </c>
      <c r="CD55" s="164">
        <f t="shared" ca="1" si="87"/>
        <v>0</v>
      </c>
      <c r="CE55" s="164">
        <f t="shared" ca="1" si="88"/>
        <v>0</v>
      </c>
      <c r="CF55" s="164">
        <f ca="1">ROUNDUP((1-MIN(AB55*smithy_bonus,smithy_bonus_cap))*(1+Techs!AO55*tech_master_of_frugality)*elite2_plat,0)</f>
        <v>750</v>
      </c>
      <c r="CG55" s="164">
        <f ca="1">ROUNDUP(IF(race="Gnome",1,(1-MIN(AB55*smithy_bonus,smithy_bonus_cap))*(1+Techs!AO55*tech_master_of_frugality))*elite2_ore,0)</f>
        <v>60</v>
      </c>
      <c r="CH55" s="164">
        <f t="shared" ca="1" si="89"/>
        <v>0</v>
      </c>
      <c r="CI55" s="164">
        <f t="shared" ca="1" si="90"/>
        <v>0</v>
      </c>
      <c r="CJ55" s="164">
        <f t="shared" ca="1" si="91"/>
        <v>0</v>
      </c>
      <c r="CK55" s="164">
        <f t="shared" ca="1" si="92"/>
        <v>0</v>
      </c>
      <c r="CL55" s="164">
        <f t="shared" ca="1" si="93"/>
        <v>0</v>
      </c>
      <c r="CM55" s="164">
        <f>ROUNDUP((1+tech_spy_cost*Techs!AJ55)*spy_plat,0)</f>
        <v>500</v>
      </c>
      <c r="CN55" s="164">
        <f>ROUNDUP((1+tech_wizard_cost*Techs!AM55-MIN(ROUND(wg_wiz_cost_bonus*BN55,4),wg_wiz_cost_cap))*wizard_plat,0)</f>
        <v>500</v>
      </c>
      <c r="CO55" s="166">
        <f>ROUNDUP((1+tech_wizard_cost*Techs!AM55-MIN(ROUND(wg_wiz_cost_bonus*BN55,4),wg_wiz_cost_cap))*archmage_plat,0)</f>
        <v>1000</v>
      </c>
      <c r="CQ55" s="465">
        <f ca="1">Construction!DF55/Construction!E55</f>
        <v>0.28000000000000003</v>
      </c>
      <c r="CR55" s="466">
        <f t="shared" si="73"/>
        <v>0</v>
      </c>
      <c r="CS55" s="466">
        <f>Construction!BK55/Construction!E55</f>
        <v>0.05</v>
      </c>
      <c r="CT55" s="466">
        <f>Construction!BJ55/Construction!E55</f>
        <v>0</v>
      </c>
      <c r="CU55" s="466">
        <f>Construction!AY55/Construction!E55</f>
        <v>0</v>
      </c>
      <c r="CV55" s="487">
        <f t="shared" ca="1" si="94"/>
        <v>1.4000000000000001</v>
      </c>
      <c r="CW55" s="488">
        <f t="shared" ca="1" si="95"/>
        <v>1.4000000000000001</v>
      </c>
      <c r="CX55" s="488">
        <f t="shared" ca="1" si="96"/>
        <v>1.4000000000000001</v>
      </c>
      <c r="CY55" s="489">
        <f t="shared" ca="1" si="97"/>
        <v>1.4000000000000001</v>
      </c>
      <c r="CZ55" s="489">
        <f t="shared" si="98"/>
        <v>0.1</v>
      </c>
      <c r="DA55" s="489">
        <f t="shared" ca="1" si="99"/>
        <v>3</v>
      </c>
      <c r="DB55" s="489">
        <f t="shared" ca="1" si="100"/>
        <v>1.4000000000000001</v>
      </c>
      <c r="DC55" s="488">
        <f t="shared" si="101"/>
        <v>0</v>
      </c>
      <c r="DD55" s="848">
        <f t="shared" si="102"/>
        <v>0</v>
      </c>
      <c r="DE55" s="442">
        <f t="shared" si="56"/>
        <v>800</v>
      </c>
      <c r="DF55" s="442">
        <f t="shared" si="57"/>
        <v>0</v>
      </c>
      <c r="DG55" s="487">
        <f t="shared" ca="1" si="103"/>
        <v>1.4000000000000001</v>
      </c>
      <c r="DH55" s="452">
        <f t="shared" si="104"/>
        <v>9.0000000000000011E-2</v>
      </c>
      <c r="DI55" s="452">
        <f>MIN(valkyrja_cap,Production!O55/valkyrja_bonus)</f>
        <v>1</v>
      </c>
      <c r="DJ55" s="848">
        <f>MIN(voodoo_magi_cap,Production!O55/voodoo_magi_bonus)</f>
        <v>0.83333333333333337</v>
      </c>
      <c r="DK55" s="848">
        <f>MIN(warlock_cap,Production!O55/warlock_bonus)</f>
        <v>1.25</v>
      </c>
      <c r="DL55" s="848">
        <f ca="1">MIN(nox_nightshade_cap,Construction!DF55/Construction!E55/nox_nightshade_swamp_bonus)</f>
        <v>2.8000000000000003</v>
      </c>
      <c r="DM55" s="488">
        <f t="shared" si="105"/>
        <v>0</v>
      </c>
      <c r="DN55" s="489">
        <f t="shared" ca="1" si="106"/>
        <v>2.8000000000000003</v>
      </c>
      <c r="DO55" s="489">
        <f t="shared" ca="1" si="107"/>
        <v>2.8000000000000003</v>
      </c>
      <c r="DP55" s="489">
        <f t="shared" si="108"/>
        <v>1</v>
      </c>
      <c r="DQ55" s="488">
        <f t="shared" si="109"/>
        <v>0</v>
      </c>
      <c r="DR55" s="489">
        <f t="shared" si="110"/>
        <v>0</v>
      </c>
      <c r="DS55" s="488">
        <f t="shared" si="111"/>
        <v>0</v>
      </c>
      <c r="DT55" s="489">
        <f t="shared" si="112"/>
        <v>0.1</v>
      </c>
      <c r="DX55" s="487">
        <f ca="1">MIN(6,CV55+Races!$F$19)*1.8 +  IF(CV55+Races!$F$19&gt;6,(CV55+Races!$F$19-6)*0.2,0) - Races!$N$19</f>
        <v>2.5200000000000005</v>
      </c>
      <c r="DY55" s="488">
        <f ca="1">1.8 * MIN(MAX(CW55+Races!$E$20,CX55+Races!$F$20),6)  +  0.45 * MIN(MIN(CW55+Races!$E$20,CX55+Races!$F$20),6)  +  0.2 * ( MAX(CW55+Races!$E$20-6,0) + MAX(CX55+Races!$F$20-6,0) )  -  Races!$N$20</f>
        <v>3.1500000000000012</v>
      </c>
      <c r="DZ55" s="57">
        <f t="shared" ca="1" si="113"/>
        <v>3780.0000000000009</v>
      </c>
      <c r="EA55" s="666">
        <f ca="1">MIN(6,CY55+Races!$F$35)*1.8 +  IF(CY55+Races!$F$35&gt;6,(CY55+Races!$F$35-6)*0.2,0) - Races!$N$19</f>
        <v>0.72000000000000064</v>
      </c>
      <c r="EB55" s="57">
        <f t="shared" ca="1" si="114"/>
        <v>0</v>
      </c>
      <c r="EC55" s="666">
        <f ca="1">1.8 * MIN(MAX(Races!$E$27,DB55+Races!$F$27),6)  +  0.45 * MIN(MIN(Races!$E$27,DB55+Races!$F$27),6)  +  0.2 * ( MAX(Races!$E$27-6,0) + MAX(DB55+Races!$F$27-6,0) )  -  Races!$N$20</f>
        <v>4.7700000000000005</v>
      </c>
      <c r="ED55" s="57">
        <f t="shared" ca="1" si="115"/>
        <v>0</v>
      </c>
      <c r="EE55" s="666">
        <f>1.8 * MIN(MAX(DC55+Races!$E$47,DD55+Races!$F$47),6)  +  0.45 * MIN(MIN(DC55+Races!$E$47,DD55+Races!$F$47),6)  +  0.2 * ( MAX(DC55+Races!$E$47-6,0) + MAX(DD55+Races!$F$47-6,0) )  -  Races!$N$47</f>
        <v>0</v>
      </c>
      <c r="EF55" s="57">
        <f t="shared" si="116"/>
        <v>0</v>
      </c>
      <c r="EG55" s="666">
        <f ca="1">1.8 * MIN(MAX(DG55+Races!$F$71,Races!$E$71),6)  +  0.45 * MIN(MIN(DG55+Races!$F$71,Races!$E$71),6)  +  0.2 * ( MAX(DG55+Races!$F$71-6,0) + MAX(Races!$E$71-6,0) )  -  Races!$N$71</f>
        <v>2.5200000000000014</v>
      </c>
      <c r="EH55" s="666">
        <f>1.8 * MIN(MAX(DH55+Races!$E$71,Races!$F$71),6)  +  0.45 * MIN(MIN(DH55+Races!$E$71,Races!$F$71),6)  +  0.2 * ( MAX(DH55+Races!$E$71-6,0) + MAX(Races!$F$71-6,0) )  -  Races!$N$71</f>
        <v>0.16200000000000081</v>
      </c>
      <c r="EI55" s="57">
        <f t="shared" ca="1" si="117"/>
        <v>2584.8000000000015</v>
      </c>
      <c r="EJ55" s="57"/>
      <c r="EK55" s="57"/>
      <c r="EL55" s="57"/>
      <c r="EM55" s="57">
        <f ca="1">Overview!$L$22*E55+Overview!$L$23*F55+Overview!$L$24*G55+Overview!$L$25*H55+Overview!$L$26*I55+Overview!$L$27*J55+Overview!$L$28*K55+Construction!E55*20+Construction!B55*5 + DZ55*$DV$4+EB55*$DV$5+ED55*$DV$6+EF55*$DV$7+EI55*$DV$9</f>
        <v>39460</v>
      </c>
      <c r="EO55" s="738">
        <f>(J55+2*K55)/Construction!E55</f>
        <v>0.1</v>
      </c>
      <c r="EP55" s="734">
        <f ca="1">EO55*(1+race_wizard_strength+tech_magical_weaponry_wiz*Techs!AV127)</f>
        <v>0.1</v>
      </c>
      <c r="EQ55" s="16">
        <f>(I55+halfer*H55/3)/Construction!E55</f>
        <v>0.1</v>
      </c>
    </row>
    <row r="56" spans="1:147" s="16" customFormat="1">
      <c r="A56" s="629">
        <f>Rezone!J56</f>
        <v>54</v>
      </c>
      <c r="B56" s="56">
        <f ca="1">SUM(E56:K56)+SUM(AF48:AG56)+SUM(AH45:AL56)+Z56+Explore!AL56</f>
        <v>5295</v>
      </c>
      <c r="C56" s="97">
        <f ca="1">Population!G56</f>
        <v>0.57305194805194803</v>
      </c>
      <c r="E56" s="52">
        <f t="shared" si="118"/>
        <v>0</v>
      </c>
      <c r="F56" s="16">
        <f t="shared" si="119"/>
        <v>0</v>
      </c>
      <c r="G56" s="16">
        <f t="shared" si="120"/>
        <v>1000</v>
      </c>
      <c r="H56" s="16">
        <f t="shared" si="121"/>
        <v>400</v>
      </c>
      <c r="I56" s="16">
        <f t="shared" si="122"/>
        <v>100</v>
      </c>
      <c r="J56" s="16">
        <f t="shared" si="123"/>
        <v>100</v>
      </c>
      <c r="K56" s="53">
        <f t="shared" si="124"/>
        <v>0</v>
      </c>
      <c r="M56" s="64">
        <f ca="1">Production!G56</f>
        <v>39460</v>
      </c>
      <c r="O56" s="142">
        <f t="shared" ca="1" si="75"/>
        <v>4400</v>
      </c>
      <c r="P56" s="455">
        <f ca="1">race_offense+Imps!AB56+ROUND(MIN(gn_bonus*Construction!BF56/Construction!$E56,gn_bonus_cap),4)+MAX(IF(Magic!$AN56&gt;0,warsong_bonus),IF(Magic!AP56&gt;0,howling_op_bonus),IF(Magic!AS56&gt;0,nightfall_bonus),IF(Magic!AT56&gt;0,crusade_bonus),IF(Magic!AU56&gt;0,killingrage_bonus),IF(Magic!AV56&gt;0,bloodrage_bonus)) + Production!O56/100*prestige_offense_bonus + MAX(tech_military_offense*Techs!AH56,tech_magical_weaponry_op*Techs!AV56)</f>
        <v>0.05</v>
      </c>
      <c r="Q56" s="235">
        <f t="shared" ca="1" si="46"/>
        <v>4620</v>
      </c>
      <c r="R56" s="234">
        <f ca="1">F56*(spec_dp+spirit*DR56)+G56*(elite1_dp+woodie*CV56+sylvan*CY56+gnome*DB56+dark_elf*DD56+icekin*DG56+orc*DJ56+nox*DL56+beast*DN56+sacred*DP56+spirit*DS56+blackorc*DK56)+H56*(elite2_dp+woodie*CX56+beast*DO56+sacred*DQ56) + fh_peas_dp*MIN(Population!C56,20*Construction!BD56)+kobold*DE56</f>
        <v>7200</v>
      </c>
      <c r="S56" s="235">
        <f t="shared" ca="1" si="76"/>
        <v>10895</v>
      </c>
      <c r="T56" s="1052">
        <f ca="1">race_defense+Imps!AC56+ROUND(MIN(gt_bonus*Construction!BH56/Construction!$E56,gt_bonus_cap),4)+MAX(IF(Magic!AM56&gt;0,frenzy_bonus,IF(Magic!AQ56&gt;0,blizzard_bonus,IF(Magic!AP56&gt;0,howling_dp_bonus,IF(Magic!AI56&gt;0,ares_call_bonus)))),IF(Magic!AX56&gt;0,MIN(Construction!DF56/Construction!E56,0.2),0))</f>
        <v>0</v>
      </c>
      <c r="U56" s="1046">
        <f t="shared" ca="1" si="47"/>
        <v>7200</v>
      </c>
      <c r="V56" s="310">
        <f t="shared" ca="1" si="48"/>
        <v>10895</v>
      </c>
      <c r="W56" s="310">
        <f>Construction!E56</f>
        <v>1000</v>
      </c>
      <c r="X56" s="367"/>
      <c r="Y56" s="146">
        <f t="shared" si="74"/>
        <v>0.4</v>
      </c>
      <c r="Z56" s="166">
        <f ca="1">Z55+Population!Z55 - IF(race="Lux",AF56,SUM(AF56:AK56)) - BE56 + SUM(BF56:BL56) - Explore!AI56</f>
        <v>3695</v>
      </c>
      <c r="AA56" s="164"/>
      <c r="AB56" s="91">
        <f>(Construction!$BA56+Construction!BY56)/(Construction!$E56-Explore!S56*20)</f>
        <v>0.2</v>
      </c>
      <c r="AC56" s="529"/>
      <c r="AD56" s="799">
        <f>Rezone!J56</f>
        <v>54</v>
      </c>
      <c r="AE56" s="589">
        <f>Explore!AA56</f>
        <v>43694.208333333205</v>
      </c>
      <c r="AF56" s="356"/>
      <c r="AG56" s="348"/>
      <c r="AH56" s="348"/>
      <c r="AI56" s="348"/>
      <c r="AJ56" s="348"/>
      <c r="AK56" s="348"/>
      <c r="AL56" s="357"/>
      <c r="AN56" s="56">
        <f ca="1">Production!$H56</f>
        <v>3512014</v>
      </c>
      <c r="AO56" s="26">
        <f ca="1">Production!$L56</f>
        <v>231000</v>
      </c>
      <c r="AP56" s="26">
        <f ca="1">Production!J56</f>
        <v>280759</v>
      </c>
      <c r="AQ56" s="26">
        <f ca="1">Production!M56</f>
        <v>20000</v>
      </c>
      <c r="AR56" s="26">
        <f ca="1">Production!K56</f>
        <v>47934</v>
      </c>
      <c r="AS56" s="26">
        <f ca="1">Production!I56</f>
        <v>216201</v>
      </c>
      <c r="AT56" s="26">
        <f ca="1">Production!N56</f>
        <v>200</v>
      </c>
      <c r="AU56" s="152">
        <f t="shared" ca="1" si="77"/>
        <v>0</v>
      </c>
      <c r="AV56" s="164">
        <f t="shared" ca="1" si="78"/>
        <v>0</v>
      </c>
      <c r="AW56" s="164">
        <f t="shared" ca="1" si="50"/>
        <v>0</v>
      </c>
      <c r="AX56" s="164">
        <f t="shared" ca="1" si="51"/>
        <v>0</v>
      </c>
      <c r="AY56" s="164">
        <f t="shared" ca="1" si="52"/>
        <v>0</v>
      </c>
      <c r="AZ56" s="164">
        <f t="shared" ca="1" si="53"/>
        <v>0</v>
      </c>
      <c r="BA56" s="166">
        <f t="shared" ca="1" si="54"/>
        <v>0</v>
      </c>
      <c r="BB56" s="16">
        <v>54</v>
      </c>
      <c r="BC56" s="574">
        <f t="shared" si="71"/>
        <v>43694.208333333205</v>
      </c>
      <c r="BD56" s="148">
        <f t="shared" ca="1" si="72"/>
        <v>3695</v>
      </c>
      <c r="BE56" s="356"/>
      <c r="BF56" s="348"/>
      <c r="BG56" s="348"/>
      <c r="BH56" s="348"/>
      <c r="BI56" s="348"/>
      <c r="BJ56" s="348"/>
      <c r="BK56" s="348"/>
      <c r="BL56" s="357"/>
      <c r="BN56" s="503">
        <f>Construction!BM56/Construction!E56</f>
        <v>0</v>
      </c>
      <c r="BO56" s="171">
        <f>Construction!BD56/Construction!E56</f>
        <v>0</v>
      </c>
      <c r="BP56" s="152">
        <f>ROUNDUP((1-MIN(AB56*smithy_bonus,smithy_bonus_cap))*(1+Techs!AO56*tech_master_of_frugality)*spec_op_plat,0)</f>
        <v>165</v>
      </c>
      <c r="BQ56" s="164">
        <f>ROUNDUP(IF(race="Gnome",1,(1-MIN(AB56*smithy_bonus,smithy_bonus_cap))*(1+Techs!AO56*tech_master_of_frugality))*spec_op_ore,0)</f>
        <v>15</v>
      </c>
      <c r="BR56" s="164">
        <f t="shared" si="79"/>
        <v>0</v>
      </c>
      <c r="BS56" s="164">
        <f t="shared" si="80"/>
        <v>0</v>
      </c>
      <c r="BT56" s="164">
        <f ca="1">ROUNDUP((1-MIN(AB56*smithy_bonus,smithy_bonus_cap))*(1+Techs!AO56*tech_master_of_frugality)*spec_dp_plat,0)</f>
        <v>165</v>
      </c>
      <c r="BU56" s="164">
        <f ca="1">ROUNDUP(IF(OR(race="Gnome",race="Imperial Gnome"),1,(1-MIN(AB56*smithy_bonus,smithy_bonus_cap))*(1+Techs!AO56*tech_master_of_frugality))*spec_dp_ore,0)</f>
        <v>6</v>
      </c>
      <c r="BV56" s="164">
        <f t="shared" ca="1" si="81"/>
        <v>0</v>
      </c>
      <c r="BW56" s="164">
        <f t="shared" ca="1" si="82"/>
        <v>0</v>
      </c>
      <c r="BX56" s="164">
        <f t="shared" ca="1" si="83"/>
        <v>0</v>
      </c>
      <c r="BY56" s="164">
        <f ca="1">ROUNDUP((1-MIN(AB56*smithy_bonus,smithy_bonus_cap))*(1+Techs!AO56*tech_master_of_frugality)*elite1_plat,0)</f>
        <v>600</v>
      </c>
      <c r="BZ56" s="164">
        <f ca="1">ROUNDUP(IF(race="Gnome",1,(1-MIN(AB56*smithy_bonus,smithy_bonus_cap))*(1+Techs!AO56*tech_master_of_frugality))*elite1_ore,0)</f>
        <v>45</v>
      </c>
      <c r="CA56" s="164">
        <f t="shared" ca="1" si="84"/>
        <v>0</v>
      </c>
      <c r="CB56" s="164">
        <f t="shared" ca="1" si="85"/>
        <v>0</v>
      </c>
      <c r="CC56" s="164">
        <f t="shared" ca="1" si="86"/>
        <v>0</v>
      </c>
      <c r="CD56" s="164">
        <f t="shared" ca="1" si="87"/>
        <v>0</v>
      </c>
      <c r="CE56" s="164">
        <f t="shared" ca="1" si="88"/>
        <v>0</v>
      </c>
      <c r="CF56" s="164">
        <f ca="1">ROUNDUP((1-MIN(AB56*smithy_bonus,smithy_bonus_cap))*(1+Techs!AO56*tech_master_of_frugality)*elite2_plat,0)</f>
        <v>750</v>
      </c>
      <c r="CG56" s="164">
        <f ca="1">ROUNDUP(IF(race="Gnome",1,(1-MIN(AB56*smithy_bonus,smithy_bonus_cap))*(1+Techs!AO56*tech_master_of_frugality))*elite2_ore,0)</f>
        <v>60</v>
      </c>
      <c r="CH56" s="164">
        <f t="shared" ca="1" si="89"/>
        <v>0</v>
      </c>
      <c r="CI56" s="164">
        <f t="shared" ca="1" si="90"/>
        <v>0</v>
      </c>
      <c r="CJ56" s="164">
        <f t="shared" ca="1" si="91"/>
        <v>0</v>
      </c>
      <c r="CK56" s="164">
        <f t="shared" ca="1" si="92"/>
        <v>0</v>
      </c>
      <c r="CL56" s="164">
        <f t="shared" ca="1" si="93"/>
        <v>0</v>
      </c>
      <c r="CM56" s="164">
        <f>ROUNDUP((1+tech_spy_cost*Techs!AJ56)*spy_plat,0)</f>
        <v>500</v>
      </c>
      <c r="CN56" s="164">
        <f>ROUNDUP((1+tech_wizard_cost*Techs!AM56-MIN(ROUND(wg_wiz_cost_bonus*BN56,4),wg_wiz_cost_cap))*wizard_plat,0)</f>
        <v>500</v>
      </c>
      <c r="CO56" s="166">
        <f>ROUNDUP((1+tech_wizard_cost*Techs!AM56-MIN(ROUND(wg_wiz_cost_bonus*BN56,4),wg_wiz_cost_cap))*archmage_plat,0)</f>
        <v>1000</v>
      </c>
      <c r="CQ56" s="465">
        <f ca="1">Construction!DF56/Construction!E56</f>
        <v>0.28000000000000003</v>
      </c>
      <c r="CR56" s="466">
        <f t="shared" si="73"/>
        <v>0</v>
      </c>
      <c r="CS56" s="466">
        <f>Construction!BK56/Construction!E56</f>
        <v>0.05</v>
      </c>
      <c r="CT56" s="466">
        <f>Construction!BJ56/Construction!E56</f>
        <v>0</v>
      </c>
      <c r="CU56" s="466">
        <f>Construction!AY56/Construction!E56</f>
        <v>0</v>
      </c>
      <c r="CV56" s="487">
        <f t="shared" ca="1" si="94"/>
        <v>1.4000000000000001</v>
      </c>
      <c r="CW56" s="488">
        <f t="shared" ca="1" si="95"/>
        <v>1.4000000000000001</v>
      </c>
      <c r="CX56" s="488">
        <f t="shared" ca="1" si="96"/>
        <v>1.4000000000000001</v>
      </c>
      <c r="CY56" s="489">
        <f t="shared" ca="1" si="97"/>
        <v>1.4000000000000001</v>
      </c>
      <c r="CZ56" s="489">
        <f t="shared" si="98"/>
        <v>0.1</v>
      </c>
      <c r="DA56" s="489">
        <f t="shared" ca="1" si="99"/>
        <v>3</v>
      </c>
      <c r="DB56" s="489">
        <f t="shared" ca="1" si="100"/>
        <v>1.4000000000000001</v>
      </c>
      <c r="DC56" s="488">
        <f t="shared" si="101"/>
        <v>0</v>
      </c>
      <c r="DD56" s="848">
        <f t="shared" si="102"/>
        <v>0</v>
      </c>
      <c r="DE56" s="442">
        <f t="shared" si="56"/>
        <v>800</v>
      </c>
      <c r="DF56" s="442">
        <f t="shared" si="57"/>
        <v>0</v>
      </c>
      <c r="DG56" s="487">
        <f t="shared" ca="1" si="103"/>
        <v>1.4000000000000001</v>
      </c>
      <c r="DH56" s="452">
        <f t="shared" si="104"/>
        <v>9.0000000000000011E-2</v>
      </c>
      <c r="DI56" s="452">
        <f>MIN(valkyrja_cap,Production!O56/valkyrja_bonus)</f>
        <v>1</v>
      </c>
      <c r="DJ56" s="848">
        <f>MIN(voodoo_magi_cap,Production!O56/voodoo_magi_bonus)</f>
        <v>0.83333333333333337</v>
      </c>
      <c r="DK56" s="848">
        <f>MIN(warlock_cap,Production!O56/warlock_bonus)</f>
        <v>1.25</v>
      </c>
      <c r="DL56" s="848">
        <f ca="1">MIN(nox_nightshade_cap,Construction!DF56/Construction!E56/nox_nightshade_swamp_bonus)</f>
        <v>2.8000000000000003</v>
      </c>
      <c r="DM56" s="488">
        <f t="shared" si="105"/>
        <v>0</v>
      </c>
      <c r="DN56" s="489">
        <f t="shared" ca="1" si="106"/>
        <v>2.8000000000000003</v>
      </c>
      <c r="DO56" s="489">
        <f t="shared" ca="1" si="107"/>
        <v>2.8000000000000003</v>
      </c>
      <c r="DP56" s="489">
        <f t="shared" si="108"/>
        <v>1</v>
      </c>
      <c r="DQ56" s="488">
        <f t="shared" si="109"/>
        <v>0</v>
      </c>
      <c r="DR56" s="489">
        <f t="shared" si="110"/>
        <v>0</v>
      </c>
      <c r="DS56" s="488">
        <f t="shared" si="111"/>
        <v>0</v>
      </c>
      <c r="DT56" s="489">
        <f t="shared" si="112"/>
        <v>0.1</v>
      </c>
      <c r="DX56" s="487">
        <f ca="1">MIN(6,CV56+Races!$F$19)*1.8 +  IF(CV56+Races!$F$19&gt;6,(CV56+Races!$F$19-6)*0.2,0) - Races!$N$19</f>
        <v>2.5200000000000005</v>
      </c>
      <c r="DY56" s="488">
        <f ca="1">1.8 * MIN(MAX(CW56+Races!$E$20,CX56+Races!$F$20),6)  +  0.45 * MIN(MIN(CW56+Races!$E$20,CX56+Races!$F$20),6)  +  0.2 * ( MAX(CW56+Races!$E$20-6,0) + MAX(CX56+Races!$F$20-6,0) )  -  Races!$N$20</f>
        <v>3.1500000000000012</v>
      </c>
      <c r="DZ56" s="57">
        <f t="shared" ca="1" si="113"/>
        <v>3780.0000000000009</v>
      </c>
      <c r="EA56" s="666">
        <f ca="1">MIN(6,CY56+Races!$F$35)*1.8 +  IF(CY56+Races!$F$35&gt;6,(CY56+Races!$F$35-6)*0.2,0) - Races!$N$19</f>
        <v>0.72000000000000064</v>
      </c>
      <c r="EB56" s="57">
        <f t="shared" ca="1" si="114"/>
        <v>0</v>
      </c>
      <c r="EC56" s="666">
        <f ca="1">1.8 * MIN(MAX(Races!$E$27,DB56+Races!$F$27),6)  +  0.45 * MIN(MIN(Races!$E$27,DB56+Races!$F$27),6)  +  0.2 * ( MAX(Races!$E$27-6,0) + MAX(DB56+Races!$F$27-6,0) )  -  Races!$N$20</f>
        <v>4.7700000000000005</v>
      </c>
      <c r="ED56" s="57">
        <f t="shared" ca="1" si="115"/>
        <v>0</v>
      </c>
      <c r="EE56" s="666">
        <f>1.8 * MIN(MAX(DC56+Races!$E$47,DD56+Races!$F$47),6)  +  0.45 * MIN(MIN(DC56+Races!$E$47,DD56+Races!$F$47),6)  +  0.2 * ( MAX(DC56+Races!$E$47-6,0) + MAX(DD56+Races!$F$47-6,0) )  -  Races!$N$47</f>
        <v>0</v>
      </c>
      <c r="EF56" s="57">
        <f t="shared" si="116"/>
        <v>0</v>
      </c>
      <c r="EG56" s="666">
        <f ca="1">1.8 * MIN(MAX(DG56+Races!$F$71,Races!$E$71),6)  +  0.45 * MIN(MIN(DG56+Races!$F$71,Races!$E$71),6)  +  0.2 * ( MAX(DG56+Races!$F$71-6,0) + MAX(Races!$E$71-6,0) )  -  Races!$N$71</f>
        <v>2.5200000000000014</v>
      </c>
      <c r="EH56" s="666">
        <f>1.8 * MIN(MAX(DH56+Races!$E$71,Races!$F$71),6)  +  0.45 * MIN(MIN(DH56+Races!$E$71,Races!$F$71),6)  +  0.2 * ( MAX(DH56+Races!$E$71-6,0) + MAX(Races!$F$71-6,0) )  -  Races!$N$71</f>
        <v>0.16200000000000081</v>
      </c>
      <c r="EI56" s="57">
        <f t="shared" ca="1" si="117"/>
        <v>2584.8000000000015</v>
      </c>
      <c r="EJ56" s="57"/>
      <c r="EK56" s="57"/>
      <c r="EL56" s="57"/>
      <c r="EM56" s="57">
        <f ca="1">Overview!$L$22*E56+Overview!$L$23*F56+Overview!$L$24*G56+Overview!$L$25*H56+Overview!$L$26*I56+Overview!$L$27*J56+Overview!$L$28*K56+Construction!E56*20+Construction!B56*5 + DZ56*$DV$4+EB56*$DV$5+ED56*$DV$6+EF56*$DV$7+EI56*$DV$9</f>
        <v>39460</v>
      </c>
      <c r="EO56" s="738">
        <f>(J56+2*K56)/Construction!E56</f>
        <v>0.1</v>
      </c>
      <c r="EP56" s="734">
        <f ca="1">EO56*(1+race_wizard_strength+tech_magical_weaponry_wiz*Techs!AV128)</f>
        <v>0.1</v>
      </c>
      <c r="EQ56" s="16">
        <f>(I56+halfer*H56/3)/Construction!E56</f>
        <v>0.1</v>
      </c>
    </row>
    <row r="57" spans="1:147" s="16" customFormat="1">
      <c r="A57" s="629">
        <f>Rezone!J57</f>
        <v>55</v>
      </c>
      <c r="B57" s="56">
        <f ca="1">SUM(E57:K57)+SUM(AF49:AG57)+SUM(AH46:AL57)+Z57+Explore!AL57</f>
        <v>5295</v>
      </c>
      <c r="C57" s="97">
        <f ca="1">Population!G57</f>
        <v>0.57305194805194803</v>
      </c>
      <c r="E57" s="52">
        <f t="shared" si="118"/>
        <v>0</v>
      </c>
      <c r="F57" s="16">
        <f t="shared" si="119"/>
        <v>0</v>
      </c>
      <c r="G57" s="16">
        <f t="shared" si="120"/>
        <v>1000</v>
      </c>
      <c r="H57" s="16">
        <f t="shared" si="121"/>
        <v>400</v>
      </c>
      <c r="I57" s="16">
        <f t="shared" si="122"/>
        <v>100</v>
      </c>
      <c r="J57" s="16">
        <f t="shared" si="123"/>
        <v>100</v>
      </c>
      <c r="K57" s="53">
        <f t="shared" si="124"/>
        <v>0</v>
      </c>
      <c r="M57" s="64">
        <f ca="1">Production!G57</f>
        <v>39460</v>
      </c>
      <c r="O57" s="142">
        <f t="shared" ca="1" si="75"/>
        <v>4400</v>
      </c>
      <c r="P57" s="455">
        <f ca="1">race_offense+Imps!AB57+ROUND(MIN(gn_bonus*Construction!BF57/Construction!$E57,gn_bonus_cap),4)+MAX(IF(Magic!$AN57&gt;0,warsong_bonus),IF(Magic!AP57&gt;0,howling_op_bonus),IF(Magic!AS57&gt;0,nightfall_bonus),IF(Magic!AT57&gt;0,crusade_bonus),IF(Magic!AU57&gt;0,killingrage_bonus),IF(Magic!AV57&gt;0,bloodrage_bonus)) + Production!O57/100*prestige_offense_bonus + MAX(tech_military_offense*Techs!AH57,tech_magical_weaponry_op*Techs!AV57)</f>
        <v>0.05</v>
      </c>
      <c r="Q57" s="235">
        <f t="shared" ca="1" si="46"/>
        <v>4620</v>
      </c>
      <c r="R57" s="234">
        <f ca="1">F57*(spec_dp+spirit*DR57)+G57*(elite1_dp+woodie*CV57+sylvan*CY57+gnome*DB57+dark_elf*DD57+icekin*DG57+orc*DJ57+nox*DL57+beast*DN57+sacred*DP57+spirit*DS57+blackorc*DK57)+H57*(elite2_dp+woodie*CX57+beast*DO57+sacred*DQ57) + fh_peas_dp*MIN(Population!C57,20*Construction!BD57)+kobold*DE57</f>
        <v>7200</v>
      </c>
      <c r="S57" s="235">
        <f t="shared" ca="1" si="76"/>
        <v>10895</v>
      </c>
      <c r="T57" s="1052">
        <f ca="1">race_defense+Imps!AC57+ROUND(MIN(gt_bonus*Construction!BH57/Construction!$E57,gt_bonus_cap),4)+MAX(IF(Magic!AM57&gt;0,frenzy_bonus,IF(Magic!AQ57&gt;0,blizzard_bonus,IF(Magic!AP57&gt;0,howling_dp_bonus,IF(Magic!AI57&gt;0,ares_call_bonus)))),IF(Magic!AX57&gt;0,MIN(Construction!DF57/Construction!E57,0.2),0))</f>
        <v>0</v>
      </c>
      <c r="U57" s="1046">
        <f t="shared" ca="1" si="47"/>
        <v>7200</v>
      </c>
      <c r="V57" s="310">
        <f t="shared" ca="1" si="48"/>
        <v>10895</v>
      </c>
      <c r="W57" s="310">
        <f>Construction!E57</f>
        <v>1000</v>
      </c>
      <c r="X57" s="367"/>
      <c r="Y57" s="146">
        <f t="shared" si="74"/>
        <v>0.4</v>
      </c>
      <c r="Z57" s="166">
        <f ca="1">Z56+Population!Z56 - IF(race="Lux",AF57,SUM(AF57:AK57)) - BE57 + SUM(BF57:BL57) - Explore!AI57</f>
        <v>3695</v>
      </c>
      <c r="AA57" s="164"/>
      <c r="AB57" s="91">
        <f>(Construction!$BA57+Construction!BY57)/(Construction!$E57-Explore!S57*20)</f>
        <v>0.2</v>
      </c>
      <c r="AC57" s="529"/>
      <c r="AD57" s="799">
        <f>Rezone!J57</f>
        <v>55</v>
      </c>
      <c r="AE57" s="589">
        <f>Explore!AA57</f>
        <v>43694.249999999869</v>
      </c>
      <c r="AF57" s="356"/>
      <c r="AG57" s="348"/>
      <c r="AH57" s="348"/>
      <c r="AI57" s="348"/>
      <c r="AJ57" s="348"/>
      <c r="AK57" s="348"/>
      <c r="AL57" s="357"/>
      <c r="AN57" s="56">
        <f ca="1">Production!$H57</f>
        <v>3522665</v>
      </c>
      <c r="AO57" s="26">
        <f ca="1">Production!$L57</f>
        <v>231000</v>
      </c>
      <c r="AP57" s="26">
        <f ca="1">Production!J57</f>
        <v>280451</v>
      </c>
      <c r="AQ57" s="26">
        <f ca="1">Production!M57</f>
        <v>20000</v>
      </c>
      <c r="AR57" s="26">
        <f ca="1">Production!K57</f>
        <v>48225</v>
      </c>
      <c r="AS57" s="26">
        <f ca="1">Production!I57</f>
        <v>218769</v>
      </c>
      <c r="AT57" s="26">
        <f ca="1">Production!N57</f>
        <v>200</v>
      </c>
      <c r="AU57" s="152">
        <f t="shared" ca="1" si="77"/>
        <v>0</v>
      </c>
      <c r="AV57" s="164">
        <f t="shared" ca="1" si="78"/>
        <v>0</v>
      </c>
      <c r="AW57" s="164">
        <f t="shared" ca="1" si="50"/>
        <v>0</v>
      </c>
      <c r="AX57" s="164">
        <f t="shared" ca="1" si="51"/>
        <v>0</v>
      </c>
      <c r="AY57" s="164">
        <f t="shared" ca="1" si="52"/>
        <v>0</v>
      </c>
      <c r="AZ57" s="164">
        <f t="shared" ca="1" si="53"/>
        <v>0</v>
      </c>
      <c r="BA57" s="166">
        <f t="shared" ca="1" si="54"/>
        <v>0</v>
      </c>
      <c r="BB57" s="16">
        <v>55</v>
      </c>
      <c r="BC57" s="574">
        <f t="shared" si="71"/>
        <v>43694.249999999869</v>
      </c>
      <c r="BD57" s="148">
        <f t="shared" ca="1" si="72"/>
        <v>3695</v>
      </c>
      <c r="BE57" s="356"/>
      <c r="BF57" s="348"/>
      <c r="BG57" s="348"/>
      <c r="BH57" s="348"/>
      <c r="BI57" s="348"/>
      <c r="BJ57" s="348"/>
      <c r="BK57" s="348"/>
      <c r="BL57" s="357"/>
      <c r="BN57" s="503">
        <f>Construction!BM57/Construction!E57</f>
        <v>0</v>
      </c>
      <c r="BO57" s="171">
        <f>Construction!BD57/Construction!E57</f>
        <v>0</v>
      </c>
      <c r="BP57" s="152">
        <f>ROUNDUP((1-MIN(AB57*smithy_bonus,smithy_bonus_cap))*(1+Techs!AO57*tech_master_of_frugality)*spec_op_plat,0)</f>
        <v>165</v>
      </c>
      <c r="BQ57" s="164">
        <f>ROUNDUP(IF(race="Gnome",1,(1-MIN(AB57*smithy_bonus,smithy_bonus_cap))*(1+Techs!AO57*tech_master_of_frugality))*spec_op_ore,0)</f>
        <v>15</v>
      </c>
      <c r="BR57" s="164">
        <f t="shared" si="79"/>
        <v>0</v>
      </c>
      <c r="BS57" s="164">
        <f t="shared" si="80"/>
        <v>0</v>
      </c>
      <c r="BT57" s="164">
        <f ca="1">ROUNDUP((1-MIN(AB57*smithy_bonus,smithy_bonus_cap))*(1+Techs!AO57*tech_master_of_frugality)*spec_dp_plat,0)</f>
        <v>165</v>
      </c>
      <c r="BU57" s="164">
        <f ca="1">ROUNDUP(IF(OR(race="Gnome",race="Imperial Gnome"),1,(1-MIN(AB57*smithy_bonus,smithy_bonus_cap))*(1+Techs!AO57*tech_master_of_frugality))*spec_dp_ore,0)</f>
        <v>6</v>
      </c>
      <c r="BV57" s="164">
        <f t="shared" ca="1" si="81"/>
        <v>0</v>
      </c>
      <c r="BW57" s="164">
        <f t="shared" ca="1" si="82"/>
        <v>0</v>
      </c>
      <c r="BX57" s="164">
        <f t="shared" ca="1" si="83"/>
        <v>0</v>
      </c>
      <c r="BY57" s="164">
        <f ca="1">ROUNDUP((1-MIN(AB57*smithy_bonus,smithy_bonus_cap))*(1+Techs!AO57*tech_master_of_frugality)*elite1_plat,0)</f>
        <v>600</v>
      </c>
      <c r="BZ57" s="164">
        <f ca="1">ROUNDUP(IF(race="Gnome",1,(1-MIN(AB57*smithy_bonus,smithy_bonus_cap))*(1+Techs!AO57*tech_master_of_frugality))*elite1_ore,0)</f>
        <v>45</v>
      </c>
      <c r="CA57" s="164">
        <f t="shared" ca="1" si="84"/>
        <v>0</v>
      </c>
      <c r="CB57" s="164">
        <f t="shared" ca="1" si="85"/>
        <v>0</v>
      </c>
      <c r="CC57" s="164">
        <f t="shared" ca="1" si="86"/>
        <v>0</v>
      </c>
      <c r="CD57" s="164">
        <f t="shared" ca="1" si="87"/>
        <v>0</v>
      </c>
      <c r="CE57" s="164">
        <f t="shared" ca="1" si="88"/>
        <v>0</v>
      </c>
      <c r="CF57" s="164">
        <f ca="1">ROUNDUP((1-MIN(AB57*smithy_bonus,smithy_bonus_cap))*(1+Techs!AO57*tech_master_of_frugality)*elite2_plat,0)</f>
        <v>750</v>
      </c>
      <c r="CG57" s="164">
        <f ca="1">ROUNDUP(IF(race="Gnome",1,(1-MIN(AB57*smithy_bonus,smithy_bonus_cap))*(1+Techs!AO57*tech_master_of_frugality))*elite2_ore,0)</f>
        <v>60</v>
      </c>
      <c r="CH57" s="164">
        <f t="shared" ca="1" si="89"/>
        <v>0</v>
      </c>
      <c r="CI57" s="164">
        <f t="shared" ca="1" si="90"/>
        <v>0</v>
      </c>
      <c r="CJ57" s="164">
        <f t="shared" ca="1" si="91"/>
        <v>0</v>
      </c>
      <c r="CK57" s="164">
        <f t="shared" ca="1" si="92"/>
        <v>0</v>
      </c>
      <c r="CL57" s="164">
        <f t="shared" ca="1" si="93"/>
        <v>0</v>
      </c>
      <c r="CM57" s="164">
        <f>ROUNDUP((1+tech_spy_cost*Techs!AJ57)*spy_plat,0)</f>
        <v>500</v>
      </c>
      <c r="CN57" s="164">
        <f>ROUNDUP((1+tech_wizard_cost*Techs!AM57-MIN(ROUND(wg_wiz_cost_bonus*BN57,4),wg_wiz_cost_cap))*wizard_plat,0)</f>
        <v>500</v>
      </c>
      <c r="CO57" s="166">
        <f>ROUNDUP((1+tech_wizard_cost*Techs!AM57-MIN(ROUND(wg_wiz_cost_bonus*BN57,4),wg_wiz_cost_cap))*archmage_plat,0)</f>
        <v>1000</v>
      </c>
      <c r="CQ57" s="465">
        <f ca="1">Construction!DF57/Construction!E57</f>
        <v>0.28000000000000003</v>
      </c>
      <c r="CR57" s="466">
        <f t="shared" si="73"/>
        <v>0</v>
      </c>
      <c r="CS57" s="466">
        <f>Construction!BK57/Construction!E57</f>
        <v>0.05</v>
      </c>
      <c r="CT57" s="466">
        <f>Construction!BJ57/Construction!E57</f>
        <v>0</v>
      </c>
      <c r="CU57" s="466">
        <f>Construction!AY57/Construction!E57</f>
        <v>0</v>
      </c>
      <c r="CV57" s="487">
        <f t="shared" ca="1" si="94"/>
        <v>1.4000000000000001</v>
      </c>
      <c r="CW57" s="488">
        <f t="shared" ca="1" si="95"/>
        <v>1.4000000000000001</v>
      </c>
      <c r="CX57" s="488">
        <f t="shared" ca="1" si="96"/>
        <v>1.4000000000000001</v>
      </c>
      <c r="CY57" s="489">
        <f t="shared" ca="1" si="97"/>
        <v>1.4000000000000001</v>
      </c>
      <c r="CZ57" s="489">
        <f t="shared" si="98"/>
        <v>0.1</v>
      </c>
      <c r="DA57" s="489">
        <f t="shared" ca="1" si="99"/>
        <v>3</v>
      </c>
      <c r="DB57" s="489">
        <f t="shared" ca="1" si="100"/>
        <v>1.4000000000000001</v>
      </c>
      <c r="DC57" s="488">
        <f t="shared" si="101"/>
        <v>0</v>
      </c>
      <c r="DD57" s="848">
        <f t="shared" si="102"/>
        <v>0</v>
      </c>
      <c r="DE57" s="442">
        <f t="shared" si="56"/>
        <v>800</v>
      </c>
      <c r="DF57" s="442">
        <f t="shared" si="57"/>
        <v>0</v>
      </c>
      <c r="DG57" s="487">
        <f t="shared" ca="1" si="103"/>
        <v>1.4000000000000001</v>
      </c>
      <c r="DH57" s="452">
        <f t="shared" si="104"/>
        <v>9.0000000000000011E-2</v>
      </c>
      <c r="DI57" s="452">
        <f>MIN(valkyrja_cap,Production!O57/valkyrja_bonus)</f>
        <v>1</v>
      </c>
      <c r="DJ57" s="848">
        <f>MIN(voodoo_magi_cap,Production!O57/voodoo_magi_bonus)</f>
        <v>0.83333333333333337</v>
      </c>
      <c r="DK57" s="848">
        <f>MIN(warlock_cap,Production!O57/warlock_bonus)</f>
        <v>1.25</v>
      </c>
      <c r="DL57" s="848">
        <f ca="1">MIN(nox_nightshade_cap,Construction!DF57/Construction!E57/nox_nightshade_swamp_bonus)</f>
        <v>2.8000000000000003</v>
      </c>
      <c r="DM57" s="488">
        <f t="shared" si="105"/>
        <v>0</v>
      </c>
      <c r="DN57" s="489">
        <f t="shared" ca="1" si="106"/>
        <v>2.8000000000000003</v>
      </c>
      <c r="DO57" s="489">
        <f t="shared" ca="1" si="107"/>
        <v>2.8000000000000003</v>
      </c>
      <c r="DP57" s="489">
        <f t="shared" si="108"/>
        <v>1</v>
      </c>
      <c r="DQ57" s="488">
        <f t="shared" si="109"/>
        <v>0</v>
      </c>
      <c r="DR57" s="489">
        <f t="shared" si="110"/>
        <v>0</v>
      </c>
      <c r="DS57" s="488">
        <f t="shared" si="111"/>
        <v>0</v>
      </c>
      <c r="DT57" s="489">
        <f t="shared" si="112"/>
        <v>0.1</v>
      </c>
      <c r="DX57" s="487">
        <f ca="1">MIN(6,CV57+Races!$F$19)*1.8 +  IF(CV57+Races!$F$19&gt;6,(CV57+Races!$F$19-6)*0.2,0) - Races!$N$19</f>
        <v>2.5200000000000005</v>
      </c>
      <c r="DY57" s="488">
        <f ca="1">1.8 * MIN(MAX(CW57+Races!$E$20,CX57+Races!$F$20),6)  +  0.45 * MIN(MIN(CW57+Races!$E$20,CX57+Races!$F$20),6)  +  0.2 * ( MAX(CW57+Races!$E$20-6,0) + MAX(CX57+Races!$F$20-6,0) )  -  Races!$N$20</f>
        <v>3.1500000000000012</v>
      </c>
      <c r="DZ57" s="57">
        <f t="shared" ca="1" si="113"/>
        <v>3780.0000000000009</v>
      </c>
      <c r="EA57" s="666">
        <f ca="1">MIN(6,CY57+Races!$F$35)*1.8 +  IF(CY57+Races!$F$35&gt;6,(CY57+Races!$F$35-6)*0.2,0) - Races!$N$19</f>
        <v>0.72000000000000064</v>
      </c>
      <c r="EB57" s="57">
        <f t="shared" ca="1" si="114"/>
        <v>0</v>
      </c>
      <c r="EC57" s="666">
        <f ca="1">1.8 * MIN(MAX(Races!$E$27,DB57+Races!$F$27),6)  +  0.45 * MIN(MIN(Races!$E$27,DB57+Races!$F$27),6)  +  0.2 * ( MAX(Races!$E$27-6,0) + MAX(DB57+Races!$F$27-6,0) )  -  Races!$N$20</f>
        <v>4.7700000000000005</v>
      </c>
      <c r="ED57" s="57">
        <f t="shared" ca="1" si="115"/>
        <v>0</v>
      </c>
      <c r="EE57" s="666">
        <f>1.8 * MIN(MAX(DC57+Races!$E$47,DD57+Races!$F$47),6)  +  0.45 * MIN(MIN(DC57+Races!$E$47,DD57+Races!$F$47),6)  +  0.2 * ( MAX(DC57+Races!$E$47-6,0) + MAX(DD57+Races!$F$47-6,0) )  -  Races!$N$47</f>
        <v>0</v>
      </c>
      <c r="EF57" s="57">
        <f t="shared" si="116"/>
        <v>0</v>
      </c>
      <c r="EG57" s="666">
        <f ca="1">1.8 * MIN(MAX(DG57+Races!$F$71,Races!$E$71),6)  +  0.45 * MIN(MIN(DG57+Races!$F$71,Races!$E$71),6)  +  0.2 * ( MAX(DG57+Races!$F$71-6,0) + MAX(Races!$E$71-6,0) )  -  Races!$N$71</f>
        <v>2.5200000000000014</v>
      </c>
      <c r="EH57" s="666">
        <f>1.8 * MIN(MAX(DH57+Races!$E$71,Races!$F$71),6)  +  0.45 * MIN(MIN(DH57+Races!$E$71,Races!$F$71),6)  +  0.2 * ( MAX(DH57+Races!$E$71-6,0) + MAX(Races!$F$71-6,0) )  -  Races!$N$71</f>
        <v>0.16200000000000081</v>
      </c>
      <c r="EI57" s="57">
        <f t="shared" ca="1" si="117"/>
        <v>2584.8000000000015</v>
      </c>
      <c r="EJ57" s="57"/>
      <c r="EK57" s="57"/>
      <c r="EL57" s="57"/>
      <c r="EM57" s="57">
        <f ca="1">Overview!$L$22*E57+Overview!$L$23*F57+Overview!$L$24*G57+Overview!$L$25*H57+Overview!$L$26*I57+Overview!$L$27*J57+Overview!$L$28*K57+Construction!E57*20+Construction!B57*5 + DZ57*$DV$4+EB57*$DV$5+ED57*$DV$6+EF57*$DV$7+EI57*$DV$9</f>
        <v>39460</v>
      </c>
      <c r="EO57" s="738">
        <f>(J57+2*K57)/Construction!E57</f>
        <v>0.1</v>
      </c>
      <c r="EP57" s="734">
        <f ca="1">EO57*(1+race_wizard_strength+tech_magical_weaponry_wiz*Techs!AV129)</f>
        <v>0.1</v>
      </c>
      <c r="EQ57" s="16">
        <f>(I57+halfer*H57/3)/Construction!E57</f>
        <v>0.1</v>
      </c>
    </row>
    <row r="58" spans="1:147" s="16" customFormat="1">
      <c r="A58" s="629">
        <f>Rezone!J58</f>
        <v>56</v>
      </c>
      <c r="B58" s="56">
        <f ca="1">SUM(E58:K58)+SUM(AF50:AG58)+SUM(AH47:AL58)+Z58+Explore!AL58</f>
        <v>5295</v>
      </c>
      <c r="C58" s="97">
        <f ca="1">Population!G58</f>
        <v>0.57305194805194803</v>
      </c>
      <c r="E58" s="52">
        <f t="shared" si="118"/>
        <v>0</v>
      </c>
      <c r="F58" s="16">
        <f t="shared" si="119"/>
        <v>0</v>
      </c>
      <c r="G58" s="16">
        <f t="shared" si="120"/>
        <v>1000</v>
      </c>
      <c r="H58" s="16">
        <f t="shared" si="121"/>
        <v>400</v>
      </c>
      <c r="I58" s="16">
        <f t="shared" si="122"/>
        <v>100</v>
      </c>
      <c r="J58" s="16">
        <f t="shared" si="123"/>
        <v>100</v>
      </c>
      <c r="K58" s="53">
        <f t="shared" si="124"/>
        <v>0</v>
      </c>
      <c r="M58" s="64">
        <f ca="1">Production!G58</f>
        <v>39460</v>
      </c>
      <c r="O58" s="142">
        <f t="shared" ca="1" si="75"/>
        <v>4400</v>
      </c>
      <c r="P58" s="455">
        <f ca="1">race_offense+Imps!AB58+ROUND(MIN(gn_bonus*Construction!BF58/Construction!$E58,gn_bonus_cap),4)+MAX(IF(Magic!$AN58&gt;0,warsong_bonus),IF(Magic!AP58&gt;0,howling_op_bonus),IF(Magic!AS58&gt;0,nightfall_bonus),IF(Magic!AT58&gt;0,crusade_bonus),IF(Magic!AU58&gt;0,killingrage_bonus),IF(Magic!AV58&gt;0,bloodrage_bonus)) + Production!O58/100*prestige_offense_bonus + MAX(tech_military_offense*Techs!AH58,tech_magical_weaponry_op*Techs!AV58)</f>
        <v>0.05</v>
      </c>
      <c r="Q58" s="235">
        <f t="shared" ca="1" si="46"/>
        <v>4620</v>
      </c>
      <c r="R58" s="234">
        <f ca="1">F58*(spec_dp+spirit*DR58)+G58*(elite1_dp+woodie*CV58+sylvan*CY58+gnome*DB58+dark_elf*DD58+icekin*DG58+orc*DJ58+nox*DL58+beast*DN58+sacred*DP58+spirit*DS58+blackorc*DK58)+H58*(elite2_dp+woodie*CX58+beast*DO58+sacred*DQ58) + fh_peas_dp*MIN(Population!C58,20*Construction!BD58)+kobold*DE58</f>
        <v>7200</v>
      </c>
      <c r="S58" s="235">
        <f t="shared" ca="1" si="76"/>
        <v>10895</v>
      </c>
      <c r="T58" s="1052">
        <f ca="1">race_defense+Imps!AC58+ROUND(MIN(gt_bonus*Construction!BH58/Construction!$E58,gt_bonus_cap),4)+MAX(IF(Magic!AM58&gt;0,frenzy_bonus,IF(Magic!AQ58&gt;0,blizzard_bonus,IF(Magic!AP58&gt;0,howling_dp_bonus,IF(Magic!AI58&gt;0,ares_call_bonus)))),IF(Magic!AX58&gt;0,MIN(Construction!DF58/Construction!E58,0.2),0))</f>
        <v>0</v>
      </c>
      <c r="U58" s="1046">
        <f t="shared" ca="1" si="47"/>
        <v>7200</v>
      </c>
      <c r="V58" s="310">
        <f t="shared" ca="1" si="48"/>
        <v>10895</v>
      </c>
      <c r="W58" s="310">
        <f>Construction!E58</f>
        <v>1000</v>
      </c>
      <c r="X58" s="367"/>
      <c r="Y58" s="146">
        <f t="shared" si="74"/>
        <v>0.4</v>
      </c>
      <c r="Z58" s="166">
        <f ca="1">Z57+Population!Z57 - IF(race="Lux",AF58,SUM(AF58:AK58)) - BE58 + SUM(BF58:BL58) - Explore!AI58</f>
        <v>3695</v>
      </c>
      <c r="AA58" s="164"/>
      <c r="AB58" s="91">
        <f>(Construction!$BA58+Construction!BY58)/(Construction!$E58-Explore!S58*20)</f>
        <v>0.2</v>
      </c>
      <c r="AC58" s="529"/>
      <c r="AD58" s="799">
        <f>Rezone!J58</f>
        <v>56</v>
      </c>
      <c r="AE58" s="589">
        <f>Explore!AA58</f>
        <v>43694.291666666533</v>
      </c>
      <c r="AF58" s="356"/>
      <c r="AG58" s="348"/>
      <c r="AH58" s="348"/>
      <c r="AI58" s="348"/>
      <c r="AJ58" s="348"/>
      <c r="AK58" s="348"/>
      <c r="AL58" s="357"/>
      <c r="AN58" s="56">
        <f ca="1">Production!$H58</f>
        <v>3533316</v>
      </c>
      <c r="AO58" s="26">
        <f ca="1">Production!$L58</f>
        <v>231000</v>
      </c>
      <c r="AP58" s="26">
        <f ca="1">Production!J58</f>
        <v>280146</v>
      </c>
      <c r="AQ58" s="26">
        <f ca="1">Production!M58</f>
        <v>20000</v>
      </c>
      <c r="AR58" s="26">
        <f ca="1">Production!K58</f>
        <v>48511</v>
      </c>
      <c r="AS58" s="26">
        <f ca="1">Production!I58</f>
        <v>221311</v>
      </c>
      <c r="AT58" s="26">
        <f ca="1">Production!N58</f>
        <v>200</v>
      </c>
      <c r="AU58" s="152">
        <f t="shared" ca="1" si="77"/>
        <v>0</v>
      </c>
      <c r="AV58" s="164">
        <f t="shared" ca="1" si="78"/>
        <v>0</v>
      </c>
      <c r="AW58" s="164">
        <f t="shared" ca="1" si="50"/>
        <v>0</v>
      </c>
      <c r="AX58" s="164">
        <f t="shared" ca="1" si="51"/>
        <v>0</v>
      </c>
      <c r="AY58" s="164">
        <f t="shared" ca="1" si="52"/>
        <v>0</v>
      </c>
      <c r="AZ58" s="164">
        <f t="shared" ca="1" si="53"/>
        <v>0</v>
      </c>
      <c r="BA58" s="166">
        <f t="shared" ca="1" si="54"/>
        <v>0</v>
      </c>
      <c r="BB58" s="16">
        <v>56</v>
      </c>
      <c r="BC58" s="574">
        <f t="shared" si="71"/>
        <v>43694.291666666533</v>
      </c>
      <c r="BD58" s="148">
        <f t="shared" ca="1" si="72"/>
        <v>3695</v>
      </c>
      <c r="BE58" s="356"/>
      <c r="BF58" s="348"/>
      <c r="BG58" s="348"/>
      <c r="BH58" s="348"/>
      <c r="BI58" s="348"/>
      <c r="BJ58" s="348"/>
      <c r="BK58" s="348"/>
      <c r="BL58" s="357"/>
      <c r="BN58" s="503">
        <f>Construction!BM58/Construction!E58</f>
        <v>0</v>
      </c>
      <c r="BO58" s="171">
        <f>Construction!BD58/Construction!E58</f>
        <v>0</v>
      </c>
      <c r="BP58" s="152">
        <f>ROUNDUP((1-MIN(AB58*smithy_bonus,smithy_bonus_cap))*(1+Techs!AO58*tech_master_of_frugality)*spec_op_plat,0)</f>
        <v>165</v>
      </c>
      <c r="BQ58" s="164">
        <f>ROUNDUP(IF(race="Gnome",1,(1-MIN(AB58*smithy_bonus,smithy_bonus_cap))*(1+Techs!AO58*tech_master_of_frugality))*spec_op_ore,0)</f>
        <v>15</v>
      </c>
      <c r="BR58" s="164">
        <f t="shared" si="79"/>
        <v>0</v>
      </c>
      <c r="BS58" s="164">
        <f t="shared" si="80"/>
        <v>0</v>
      </c>
      <c r="BT58" s="164">
        <f ca="1">ROUNDUP((1-MIN(AB58*smithy_bonus,smithy_bonus_cap))*(1+Techs!AO58*tech_master_of_frugality)*spec_dp_plat,0)</f>
        <v>165</v>
      </c>
      <c r="BU58" s="164">
        <f ca="1">ROUNDUP(IF(OR(race="Gnome",race="Imperial Gnome"),1,(1-MIN(AB58*smithy_bonus,smithy_bonus_cap))*(1+Techs!AO58*tech_master_of_frugality))*spec_dp_ore,0)</f>
        <v>6</v>
      </c>
      <c r="BV58" s="164">
        <f t="shared" ca="1" si="81"/>
        <v>0</v>
      </c>
      <c r="BW58" s="164">
        <f t="shared" ca="1" si="82"/>
        <v>0</v>
      </c>
      <c r="BX58" s="164">
        <f t="shared" ca="1" si="83"/>
        <v>0</v>
      </c>
      <c r="BY58" s="164">
        <f ca="1">ROUNDUP((1-MIN(AB58*smithy_bonus,smithy_bonus_cap))*(1+Techs!AO58*tech_master_of_frugality)*elite1_plat,0)</f>
        <v>600</v>
      </c>
      <c r="BZ58" s="164">
        <f ca="1">ROUNDUP(IF(race="Gnome",1,(1-MIN(AB58*smithy_bonus,smithy_bonus_cap))*(1+Techs!AO58*tech_master_of_frugality))*elite1_ore,0)</f>
        <v>45</v>
      </c>
      <c r="CA58" s="164">
        <f t="shared" ca="1" si="84"/>
        <v>0</v>
      </c>
      <c r="CB58" s="164">
        <f t="shared" ca="1" si="85"/>
        <v>0</v>
      </c>
      <c r="CC58" s="164">
        <f t="shared" ca="1" si="86"/>
        <v>0</v>
      </c>
      <c r="CD58" s="164">
        <f t="shared" ca="1" si="87"/>
        <v>0</v>
      </c>
      <c r="CE58" s="164">
        <f t="shared" ca="1" si="88"/>
        <v>0</v>
      </c>
      <c r="CF58" s="164">
        <f ca="1">ROUNDUP((1-MIN(AB58*smithy_bonus,smithy_bonus_cap))*(1+Techs!AO58*tech_master_of_frugality)*elite2_plat,0)</f>
        <v>750</v>
      </c>
      <c r="CG58" s="164">
        <f ca="1">ROUNDUP(IF(race="Gnome",1,(1-MIN(AB58*smithy_bonus,smithy_bonus_cap))*(1+Techs!AO58*tech_master_of_frugality))*elite2_ore,0)</f>
        <v>60</v>
      </c>
      <c r="CH58" s="164">
        <f t="shared" ca="1" si="89"/>
        <v>0</v>
      </c>
      <c r="CI58" s="164">
        <f t="shared" ca="1" si="90"/>
        <v>0</v>
      </c>
      <c r="CJ58" s="164">
        <f t="shared" ca="1" si="91"/>
        <v>0</v>
      </c>
      <c r="CK58" s="164">
        <f t="shared" ca="1" si="92"/>
        <v>0</v>
      </c>
      <c r="CL58" s="164">
        <f t="shared" ca="1" si="93"/>
        <v>0</v>
      </c>
      <c r="CM58" s="164">
        <f>ROUNDUP((1+tech_spy_cost*Techs!AJ58)*spy_plat,0)</f>
        <v>500</v>
      </c>
      <c r="CN58" s="164">
        <f>ROUNDUP((1+tech_wizard_cost*Techs!AM58-MIN(ROUND(wg_wiz_cost_bonus*BN58,4),wg_wiz_cost_cap))*wizard_plat,0)</f>
        <v>500</v>
      </c>
      <c r="CO58" s="166">
        <f>ROUNDUP((1+tech_wizard_cost*Techs!AM58-MIN(ROUND(wg_wiz_cost_bonus*BN58,4),wg_wiz_cost_cap))*archmage_plat,0)</f>
        <v>1000</v>
      </c>
      <c r="CQ58" s="465">
        <f ca="1">Construction!DF58/Construction!E58</f>
        <v>0.28000000000000003</v>
      </c>
      <c r="CR58" s="466">
        <f t="shared" si="73"/>
        <v>0</v>
      </c>
      <c r="CS58" s="466">
        <f>Construction!BK58/Construction!E58</f>
        <v>0.05</v>
      </c>
      <c r="CT58" s="466">
        <f>Construction!BJ58/Construction!E58</f>
        <v>0</v>
      </c>
      <c r="CU58" s="466">
        <f>Construction!AY58/Construction!E58</f>
        <v>0</v>
      </c>
      <c r="CV58" s="487">
        <f t="shared" ca="1" si="94"/>
        <v>1.4000000000000001</v>
      </c>
      <c r="CW58" s="488">
        <f t="shared" ca="1" si="95"/>
        <v>1.4000000000000001</v>
      </c>
      <c r="CX58" s="488">
        <f t="shared" ca="1" si="96"/>
        <v>1.4000000000000001</v>
      </c>
      <c r="CY58" s="489">
        <f t="shared" ca="1" si="97"/>
        <v>1.4000000000000001</v>
      </c>
      <c r="CZ58" s="489">
        <f t="shared" si="98"/>
        <v>0.1</v>
      </c>
      <c r="DA58" s="489">
        <f t="shared" ca="1" si="99"/>
        <v>3</v>
      </c>
      <c r="DB58" s="489">
        <f t="shared" ca="1" si="100"/>
        <v>1.4000000000000001</v>
      </c>
      <c r="DC58" s="488">
        <f t="shared" si="101"/>
        <v>0</v>
      </c>
      <c r="DD58" s="848">
        <f t="shared" si="102"/>
        <v>0</v>
      </c>
      <c r="DE58" s="442">
        <f t="shared" si="56"/>
        <v>800</v>
      </c>
      <c r="DF58" s="442">
        <f t="shared" si="57"/>
        <v>0</v>
      </c>
      <c r="DG58" s="487">
        <f t="shared" ca="1" si="103"/>
        <v>1.4000000000000001</v>
      </c>
      <c r="DH58" s="452">
        <f t="shared" si="104"/>
        <v>9.0000000000000011E-2</v>
      </c>
      <c r="DI58" s="452">
        <f>MIN(valkyrja_cap,Production!O58/valkyrja_bonus)</f>
        <v>1</v>
      </c>
      <c r="DJ58" s="848">
        <f>MIN(voodoo_magi_cap,Production!O58/voodoo_magi_bonus)</f>
        <v>0.83333333333333337</v>
      </c>
      <c r="DK58" s="848">
        <f>MIN(warlock_cap,Production!O58/warlock_bonus)</f>
        <v>1.25</v>
      </c>
      <c r="DL58" s="848">
        <f ca="1">MIN(nox_nightshade_cap,Construction!DF58/Construction!E58/nox_nightshade_swamp_bonus)</f>
        <v>2.8000000000000003</v>
      </c>
      <c r="DM58" s="488">
        <f t="shared" si="105"/>
        <v>0</v>
      </c>
      <c r="DN58" s="489">
        <f t="shared" ca="1" si="106"/>
        <v>2.8000000000000003</v>
      </c>
      <c r="DO58" s="489">
        <f t="shared" ca="1" si="107"/>
        <v>2.8000000000000003</v>
      </c>
      <c r="DP58" s="489">
        <f t="shared" si="108"/>
        <v>1</v>
      </c>
      <c r="DQ58" s="488">
        <f t="shared" si="109"/>
        <v>0</v>
      </c>
      <c r="DR58" s="489">
        <f t="shared" si="110"/>
        <v>0</v>
      </c>
      <c r="DS58" s="488">
        <f t="shared" si="111"/>
        <v>0</v>
      </c>
      <c r="DT58" s="489">
        <f t="shared" si="112"/>
        <v>0.1</v>
      </c>
      <c r="DX58" s="487">
        <f ca="1">MIN(6,CV58+Races!$F$19)*1.8 +  IF(CV58+Races!$F$19&gt;6,(CV58+Races!$F$19-6)*0.2,0) - Races!$N$19</f>
        <v>2.5200000000000005</v>
      </c>
      <c r="DY58" s="488">
        <f ca="1">1.8 * MIN(MAX(CW58+Races!$E$20,CX58+Races!$F$20),6)  +  0.45 * MIN(MIN(CW58+Races!$E$20,CX58+Races!$F$20),6)  +  0.2 * ( MAX(CW58+Races!$E$20-6,0) + MAX(CX58+Races!$F$20-6,0) )  -  Races!$N$20</f>
        <v>3.1500000000000012</v>
      </c>
      <c r="DZ58" s="57">
        <f t="shared" ca="1" si="113"/>
        <v>3780.0000000000009</v>
      </c>
      <c r="EA58" s="666">
        <f ca="1">MIN(6,CY58+Races!$F$35)*1.8 +  IF(CY58+Races!$F$35&gt;6,(CY58+Races!$F$35-6)*0.2,0) - Races!$N$19</f>
        <v>0.72000000000000064</v>
      </c>
      <c r="EB58" s="57">
        <f t="shared" ca="1" si="114"/>
        <v>0</v>
      </c>
      <c r="EC58" s="666">
        <f ca="1">1.8 * MIN(MAX(Races!$E$27,DB58+Races!$F$27),6)  +  0.45 * MIN(MIN(Races!$E$27,DB58+Races!$F$27),6)  +  0.2 * ( MAX(Races!$E$27-6,0) + MAX(DB58+Races!$F$27-6,0) )  -  Races!$N$20</f>
        <v>4.7700000000000005</v>
      </c>
      <c r="ED58" s="57">
        <f t="shared" ca="1" si="115"/>
        <v>0</v>
      </c>
      <c r="EE58" s="666">
        <f>1.8 * MIN(MAX(DC58+Races!$E$47,DD58+Races!$F$47),6)  +  0.45 * MIN(MIN(DC58+Races!$E$47,DD58+Races!$F$47),6)  +  0.2 * ( MAX(DC58+Races!$E$47-6,0) + MAX(DD58+Races!$F$47-6,0) )  -  Races!$N$47</f>
        <v>0</v>
      </c>
      <c r="EF58" s="57">
        <f t="shared" si="116"/>
        <v>0</v>
      </c>
      <c r="EG58" s="666">
        <f ca="1">1.8 * MIN(MAX(DG58+Races!$F$71,Races!$E$71),6)  +  0.45 * MIN(MIN(DG58+Races!$F$71,Races!$E$71),6)  +  0.2 * ( MAX(DG58+Races!$F$71-6,0) + MAX(Races!$E$71-6,0) )  -  Races!$N$71</f>
        <v>2.5200000000000014</v>
      </c>
      <c r="EH58" s="666">
        <f>1.8 * MIN(MAX(DH58+Races!$E$71,Races!$F$71),6)  +  0.45 * MIN(MIN(DH58+Races!$E$71,Races!$F$71),6)  +  0.2 * ( MAX(DH58+Races!$E$71-6,0) + MAX(Races!$F$71-6,0) )  -  Races!$N$71</f>
        <v>0.16200000000000081</v>
      </c>
      <c r="EI58" s="57">
        <f t="shared" ca="1" si="117"/>
        <v>2584.8000000000015</v>
      </c>
      <c r="EJ58" s="57"/>
      <c r="EK58" s="57"/>
      <c r="EL58" s="57"/>
      <c r="EM58" s="57">
        <f ca="1">Overview!$L$22*E58+Overview!$L$23*F58+Overview!$L$24*G58+Overview!$L$25*H58+Overview!$L$26*I58+Overview!$L$27*J58+Overview!$L$28*K58+Construction!E58*20+Construction!B58*5 + DZ58*$DV$4+EB58*$DV$5+ED58*$DV$6+EF58*$DV$7+EI58*$DV$9</f>
        <v>39460</v>
      </c>
      <c r="EO58" s="738">
        <f>(J58+2*K58)/Construction!E58</f>
        <v>0.1</v>
      </c>
      <c r="EP58" s="734">
        <f ca="1">EO58*(1+race_wizard_strength+tech_magical_weaponry_wiz*Techs!AV130)</f>
        <v>0.1</v>
      </c>
      <c r="EQ58" s="16">
        <f>(I58+halfer*H58/3)/Construction!E58</f>
        <v>0.1</v>
      </c>
    </row>
    <row r="59" spans="1:147" s="16" customFormat="1">
      <c r="A59" s="629">
        <f>Rezone!J59</f>
        <v>57</v>
      </c>
      <c r="B59" s="56">
        <f ca="1">SUM(E59:K59)+SUM(AF51:AG59)+SUM(AH48:AL59)+Z59+Explore!AL59</f>
        <v>5295</v>
      </c>
      <c r="C59" s="97">
        <f ca="1">Population!G59</f>
        <v>0.57305194805194803</v>
      </c>
      <c r="E59" s="52">
        <f t="shared" si="118"/>
        <v>0</v>
      </c>
      <c r="F59" s="16">
        <f t="shared" si="119"/>
        <v>0</v>
      </c>
      <c r="G59" s="16">
        <f t="shared" si="120"/>
        <v>1000</v>
      </c>
      <c r="H59" s="16">
        <f t="shared" si="121"/>
        <v>400</v>
      </c>
      <c r="I59" s="16">
        <f t="shared" si="122"/>
        <v>100</v>
      </c>
      <c r="J59" s="16">
        <f t="shared" si="123"/>
        <v>100</v>
      </c>
      <c r="K59" s="53">
        <f t="shared" si="124"/>
        <v>0</v>
      </c>
      <c r="M59" s="64">
        <f ca="1">Production!G59</f>
        <v>39460</v>
      </c>
      <c r="O59" s="142">
        <f t="shared" ca="1" si="75"/>
        <v>4400</v>
      </c>
      <c r="P59" s="455">
        <f ca="1">race_offense+Imps!AB59+ROUND(MIN(gn_bonus*Construction!BF59/Construction!$E59,gn_bonus_cap),4)+MAX(IF(Magic!$AN59&gt;0,warsong_bonus),IF(Magic!AP59&gt;0,howling_op_bonus),IF(Magic!AS59&gt;0,nightfall_bonus),IF(Magic!AT59&gt;0,crusade_bonus),IF(Magic!AU59&gt;0,killingrage_bonus),IF(Magic!AV59&gt;0,bloodrage_bonus)) + Production!O59/100*prestige_offense_bonus + MAX(tech_military_offense*Techs!AH59,tech_magical_weaponry_op*Techs!AV59)</f>
        <v>0.05</v>
      </c>
      <c r="Q59" s="235">
        <f t="shared" ca="1" si="46"/>
        <v>4620</v>
      </c>
      <c r="R59" s="234">
        <f ca="1">F59*(spec_dp+spirit*DR59)+G59*(elite1_dp+woodie*CV59+sylvan*CY59+gnome*DB59+dark_elf*DD59+icekin*DG59+orc*DJ59+nox*DL59+beast*DN59+sacred*DP59+spirit*DS59+blackorc*DK59)+H59*(elite2_dp+woodie*CX59+beast*DO59+sacred*DQ59) + fh_peas_dp*MIN(Population!C59,20*Construction!BD59)+kobold*DE59</f>
        <v>7200</v>
      </c>
      <c r="S59" s="235">
        <f t="shared" ca="1" si="76"/>
        <v>10895</v>
      </c>
      <c r="T59" s="1052">
        <f ca="1">race_defense+Imps!AC59+ROUND(MIN(gt_bonus*Construction!BH59/Construction!$E59,gt_bonus_cap),4)+MAX(IF(Magic!AM59&gt;0,frenzy_bonus,IF(Magic!AQ59&gt;0,blizzard_bonus,IF(Magic!AP59&gt;0,howling_dp_bonus,IF(Magic!AI59&gt;0,ares_call_bonus)))),IF(Magic!AX59&gt;0,MIN(Construction!DF59/Construction!E59,0.2),0))</f>
        <v>0</v>
      </c>
      <c r="U59" s="1046">
        <f t="shared" ca="1" si="47"/>
        <v>7200</v>
      </c>
      <c r="V59" s="310">
        <f t="shared" ca="1" si="48"/>
        <v>10895</v>
      </c>
      <c r="W59" s="310">
        <f>Construction!E59</f>
        <v>1000</v>
      </c>
      <c r="X59" s="367"/>
      <c r="Y59" s="146">
        <f t="shared" si="74"/>
        <v>0.4</v>
      </c>
      <c r="Z59" s="166">
        <f ca="1">Z58+Population!Z58 - IF(race="Lux",AF59,SUM(AF59:AK59)) - BE59 + SUM(BF59:BL59) - Explore!AI59</f>
        <v>3695</v>
      </c>
      <c r="AA59" s="164"/>
      <c r="AB59" s="91">
        <f>(Construction!$BA59+Construction!BY59)/(Construction!$E59-Explore!S59*20)</f>
        <v>0.2</v>
      </c>
      <c r="AC59" s="529"/>
      <c r="AD59" s="799">
        <f>Rezone!J59</f>
        <v>57</v>
      </c>
      <c r="AE59" s="589">
        <f>Explore!AA59</f>
        <v>43694.333333333198</v>
      </c>
      <c r="AF59" s="356"/>
      <c r="AG59" s="348"/>
      <c r="AH59" s="348"/>
      <c r="AI59" s="348"/>
      <c r="AJ59" s="348"/>
      <c r="AK59" s="348"/>
      <c r="AL59" s="357"/>
      <c r="AN59" s="56">
        <f ca="1">Production!$H59</f>
        <v>3543967</v>
      </c>
      <c r="AO59" s="26">
        <f ca="1">Production!$L59</f>
        <v>231000</v>
      </c>
      <c r="AP59" s="26">
        <f ca="1">Production!J59</f>
        <v>279845</v>
      </c>
      <c r="AQ59" s="26">
        <f ca="1">Production!M59</f>
        <v>20000</v>
      </c>
      <c r="AR59" s="26">
        <f ca="1">Production!K59</f>
        <v>48791</v>
      </c>
      <c r="AS59" s="26">
        <f ca="1">Production!I59</f>
        <v>223828</v>
      </c>
      <c r="AT59" s="26">
        <f ca="1">Production!N59</f>
        <v>200</v>
      </c>
      <c r="AU59" s="152">
        <f t="shared" ca="1" si="77"/>
        <v>0</v>
      </c>
      <c r="AV59" s="164">
        <f t="shared" ca="1" si="78"/>
        <v>0</v>
      </c>
      <c r="AW59" s="164">
        <f t="shared" ca="1" si="50"/>
        <v>0</v>
      </c>
      <c r="AX59" s="164">
        <f t="shared" ca="1" si="51"/>
        <v>0</v>
      </c>
      <c r="AY59" s="164">
        <f t="shared" ca="1" si="52"/>
        <v>0</v>
      </c>
      <c r="AZ59" s="164">
        <f t="shared" ca="1" si="53"/>
        <v>0</v>
      </c>
      <c r="BA59" s="166">
        <f t="shared" ca="1" si="54"/>
        <v>0</v>
      </c>
      <c r="BB59" s="16">
        <v>57</v>
      </c>
      <c r="BC59" s="574">
        <f t="shared" si="71"/>
        <v>43694.333333333198</v>
      </c>
      <c r="BD59" s="148">
        <f t="shared" ca="1" si="72"/>
        <v>3695</v>
      </c>
      <c r="BE59" s="356"/>
      <c r="BF59" s="348"/>
      <c r="BG59" s="348"/>
      <c r="BH59" s="348"/>
      <c r="BI59" s="348"/>
      <c r="BJ59" s="348"/>
      <c r="BK59" s="348"/>
      <c r="BL59" s="357"/>
      <c r="BN59" s="503">
        <f>Construction!BM59/Construction!E59</f>
        <v>0</v>
      </c>
      <c r="BO59" s="171">
        <f>Construction!BD59/Construction!E59</f>
        <v>0</v>
      </c>
      <c r="BP59" s="152">
        <f>ROUNDUP((1-MIN(AB59*smithy_bonus,smithy_bonus_cap))*(1+Techs!AO59*tech_master_of_frugality)*spec_op_plat,0)</f>
        <v>165</v>
      </c>
      <c r="BQ59" s="164">
        <f>ROUNDUP(IF(race="Gnome",1,(1-MIN(AB59*smithy_bonus,smithy_bonus_cap))*(1+Techs!AO59*tech_master_of_frugality))*spec_op_ore,0)</f>
        <v>15</v>
      </c>
      <c r="BR59" s="164">
        <f t="shared" si="79"/>
        <v>0</v>
      </c>
      <c r="BS59" s="164">
        <f t="shared" si="80"/>
        <v>0</v>
      </c>
      <c r="BT59" s="164">
        <f ca="1">ROUNDUP((1-MIN(AB59*smithy_bonus,smithy_bonus_cap))*(1+Techs!AO59*tech_master_of_frugality)*spec_dp_plat,0)</f>
        <v>165</v>
      </c>
      <c r="BU59" s="164">
        <f ca="1">ROUNDUP(IF(OR(race="Gnome",race="Imperial Gnome"),1,(1-MIN(AB59*smithy_bonus,smithy_bonus_cap))*(1+Techs!AO59*tech_master_of_frugality))*spec_dp_ore,0)</f>
        <v>6</v>
      </c>
      <c r="BV59" s="164">
        <f t="shared" ca="1" si="81"/>
        <v>0</v>
      </c>
      <c r="BW59" s="164">
        <f t="shared" ca="1" si="82"/>
        <v>0</v>
      </c>
      <c r="BX59" s="164">
        <f t="shared" ca="1" si="83"/>
        <v>0</v>
      </c>
      <c r="BY59" s="164">
        <f ca="1">ROUNDUP((1-MIN(AB59*smithy_bonus,smithy_bonus_cap))*(1+Techs!AO59*tech_master_of_frugality)*elite1_plat,0)</f>
        <v>600</v>
      </c>
      <c r="BZ59" s="164">
        <f ca="1">ROUNDUP(IF(race="Gnome",1,(1-MIN(AB59*smithy_bonus,smithy_bonus_cap))*(1+Techs!AO59*tech_master_of_frugality))*elite1_ore,0)</f>
        <v>45</v>
      </c>
      <c r="CA59" s="164">
        <f t="shared" ca="1" si="84"/>
        <v>0</v>
      </c>
      <c r="CB59" s="164">
        <f t="shared" ca="1" si="85"/>
        <v>0</v>
      </c>
      <c r="CC59" s="164">
        <f t="shared" ca="1" si="86"/>
        <v>0</v>
      </c>
      <c r="CD59" s="164">
        <f t="shared" ca="1" si="87"/>
        <v>0</v>
      </c>
      <c r="CE59" s="164">
        <f t="shared" ca="1" si="88"/>
        <v>0</v>
      </c>
      <c r="CF59" s="164">
        <f ca="1">ROUNDUP((1-MIN(AB59*smithy_bonus,smithy_bonus_cap))*(1+Techs!AO59*tech_master_of_frugality)*elite2_plat,0)</f>
        <v>750</v>
      </c>
      <c r="CG59" s="164">
        <f ca="1">ROUNDUP(IF(race="Gnome",1,(1-MIN(AB59*smithy_bonus,smithy_bonus_cap))*(1+Techs!AO59*tech_master_of_frugality))*elite2_ore,0)</f>
        <v>60</v>
      </c>
      <c r="CH59" s="164">
        <f t="shared" ca="1" si="89"/>
        <v>0</v>
      </c>
      <c r="CI59" s="164">
        <f t="shared" ca="1" si="90"/>
        <v>0</v>
      </c>
      <c r="CJ59" s="164">
        <f t="shared" ca="1" si="91"/>
        <v>0</v>
      </c>
      <c r="CK59" s="164">
        <f t="shared" ca="1" si="92"/>
        <v>0</v>
      </c>
      <c r="CL59" s="164">
        <f t="shared" ca="1" si="93"/>
        <v>0</v>
      </c>
      <c r="CM59" s="164">
        <f>ROUNDUP((1+tech_spy_cost*Techs!AJ59)*spy_plat,0)</f>
        <v>500</v>
      </c>
      <c r="CN59" s="164">
        <f>ROUNDUP((1+tech_wizard_cost*Techs!AM59-MIN(ROUND(wg_wiz_cost_bonus*BN59,4),wg_wiz_cost_cap))*wizard_plat,0)</f>
        <v>500</v>
      </c>
      <c r="CO59" s="166">
        <f>ROUNDUP((1+tech_wizard_cost*Techs!AM59-MIN(ROUND(wg_wiz_cost_bonus*BN59,4),wg_wiz_cost_cap))*archmage_plat,0)</f>
        <v>1000</v>
      </c>
      <c r="CQ59" s="465">
        <f ca="1">Construction!DF59/Construction!E59</f>
        <v>0.28000000000000003</v>
      </c>
      <c r="CR59" s="466">
        <f t="shared" si="73"/>
        <v>0</v>
      </c>
      <c r="CS59" s="466">
        <f>Construction!BK59/Construction!E59</f>
        <v>0.05</v>
      </c>
      <c r="CT59" s="466">
        <f>Construction!BJ59/Construction!E59</f>
        <v>0</v>
      </c>
      <c r="CU59" s="466">
        <f>Construction!AY59/Construction!E59</f>
        <v>0</v>
      </c>
      <c r="CV59" s="487">
        <f t="shared" ca="1" si="94"/>
        <v>1.4000000000000001</v>
      </c>
      <c r="CW59" s="488">
        <f t="shared" ca="1" si="95"/>
        <v>1.4000000000000001</v>
      </c>
      <c r="CX59" s="488">
        <f t="shared" ca="1" si="96"/>
        <v>1.4000000000000001</v>
      </c>
      <c r="CY59" s="489">
        <f t="shared" ca="1" si="97"/>
        <v>1.4000000000000001</v>
      </c>
      <c r="CZ59" s="489">
        <f t="shared" si="98"/>
        <v>0.1</v>
      </c>
      <c r="DA59" s="489">
        <f t="shared" ca="1" si="99"/>
        <v>3</v>
      </c>
      <c r="DB59" s="489">
        <f t="shared" ca="1" si="100"/>
        <v>1.4000000000000001</v>
      </c>
      <c r="DC59" s="488">
        <f t="shared" si="101"/>
        <v>0</v>
      </c>
      <c r="DD59" s="848">
        <f t="shared" si="102"/>
        <v>0</v>
      </c>
      <c r="DE59" s="442">
        <f t="shared" si="56"/>
        <v>800</v>
      </c>
      <c r="DF59" s="442">
        <f t="shared" si="57"/>
        <v>0</v>
      </c>
      <c r="DG59" s="487">
        <f t="shared" ca="1" si="103"/>
        <v>1.4000000000000001</v>
      </c>
      <c r="DH59" s="452">
        <f t="shared" si="104"/>
        <v>9.0000000000000011E-2</v>
      </c>
      <c r="DI59" s="452">
        <f>MIN(valkyrja_cap,Production!O59/valkyrja_bonus)</f>
        <v>1</v>
      </c>
      <c r="DJ59" s="848">
        <f>MIN(voodoo_magi_cap,Production!O59/voodoo_magi_bonus)</f>
        <v>0.83333333333333337</v>
      </c>
      <c r="DK59" s="848">
        <f>MIN(warlock_cap,Production!O59/warlock_bonus)</f>
        <v>1.25</v>
      </c>
      <c r="DL59" s="848">
        <f ca="1">MIN(nox_nightshade_cap,Construction!DF59/Construction!E59/nox_nightshade_swamp_bonus)</f>
        <v>2.8000000000000003</v>
      </c>
      <c r="DM59" s="488">
        <f t="shared" si="105"/>
        <v>0</v>
      </c>
      <c r="DN59" s="489">
        <f t="shared" ca="1" si="106"/>
        <v>2.8000000000000003</v>
      </c>
      <c r="DO59" s="489">
        <f t="shared" ca="1" si="107"/>
        <v>2.8000000000000003</v>
      </c>
      <c r="DP59" s="489">
        <f t="shared" si="108"/>
        <v>1</v>
      </c>
      <c r="DQ59" s="488">
        <f t="shared" si="109"/>
        <v>0</v>
      </c>
      <c r="DR59" s="489">
        <f t="shared" si="110"/>
        <v>0</v>
      </c>
      <c r="DS59" s="488">
        <f t="shared" si="111"/>
        <v>0</v>
      </c>
      <c r="DT59" s="489">
        <f t="shared" si="112"/>
        <v>0.1</v>
      </c>
      <c r="DX59" s="487">
        <f ca="1">MIN(6,CV59+Races!$F$19)*1.8 +  IF(CV59+Races!$F$19&gt;6,(CV59+Races!$F$19-6)*0.2,0) - Races!$N$19</f>
        <v>2.5200000000000005</v>
      </c>
      <c r="DY59" s="488">
        <f ca="1">1.8 * MIN(MAX(CW59+Races!$E$20,CX59+Races!$F$20),6)  +  0.45 * MIN(MIN(CW59+Races!$E$20,CX59+Races!$F$20),6)  +  0.2 * ( MAX(CW59+Races!$E$20-6,0) + MAX(CX59+Races!$F$20-6,0) )  -  Races!$N$20</f>
        <v>3.1500000000000012</v>
      </c>
      <c r="DZ59" s="57">
        <f t="shared" ca="1" si="113"/>
        <v>3780.0000000000009</v>
      </c>
      <c r="EA59" s="666">
        <f ca="1">MIN(6,CY59+Races!$F$35)*1.8 +  IF(CY59+Races!$F$35&gt;6,(CY59+Races!$F$35-6)*0.2,0) - Races!$N$19</f>
        <v>0.72000000000000064</v>
      </c>
      <c r="EB59" s="57">
        <f t="shared" ca="1" si="114"/>
        <v>0</v>
      </c>
      <c r="EC59" s="666">
        <f ca="1">1.8 * MIN(MAX(Races!$E$27,DB59+Races!$F$27),6)  +  0.45 * MIN(MIN(Races!$E$27,DB59+Races!$F$27),6)  +  0.2 * ( MAX(Races!$E$27-6,0) + MAX(DB59+Races!$F$27-6,0) )  -  Races!$N$20</f>
        <v>4.7700000000000005</v>
      </c>
      <c r="ED59" s="57">
        <f t="shared" ca="1" si="115"/>
        <v>0</v>
      </c>
      <c r="EE59" s="666">
        <f>1.8 * MIN(MAX(DC59+Races!$E$47,DD59+Races!$F$47),6)  +  0.45 * MIN(MIN(DC59+Races!$E$47,DD59+Races!$F$47),6)  +  0.2 * ( MAX(DC59+Races!$E$47-6,0) + MAX(DD59+Races!$F$47-6,0) )  -  Races!$N$47</f>
        <v>0</v>
      </c>
      <c r="EF59" s="57">
        <f t="shared" si="116"/>
        <v>0</v>
      </c>
      <c r="EG59" s="666">
        <f ca="1">1.8 * MIN(MAX(DG59+Races!$F$71,Races!$E$71),6)  +  0.45 * MIN(MIN(DG59+Races!$F$71,Races!$E$71),6)  +  0.2 * ( MAX(DG59+Races!$F$71-6,0) + MAX(Races!$E$71-6,0) )  -  Races!$N$71</f>
        <v>2.5200000000000014</v>
      </c>
      <c r="EH59" s="666">
        <f>1.8 * MIN(MAX(DH59+Races!$E$71,Races!$F$71),6)  +  0.45 * MIN(MIN(DH59+Races!$E$71,Races!$F$71),6)  +  0.2 * ( MAX(DH59+Races!$E$71-6,0) + MAX(Races!$F$71-6,0) )  -  Races!$N$71</f>
        <v>0.16200000000000081</v>
      </c>
      <c r="EI59" s="57">
        <f t="shared" ca="1" si="117"/>
        <v>2584.8000000000015</v>
      </c>
      <c r="EJ59" s="57"/>
      <c r="EK59" s="57"/>
      <c r="EL59" s="57"/>
      <c r="EM59" s="57">
        <f ca="1">Overview!$L$22*E59+Overview!$L$23*F59+Overview!$L$24*G59+Overview!$L$25*H59+Overview!$L$26*I59+Overview!$L$27*J59+Overview!$L$28*K59+Construction!E59*20+Construction!B59*5 + DZ59*$DV$4+EB59*$DV$5+ED59*$DV$6+EF59*$DV$7+EI59*$DV$9</f>
        <v>39460</v>
      </c>
      <c r="EO59" s="738">
        <f>(J59+2*K59)/Construction!E59</f>
        <v>0.1</v>
      </c>
      <c r="EP59" s="734">
        <f ca="1">EO59*(1+race_wizard_strength+tech_magical_weaponry_wiz*Techs!AV131)</f>
        <v>0.1</v>
      </c>
      <c r="EQ59" s="16">
        <f>(I59+halfer*H59/3)/Construction!E59</f>
        <v>0.1</v>
      </c>
    </row>
    <row r="60" spans="1:147" s="16" customFormat="1">
      <c r="A60" s="629">
        <f>Rezone!J60</f>
        <v>58</v>
      </c>
      <c r="B60" s="56">
        <f ca="1">SUM(E60:K60)+SUM(AF52:AG60)+SUM(AH49:AL60)+Z60+Explore!AL60</f>
        <v>5295</v>
      </c>
      <c r="C60" s="97">
        <f ca="1">Population!G60</f>
        <v>0.57305194805194803</v>
      </c>
      <c r="E60" s="52">
        <f t="shared" si="118"/>
        <v>0</v>
      </c>
      <c r="F60" s="16">
        <f t="shared" si="119"/>
        <v>0</v>
      </c>
      <c r="G60" s="16">
        <f t="shared" si="120"/>
        <v>1000</v>
      </c>
      <c r="H60" s="16">
        <f t="shared" si="121"/>
        <v>400</v>
      </c>
      <c r="I60" s="16">
        <f t="shared" si="122"/>
        <v>100</v>
      </c>
      <c r="J60" s="16">
        <f t="shared" si="123"/>
        <v>100</v>
      </c>
      <c r="K60" s="53">
        <f t="shared" si="124"/>
        <v>0</v>
      </c>
      <c r="M60" s="64">
        <f ca="1">Production!G60</f>
        <v>39460</v>
      </c>
      <c r="O60" s="142">
        <f t="shared" ca="1" si="75"/>
        <v>4400</v>
      </c>
      <c r="P60" s="455">
        <f ca="1">race_offense+Imps!AB60+ROUND(MIN(gn_bonus*Construction!BF60/Construction!$E60,gn_bonus_cap),4)+MAX(IF(Magic!$AN60&gt;0,warsong_bonus),IF(Magic!AP60&gt;0,howling_op_bonus),IF(Magic!AS60&gt;0,nightfall_bonus),IF(Magic!AT60&gt;0,crusade_bonus),IF(Magic!AU60&gt;0,killingrage_bonus),IF(Magic!AV60&gt;0,bloodrage_bonus)) + Production!O60/100*prestige_offense_bonus + MAX(tech_military_offense*Techs!AH60,tech_magical_weaponry_op*Techs!AV60)</f>
        <v>0.05</v>
      </c>
      <c r="Q60" s="235">
        <f t="shared" ca="1" si="46"/>
        <v>4620</v>
      </c>
      <c r="R60" s="234">
        <f ca="1">F60*(spec_dp+spirit*DR60)+G60*(elite1_dp+woodie*CV60+sylvan*CY60+gnome*DB60+dark_elf*DD60+icekin*DG60+orc*DJ60+nox*DL60+beast*DN60+sacred*DP60+spirit*DS60+blackorc*DK60)+H60*(elite2_dp+woodie*CX60+beast*DO60+sacred*DQ60) + fh_peas_dp*MIN(Population!C60,20*Construction!BD60)+kobold*DE60</f>
        <v>7200</v>
      </c>
      <c r="S60" s="235">
        <f t="shared" ca="1" si="76"/>
        <v>10895</v>
      </c>
      <c r="T60" s="1052">
        <f ca="1">race_defense+Imps!AC60+ROUND(MIN(gt_bonus*Construction!BH60/Construction!$E60,gt_bonus_cap),4)+MAX(IF(Magic!AM60&gt;0,frenzy_bonus,IF(Magic!AQ60&gt;0,blizzard_bonus,IF(Magic!AP60&gt;0,howling_dp_bonus,IF(Magic!AI60&gt;0,ares_call_bonus)))),IF(Magic!AX60&gt;0,MIN(Construction!DF60/Construction!E60,0.2),0))</f>
        <v>0</v>
      </c>
      <c r="U60" s="1046">
        <f t="shared" ca="1" si="47"/>
        <v>7200</v>
      </c>
      <c r="V60" s="310">
        <f t="shared" ca="1" si="48"/>
        <v>10895</v>
      </c>
      <c r="W60" s="310">
        <f>Construction!E60</f>
        <v>1000</v>
      </c>
      <c r="X60" s="367"/>
      <c r="Y60" s="146">
        <f t="shared" si="74"/>
        <v>0.4</v>
      </c>
      <c r="Z60" s="166">
        <f ca="1">Z59+Population!Z59 - IF(race="Lux",AF60,SUM(AF60:AK60)) - BE60 + SUM(BF60:BL60) - Explore!AI60</f>
        <v>3695</v>
      </c>
      <c r="AA60" s="164"/>
      <c r="AB60" s="91">
        <f>(Construction!$BA60+Construction!BY60)/(Construction!$E60-Explore!S60*20)</f>
        <v>0.2</v>
      </c>
      <c r="AC60" s="529"/>
      <c r="AD60" s="799">
        <f>Rezone!J60</f>
        <v>58</v>
      </c>
      <c r="AE60" s="589">
        <f>Explore!AA60</f>
        <v>43694.374999999862</v>
      </c>
      <c r="AF60" s="356"/>
      <c r="AG60" s="348"/>
      <c r="AH60" s="348"/>
      <c r="AI60" s="348"/>
      <c r="AJ60" s="348"/>
      <c r="AK60" s="348"/>
      <c r="AL60" s="357"/>
      <c r="AN60" s="56">
        <f ca="1">Production!$H60</f>
        <v>3554618</v>
      </c>
      <c r="AO60" s="26">
        <f ca="1">Production!$L60</f>
        <v>231000</v>
      </c>
      <c r="AP60" s="26">
        <f ca="1">Production!J60</f>
        <v>279547</v>
      </c>
      <c r="AQ60" s="26">
        <f ca="1">Production!M60</f>
        <v>20000</v>
      </c>
      <c r="AR60" s="26">
        <f ca="1">Production!K60</f>
        <v>49065</v>
      </c>
      <c r="AS60" s="26">
        <f ca="1">Production!I60</f>
        <v>226320</v>
      </c>
      <c r="AT60" s="26">
        <f ca="1">Production!N60</f>
        <v>200</v>
      </c>
      <c r="AU60" s="152">
        <f t="shared" ca="1" si="77"/>
        <v>0</v>
      </c>
      <c r="AV60" s="164">
        <f t="shared" ca="1" si="78"/>
        <v>0</v>
      </c>
      <c r="AW60" s="164">
        <f t="shared" ca="1" si="50"/>
        <v>0</v>
      </c>
      <c r="AX60" s="164">
        <f t="shared" ca="1" si="51"/>
        <v>0</v>
      </c>
      <c r="AY60" s="164">
        <f t="shared" ca="1" si="52"/>
        <v>0</v>
      </c>
      <c r="AZ60" s="164">
        <f t="shared" ca="1" si="53"/>
        <v>0</v>
      </c>
      <c r="BA60" s="166">
        <f t="shared" ca="1" si="54"/>
        <v>0</v>
      </c>
      <c r="BB60" s="16">
        <v>58</v>
      </c>
      <c r="BC60" s="574">
        <f t="shared" si="71"/>
        <v>43694.374999999862</v>
      </c>
      <c r="BD60" s="148">
        <f t="shared" ca="1" si="72"/>
        <v>3695</v>
      </c>
      <c r="BE60" s="356"/>
      <c r="BF60" s="348"/>
      <c r="BG60" s="348"/>
      <c r="BH60" s="348"/>
      <c r="BI60" s="348"/>
      <c r="BJ60" s="348"/>
      <c r="BK60" s="348"/>
      <c r="BL60" s="357"/>
      <c r="BN60" s="503">
        <f>Construction!BM60/Construction!E60</f>
        <v>0</v>
      </c>
      <c r="BO60" s="171">
        <f>Construction!BD60/Construction!E60</f>
        <v>0</v>
      </c>
      <c r="BP60" s="152">
        <f>ROUNDUP((1-MIN(AB60*smithy_bonus,smithy_bonus_cap))*(1+Techs!AO60*tech_master_of_frugality)*spec_op_plat,0)</f>
        <v>165</v>
      </c>
      <c r="BQ60" s="164">
        <f>ROUNDUP(IF(race="Gnome",1,(1-MIN(AB60*smithy_bonus,smithy_bonus_cap))*(1+Techs!AO60*tech_master_of_frugality))*spec_op_ore,0)</f>
        <v>15</v>
      </c>
      <c r="BR60" s="164">
        <f t="shared" si="79"/>
        <v>0</v>
      </c>
      <c r="BS60" s="164">
        <f t="shared" si="80"/>
        <v>0</v>
      </c>
      <c r="BT60" s="164">
        <f ca="1">ROUNDUP((1-MIN(AB60*smithy_bonus,smithy_bonus_cap))*(1+Techs!AO60*tech_master_of_frugality)*spec_dp_plat,0)</f>
        <v>165</v>
      </c>
      <c r="BU60" s="164">
        <f ca="1">ROUNDUP(IF(OR(race="Gnome",race="Imperial Gnome"),1,(1-MIN(AB60*smithy_bonus,smithy_bonus_cap))*(1+Techs!AO60*tech_master_of_frugality))*spec_dp_ore,0)</f>
        <v>6</v>
      </c>
      <c r="BV60" s="164">
        <f t="shared" ca="1" si="81"/>
        <v>0</v>
      </c>
      <c r="BW60" s="164">
        <f t="shared" ca="1" si="82"/>
        <v>0</v>
      </c>
      <c r="BX60" s="164">
        <f t="shared" ca="1" si="83"/>
        <v>0</v>
      </c>
      <c r="BY60" s="164">
        <f ca="1">ROUNDUP((1-MIN(AB60*smithy_bonus,smithy_bonus_cap))*(1+Techs!AO60*tech_master_of_frugality)*elite1_plat,0)</f>
        <v>600</v>
      </c>
      <c r="BZ60" s="164">
        <f ca="1">ROUNDUP(IF(race="Gnome",1,(1-MIN(AB60*smithy_bonus,smithy_bonus_cap))*(1+Techs!AO60*tech_master_of_frugality))*elite1_ore,0)</f>
        <v>45</v>
      </c>
      <c r="CA60" s="164">
        <f t="shared" ca="1" si="84"/>
        <v>0</v>
      </c>
      <c r="CB60" s="164">
        <f t="shared" ca="1" si="85"/>
        <v>0</v>
      </c>
      <c r="CC60" s="164">
        <f t="shared" ca="1" si="86"/>
        <v>0</v>
      </c>
      <c r="CD60" s="164">
        <f t="shared" ca="1" si="87"/>
        <v>0</v>
      </c>
      <c r="CE60" s="164">
        <f t="shared" ca="1" si="88"/>
        <v>0</v>
      </c>
      <c r="CF60" s="164">
        <f ca="1">ROUNDUP((1-MIN(AB60*smithy_bonus,smithy_bonus_cap))*(1+Techs!AO60*tech_master_of_frugality)*elite2_plat,0)</f>
        <v>750</v>
      </c>
      <c r="CG60" s="164">
        <f ca="1">ROUNDUP(IF(race="Gnome",1,(1-MIN(AB60*smithy_bonus,smithy_bonus_cap))*(1+Techs!AO60*tech_master_of_frugality))*elite2_ore,0)</f>
        <v>60</v>
      </c>
      <c r="CH60" s="164">
        <f t="shared" ca="1" si="89"/>
        <v>0</v>
      </c>
      <c r="CI60" s="164">
        <f t="shared" ca="1" si="90"/>
        <v>0</v>
      </c>
      <c r="CJ60" s="164">
        <f t="shared" ca="1" si="91"/>
        <v>0</v>
      </c>
      <c r="CK60" s="164">
        <f t="shared" ca="1" si="92"/>
        <v>0</v>
      </c>
      <c r="CL60" s="164">
        <f t="shared" ca="1" si="93"/>
        <v>0</v>
      </c>
      <c r="CM60" s="164">
        <f>ROUNDUP((1+tech_spy_cost*Techs!AJ60)*spy_plat,0)</f>
        <v>500</v>
      </c>
      <c r="CN60" s="164">
        <f>ROUNDUP((1+tech_wizard_cost*Techs!AM60-MIN(ROUND(wg_wiz_cost_bonus*BN60,4),wg_wiz_cost_cap))*wizard_plat,0)</f>
        <v>500</v>
      </c>
      <c r="CO60" s="166">
        <f>ROUNDUP((1+tech_wizard_cost*Techs!AM60-MIN(ROUND(wg_wiz_cost_bonus*BN60,4),wg_wiz_cost_cap))*archmage_plat,0)</f>
        <v>1000</v>
      </c>
      <c r="CQ60" s="465">
        <f ca="1">Construction!DF60/Construction!E60</f>
        <v>0.28000000000000003</v>
      </c>
      <c r="CR60" s="466">
        <f t="shared" si="73"/>
        <v>0</v>
      </c>
      <c r="CS60" s="466">
        <f>Construction!BK60/Construction!E60</f>
        <v>0.05</v>
      </c>
      <c r="CT60" s="466">
        <f>Construction!BJ60/Construction!E60</f>
        <v>0</v>
      </c>
      <c r="CU60" s="466">
        <f>Construction!AY60/Construction!E60</f>
        <v>0</v>
      </c>
      <c r="CV60" s="487">
        <f t="shared" ca="1" si="94"/>
        <v>1.4000000000000001</v>
      </c>
      <c r="CW60" s="488">
        <f t="shared" ca="1" si="95"/>
        <v>1.4000000000000001</v>
      </c>
      <c r="CX60" s="488">
        <f t="shared" ca="1" si="96"/>
        <v>1.4000000000000001</v>
      </c>
      <c r="CY60" s="489">
        <f t="shared" ca="1" si="97"/>
        <v>1.4000000000000001</v>
      </c>
      <c r="CZ60" s="489">
        <f t="shared" si="98"/>
        <v>0.1</v>
      </c>
      <c r="DA60" s="489">
        <f t="shared" ca="1" si="99"/>
        <v>3</v>
      </c>
      <c r="DB60" s="489">
        <f t="shared" ca="1" si="100"/>
        <v>1.4000000000000001</v>
      </c>
      <c r="DC60" s="488">
        <f t="shared" si="101"/>
        <v>0</v>
      </c>
      <c r="DD60" s="848">
        <f t="shared" si="102"/>
        <v>0</v>
      </c>
      <c r="DE60" s="442">
        <f t="shared" si="56"/>
        <v>800</v>
      </c>
      <c r="DF60" s="442">
        <f t="shared" si="57"/>
        <v>0</v>
      </c>
      <c r="DG60" s="487">
        <f t="shared" ca="1" si="103"/>
        <v>1.4000000000000001</v>
      </c>
      <c r="DH60" s="452">
        <f t="shared" si="104"/>
        <v>9.0000000000000011E-2</v>
      </c>
      <c r="DI60" s="452">
        <f>MIN(valkyrja_cap,Production!O60/valkyrja_bonus)</f>
        <v>1</v>
      </c>
      <c r="DJ60" s="848">
        <f>MIN(voodoo_magi_cap,Production!O60/voodoo_magi_bonus)</f>
        <v>0.83333333333333337</v>
      </c>
      <c r="DK60" s="848">
        <f>MIN(warlock_cap,Production!O60/warlock_bonus)</f>
        <v>1.25</v>
      </c>
      <c r="DL60" s="848">
        <f ca="1">MIN(nox_nightshade_cap,Construction!DF60/Construction!E60/nox_nightshade_swamp_bonus)</f>
        <v>2.8000000000000003</v>
      </c>
      <c r="DM60" s="488">
        <f t="shared" si="105"/>
        <v>0</v>
      </c>
      <c r="DN60" s="489">
        <f t="shared" ca="1" si="106"/>
        <v>2.8000000000000003</v>
      </c>
      <c r="DO60" s="489">
        <f t="shared" ca="1" si="107"/>
        <v>2.8000000000000003</v>
      </c>
      <c r="DP60" s="489">
        <f t="shared" si="108"/>
        <v>1</v>
      </c>
      <c r="DQ60" s="488">
        <f t="shared" si="109"/>
        <v>0</v>
      </c>
      <c r="DR60" s="489">
        <f t="shared" si="110"/>
        <v>0</v>
      </c>
      <c r="DS60" s="488">
        <f t="shared" si="111"/>
        <v>0</v>
      </c>
      <c r="DT60" s="489">
        <f t="shared" si="112"/>
        <v>0.1</v>
      </c>
      <c r="DX60" s="487">
        <f ca="1">MIN(6,CV60+Races!$F$19)*1.8 +  IF(CV60+Races!$F$19&gt;6,(CV60+Races!$F$19-6)*0.2,0) - Races!$N$19</f>
        <v>2.5200000000000005</v>
      </c>
      <c r="DY60" s="488">
        <f ca="1">1.8 * MIN(MAX(CW60+Races!$E$20,CX60+Races!$F$20),6)  +  0.45 * MIN(MIN(CW60+Races!$E$20,CX60+Races!$F$20),6)  +  0.2 * ( MAX(CW60+Races!$E$20-6,0) + MAX(CX60+Races!$F$20-6,0) )  -  Races!$N$20</f>
        <v>3.1500000000000012</v>
      </c>
      <c r="DZ60" s="57">
        <f t="shared" ca="1" si="113"/>
        <v>3780.0000000000009</v>
      </c>
      <c r="EA60" s="666">
        <f ca="1">MIN(6,CY60+Races!$F$35)*1.8 +  IF(CY60+Races!$F$35&gt;6,(CY60+Races!$F$35-6)*0.2,0) - Races!$N$19</f>
        <v>0.72000000000000064</v>
      </c>
      <c r="EB60" s="57">
        <f t="shared" ca="1" si="114"/>
        <v>0</v>
      </c>
      <c r="EC60" s="666">
        <f ca="1">1.8 * MIN(MAX(Races!$E$27,DB60+Races!$F$27),6)  +  0.45 * MIN(MIN(Races!$E$27,DB60+Races!$F$27),6)  +  0.2 * ( MAX(Races!$E$27-6,0) + MAX(DB60+Races!$F$27-6,0) )  -  Races!$N$20</f>
        <v>4.7700000000000005</v>
      </c>
      <c r="ED60" s="57">
        <f t="shared" ca="1" si="115"/>
        <v>0</v>
      </c>
      <c r="EE60" s="666">
        <f>1.8 * MIN(MAX(DC60+Races!$E$47,DD60+Races!$F$47),6)  +  0.45 * MIN(MIN(DC60+Races!$E$47,DD60+Races!$F$47),6)  +  0.2 * ( MAX(DC60+Races!$E$47-6,0) + MAX(DD60+Races!$F$47-6,0) )  -  Races!$N$47</f>
        <v>0</v>
      </c>
      <c r="EF60" s="57">
        <f t="shared" si="116"/>
        <v>0</v>
      </c>
      <c r="EG60" s="666">
        <f ca="1">1.8 * MIN(MAX(DG60+Races!$F$71,Races!$E$71),6)  +  0.45 * MIN(MIN(DG60+Races!$F$71,Races!$E$71),6)  +  0.2 * ( MAX(DG60+Races!$F$71-6,0) + MAX(Races!$E$71-6,0) )  -  Races!$N$71</f>
        <v>2.5200000000000014</v>
      </c>
      <c r="EH60" s="666">
        <f>1.8 * MIN(MAX(DH60+Races!$E$71,Races!$F$71),6)  +  0.45 * MIN(MIN(DH60+Races!$E$71,Races!$F$71),6)  +  0.2 * ( MAX(DH60+Races!$E$71-6,0) + MAX(Races!$F$71-6,0) )  -  Races!$N$71</f>
        <v>0.16200000000000081</v>
      </c>
      <c r="EI60" s="57">
        <f t="shared" ca="1" si="117"/>
        <v>2584.8000000000015</v>
      </c>
      <c r="EJ60" s="57"/>
      <c r="EK60" s="57"/>
      <c r="EL60" s="57"/>
      <c r="EM60" s="57">
        <f ca="1">Overview!$L$22*E60+Overview!$L$23*F60+Overview!$L$24*G60+Overview!$L$25*H60+Overview!$L$26*I60+Overview!$L$27*J60+Overview!$L$28*K60+Construction!E60*20+Construction!B60*5 + DZ60*$DV$4+EB60*$DV$5+ED60*$DV$6+EF60*$DV$7+EI60*$DV$9</f>
        <v>39460</v>
      </c>
      <c r="EO60" s="738">
        <f>(J60+2*K60)/Construction!E60</f>
        <v>0.1</v>
      </c>
      <c r="EP60" s="734">
        <f ca="1">EO60*(1+race_wizard_strength+tech_magical_weaponry_wiz*Techs!AV132)</f>
        <v>0.1</v>
      </c>
      <c r="EQ60" s="16">
        <f>(I60+halfer*H60/3)/Construction!E60</f>
        <v>0.1</v>
      </c>
    </row>
    <row r="61" spans="1:147" s="16" customFormat="1">
      <c r="A61" s="629">
        <f>Rezone!J61</f>
        <v>59</v>
      </c>
      <c r="B61" s="56">
        <f ca="1">SUM(E61:K61)+SUM(AF53:AG61)+SUM(AH50:AL61)+Z61+Explore!AL61</f>
        <v>5295</v>
      </c>
      <c r="C61" s="97">
        <f ca="1">Population!G61</f>
        <v>0.57305194805194803</v>
      </c>
      <c r="E61" s="52">
        <f t="shared" si="118"/>
        <v>0</v>
      </c>
      <c r="F61" s="16">
        <f t="shared" si="119"/>
        <v>0</v>
      </c>
      <c r="G61" s="16">
        <f t="shared" si="120"/>
        <v>1000</v>
      </c>
      <c r="H61" s="16">
        <f t="shared" si="121"/>
        <v>400</v>
      </c>
      <c r="I61" s="16">
        <f t="shared" si="122"/>
        <v>100</v>
      </c>
      <c r="J61" s="16">
        <f t="shared" si="123"/>
        <v>100</v>
      </c>
      <c r="K61" s="53">
        <f t="shared" si="124"/>
        <v>0</v>
      </c>
      <c r="M61" s="64">
        <f ca="1">Production!G61</f>
        <v>39460</v>
      </c>
      <c r="O61" s="142">
        <f t="shared" ca="1" si="75"/>
        <v>4400</v>
      </c>
      <c r="P61" s="455">
        <f ca="1">race_offense+Imps!AB61+ROUND(MIN(gn_bonus*Construction!BF61/Construction!$E61,gn_bonus_cap),4)+MAX(IF(Magic!$AN61&gt;0,warsong_bonus),IF(Magic!AP61&gt;0,howling_op_bonus),IF(Magic!AS61&gt;0,nightfall_bonus),IF(Magic!AT61&gt;0,crusade_bonus),IF(Magic!AU61&gt;0,killingrage_bonus),IF(Magic!AV61&gt;0,bloodrage_bonus)) + Production!O61/100*prestige_offense_bonus + MAX(tech_military_offense*Techs!AH61,tech_magical_weaponry_op*Techs!AV61)</f>
        <v>0.05</v>
      </c>
      <c r="Q61" s="235">
        <f t="shared" ca="1" si="46"/>
        <v>4620</v>
      </c>
      <c r="R61" s="234">
        <f ca="1">F61*(spec_dp+spirit*DR61)+G61*(elite1_dp+woodie*CV61+sylvan*CY61+gnome*DB61+dark_elf*DD61+icekin*DG61+orc*DJ61+nox*DL61+beast*DN61+sacred*DP61+spirit*DS61+blackorc*DK61)+H61*(elite2_dp+woodie*CX61+beast*DO61+sacred*DQ61) + fh_peas_dp*MIN(Population!C61,20*Construction!BD61)+kobold*DE61</f>
        <v>7200</v>
      </c>
      <c r="S61" s="235">
        <f t="shared" ca="1" si="76"/>
        <v>10895</v>
      </c>
      <c r="T61" s="1052">
        <f ca="1">race_defense+Imps!AC61+ROUND(MIN(gt_bonus*Construction!BH61/Construction!$E61,gt_bonus_cap),4)+MAX(IF(Magic!AM61&gt;0,frenzy_bonus,IF(Magic!AQ61&gt;0,blizzard_bonus,IF(Magic!AP61&gt;0,howling_dp_bonus,IF(Magic!AI61&gt;0,ares_call_bonus)))),IF(Magic!AX61&gt;0,MIN(Construction!DF61/Construction!E61,0.2),0))</f>
        <v>0</v>
      </c>
      <c r="U61" s="1046">
        <f t="shared" ca="1" si="47"/>
        <v>7200</v>
      </c>
      <c r="V61" s="310">
        <f t="shared" ca="1" si="48"/>
        <v>10895</v>
      </c>
      <c r="W61" s="310">
        <f>Construction!E61</f>
        <v>1000</v>
      </c>
      <c r="X61" s="367"/>
      <c r="Y61" s="146">
        <f t="shared" si="74"/>
        <v>0.4</v>
      </c>
      <c r="Z61" s="166">
        <f ca="1">Z60+Population!Z60 - IF(race="Lux",AF61,SUM(AF61:AK61)) - BE61 + SUM(BF61:BL61) - Explore!AI61</f>
        <v>3695</v>
      </c>
      <c r="AA61" s="164"/>
      <c r="AB61" s="91">
        <f>(Construction!$BA61+Construction!BY61)/(Construction!$E61-Explore!S61*20)</f>
        <v>0.2</v>
      </c>
      <c r="AC61" s="529"/>
      <c r="AD61" s="799">
        <f>Rezone!J61</f>
        <v>59</v>
      </c>
      <c r="AE61" s="589">
        <f>Explore!AA61</f>
        <v>43694.416666666526</v>
      </c>
      <c r="AF61" s="356"/>
      <c r="AG61" s="348"/>
      <c r="AH61" s="348"/>
      <c r="AI61" s="348"/>
      <c r="AJ61" s="348"/>
      <c r="AK61" s="348"/>
      <c r="AL61" s="357"/>
      <c r="AN61" s="56">
        <f ca="1">Production!$H61</f>
        <v>3565269</v>
      </c>
      <c r="AO61" s="26">
        <f ca="1">Production!$L61</f>
        <v>231000</v>
      </c>
      <c r="AP61" s="26">
        <f ca="1">Production!J61</f>
        <v>279252</v>
      </c>
      <c r="AQ61" s="26">
        <f ca="1">Production!M61</f>
        <v>20000</v>
      </c>
      <c r="AR61" s="26">
        <f ca="1">Production!K61</f>
        <v>49334</v>
      </c>
      <c r="AS61" s="26">
        <f ca="1">Production!I61</f>
        <v>228787</v>
      </c>
      <c r="AT61" s="26">
        <f ca="1">Production!N61</f>
        <v>200</v>
      </c>
      <c r="AU61" s="152">
        <f t="shared" ca="1" si="77"/>
        <v>0</v>
      </c>
      <c r="AV61" s="164">
        <f t="shared" ca="1" si="78"/>
        <v>0</v>
      </c>
      <c r="AW61" s="164">
        <f t="shared" ca="1" si="50"/>
        <v>0</v>
      </c>
      <c r="AX61" s="164">
        <f t="shared" ca="1" si="51"/>
        <v>0</v>
      </c>
      <c r="AY61" s="164">
        <f t="shared" ca="1" si="52"/>
        <v>0</v>
      </c>
      <c r="AZ61" s="164">
        <f t="shared" ca="1" si="53"/>
        <v>0</v>
      </c>
      <c r="BA61" s="166">
        <f t="shared" ca="1" si="54"/>
        <v>0</v>
      </c>
      <c r="BB61" s="16">
        <v>59</v>
      </c>
      <c r="BC61" s="574">
        <f t="shared" si="71"/>
        <v>43694.416666666526</v>
      </c>
      <c r="BD61" s="148">
        <f t="shared" ca="1" si="72"/>
        <v>3695</v>
      </c>
      <c r="BE61" s="356"/>
      <c r="BF61" s="348"/>
      <c r="BG61" s="348"/>
      <c r="BH61" s="348"/>
      <c r="BI61" s="348"/>
      <c r="BJ61" s="348"/>
      <c r="BK61" s="348"/>
      <c r="BL61" s="357"/>
      <c r="BN61" s="503">
        <f>Construction!BM61/Construction!E61</f>
        <v>0</v>
      </c>
      <c r="BO61" s="171">
        <f>Construction!BD61/Construction!E61</f>
        <v>0</v>
      </c>
      <c r="BP61" s="152">
        <f>ROUNDUP((1-MIN(AB61*smithy_bonus,smithy_bonus_cap))*(1+Techs!AO61*tech_master_of_frugality)*spec_op_plat,0)</f>
        <v>165</v>
      </c>
      <c r="BQ61" s="164">
        <f>ROUNDUP(IF(race="Gnome",1,(1-MIN(AB61*smithy_bonus,smithy_bonus_cap))*(1+Techs!AO61*tech_master_of_frugality))*spec_op_ore,0)</f>
        <v>15</v>
      </c>
      <c r="BR61" s="164">
        <f t="shared" si="79"/>
        <v>0</v>
      </c>
      <c r="BS61" s="164">
        <f t="shared" si="80"/>
        <v>0</v>
      </c>
      <c r="BT61" s="164">
        <f ca="1">ROUNDUP((1-MIN(AB61*smithy_bonus,smithy_bonus_cap))*(1+Techs!AO61*tech_master_of_frugality)*spec_dp_plat,0)</f>
        <v>165</v>
      </c>
      <c r="BU61" s="164">
        <f ca="1">ROUNDUP(IF(OR(race="Gnome",race="Imperial Gnome"),1,(1-MIN(AB61*smithy_bonus,smithy_bonus_cap))*(1+Techs!AO61*tech_master_of_frugality))*spec_dp_ore,0)</f>
        <v>6</v>
      </c>
      <c r="BV61" s="164">
        <f t="shared" ca="1" si="81"/>
        <v>0</v>
      </c>
      <c r="BW61" s="164">
        <f t="shared" ca="1" si="82"/>
        <v>0</v>
      </c>
      <c r="BX61" s="164">
        <f t="shared" ca="1" si="83"/>
        <v>0</v>
      </c>
      <c r="BY61" s="164">
        <f ca="1">ROUNDUP((1-MIN(AB61*smithy_bonus,smithy_bonus_cap))*(1+Techs!AO61*tech_master_of_frugality)*elite1_plat,0)</f>
        <v>600</v>
      </c>
      <c r="BZ61" s="164">
        <f ca="1">ROUNDUP(IF(race="Gnome",1,(1-MIN(AB61*smithy_bonus,smithy_bonus_cap))*(1+Techs!AO61*tech_master_of_frugality))*elite1_ore,0)</f>
        <v>45</v>
      </c>
      <c r="CA61" s="164">
        <f t="shared" ca="1" si="84"/>
        <v>0</v>
      </c>
      <c r="CB61" s="164">
        <f t="shared" ca="1" si="85"/>
        <v>0</v>
      </c>
      <c r="CC61" s="164">
        <f t="shared" ca="1" si="86"/>
        <v>0</v>
      </c>
      <c r="CD61" s="164">
        <f t="shared" ca="1" si="87"/>
        <v>0</v>
      </c>
      <c r="CE61" s="164">
        <f t="shared" ca="1" si="88"/>
        <v>0</v>
      </c>
      <c r="CF61" s="164">
        <f ca="1">ROUNDUP((1-MIN(AB61*smithy_bonus,smithy_bonus_cap))*(1+Techs!AO61*tech_master_of_frugality)*elite2_plat,0)</f>
        <v>750</v>
      </c>
      <c r="CG61" s="164">
        <f ca="1">ROUNDUP(IF(race="Gnome",1,(1-MIN(AB61*smithy_bonus,smithy_bonus_cap))*(1+Techs!AO61*tech_master_of_frugality))*elite2_ore,0)</f>
        <v>60</v>
      </c>
      <c r="CH61" s="164">
        <f t="shared" ca="1" si="89"/>
        <v>0</v>
      </c>
      <c r="CI61" s="164">
        <f t="shared" ca="1" si="90"/>
        <v>0</v>
      </c>
      <c r="CJ61" s="164">
        <f t="shared" ca="1" si="91"/>
        <v>0</v>
      </c>
      <c r="CK61" s="164">
        <f t="shared" ca="1" si="92"/>
        <v>0</v>
      </c>
      <c r="CL61" s="164">
        <f t="shared" ca="1" si="93"/>
        <v>0</v>
      </c>
      <c r="CM61" s="164">
        <f>ROUNDUP((1+tech_spy_cost*Techs!AJ61)*spy_plat,0)</f>
        <v>500</v>
      </c>
      <c r="CN61" s="164">
        <f>ROUNDUP((1+tech_wizard_cost*Techs!AM61-MIN(ROUND(wg_wiz_cost_bonus*BN61,4),wg_wiz_cost_cap))*wizard_plat,0)</f>
        <v>500</v>
      </c>
      <c r="CO61" s="166">
        <f>ROUNDUP((1+tech_wizard_cost*Techs!AM61-MIN(ROUND(wg_wiz_cost_bonus*BN61,4),wg_wiz_cost_cap))*archmage_plat,0)</f>
        <v>1000</v>
      </c>
      <c r="CQ61" s="465">
        <f ca="1">Construction!DF61/Construction!E61</f>
        <v>0.28000000000000003</v>
      </c>
      <c r="CR61" s="466">
        <f t="shared" si="73"/>
        <v>0</v>
      </c>
      <c r="CS61" s="466">
        <f>Construction!BK61/Construction!E61</f>
        <v>0.05</v>
      </c>
      <c r="CT61" s="466">
        <f>Construction!BJ61/Construction!E61</f>
        <v>0</v>
      </c>
      <c r="CU61" s="466">
        <f>Construction!AY61/Construction!E61</f>
        <v>0</v>
      </c>
      <c r="CV61" s="487">
        <f t="shared" ca="1" si="94"/>
        <v>1.4000000000000001</v>
      </c>
      <c r="CW61" s="488">
        <f t="shared" ca="1" si="95"/>
        <v>1.4000000000000001</v>
      </c>
      <c r="CX61" s="488">
        <f t="shared" ca="1" si="96"/>
        <v>1.4000000000000001</v>
      </c>
      <c r="CY61" s="489">
        <f t="shared" ca="1" si="97"/>
        <v>1.4000000000000001</v>
      </c>
      <c r="CZ61" s="489">
        <f t="shared" si="98"/>
        <v>0.1</v>
      </c>
      <c r="DA61" s="489">
        <f t="shared" ca="1" si="99"/>
        <v>3</v>
      </c>
      <c r="DB61" s="489">
        <f t="shared" ca="1" si="100"/>
        <v>1.4000000000000001</v>
      </c>
      <c r="DC61" s="488">
        <f t="shared" si="101"/>
        <v>0</v>
      </c>
      <c r="DD61" s="848">
        <f t="shared" si="102"/>
        <v>0</v>
      </c>
      <c r="DE61" s="442">
        <f t="shared" si="56"/>
        <v>800</v>
      </c>
      <c r="DF61" s="442">
        <f t="shared" si="57"/>
        <v>0</v>
      </c>
      <c r="DG61" s="487">
        <f t="shared" ca="1" si="103"/>
        <v>1.4000000000000001</v>
      </c>
      <c r="DH61" s="452">
        <f t="shared" si="104"/>
        <v>9.0000000000000011E-2</v>
      </c>
      <c r="DI61" s="452">
        <f>MIN(valkyrja_cap,Production!O61/valkyrja_bonus)</f>
        <v>1</v>
      </c>
      <c r="DJ61" s="848">
        <f>MIN(voodoo_magi_cap,Production!O61/voodoo_magi_bonus)</f>
        <v>0.83333333333333337</v>
      </c>
      <c r="DK61" s="848">
        <f>MIN(warlock_cap,Production!O61/warlock_bonus)</f>
        <v>1.25</v>
      </c>
      <c r="DL61" s="848">
        <f ca="1">MIN(nox_nightshade_cap,Construction!DF61/Construction!E61/nox_nightshade_swamp_bonus)</f>
        <v>2.8000000000000003</v>
      </c>
      <c r="DM61" s="488">
        <f t="shared" si="105"/>
        <v>0</v>
      </c>
      <c r="DN61" s="489">
        <f t="shared" ca="1" si="106"/>
        <v>2.8000000000000003</v>
      </c>
      <c r="DO61" s="489">
        <f t="shared" ca="1" si="107"/>
        <v>2.8000000000000003</v>
      </c>
      <c r="DP61" s="489">
        <f t="shared" si="108"/>
        <v>1</v>
      </c>
      <c r="DQ61" s="488">
        <f t="shared" si="109"/>
        <v>0</v>
      </c>
      <c r="DR61" s="489">
        <f t="shared" si="110"/>
        <v>0</v>
      </c>
      <c r="DS61" s="488">
        <f t="shared" si="111"/>
        <v>0</v>
      </c>
      <c r="DT61" s="489">
        <f t="shared" si="112"/>
        <v>0.1</v>
      </c>
      <c r="DX61" s="487">
        <f ca="1">MIN(6,CV61+Races!$F$19)*1.8 +  IF(CV61+Races!$F$19&gt;6,(CV61+Races!$F$19-6)*0.2,0) - Races!$N$19</f>
        <v>2.5200000000000005</v>
      </c>
      <c r="DY61" s="488">
        <f ca="1">1.8 * MIN(MAX(CW61+Races!$E$20,CX61+Races!$F$20),6)  +  0.45 * MIN(MIN(CW61+Races!$E$20,CX61+Races!$F$20),6)  +  0.2 * ( MAX(CW61+Races!$E$20-6,0) + MAX(CX61+Races!$F$20-6,0) )  -  Races!$N$20</f>
        <v>3.1500000000000012</v>
      </c>
      <c r="DZ61" s="57">
        <f t="shared" ca="1" si="113"/>
        <v>3780.0000000000009</v>
      </c>
      <c r="EA61" s="666">
        <f ca="1">MIN(6,CY61+Races!$F$35)*1.8 +  IF(CY61+Races!$F$35&gt;6,(CY61+Races!$F$35-6)*0.2,0) - Races!$N$19</f>
        <v>0.72000000000000064</v>
      </c>
      <c r="EB61" s="57">
        <f t="shared" ca="1" si="114"/>
        <v>0</v>
      </c>
      <c r="EC61" s="666">
        <f ca="1">1.8 * MIN(MAX(Races!$E$27,DB61+Races!$F$27),6)  +  0.45 * MIN(MIN(Races!$E$27,DB61+Races!$F$27),6)  +  0.2 * ( MAX(Races!$E$27-6,0) + MAX(DB61+Races!$F$27-6,0) )  -  Races!$N$20</f>
        <v>4.7700000000000005</v>
      </c>
      <c r="ED61" s="57">
        <f t="shared" ca="1" si="115"/>
        <v>0</v>
      </c>
      <c r="EE61" s="666">
        <f>1.8 * MIN(MAX(DC61+Races!$E$47,DD61+Races!$F$47),6)  +  0.45 * MIN(MIN(DC61+Races!$E$47,DD61+Races!$F$47),6)  +  0.2 * ( MAX(DC61+Races!$E$47-6,0) + MAX(DD61+Races!$F$47-6,0) )  -  Races!$N$47</f>
        <v>0</v>
      </c>
      <c r="EF61" s="57">
        <f t="shared" si="116"/>
        <v>0</v>
      </c>
      <c r="EG61" s="666">
        <f ca="1">1.8 * MIN(MAX(DG61+Races!$F$71,Races!$E$71),6)  +  0.45 * MIN(MIN(DG61+Races!$F$71,Races!$E$71),6)  +  0.2 * ( MAX(DG61+Races!$F$71-6,0) + MAX(Races!$E$71-6,0) )  -  Races!$N$71</f>
        <v>2.5200000000000014</v>
      </c>
      <c r="EH61" s="666">
        <f>1.8 * MIN(MAX(DH61+Races!$E$71,Races!$F$71),6)  +  0.45 * MIN(MIN(DH61+Races!$E$71,Races!$F$71),6)  +  0.2 * ( MAX(DH61+Races!$E$71-6,0) + MAX(Races!$F$71-6,0) )  -  Races!$N$71</f>
        <v>0.16200000000000081</v>
      </c>
      <c r="EI61" s="57">
        <f t="shared" ca="1" si="117"/>
        <v>2584.8000000000015</v>
      </c>
      <c r="EJ61" s="57"/>
      <c r="EK61" s="57"/>
      <c r="EL61" s="57"/>
      <c r="EM61" s="57">
        <f ca="1">Overview!$L$22*E61+Overview!$L$23*F61+Overview!$L$24*G61+Overview!$L$25*H61+Overview!$L$26*I61+Overview!$L$27*J61+Overview!$L$28*K61+Construction!E61*20+Construction!B61*5 + DZ61*$DV$4+EB61*$DV$5+ED61*$DV$6+EF61*$DV$7+EI61*$DV$9</f>
        <v>39460</v>
      </c>
      <c r="EO61" s="738">
        <f>(J61+2*K61)/Construction!E61</f>
        <v>0.1</v>
      </c>
      <c r="EP61" s="734">
        <f ca="1">EO61*(1+race_wizard_strength+tech_magical_weaponry_wiz*Techs!AV133)</f>
        <v>0.1</v>
      </c>
      <c r="EQ61" s="16">
        <f>(I61+halfer*H61/3)/Construction!E61</f>
        <v>0.1</v>
      </c>
    </row>
    <row r="62" spans="1:147" s="16" customFormat="1">
      <c r="A62" s="629">
        <f>Rezone!J62</f>
        <v>60</v>
      </c>
      <c r="B62" s="56">
        <f ca="1">SUM(E62:K62)+SUM(AF54:AG62)+SUM(AH51:AL62)+Z62+Explore!AL62</f>
        <v>5295</v>
      </c>
      <c r="C62" s="97">
        <f ca="1">Population!G62</f>
        <v>0.57305194805194803</v>
      </c>
      <c r="E62" s="52">
        <f t="shared" si="118"/>
        <v>0</v>
      </c>
      <c r="F62" s="16">
        <f t="shared" si="119"/>
        <v>0</v>
      </c>
      <c r="G62" s="16">
        <f t="shared" si="120"/>
        <v>1000</v>
      </c>
      <c r="H62" s="16">
        <f t="shared" si="121"/>
        <v>400</v>
      </c>
      <c r="I62" s="16">
        <f t="shared" si="122"/>
        <v>100</v>
      </c>
      <c r="J62" s="16">
        <f t="shared" si="123"/>
        <v>100</v>
      </c>
      <c r="K62" s="53">
        <f t="shared" si="124"/>
        <v>0</v>
      </c>
      <c r="M62" s="64">
        <f ca="1">Production!G62</f>
        <v>39460</v>
      </c>
      <c r="O62" s="142">
        <f t="shared" ca="1" si="75"/>
        <v>4400</v>
      </c>
      <c r="P62" s="455">
        <f ca="1">race_offense+Imps!AB62+ROUND(MIN(gn_bonus*Construction!BF62/Construction!$E62,gn_bonus_cap),4)+MAX(IF(Magic!$AN62&gt;0,warsong_bonus),IF(Magic!AP62&gt;0,howling_op_bonus),IF(Magic!AS62&gt;0,nightfall_bonus),IF(Magic!AT62&gt;0,crusade_bonus),IF(Magic!AU62&gt;0,killingrage_bonus),IF(Magic!AV62&gt;0,bloodrage_bonus)) + Production!O62/100*prestige_offense_bonus + MAX(tech_military_offense*Techs!AH62,tech_magical_weaponry_op*Techs!AV62)</f>
        <v>0.05</v>
      </c>
      <c r="Q62" s="235">
        <f t="shared" ca="1" si="46"/>
        <v>4620</v>
      </c>
      <c r="R62" s="234">
        <f ca="1">F62*(spec_dp+spirit*DR62)+G62*(elite1_dp+woodie*CV62+sylvan*CY62+gnome*DB62+dark_elf*DD62+icekin*DG62+orc*DJ62+nox*DL62+beast*DN62+sacred*DP62+spirit*DS62+blackorc*DK62)+H62*(elite2_dp+woodie*CX62+beast*DO62+sacred*DQ62) + fh_peas_dp*MIN(Population!C62,20*Construction!BD62)+kobold*DE62</f>
        <v>7200</v>
      </c>
      <c r="S62" s="235">
        <f t="shared" ca="1" si="76"/>
        <v>10895</v>
      </c>
      <c r="T62" s="1052">
        <f ca="1">race_defense+Imps!AC62+ROUND(MIN(gt_bonus*Construction!BH62/Construction!$E62,gt_bonus_cap),4)+MAX(IF(Magic!AM62&gt;0,frenzy_bonus,IF(Magic!AQ62&gt;0,blizzard_bonus,IF(Magic!AP62&gt;0,howling_dp_bonus,IF(Magic!AI62&gt;0,ares_call_bonus)))),IF(Magic!AX62&gt;0,MIN(Construction!DF62/Construction!E62,0.2),0))</f>
        <v>0</v>
      </c>
      <c r="U62" s="1046">
        <f t="shared" ca="1" si="47"/>
        <v>7200</v>
      </c>
      <c r="V62" s="310">
        <f t="shared" ca="1" si="48"/>
        <v>10895</v>
      </c>
      <c r="W62" s="310">
        <f>Construction!E62</f>
        <v>1000</v>
      </c>
      <c r="X62" s="367"/>
      <c r="Y62" s="146">
        <f t="shared" si="74"/>
        <v>0.4</v>
      </c>
      <c r="Z62" s="166">
        <f ca="1">Z61+Population!Z61 - IF(race="Lux",AF62,SUM(AF62:AK62)) - BE62 + SUM(BF62:BL62) - Explore!AI62</f>
        <v>3695</v>
      </c>
      <c r="AA62" s="164"/>
      <c r="AB62" s="91">
        <f>(Construction!$BA62+Construction!BY62)/(Construction!$E62-Explore!S62*20)</f>
        <v>0.2</v>
      </c>
      <c r="AC62" s="529"/>
      <c r="AD62" s="799">
        <f>Rezone!J62</f>
        <v>60</v>
      </c>
      <c r="AE62" s="589">
        <f>Explore!AA62</f>
        <v>43694.45833333319</v>
      </c>
      <c r="AF62" s="356"/>
      <c r="AG62" s="348"/>
      <c r="AH62" s="348"/>
      <c r="AI62" s="348"/>
      <c r="AJ62" s="348"/>
      <c r="AK62" s="348"/>
      <c r="AL62" s="357"/>
      <c r="AN62" s="56">
        <f ca="1">Production!$H62</f>
        <v>3575920</v>
      </c>
      <c r="AO62" s="26">
        <f ca="1">Production!$L62</f>
        <v>231000</v>
      </c>
      <c r="AP62" s="26">
        <f ca="1">Production!J62</f>
        <v>278959</v>
      </c>
      <c r="AQ62" s="26">
        <f ca="1">Production!M62</f>
        <v>20000</v>
      </c>
      <c r="AR62" s="26">
        <f ca="1">Production!K62</f>
        <v>49597</v>
      </c>
      <c r="AS62" s="26">
        <f ca="1">Production!I62</f>
        <v>231229</v>
      </c>
      <c r="AT62" s="26">
        <f ca="1">Production!N62</f>
        <v>200</v>
      </c>
      <c r="AU62" s="152">
        <f t="shared" ca="1" si="77"/>
        <v>0</v>
      </c>
      <c r="AV62" s="164">
        <f t="shared" ca="1" si="78"/>
        <v>0</v>
      </c>
      <c r="AW62" s="164">
        <f t="shared" ca="1" si="50"/>
        <v>0</v>
      </c>
      <c r="AX62" s="164">
        <f t="shared" ca="1" si="51"/>
        <v>0</v>
      </c>
      <c r="AY62" s="164">
        <f t="shared" ca="1" si="52"/>
        <v>0</v>
      </c>
      <c r="AZ62" s="164">
        <f t="shared" ca="1" si="53"/>
        <v>0</v>
      </c>
      <c r="BA62" s="166">
        <f t="shared" ca="1" si="54"/>
        <v>0</v>
      </c>
      <c r="BB62" s="16">
        <v>60</v>
      </c>
      <c r="BC62" s="574">
        <f t="shared" si="71"/>
        <v>43694.45833333319</v>
      </c>
      <c r="BD62" s="148">
        <f t="shared" ca="1" si="72"/>
        <v>3695</v>
      </c>
      <c r="BE62" s="356"/>
      <c r="BF62" s="348"/>
      <c r="BG62" s="348"/>
      <c r="BH62" s="348"/>
      <c r="BI62" s="348"/>
      <c r="BJ62" s="348"/>
      <c r="BK62" s="348"/>
      <c r="BL62" s="357"/>
      <c r="BN62" s="503">
        <f>Construction!BM62/Construction!E62</f>
        <v>0</v>
      </c>
      <c r="BO62" s="171">
        <f>Construction!BD62/Construction!E62</f>
        <v>0</v>
      </c>
      <c r="BP62" s="152">
        <f>ROUNDUP((1-MIN(AB62*smithy_bonus,smithy_bonus_cap))*(1+Techs!AO62*tech_master_of_frugality)*spec_op_plat,0)</f>
        <v>165</v>
      </c>
      <c r="BQ62" s="164">
        <f>ROUNDUP(IF(race="Gnome",1,(1-MIN(AB62*smithy_bonus,smithy_bonus_cap))*(1+Techs!AO62*tech_master_of_frugality))*spec_op_ore,0)</f>
        <v>15</v>
      </c>
      <c r="BR62" s="164">
        <f t="shared" si="79"/>
        <v>0</v>
      </c>
      <c r="BS62" s="164">
        <f t="shared" si="80"/>
        <v>0</v>
      </c>
      <c r="BT62" s="164">
        <f ca="1">ROUNDUP((1-MIN(AB62*smithy_bonus,smithy_bonus_cap))*(1+Techs!AO62*tech_master_of_frugality)*spec_dp_plat,0)</f>
        <v>165</v>
      </c>
      <c r="BU62" s="164">
        <f ca="1">ROUNDUP(IF(OR(race="Gnome",race="Imperial Gnome"),1,(1-MIN(AB62*smithy_bonus,smithy_bonus_cap))*(1+Techs!AO62*tech_master_of_frugality))*spec_dp_ore,0)</f>
        <v>6</v>
      </c>
      <c r="BV62" s="164">
        <f t="shared" ca="1" si="81"/>
        <v>0</v>
      </c>
      <c r="BW62" s="164">
        <f t="shared" ca="1" si="82"/>
        <v>0</v>
      </c>
      <c r="BX62" s="164">
        <f t="shared" ca="1" si="83"/>
        <v>0</v>
      </c>
      <c r="BY62" s="164">
        <f ca="1">ROUNDUP((1-MIN(AB62*smithy_bonus,smithy_bonus_cap))*(1+Techs!AO62*tech_master_of_frugality)*elite1_plat,0)</f>
        <v>600</v>
      </c>
      <c r="BZ62" s="164">
        <f ca="1">ROUNDUP(IF(race="Gnome",1,(1-MIN(AB62*smithy_bonus,smithy_bonus_cap))*(1+Techs!AO62*tech_master_of_frugality))*elite1_ore,0)</f>
        <v>45</v>
      </c>
      <c r="CA62" s="164">
        <f t="shared" ca="1" si="84"/>
        <v>0</v>
      </c>
      <c r="CB62" s="164">
        <f t="shared" ca="1" si="85"/>
        <v>0</v>
      </c>
      <c r="CC62" s="164">
        <f t="shared" ca="1" si="86"/>
        <v>0</v>
      </c>
      <c r="CD62" s="164">
        <f t="shared" ca="1" si="87"/>
        <v>0</v>
      </c>
      <c r="CE62" s="164">
        <f t="shared" ca="1" si="88"/>
        <v>0</v>
      </c>
      <c r="CF62" s="164">
        <f ca="1">ROUNDUP((1-MIN(AB62*smithy_bonus,smithy_bonus_cap))*(1+Techs!AO62*tech_master_of_frugality)*elite2_plat,0)</f>
        <v>750</v>
      </c>
      <c r="CG62" s="164">
        <f ca="1">ROUNDUP(IF(race="Gnome",1,(1-MIN(AB62*smithy_bonus,smithy_bonus_cap))*(1+Techs!AO62*tech_master_of_frugality))*elite2_ore,0)</f>
        <v>60</v>
      </c>
      <c r="CH62" s="164">
        <f t="shared" ca="1" si="89"/>
        <v>0</v>
      </c>
      <c r="CI62" s="164">
        <f t="shared" ca="1" si="90"/>
        <v>0</v>
      </c>
      <c r="CJ62" s="164">
        <f t="shared" ca="1" si="91"/>
        <v>0</v>
      </c>
      <c r="CK62" s="164">
        <f t="shared" ca="1" si="92"/>
        <v>0</v>
      </c>
      <c r="CL62" s="164">
        <f t="shared" ca="1" si="93"/>
        <v>0</v>
      </c>
      <c r="CM62" s="164">
        <f>ROUNDUP((1+tech_spy_cost*Techs!AJ62)*spy_plat,0)</f>
        <v>500</v>
      </c>
      <c r="CN62" s="164">
        <f>ROUNDUP((1+tech_wizard_cost*Techs!AM62-MIN(ROUND(wg_wiz_cost_bonus*BN62,4),wg_wiz_cost_cap))*wizard_plat,0)</f>
        <v>500</v>
      </c>
      <c r="CO62" s="166">
        <f>ROUNDUP((1+tech_wizard_cost*Techs!AM62-MIN(ROUND(wg_wiz_cost_bonus*BN62,4),wg_wiz_cost_cap))*archmage_plat,0)</f>
        <v>1000</v>
      </c>
      <c r="CQ62" s="465">
        <f ca="1">Construction!DF62/Construction!E62</f>
        <v>0.28000000000000003</v>
      </c>
      <c r="CR62" s="466">
        <f t="shared" si="73"/>
        <v>0</v>
      </c>
      <c r="CS62" s="466">
        <f>Construction!BK62/Construction!E62</f>
        <v>0.05</v>
      </c>
      <c r="CT62" s="466">
        <f>Construction!BJ62/Construction!E62</f>
        <v>0</v>
      </c>
      <c r="CU62" s="466">
        <f>Construction!AY62/Construction!E62</f>
        <v>0</v>
      </c>
      <c r="CV62" s="487">
        <f t="shared" ca="1" si="94"/>
        <v>1.4000000000000001</v>
      </c>
      <c r="CW62" s="488">
        <f t="shared" ca="1" si="95"/>
        <v>1.4000000000000001</v>
      </c>
      <c r="CX62" s="488">
        <f t="shared" ca="1" si="96"/>
        <v>1.4000000000000001</v>
      </c>
      <c r="CY62" s="489">
        <f t="shared" ca="1" si="97"/>
        <v>1.4000000000000001</v>
      </c>
      <c r="CZ62" s="489">
        <f t="shared" si="98"/>
        <v>0.1</v>
      </c>
      <c r="DA62" s="489">
        <f t="shared" ca="1" si="99"/>
        <v>3</v>
      </c>
      <c r="DB62" s="489">
        <f t="shared" ca="1" si="100"/>
        <v>1.4000000000000001</v>
      </c>
      <c r="DC62" s="488">
        <f t="shared" si="101"/>
        <v>0</v>
      </c>
      <c r="DD62" s="848">
        <f t="shared" si="102"/>
        <v>0</v>
      </c>
      <c r="DE62" s="442">
        <f t="shared" si="56"/>
        <v>800</v>
      </c>
      <c r="DF62" s="442">
        <f t="shared" si="57"/>
        <v>0</v>
      </c>
      <c r="DG62" s="487">
        <f t="shared" ca="1" si="103"/>
        <v>1.4000000000000001</v>
      </c>
      <c r="DH62" s="452">
        <f t="shared" si="104"/>
        <v>9.0000000000000011E-2</v>
      </c>
      <c r="DI62" s="452">
        <f>MIN(valkyrja_cap,Production!O62/valkyrja_bonus)</f>
        <v>1</v>
      </c>
      <c r="DJ62" s="848">
        <f>MIN(voodoo_magi_cap,Production!O62/voodoo_magi_bonus)</f>
        <v>0.83333333333333337</v>
      </c>
      <c r="DK62" s="848">
        <f>MIN(warlock_cap,Production!O62/warlock_bonus)</f>
        <v>1.25</v>
      </c>
      <c r="DL62" s="848">
        <f ca="1">MIN(nox_nightshade_cap,Construction!DF62/Construction!E62/nox_nightshade_swamp_bonus)</f>
        <v>2.8000000000000003</v>
      </c>
      <c r="DM62" s="488">
        <f t="shared" si="105"/>
        <v>0</v>
      </c>
      <c r="DN62" s="489">
        <f t="shared" ca="1" si="106"/>
        <v>2.8000000000000003</v>
      </c>
      <c r="DO62" s="489">
        <f t="shared" ca="1" si="107"/>
        <v>2.8000000000000003</v>
      </c>
      <c r="DP62" s="489">
        <f t="shared" si="108"/>
        <v>1</v>
      </c>
      <c r="DQ62" s="488">
        <f t="shared" si="109"/>
        <v>0</v>
      </c>
      <c r="DR62" s="489">
        <f t="shared" si="110"/>
        <v>0</v>
      </c>
      <c r="DS62" s="488">
        <f t="shared" si="111"/>
        <v>0</v>
      </c>
      <c r="DT62" s="489">
        <f t="shared" si="112"/>
        <v>0.1</v>
      </c>
      <c r="DX62" s="487">
        <f ca="1">MIN(6,CV62+Races!$F$19)*1.8 +  IF(CV62+Races!$F$19&gt;6,(CV62+Races!$F$19-6)*0.2,0) - Races!$N$19</f>
        <v>2.5200000000000005</v>
      </c>
      <c r="DY62" s="488">
        <f ca="1">1.8 * MIN(MAX(CW62+Races!$E$20,CX62+Races!$F$20),6)  +  0.45 * MIN(MIN(CW62+Races!$E$20,CX62+Races!$F$20),6)  +  0.2 * ( MAX(CW62+Races!$E$20-6,0) + MAX(CX62+Races!$F$20-6,0) )  -  Races!$N$20</f>
        <v>3.1500000000000012</v>
      </c>
      <c r="DZ62" s="57">
        <f t="shared" ca="1" si="113"/>
        <v>3780.0000000000009</v>
      </c>
      <c r="EA62" s="666">
        <f ca="1">MIN(6,CY62+Races!$F$35)*1.8 +  IF(CY62+Races!$F$35&gt;6,(CY62+Races!$F$35-6)*0.2,0) - Races!$N$19</f>
        <v>0.72000000000000064</v>
      </c>
      <c r="EB62" s="57">
        <f t="shared" ca="1" si="114"/>
        <v>0</v>
      </c>
      <c r="EC62" s="666">
        <f ca="1">1.8 * MIN(MAX(Races!$E$27,DB62+Races!$F$27),6)  +  0.45 * MIN(MIN(Races!$E$27,DB62+Races!$F$27),6)  +  0.2 * ( MAX(Races!$E$27-6,0) + MAX(DB62+Races!$F$27-6,0) )  -  Races!$N$20</f>
        <v>4.7700000000000005</v>
      </c>
      <c r="ED62" s="57">
        <f t="shared" ca="1" si="115"/>
        <v>0</v>
      </c>
      <c r="EE62" s="666">
        <f>1.8 * MIN(MAX(DC62+Races!$E$47,DD62+Races!$F$47),6)  +  0.45 * MIN(MIN(DC62+Races!$E$47,DD62+Races!$F$47),6)  +  0.2 * ( MAX(DC62+Races!$E$47-6,0) + MAX(DD62+Races!$F$47-6,0) )  -  Races!$N$47</f>
        <v>0</v>
      </c>
      <c r="EF62" s="57">
        <f t="shared" si="116"/>
        <v>0</v>
      </c>
      <c r="EG62" s="666">
        <f ca="1">1.8 * MIN(MAX(DG62+Races!$F$71,Races!$E$71),6)  +  0.45 * MIN(MIN(DG62+Races!$F$71,Races!$E$71),6)  +  0.2 * ( MAX(DG62+Races!$F$71-6,0) + MAX(Races!$E$71-6,0) )  -  Races!$N$71</f>
        <v>2.5200000000000014</v>
      </c>
      <c r="EH62" s="666">
        <f>1.8 * MIN(MAX(DH62+Races!$E$71,Races!$F$71),6)  +  0.45 * MIN(MIN(DH62+Races!$E$71,Races!$F$71),6)  +  0.2 * ( MAX(DH62+Races!$E$71-6,0) + MAX(Races!$F$71-6,0) )  -  Races!$N$71</f>
        <v>0.16200000000000081</v>
      </c>
      <c r="EI62" s="57">
        <f t="shared" ca="1" si="117"/>
        <v>2584.8000000000015</v>
      </c>
      <c r="EJ62" s="57"/>
      <c r="EK62" s="57"/>
      <c r="EL62" s="57"/>
      <c r="EM62" s="57">
        <f ca="1">Overview!$L$22*E62+Overview!$L$23*F62+Overview!$L$24*G62+Overview!$L$25*H62+Overview!$L$26*I62+Overview!$L$27*J62+Overview!$L$28*K62+Construction!E62*20+Construction!B62*5 + DZ62*$DV$4+EB62*$DV$5+ED62*$DV$6+EF62*$DV$7+EI62*$DV$9</f>
        <v>39460</v>
      </c>
      <c r="EO62" s="738">
        <f>(J62+2*K62)/Construction!E62</f>
        <v>0.1</v>
      </c>
      <c r="EP62" s="734">
        <f ca="1">EO62*(1+race_wizard_strength+tech_magical_weaponry_wiz*Techs!AV134)</f>
        <v>0.1</v>
      </c>
      <c r="EQ62" s="16">
        <f>(I62+halfer*H62/3)/Construction!E62</f>
        <v>0.1</v>
      </c>
    </row>
    <row r="63" spans="1:147" s="12" customFormat="1">
      <c r="A63" s="319">
        <f>Rezone!J63</f>
        <v>61</v>
      </c>
      <c r="B63" s="54">
        <f ca="1">SUM(E63:K63)+SUM(AF55:AG63)+SUM(AH52:AL63)+Z63+Explore!AL63</f>
        <v>5295</v>
      </c>
      <c r="C63" s="96">
        <f ca="1">Population!G63</f>
        <v>0.57305194805194803</v>
      </c>
      <c r="D63" s="286"/>
      <c r="E63" s="50">
        <f t="shared" si="118"/>
        <v>0</v>
      </c>
      <c r="F63" s="12">
        <f t="shared" si="119"/>
        <v>0</v>
      </c>
      <c r="G63" s="12">
        <f t="shared" si="120"/>
        <v>1000</v>
      </c>
      <c r="H63" s="12">
        <f t="shared" si="121"/>
        <v>400</v>
      </c>
      <c r="I63" s="12">
        <f t="shared" si="122"/>
        <v>100</v>
      </c>
      <c r="J63" s="12">
        <f t="shared" si="123"/>
        <v>100</v>
      </c>
      <c r="K63" s="51">
        <f t="shared" si="124"/>
        <v>0</v>
      </c>
      <c r="L63" s="286"/>
      <c r="M63" s="93">
        <f ca="1">Production!G63</f>
        <v>39460</v>
      </c>
      <c r="N63" s="286"/>
      <c r="O63" s="141">
        <f t="shared" ca="1" si="75"/>
        <v>4400</v>
      </c>
      <c r="P63" s="447">
        <f ca="1">race_offense+Imps!AB63+ROUND(MIN(gn_bonus*Construction!BF63/Construction!$E63,gn_bonus_cap),4)+MAX(IF(Magic!$AN63&gt;0,warsong_bonus),IF(Magic!AP63&gt;0,howling_op_bonus),IF(Magic!AS63&gt;0,nightfall_bonus),IF(Magic!AT63&gt;0,crusade_bonus),IF(Magic!AU63&gt;0,killingrage_bonus),IF(Magic!AV63&gt;0,bloodrage_bonus)) + Production!O63/100*prestige_offense_bonus + MAX(tech_military_offense*Techs!AH63,tech_magical_weaponry_op*Techs!AV63)</f>
        <v>0.05</v>
      </c>
      <c r="Q63" s="229">
        <f t="shared" ca="1" si="46"/>
        <v>4620</v>
      </c>
      <c r="R63" s="227">
        <f ca="1">F63*(spec_dp+spirit*DR63)+G63*(elite1_dp+woodie*CV63+sylvan*CY63+gnome*DB63+dark_elf*DD63+icekin*DG63+orc*DJ63+nox*DL63+beast*DN63+sacred*DP63+spirit*DS63+blackorc*DK63)+H63*(elite2_dp+woodie*CX63+beast*DO63+sacred*DQ63) + fh_peas_dp*MIN(Population!C63,20*Construction!BD63)+kobold*DE63</f>
        <v>7200</v>
      </c>
      <c r="S63" s="229">
        <f t="shared" ca="1" si="76"/>
        <v>10895</v>
      </c>
      <c r="T63" s="1178">
        <f ca="1">race_defense+Imps!AC63+ROUND(MIN(gt_bonus*Construction!BH63/Construction!$E63,gt_bonus_cap),4)+MAX(IF(Magic!AM63&gt;0,frenzy_bonus,IF(Magic!AQ63&gt;0,blizzard_bonus,IF(Magic!AP63&gt;0,howling_dp_bonus,IF(Magic!AI63&gt;0,ares_call_bonus)))),IF(Magic!AX63&gt;0,MIN(Construction!DF63/Construction!E63,0.2),0))</f>
        <v>0</v>
      </c>
      <c r="U63" s="1047">
        <f t="shared" ca="1" si="47"/>
        <v>7200</v>
      </c>
      <c r="V63" s="311">
        <f t="shared" ca="1" si="48"/>
        <v>10895</v>
      </c>
      <c r="W63" s="311">
        <f>Construction!E63</f>
        <v>1000</v>
      </c>
      <c r="X63" s="368"/>
      <c r="Y63" s="145">
        <f t="shared" si="74"/>
        <v>0.4</v>
      </c>
      <c r="Z63" s="158">
        <f ca="1">Z62+Population!Z62 - IF(race="Lux",AF63,SUM(AF63:AK63)) - BE63 + SUM(BF63:BL63) - Explore!AI63</f>
        <v>3695</v>
      </c>
      <c r="AA63" s="153"/>
      <c r="AB63" s="306">
        <f>(Construction!$BA63+Construction!BY63)/(Construction!$E63-Explore!S63*20)</f>
        <v>0.2</v>
      </c>
      <c r="AC63" s="1064"/>
      <c r="AD63" s="1064">
        <f>Rezone!J63</f>
        <v>61</v>
      </c>
      <c r="AE63" s="588">
        <f>Explore!AA63</f>
        <v>43694.499999999854</v>
      </c>
      <c r="AF63" s="373"/>
      <c r="AG63" s="519"/>
      <c r="AH63" s="349"/>
      <c r="AI63" s="519"/>
      <c r="AJ63" s="519"/>
      <c r="AK63" s="519"/>
      <c r="AL63" s="374"/>
      <c r="AM63" s="1063"/>
      <c r="AN63" s="54">
        <f ca="1">Production!$H63</f>
        <v>3586571</v>
      </c>
      <c r="AO63" s="13">
        <f ca="1">Production!$L63</f>
        <v>231000</v>
      </c>
      <c r="AP63" s="13">
        <f ca="1">Production!J63</f>
        <v>278669</v>
      </c>
      <c r="AQ63" s="13">
        <f ca="1">Production!M63</f>
        <v>20000</v>
      </c>
      <c r="AR63" s="13">
        <f ca="1">Production!K63</f>
        <v>49855</v>
      </c>
      <c r="AS63" s="13">
        <f ca="1">Production!I63</f>
        <v>233647</v>
      </c>
      <c r="AT63" s="13">
        <f ca="1">Production!N63</f>
        <v>200</v>
      </c>
      <c r="AU63" s="151">
        <f t="shared" ca="1" si="77"/>
        <v>0</v>
      </c>
      <c r="AV63" s="153">
        <f t="shared" ca="1" si="78"/>
        <v>0</v>
      </c>
      <c r="AW63" s="153">
        <f t="shared" ca="1" si="50"/>
        <v>0</v>
      </c>
      <c r="AX63" s="153">
        <f t="shared" ca="1" si="51"/>
        <v>0</v>
      </c>
      <c r="AY63" s="153">
        <f t="shared" ca="1" si="52"/>
        <v>0</v>
      </c>
      <c r="AZ63" s="153">
        <f t="shared" ca="1" si="53"/>
        <v>0</v>
      </c>
      <c r="BA63" s="158">
        <f t="shared" ca="1" si="54"/>
        <v>0</v>
      </c>
      <c r="BB63" s="12">
        <v>61</v>
      </c>
      <c r="BC63" s="679">
        <f t="shared" si="71"/>
        <v>43694.499999999854</v>
      </c>
      <c r="BD63" s="149">
        <f t="shared" ca="1" si="72"/>
        <v>3695</v>
      </c>
      <c r="BE63" s="373"/>
      <c r="BF63" s="349"/>
      <c r="BG63" s="349"/>
      <c r="BH63" s="349"/>
      <c r="BI63" s="349"/>
      <c r="BJ63" s="349"/>
      <c r="BK63" s="349"/>
      <c r="BL63" s="374"/>
      <c r="BN63" s="502">
        <f>Construction!BM63/Construction!E63</f>
        <v>0</v>
      </c>
      <c r="BO63" s="162">
        <f>Construction!BD63/Construction!E63</f>
        <v>0</v>
      </c>
      <c r="BP63" s="151">
        <f>ROUNDUP((1-MIN(AB63*smithy_bonus,smithy_bonus_cap))*(1+Techs!AO63*tech_master_of_frugality)*spec_op_plat,0)</f>
        <v>165</v>
      </c>
      <c r="BQ63" s="153">
        <f>ROUNDUP(IF(race="Gnome",1,(1-MIN(AB63*smithy_bonus,smithy_bonus_cap))*(1+Techs!AO63*tech_master_of_frugality))*spec_op_ore,0)</f>
        <v>15</v>
      </c>
      <c r="BR63" s="153">
        <f t="shared" si="79"/>
        <v>0</v>
      </c>
      <c r="BS63" s="153">
        <f t="shared" si="80"/>
        <v>0</v>
      </c>
      <c r="BT63" s="153">
        <f ca="1">ROUNDUP((1-MIN(AB63*smithy_bonus,smithy_bonus_cap))*(1+Techs!AO63*tech_master_of_frugality)*spec_dp_plat,0)</f>
        <v>165</v>
      </c>
      <c r="BU63" s="153">
        <f ca="1">ROUNDUP(IF(OR(race="Gnome",race="Imperial Gnome"),1,(1-MIN(AB63*smithy_bonus,smithy_bonus_cap))*(1+Techs!AO63*tech_master_of_frugality))*spec_dp_ore,0)</f>
        <v>6</v>
      </c>
      <c r="BV63" s="153">
        <f t="shared" ca="1" si="81"/>
        <v>0</v>
      </c>
      <c r="BW63" s="153">
        <f t="shared" ca="1" si="82"/>
        <v>0</v>
      </c>
      <c r="BX63" s="153">
        <f t="shared" ca="1" si="83"/>
        <v>0</v>
      </c>
      <c r="BY63" s="153">
        <f ca="1">ROUNDUP((1-MIN(AB63*smithy_bonus,smithy_bonus_cap))*(1+Techs!AO63*tech_master_of_frugality)*elite1_plat,0)</f>
        <v>600</v>
      </c>
      <c r="BZ63" s="153">
        <f ca="1">ROUNDUP(IF(race="Gnome",1,(1-MIN(AB63*smithy_bonus,smithy_bonus_cap))*(1+Techs!AO63*tech_master_of_frugality))*elite1_ore,0)</f>
        <v>45</v>
      </c>
      <c r="CA63" s="153">
        <f t="shared" ca="1" si="84"/>
        <v>0</v>
      </c>
      <c r="CB63" s="153">
        <f t="shared" ca="1" si="85"/>
        <v>0</v>
      </c>
      <c r="CC63" s="153">
        <f t="shared" ca="1" si="86"/>
        <v>0</v>
      </c>
      <c r="CD63" s="153">
        <f t="shared" ca="1" si="87"/>
        <v>0</v>
      </c>
      <c r="CE63" s="153">
        <f t="shared" ca="1" si="88"/>
        <v>0</v>
      </c>
      <c r="CF63" s="153">
        <f ca="1">ROUNDUP((1-MIN(AB63*smithy_bonus,smithy_bonus_cap))*(1+Techs!AO63*tech_master_of_frugality)*elite2_plat,0)</f>
        <v>750</v>
      </c>
      <c r="CG63" s="153">
        <f ca="1">ROUNDUP(IF(race="Gnome",1,(1-MIN(AB63*smithy_bonus,smithy_bonus_cap))*(1+Techs!AO63*tech_master_of_frugality))*elite2_ore,0)</f>
        <v>60</v>
      </c>
      <c r="CH63" s="153">
        <f t="shared" ca="1" si="89"/>
        <v>0</v>
      </c>
      <c r="CI63" s="153">
        <f t="shared" ca="1" si="90"/>
        <v>0</v>
      </c>
      <c r="CJ63" s="153">
        <f t="shared" ca="1" si="91"/>
        <v>0</v>
      </c>
      <c r="CK63" s="153">
        <f t="shared" ca="1" si="92"/>
        <v>0</v>
      </c>
      <c r="CL63" s="153">
        <f t="shared" ca="1" si="93"/>
        <v>0</v>
      </c>
      <c r="CM63" s="153">
        <f>ROUNDUP((1+tech_spy_cost*Techs!AJ63)*spy_plat,0)</f>
        <v>500</v>
      </c>
      <c r="CN63" s="153">
        <f>ROUNDUP((1+tech_wizard_cost*Techs!AM63-MIN(ROUND(wg_wiz_cost_bonus*BN63,4),wg_wiz_cost_cap))*wizard_plat,0)</f>
        <v>500</v>
      </c>
      <c r="CO63" s="158">
        <f>ROUNDUP((1+tech_wizard_cost*Techs!AM63-MIN(ROUND(wg_wiz_cost_bonus*BN63,4),wg_wiz_cost_cap))*archmage_plat,0)</f>
        <v>1000</v>
      </c>
      <c r="CQ63" s="467">
        <f ca="1">Construction!DF63/Construction!E63</f>
        <v>0.28000000000000003</v>
      </c>
      <c r="CR63" s="468">
        <f t="shared" si="73"/>
        <v>0</v>
      </c>
      <c r="CS63" s="468">
        <f>Construction!BK63/Construction!E63</f>
        <v>0.05</v>
      </c>
      <c r="CT63" s="468">
        <f>Construction!BJ63/Construction!E63</f>
        <v>0</v>
      </c>
      <c r="CU63" s="468">
        <f>Construction!AY63/Construction!E63</f>
        <v>0</v>
      </c>
      <c r="CV63" s="490">
        <f t="shared" ca="1" si="94"/>
        <v>1.4000000000000001</v>
      </c>
      <c r="CW63" s="491">
        <f t="shared" ca="1" si="95"/>
        <v>1.4000000000000001</v>
      </c>
      <c r="CX63" s="491">
        <f t="shared" ca="1" si="96"/>
        <v>1.4000000000000001</v>
      </c>
      <c r="CY63" s="492">
        <f t="shared" ca="1" si="97"/>
        <v>1.4000000000000001</v>
      </c>
      <c r="CZ63" s="492">
        <f t="shared" si="98"/>
        <v>0.1</v>
      </c>
      <c r="DA63" s="492">
        <f t="shared" ca="1" si="99"/>
        <v>3</v>
      </c>
      <c r="DB63" s="492">
        <f t="shared" ca="1" si="100"/>
        <v>1.4000000000000001</v>
      </c>
      <c r="DC63" s="491">
        <f t="shared" si="101"/>
        <v>0</v>
      </c>
      <c r="DD63" s="851">
        <f t="shared" si="102"/>
        <v>0</v>
      </c>
      <c r="DE63" s="732">
        <f t="shared" si="56"/>
        <v>800</v>
      </c>
      <c r="DF63" s="732">
        <f t="shared" si="57"/>
        <v>0</v>
      </c>
      <c r="DG63" s="490">
        <f t="shared" ca="1" si="103"/>
        <v>1.4000000000000001</v>
      </c>
      <c r="DH63" s="453">
        <f t="shared" si="104"/>
        <v>9.0000000000000011E-2</v>
      </c>
      <c r="DI63" s="453">
        <f>MIN(valkyrja_cap,Production!O63/valkyrja_bonus)</f>
        <v>1</v>
      </c>
      <c r="DJ63" s="851">
        <f>MIN(voodoo_magi_cap,Production!O63/voodoo_magi_bonus)</f>
        <v>0.83333333333333337</v>
      </c>
      <c r="DK63" s="851">
        <f>MIN(warlock_cap,Production!O63/warlock_bonus)</f>
        <v>1.25</v>
      </c>
      <c r="DL63" s="851">
        <f ca="1">MIN(nox_nightshade_cap,Construction!DF63/Construction!E63/nox_nightshade_swamp_bonus)</f>
        <v>2.8000000000000003</v>
      </c>
      <c r="DM63" s="491">
        <f t="shared" si="105"/>
        <v>0</v>
      </c>
      <c r="DN63" s="492">
        <f t="shared" ca="1" si="106"/>
        <v>2.8000000000000003</v>
      </c>
      <c r="DO63" s="492">
        <f t="shared" ca="1" si="107"/>
        <v>2.8000000000000003</v>
      </c>
      <c r="DP63" s="492">
        <f t="shared" si="108"/>
        <v>1</v>
      </c>
      <c r="DQ63" s="491">
        <f t="shared" si="109"/>
        <v>0</v>
      </c>
      <c r="DR63" s="492">
        <f t="shared" si="110"/>
        <v>0</v>
      </c>
      <c r="DS63" s="491">
        <f t="shared" si="111"/>
        <v>0</v>
      </c>
      <c r="DT63" s="492">
        <f t="shared" si="112"/>
        <v>0.1</v>
      </c>
      <c r="DX63" s="490">
        <f ca="1">MIN(6,CV63+Races!$F$19)*1.8 +  IF(CV63+Races!$F$19&gt;6,(CV63+Races!$F$19-6)*0.2,0) - Races!$N$19</f>
        <v>2.5200000000000005</v>
      </c>
      <c r="DY63" s="491">
        <f ca="1">1.8 * MIN(MAX(CW63+Races!$E$20,CX63+Races!$F$20),6)  +  0.45 * MIN(MIN(CW63+Races!$E$20,CX63+Races!$F$20),6)  +  0.2 * ( MAX(CW63+Races!$E$20-6,0) + MAX(CX63+Races!$F$20-6,0) )  -  Races!$N$20</f>
        <v>3.1500000000000012</v>
      </c>
      <c r="DZ63" s="55">
        <f t="shared" ca="1" si="113"/>
        <v>3780.0000000000009</v>
      </c>
      <c r="EA63" s="668">
        <f ca="1">MIN(6,CY63+Races!$F$35)*1.8 +  IF(CY63+Races!$F$35&gt;6,(CY63+Races!$F$35-6)*0.2,0) - Races!$N$19</f>
        <v>0.72000000000000064</v>
      </c>
      <c r="EB63" s="55">
        <f t="shared" ca="1" si="114"/>
        <v>0</v>
      </c>
      <c r="EC63" s="668">
        <f ca="1">1.8 * MIN(MAX(Races!$E$27,DB63+Races!$F$27),6)  +  0.45 * MIN(MIN(Races!$E$27,DB63+Races!$F$27),6)  +  0.2 * ( MAX(Races!$E$27-6,0) + MAX(DB63+Races!$F$27-6,0) )  -  Races!$N$20</f>
        <v>4.7700000000000005</v>
      </c>
      <c r="ED63" s="55">
        <f t="shared" ca="1" si="115"/>
        <v>0</v>
      </c>
      <c r="EE63" s="668">
        <f>1.8 * MIN(MAX(DC63+Races!$E$47,DD63+Races!$F$47),6)  +  0.45 * MIN(MIN(DC63+Races!$E$47,DD63+Races!$F$47),6)  +  0.2 * ( MAX(DC63+Races!$E$47-6,0) + MAX(DD63+Races!$F$47-6,0) )  -  Races!$N$47</f>
        <v>0</v>
      </c>
      <c r="EF63" s="55">
        <f t="shared" si="116"/>
        <v>0</v>
      </c>
      <c r="EG63" s="668">
        <f ca="1">1.8 * MIN(MAX(DG63+Races!$F$71,Races!$E$71),6)  +  0.45 * MIN(MIN(DG63+Races!$F$71,Races!$E$71),6)  +  0.2 * ( MAX(DG63+Races!$F$71-6,0) + MAX(Races!$E$71-6,0) )  -  Races!$N$71</f>
        <v>2.5200000000000014</v>
      </c>
      <c r="EH63" s="668">
        <f>1.8 * MIN(MAX(DH63+Races!$E$71,Races!$F$71),6)  +  0.45 * MIN(MIN(DH63+Races!$E$71,Races!$F$71),6)  +  0.2 * ( MAX(DH63+Races!$E$71-6,0) + MAX(Races!$F$71-6,0) )  -  Races!$N$71</f>
        <v>0.16200000000000081</v>
      </c>
      <c r="EI63" s="55">
        <f t="shared" ca="1" si="117"/>
        <v>2584.8000000000015</v>
      </c>
      <c r="EJ63" s="55"/>
      <c r="EK63" s="55"/>
      <c r="EL63" s="55"/>
      <c r="EM63" s="55">
        <f ca="1">Overview!$L$22*E63+Overview!$L$23*F63+Overview!$L$24*G63+Overview!$L$25*H63+Overview!$L$26*I63+Overview!$L$27*J63+Overview!$L$28*K63+Construction!E63*20+Construction!B63*5 + DZ63*$DV$4+EB63*$DV$5+ED63*$DV$6+EF63*$DV$7+EI63*$DV$9</f>
        <v>39460</v>
      </c>
      <c r="EO63" s="741">
        <f>(J63+2*K63)/Construction!E63</f>
        <v>0.1</v>
      </c>
      <c r="EP63" s="735">
        <f ca="1">EO63*(1+race_wizard_strength+tech_magical_weaponry_wiz*Techs!AV135)</f>
        <v>0.1</v>
      </c>
      <c r="EQ63" s="12">
        <f>(I63+halfer*H63/3)/Construction!E63</f>
        <v>0.1</v>
      </c>
    </row>
    <row r="64" spans="1:147" s="16" customFormat="1">
      <c r="A64" s="629">
        <f>Rezone!J64</f>
        <v>62</v>
      </c>
      <c r="B64" s="56">
        <f ca="1">SUM(E64:K64)+SUM(AF56:AG64)+SUM(AH53:AL64)+Z64+Explore!AL64</f>
        <v>5295</v>
      </c>
      <c r="C64" s="97">
        <f ca="1">Population!G64</f>
        <v>0.57305194805194803</v>
      </c>
      <c r="E64" s="52">
        <f t="shared" si="118"/>
        <v>0</v>
      </c>
      <c r="F64" s="16">
        <f t="shared" si="119"/>
        <v>0</v>
      </c>
      <c r="G64" s="16">
        <f t="shared" si="120"/>
        <v>1000</v>
      </c>
      <c r="H64" s="16">
        <f t="shared" si="121"/>
        <v>400</v>
      </c>
      <c r="I64" s="16">
        <f t="shared" si="122"/>
        <v>100</v>
      </c>
      <c r="J64" s="16">
        <f t="shared" si="123"/>
        <v>100</v>
      </c>
      <c r="K64" s="53">
        <f t="shared" si="124"/>
        <v>0</v>
      </c>
      <c r="M64" s="64">
        <f ca="1">Production!G64</f>
        <v>39460</v>
      </c>
      <c r="O64" s="142">
        <f t="shared" ca="1" si="75"/>
        <v>4400</v>
      </c>
      <c r="P64" s="455">
        <f ca="1">race_offense+Imps!AB64+ROUND(MIN(gn_bonus*Construction!BF64/Construction!$E64,gn_bonus_cap),4)+MAX(IF(Magic!$AN64&gt;0,warsong_bonus),IF(Magic!AP64&gt;0,howling_op_bonus),IF(Magic!AS64&gt;0,nightfall_bonus),IF(Magic!AT64&gt;0,crusade_bonus),IF(Magic!AU64&gt;0,killingrage_bonus),IF(Magic!AV64&gt;0,bloodrage_bonus)) + Production!O64/100*prestige_offense_bonus + MAX(tech_military_offense*Techs!AH64,tech_magical_weaponry_op*Techs!AV64)</f>
        <v>0.05</v>
      </c>
      <c r="Q64" s="235">
        <f t="shared" ca="1" si="46"/>
        <v>4620</v>
      </c>
      <c r="R64" s="234">
        <f ca="1">F64*(spec_dp+spirit*DR64)+G64*(elite1_dp+woodie*CV64+sylvan*CY64+gnome*DB64+dark_elf*DD64+icekin*DG64+orc*DJ64+nox*DL64+beast*DN64+sacred*DP64+spirit*DS64+blackorc*DK64)+H64*(elite2_dp+woodie*CX64+beast*DO64+sacred*DQ64) + fh_peas_dp*MIN(Population!C64,20*Construction!BD64)+kobold*DE64</f>
        <v>7200</v>
      </c>
      <c r="S64" s="235">
        <f t="shared" ca="1" si="76"/>
        <v>10895</v>
      </c>
      <c r="T64" s="1052">
        <f ca="1">race_defense+Imps!AC64+ROUND(MIN(gt_bonus*Construction!BH64/Construction!$E64,gt_bonus_cap),4)+MAX(IF(Magic!AM64&gt;0,frenzy_bonus,IF(Magic!AQ64&gt;0,blizzard_bonus,IF(Magic!AP64&gt;0,howling_dp_bonus,IF(Magic!AI64&gt;0,ares_call_bonus)))),IF(Magic!AX64&gt;0,MIN(Construction!DF64/Construction!E64,0.2),0))</f>
        <v>0</v>
      </c>
      <c r="U64" s="1046">
        <f t="shared" ca="1" si="47"/>
        <v>7200</v>
      </c>
      <c r="V64" s="310">
        <f t="shared" ca="1" si="48"/>
        <v>10895</v>
      </c>
      <c r="W64" s="310">
        <f>Construction!E64</f>
        <v>1000</v>
      </c>
      <c r="X64" s="367"/>
      <c r="Y64" s="146">
        <f t="shared" si="74"/>
        <v>0.4</v>
      </c>
      <c r="Z64" s="166">
        <f ca="1">Z63+Population!Z63 - IF(race="Lux",AF64,SUM(AF64:AK64)) - BE64 + SUM(BF64:BL64) - Explore!AI64</f>
        <v>3695</v>
      </c>
      <c r="AA64" s="164"/>
      <c r="AB64" s="91">
        <f>(Construction!$BA64+Construction!BY64)/(Construction!$E64-Explore!S64*20)</f>
        <v>0.2</v>
      </c>
      <c r="AC64" s="529"/>
      <c r="AD64" s="799">
        <f>Rezone!J64</f>
        <v>62</v>
      </c>
      <c r="AE64" s="589">
        <f>Explore!AA64</f>
        <v>43694.541666666519</v>
      </c>
      <c r="AF64" s="375"/>
      <c r="AG64" s="348"/>
      <c r="AH64" s="348"/>
      <c r="AI64" s="348"/>
      <c r="AJ64" s="348"/>
      <c r="AK64" s="348"/>
      <c r="AL64" s="357"/>
      <c r="AN64" s="56">
        <f ca="1">Production!$H64</f>
        <v>3597222</v>
      </c>
      <c r="AO64" s="26">
        <f ca="1">Production!$L64</f>
        <v>231000</v>
      </c>
      <c r="AP64" s="26">
        <f ca="1">Production!J64</f>
        <v>278382</v>
      </c>
      <c r="AQ64" s="26">
        <f ca="1">Production!M64</f>
        <v>20000</v>
      </c>
      <c r="AR64" s="26">
        <f ca="1">Production!K64</f>
        <v>50108</v>
      </c>
      <c r="AS64" s="26">
        <f ca="1">Production!I64</f>
        <v>236041</v>
      </c>
      <c r="AT64" s="26">
        <f ca="1">Production!N64</f>
        <v>200</v>
      </c>
      <c r="AU64" s="152">
        <f t="shared" ca="1" si="77"/>
        <v>0</v>
      </c>
      <c r="AV64" s="164">
        <f t="shared" ca="1" si="78"/>
        <v>0</v>
      </c>
      <c r="AW64" s="164">
        <f t="shared" ca="1" si="50"/>
        <v>0</v>
      </c>
      <c r="AX64" s="164">
        <f t="shared" ca="1" si="51"/>
        <v>0</v>
      </c>
      <c r="AY64" s="164">
        <f t="shared" ca="1" si="52"/>
        <v>0</v>
      </c>
      <c r="AZ64" s="164">
        <f t="shared" ca="1" si="53"/>
        <v>0</v>
      </c>
      <c r="BA64" s="166">
        <f t="shared" ca="1" si="54"/>
        <v>0</v>
      </c>
      <c r="BB64" s="16">
        <v>62</v>
      </c>
      <c r="BC64" s="574">
        <f t="shared" si="71"/>
        <v>43694.541666666519</v>
      </c>
      <c r="BD64" s="148">
        <f t="shared" ca="1" si="72"/>
        <v>3695</v>
      </c>
      <c r="BE64" s="375"/>
      <c r="BF64" s="348"/>
      <c r="BG64" s="348"/>
      <c r="BH64" s="348"/>
      <c r="BI64" s="348"/>
      <c r="BJ64" s="348"/>
      <c r="BK64" s="348"/>
      <c r="BL64" s="357"/>
      <c r="BN64" s="503">
        <f>Construction!BM64/Construction!E64</f>
        <v>0</v>
      </c>
      <c r="BO64" s="171">
        <f>Construction!BD64/Construction!E64</f>
        <v>0</v>
      </c>
      <c r="BP64" s="152">
        <f>ROUNDUP((1-MIN(AB64*smithy_bonus,smithy_bonus_cap))*(1+Techs!AO64*tech_master_of_frugality)*spec_op_plat,0)</f>
        <v>165</v>
      </c>
      <c r="BQ64" s="164">
        <f>ROUNDUP(IF(race="Gnome",1,(1-MIN(AB64*smithy_bonus,smithy_bonus_cap))*(1+Techs!AO64*tech_master_of_frugality))*spec_op_ore,0)</f>
        <v>15</v>
      </c>
      <c r="BR64" s="164">
        <f t="shared" si="79"/>
        <v>0</v>
      </c>
      <c r="BS64" s="164">
        <f t="shared" si="80"/>
        <v>0</v>
      </c>
      <c r="BT64" s="164">
        <f ca="1">ROUNDUP((1-MIN(AB64*smithy_bonus,smithy_bonus_cap))*(1+Techs!AO64*tech_master_of_frugality)*spec_dp_plat,0)</f>
        <v>165</v>
      </c>
      <c r="BU64" s="164">
        <f ca="1">ROUNDUP(IF(OR(race="Gnome",race="Imperial Gnome"),1,(1-MIN(AB64*smithy_bonus,smithy_bonus_cap))*(1+Techs!AO64*tech_master_of_frugality))*spec_dp_ore,0)</f>
        <v>6</v>
      </c>
      <c r="BV64" s="164">
        <f t="shared" ca="1" si="81"/>
        <v>0</v>
      </c>
      <c r="BW64" s="164">
        <f t="shared" ca="1" si="82"/>
        <v>0</v>
      </c>
      <c r="BX64" s="164">
        <f t="shared" ca="1" si="83"/>
        <v>0</v>
      </c>
      <c r="BY64" s="164">
        <f ca="1">ROUNDUP((1-MIN(AB64*smithy_bonus,smithy_bonus_cap))*(1+Techs!AO64*tech_master_of_frugality)*elite1_plat,0)</f>
        <v>600</v>
      </c>
      <c r="BZ64" s="164">
        <f ca="1">ROUNDUP(IF(race="Gnome",1,(1-MIN(AB64*smithy_bonus,smithy_bonus_cap))*(1+Techs!AO64*tech_master_of_frugality))*elite1_ore,0)</f>
        <v>45</v>
      </c>
      <c r="CA64" s="164">
        <f t="shared" ca="1" si="84"/>
        <v>0</v>
      </c>
      <c r="CB64" s="164">
        <f t="shared" ca="1" si="85"/>
        <v>0</v>
      </c>
      <c r="CC64" s="164">
        <f t="shared" ca="1" si="86"/>
        <v>0</v>
      </c>
      <c r="CD64" s="164">
        <f t="shared" ca="1" si="87"/>
        <v>0</v>
      </c>
      <c r="CE64" s="164">
        <f t="shared" ca="1" si="88"/>
        <v>0</v>
      </c>
      <c r="CF64" s="164">
        <f ca="1">ROUNDUP((1-MIN(AB64*smithy_bonus,smithy_bonus_cap))*(1+Techs!AO64*tech_master_of_frugality)*elite2_plat,0)</f>
        <v>750</v>
      </c>
      <c r="CG64" s="164">
        <f ca="1">ROUNDUP(IF(race="Gnome",1,(1-MIN(AB64*smithy_bonus,smithy_bonus_cap))*(1+Techs!AO64*tech_master_of_frugality))*elite2_ore,0)</f>
        <v>60</v>
      </c>
      <c r="CH64" s="164">
        <f t="shared" ca="1" si="89"/>
        <v>0</v>
      </c>
      <c r="CI64" s="164">
        <f t="shared" ca="1" si="90"/>
        <v>0</v>
      </c>
      <c r="CJ64" s="164">
        <f t="shared" ca="1" si="91"/>
        <v>0</v>
      </c>
      <c r="CK64" s="164">
        <f t="shared" ca="1" si="92"/>
        <v>0</v>
      </c>
      <c r="CL64" s="164">
        <f t="shared" ca="1" si="93"/>
        <v>0</v>
      </c>
      <c r="CM64" s="164">
        <f>ROUNDUP((1+tech_spy_cost*Techs!AJ64)*spy_plat,0)</f>
        <v>500</v>
      </c>
      <c r="CN64" s="164">
        <f>ROUNDUP((1+tech_wizard_cost*Techs!AM64-MIN(ROUND(wg_wiz_cost_bonus*BN64,4),wg_wiz_cost_cap))*wizard_plat,0)</f>
        <v>500</v>
      </c>
      <c r="CO64" s="166">
        <f>ROUNDUP((1+tech_wizard_cost*Techs!AM64-MIN(ROUND(wg_wiz_cost_bonus*BN64,4),wg_wiz_cost_cap))*archmage_plat,0)</f>
        <v>1000</v>
      </c>
      <c r="CQ64" s="465">
        <f ca="1">Construction!DF64/Construction!E64</f>
        <v>0.28000000000000003</v>
      </c>
      <c r="CR64" s="466">
        <f t="shared" si="73"/>
        <v>0</v>
      </c>
      <c r="CS64" s="466">
        <f>Construction!BK64/Construction!E64</f>
        <v>0.05</v>
      </c>
      <c r="CT64" s="466">
        <f>Construction!BJ64/Construction!E64</f>
        <v>0</v>
      </c>
      <c r="CU64" s="466">
        <f>Construction!AY64/Construction!E64</f>
        <v>0</v>
      </c>
      <c r="CV64" s="487">
        <f t="shared" ca="1" si="94"/>
        <v>1.4000000000000001</v>
      </c>
      <c r="CW64" s="488">
        <f t="shared" ca="1" si="95"/>
        <v>1.4000000000000001</v>
      </c>
      <c r="CX64" s="488">
        <f t="shared" ca="1" si="96"/>
        <v>1.4000000000000001</v>
      </c>
      <c r="CY64" s="489">
        <f t="shared" ca="1" si="97"/>
        <v>1.4000000000000001</v>
      </c>
      <c r="CZ64" s="489">
        <f t="shared" si="98"/>
        <v>0.1</v>
      </c>
      <c r="DA64" s="489">
        <f t="shared" ca="1" si="99"/>
        <v>3</v>
      </c>
      <c r="DB64" s="489">
        <f t="shared" ca="1" si="100"/>
        <v>1.4000000000000001</v>
      </c>
      <c r="DC64" s="488">
        <f t="shared" si="101"/>
        <v>0</v>
      </c>
      <c r="DD64" s="848">
        <f t="shared" si="102"/>
        <v>0</v>
      </c>
      <c r="DE64" s="442">
        <f t="shared" si="56"/>
        <v>800</v>
      </c>
      <c r="DF64" s="442">
        <f t="shared" si="57"/>
        <v>0</v>
      </c>
      <c r="DG64" s="487">
        <f t="shared" ca="1" si="103"/>
        <v>1.4000000000000001</v>
      </c>
      <c r="DH64" s="452">
        <f t="shared" si="104"/>
        <v>9.0000000000000011E-2</v>
      </c>
      <c r="DI64" s="452">
        <f>MIN(valkyrja_cap,Production!O64/valkyrja_bonus)</f>
        <v>1</v>
      </c>
      <c r="DJ64" s="848">
        <f>MIN(voodoo_magi_cap,Production!O64/voodoo_magi_bonus)</f>
        <v>0.83333333333333337</v>
      </c>
      <c r="DK64" s="848">
        <f>MIN(warlock_cap,Production!O64/warlock_bonus)</f>
        <v>1.25</v>
      </c>
      <c r="DL64" s="848">
        <f ca="1">MIN(nox_nightshade_cap,Construction!DF64/Construction!E64/nox_nightshade_swamp_bonus)</f>
        <v>2.8000000000000003</v>
      </c>
      <c r="DM64" s="488">
        <f t="shared" si="105"/>
        <v>0</v>
      </c>
      <c r="DN64" s="489">
        <f t="shared" ca="1" si="106"/>
        <v>2.8000000000000003</v>
      </c>
      <c r="DO64" s="489">
        <f t="shared" ca="1" si="107"/>
        <v>2.8000000000000003</v>
      </c>
      <c r="DP64" s="489">
        <f t="shared" si="108"/>
        <v>1</v>
      </c>
      <c r="DQ64" s="488">
        <f t="shared" si="109"/>
        <v>0</v>
      </c>
      <c r="DR64" s="489">
        <f t="shared" si="110"/>
        <v>0</v>
      </c>
      <c r="DS64" s="488">
        <f t="shared" si="111"/>
        <v>0</v>
      </c>
      <c r="DT64" s="489">
        <f t="shared" si="112"/>
        <v>0.1</v>
      </c>
      <c r="DX64" s="487">
        <f ca="1">MIN(6,CV64+Races!$F$19)*1.8 +  IF(CV64+Races!$F$19&gt;6,(CV64+Races!$F$19-6)*0.2,0) - Races!$N$19</f>
        <v>2.5200000000000005</v>
      </c>
      <c r="DY64" s="488">
        <f ca="1">1.8 * MIN(MAX(CW64+Races!$E$20,CX64+Races!$F$20),6)  +  0.45 * MIN(MIN(CW64+Races!$E$20,CX64+Races!$F$20),6)  +  0.2 * ( MAX(CW64+Races!$E$20-6,0) + MAX(CX64+Races!$F$20-6,0) )  -  Races!$N$20</f>
        <v>3.1500000000000012</v>
      </c>
      <c r="DZ64" s="57">
        <f t="shared" ca="1" si="113"/>
        <v>3780.0000000000009</v>
      </c>
      <c r="EA64" s="666">
        <f ca="1">MIN(6,CY64+Races!$F$35)*1.8 +  IF(CY64+Races!$F$35&gt;6,(CY64+Races!$F$35-6)*0.2,0) - Races!$N$19</f>
        <v>0.72000000000000064</v>
      </c>
      <c r="EB64" s="57">
        <f t="shared" ca="1" si="114"/>
        <v>0</v>
      </c>
      <c r="EC64" s="666">
        <f ca="1">1.8 * MIN(MAX(Races!$E$27,DB64+Races!$F$27),6)  +  0.45 * MIN(MIN(Races!$E$27,DB64+Races!$F$27),6)  +  0.2 * ( MAX(Races!$E$27-6,0) + MAX(DB64+Races!$F$27-6,0) )  -  Races!$N$20</f>
        <v>4.7700000000000005</v>
      </c>
      <c r="ED64" s="57">
        <f t="shared" ca="1" si="115"/>
        <v>0</v>
      </c>
      <c r="EE64" s="666">
        <f>1.8 * MIN(MAX(DC64+Races!$E$47,DD64+Races!$F$47),6)  +  0.45 * MIN(MIN(DC64+Races!$E$47,DD64+Races!$F$47),6)  +  0.2 * ( MAX(DC64+Races!$E$47-6,0) + MAX(DD64+Races!$F$47-6,0) )  -  Races!$N$47</f>
        <v>0</v>
      </c>
      <c r="EF64" s="57">
        <f t="shared" si="116"/>
        <v>0</v>
      </c>
      <c r="EG64" s="666">
        <f ca="1">1.8 * MIN(MAX(DG64+Races!$F$71,Races!$E$71),6)  +  0.45 * MIN(MIN(DG64+Races!$F$71,Races!$E$71),6)  +  0.2 * ( MAX(DG64+Races!$F$71-6,0) + MAX(Races!$E$71-6,0) )  -  Races!$N$71</f>
        <v>2.5200000000000014</v>
      </c>
      <c r="EH64" s="666">
        <f>1.8 * MIN(MAX(DH64+Races!$E$71,Races!$F$71),6)  +  0.45 * MIN(MIN(DH64+Races!$E$71,Races!$F$71),6)  +  0.2 * ( MAX(DH64+Races!$E$71-6,0) + MAX(Races!$F$71-6,0) )  -  Races!$N$71</f>
        <v>0.16200000000000081</v>
      </c>
      <c r="EI64" s="57">
        <f t="shared" ca="1" si="117"/>
        <v>2584.8000000000015</v>
      </c>
      <c r="EJ64" s="57"/>
      <c r="EK64" s="57"/>
      <c r="EL64" s="57"/>
      <c r="EM64" s="57">
        <f ca="1">Overview!$L$22*E64+Overview!$L$23*F64+Overview!$L$24*G64+Overview!$L$25*H64+Overview!$L$26*I64+Overview!$L$27*J64+Overview!$L$28*K64+Construction!E64*20+Construction!B64*5 + DZ64*$DV$4+EB64*$DV$5+ED64*$DV$6+EF64*$DV$7+EI64*$DV$9</f>
        <v>39460</v>
      </c>
      <c r="EO64" s="738">
        <f>(J64+2*K64)/Construction!E64</f>
        <v>0.1</v>
      </c>
      <c r="EP64" s="734">
        <f ca="1">EO64*(1+race_wizard_strength+tech_magical_weaponry_wiz*Techs!AV136)</f>
        <v>0.1</v>
      </c>
      <c r="EQ64" s="16">
        <f>(I64+halfer*H64/3)/Construction!E64</f>
        <v>0.1</v>
      </c>
    </row>
    <row r="65" spans="1:147" s="16" customFormat="1">
      <c r="A65" s="629">
        <f>Rezone!J65</f>
        <v>63</v>
      </c>
      <c r="B65" s="56">
        <f ca="1">SUM(E65:K65)+SUM(AF57:AG65)+SUM(AH54:AL65)+Z65+Explore!AL65</f>
        <v>5295</v>
      </c>
      <c r="C65" s="97">
        <f ca="1">Population!G65</f>
        <v>0.57305194805194803</v>
      </c>
      <c r="E65" s="52">
        <f t="shared" si="118"/>
        <v>0</v>
      </c>
      <c r="F65" s="16">
        <f t="shared" si="119"/>
        <v>0</v>
      </c>
      <c r="G65" s="16">
        <f t="shared" si="120"/>
        <v>1000</v>
      </c>
      <c r="H65" s="16">
        <f t="shared" si="121"/>
        <v>400</v>
      </c>
      <c r="I65" s="16">
        <f t="shared" si="122"/>
        <v>100</v>
      </c>
      <c r="J65" s="16">
        <f t="shared" si="123"/>
        <v>100</v>
      </c>
      <c r="K65" s="53">
        <f t="shared" si="124"/>
        <v>0</v>
      </c>
      <c r="M65" s="64">
        <f ca="1">Production!G65</f>
        <v>39460</v>
      </c>
      <c r="O65" s="142">
        <f t="shared" ca="1" si="75"/>
        <v>4400</v>
      </c>
      <c r="P65" s="455">
        <f ca="1">race_offense+Imps!AB65+ROUND(MIN(gn_bonus*Construction!BF65/Construction!$E65,gn_bonus_cap),4)+MAX(IF(Magic!$AN65&gt;0,warsong_bonus),IF(Magic!AP65&gt;0,howling_op_bonus),IF(Magic!AS65&gt;0,nightfall_bonus),IF(Magic!AT65&gt;0,crusade_bonus),IF(Magic!AU65&gt;0,killingrage_bonus),IF(Magic!AV65&gt;0,bloodrage_bonus)) + Production!O65/100*prestige_offense_bonus + MAX(tech_military_offense*Techs!AH65,tech_magical_weaponry_op*Techs!AV65)</f>
        <v>0.05</v>
      </c>
      <c r="Q65" s="235">
        <f t="shared" ca="1" si="46"/>
        <v>4620</v>
      </c>
      <c r="R65" s="234">
        <f ca="1">F65*(spec_dp+spirit*DR65)+G65*(elite1_dp+woodie*CV65+sylvan*CY65+gnome*DB65+dark_elf*DD65+icekin*DG65+orc*DJ65+nox*DL65+beast*DN65+sacred*DP65+spirit*DS65+blackorc*DK65)+H65*(elite2_dp+woodie*CX65+beast*DO65+sacred*DQ65) + fh_peas_dp*MIN(Population!C65,20*Construction!BD65)+kobold*DE65</f>
        <v>7200</v>
      </c>
      <c r="S65" s="235">
        <f t="shared" ca="1" si="76"/>
        <v>10895</v>
      </c>
      <c r="T65" s="1052">
        <f ca="1">race_defense+Imps!AC65+ROUND(MIN(gt_bonus*Construction!BH65/Construction!$E65,gt_bonus_cap),4)+MAX(IF(Magic!AM65&gt;0,frenzy_bonus,IF(Magic!AQ65&gt;0,blizzard_bonus,IF(Magic!AP65&gt;0,howling_dp_bonus,IF(Magic!AI65&gt;0,ares_call_bonus)))),IF(Magic!AX65&gt;0,MIN(Construction!DF65/Construction!E65,0.2),0))</f>
        <v>0</v>
      </c>
      <c r="U65" s="1046">
        <f t="shared" ca="1" si="47"/>
        <v>7200</v>
      </c>
      <c r="V65" s="310">
        <f t="shared" ca="1" si="48"/>
        <v>10895</v>
      </c>
      <c r="W65" s="310">
        <f>Construction!E65</f>
        <v>1000</v>
      </c>
      <c r="X65" s="367"/>
      <c r="Y65" s="146">
        <f t="shared" si="74"/>
        <v>0.4</v>
      </c>
      <c r="Z65" s="166">
        <f ca="1">Z64+Population!Z64 - IF(race="Lux",AF65,SUM(AF65:AK65)) - BE65 + SUM(BF65:BL65) - Explore!AI65</f>
        <v>3695</v>
      </c>
      <c r="AA65" s="164"/>
      <c r="AB65" s="91">
        <f>(Construction!$BA65+Construction!BY65)/(Construction!$E65-Explore!S65*20)</f>
        <v>0.2</v>
      </c>
      <c r="AC65" s="529"/>
      <c r="AD65" s="799">
        <f>Rezone!J65</f>
        <v>63</v>
      </c>
      <c r="AE65" s="589">
        <f>Explore!AA65</f>
        <v>43694.583333333183</v>
      </c>
      <c r="AF65" s="356"/>
      <c r="AG65" s="348"/>
      <c r="AH65" s="348"/>
      <c r="AI65" s="348"/>
      <c r="AJ65" s="348"/>
      <c r="AK65" s="348"/>
      <c r="AL65" s="357"/>
      <c r="AN65" s="56">
        <f ca="1">Production!$H65</f>
        <v>3607873</v>
      </c>
      <c r="AO65" s="26">
        <f ca="1">Production!$L65</f>
        <v>231000</v>
      </c>
      <c r="AP65" s="26">
        <f ca="1">Production!J65</f>
        <v>278098</v>
      </c>
      <c r="AQ65" s="26">
        <f ca="1">Production!M65</f>
        <v>20000</v>
      </c>
      <c r="AR65" s="26">
        <f ca="1">Production!K65</f>
        <v>50356</v>
      </c>
      <c r="AS65" s="26">
        <f ca="1">Production!I65</f>
        <v>238411</v>
      </c>
      <c r="AT65" s="26">
        <f ca="1">Production!N65</f>
        <v>200</v>
      </c>
      <c r="AU65" s="152">
        <f t="shared" ca="1" si="77"/>
        <v>0</v>
      </c>
      <c r="AV65" s="164">
        <f t="shared" ca="1" si="78"/>
        <v>0</v>
      </c>
      <c r="AW65" s="164">
        <f t="shared" ca="1" si="50"/>
        <v>0</v>
      </c>
      <c r="AX65" s="164">
        <f t="shared" ca="1" si="51"/>
        <v>0</v>
      </c>
      <c r="AY65" s="164">
        <f t="shared" ca="1" si="52"/>
        <v>0</v>
      </c>
      <c r="AZ65" s="164">
        <f t="shared" ca="1" si="53"/>
        <v>0</v>
      </c>
      <c r="BA65" s="166">
        <f t="shared" ca="1" si="54"/>
        <v>0</v>
      </c>
      <c r="BB65" s="16">
        <v>63</v>
      </c>
      <c r="BC65" s="574">
        <f t="shared" si="71"/>
        <v>43694.583333333183</v>
      </c>
      <c r="BD65" s="148">
        <f t="shared" ca="1" si="72"/>
        <v>3695</v>
      </c>
      <c r="BE65" s="356"/>
      <c r="BF65" s="348"/>
      <c r="BG65" s="348"/>
      <c r="BH65" s="348"/>
      <c r="BI65" s="348"/>
      <c r="BJ65" s="348"/>
      <c r="BK65" s="348"/>
      <c r="BL65" s="357"/>
      <c r="BN65" s="503">
        <f>Construction!BM65/Construction!E65</f>
        <v>0</v>
      </c>
      <c r="BO65" s="171">
        <f>Construction!BD65/Construction!E65</f>
        <v>0</v>
      </c>
      <c r="BP65" s="152">
        <f>ROUNDUP((1-MIN(AB65*smithy_bonus,smithy_bonus_cap))*(1+Techs!AO65*tech_master_of_frugality)*spec_op_plat,0)</f>
        <v>165</v>
      </c>
      <c r="BQ65" s="164">
        <f>ROUNDUP(IF(race="Gnome",1,(1-MIN(AB65*smithy_bonus,smithy_bonus_cap))*(1+Techs!AO65*tech_master_of_frugality))*spec_op_ore,0)</f>
        <v>15</v>
      </c>
      <c r="BR65" s="164">
        <f t="shared" si="79"/>
        <v>0</v>
      </c>
      <c r="BS65" s="164">
        <f t="shared" si="80"/>
        <v>0</v>
      </c>
      <c r="BT65" s="164">
        <f ca="1">ROUNDUP((1-MIN(AB65*smithy_bonus,smithy_bonus_cap))*(1+Techs!AO65*tech_master_of_frugality)*spec_dp_plat,0)</f>
        <v>165</v>
      </c>
      <c r="BU65" s="164">
        <f ca="1">ROUNDUP(IF(OR(race="Gnome",race="Imperial Gnome"),1,(1-MIN(AB65*smithy_bonus,smithy_bonus_cap))*(1+Techs!AO65*tech_master_of_frugality))*spec_dp_ore,0)</f>
        <v>6</v>
      </c>
      <c r="BV65" s="164">
        <f t="shared" ca="1" si="81"/>
        <v>0</v>
      </c>
      <c r="BW65" s="164">
        <f t="shared" ca="1" si="82"/>
        <v>0</v>
      </c>
      <c r="BX65" s="164">
        <f t="shared" ca="1" si="83"/>
        <v>0</v>
      </c>
      <c r="BY65" s="164">
        <f ca="1">ROUNDUP((1-MIN(AB65*smithy_bonus,smithy_bonus_cap))*(1+Techs!AO65*tech_master_of_frugality)*elite1_plat,0)</f>
        <v>600</v>
      </c>
      <c r="BZ65" s="164">
        <f ca="1">ROUNDUP(IF(race="Gnome",1,(1-MIN(AB65*smithy_bonus,smithy_bonus_cap))*(1+Techs!AO65*tech_master_of_frugality))*elite1_ore,0)</f>
        <v>45</v>
      </c>
      <c r="CA65" s="164">
        <f t="shared" ca="1" si="84"/>
        <v>0</v>
      </c>
      <c r="CB65" s="164">
        <f t="shared" ca="1" si="85"/>
        <v>0</v>
      </c>
      <c r="CC65" s="164">
        <f t="shared" ca="1" si="86"/>
        <v>0</v>
      </c>
      <c r="CD65" s="164">
        <f t="shared" ca="1" si="87"/>
        <v>0</v>
      </c>
      <c r="CE65" s="164">
        <f t="shared" ca="1" si="88"/>
        <v>0</v>
      </c>
      <c r="CF65" s="164">
        <f ca="1">ROUNDUP((1-MIN(AB65*smithy_bonus,smithy_bonus_cap))*(1+Techs!AO65*tech_master_of_frugality)*elite2_plat,0)</f>
        <v>750</v>
      </c>
      <c r="CG65" s="164">
        <f ca="1">ROUNDUP(IF(race="Gnome",1,(1-MIN(AB65*smithy_bonus,smithy_bonus_cap))*(1+Techs!AO65*tech_master_of_frugality))*elite2_ore,0)</f>
        <v>60</v>
      </c>
      <c r="CH65" s="164">
        <f t="shared" ca="1" si="89"/>
        <v>0</v>
      </c>
      <c r="CI65" s="164">
        <f t="shared" ca="1" si="90"/>
        <v>0</v>
      </c>
      <c r="CJ65" s="164">
        <f t="shared" ca="1" si="91"/>
        <v>0</v>
      </c>
      <c r="CK65" s="164">
        <f t="shared" ca="1" si="92"/>
        <v>0</v>
      </c>
      <c r="CL65" s="164">
        <f t="shared" ca="1" si="93"/>
        <v>0</v>
      </c>
      <c r="CM65" s="164">
        <f>ROUNDUP((1+tech_spy_cost*Techs!AJ65)*spy_plat,0)</f>
        <v>500</v>
      </c>
      <c r="CN65" s="164">
        <f>ROUNDUP((1+tech_wizard_cost*Techs!AM65-MIN(ROUND(wg_wiz_cost_bonus*BN65,4),wg_wiz_cost_cap))*wizard_plat,0)</f>
        <v>500</v>
      </c>
      <c r="CO65" s="166">
        <f>ROUNDUP((1+tech_wizard_cost*Techs!AM65-MIN(ROUND(wg_wiz_cost_bonus*BN65,4),wg_wiz_cost_cap))*archmage_plat,0)</f>
        <v>1000</v>
      </c>
      <c r="CQ65" s="465">
        <f ca="1">Construction!DF65/Construction!E65</f>
        <v>0.28000000000000003</v>
      </c>
      <c r="CR65" s="466">
        <f t="shared" si="73"/>
        <v>0</v>
      </c>
      <c r="CS65" s="466">
        <f>Construction!BK65/Construction!E65</f>
        <v>0.05</v>
      </c>
      <c r="CT65" s="466">
        <f>Construction!BJ65/Construction!E65</f>
        <v>0</v>
      </c>
      <c r="CU65" s="466">
        <f>Construction!AY65/Construction!E65</f>
        <v>0</v>
      </c>
      <c r="CV65" s="487">
        <f t="shared" ca="1" si="94"/>
        <v>1.4000000000000001</v>
      </c>
      <c r="CW65" s="488">
        <f t="shared" ca="1" si="95"/>
        <v>1.4000000000000001</v>
      </c>
      <c r="CX65" s="488">
        <f t="shared" ca="1" si="96"/>
        <v>1.4000000000000001</v>
      </c>
      <c r="CY65" s="489">
        <f t="shared" ca="1" si="97"/>
        <v>1.4000000000000001</v>
      </c>
      <c r="CZ65" s="489">
        <f t="shared" si="98"/>
        <v>0.1</v>
      </c>
      <c r="DA65" s="489">
        <f t="shared" ca="1" si="99"/>
        <v>3</v>
      </c>
      <c r="DB65" s="489">
        <f t="shared" ca="1" si="100"/>
        <v>1.4000000000000001</v>
      </c>
      <c r="DC65" s="488">
        <f t="shared" si="101"/>
        <v>0</v>
      </c>
      <c r="DD65" s="848">
        <f t="shared" si="102"/>
        <v>0</v>
      </c>
      <c r="DE65" s="442">
        <f t="shared" si="56"/>
        <v>800</v>
      </c>
      <c r="DF65" s="442">
        <f t="shared" si="57"/>
        <v>0</v>
      </c>
      <c r="DG65" s="487">
        <f t="shared" ca="1" si="103"/>
        <v>1.4000000000000001</v>
      </c>
      <c r="DH65" s="452">
        <f t="shared" si="104"/>
        <v>9.0000000000000011E-2</v>
      </c>
      <c r="DI65" s="452">
        <f>MIN(valkyrja_cap,Production!O65/valkyrja_bonus)</f>
        <v>1</v>
      </c>
      <c r="DJ65" s="848">
        <f>MIN(voodoo_magi_cap,Production!O65/voodoo_magi_bonus)</f>
        <v>0.83333333333333337</v>
      </c>
      <c r="DK65" s="848">
        <f>MIN(warlock_cap,Production!O65/warlock_bonus)</f>
        <v>1.25</v>
      </c>
      <c r="DL65" s="848">
        <f ca="1">MIN(nox_nightshade_cap,Construction!DF65/Construction!E65/nox_nightshade_swamp_bonus)</f>
        <v>2.8000000000000003</v>
      </c>
      <c r="DM65" s="488">
        <f t="shared" si="105"/>
        <v>0</v>
      </c>
      <c r="DN65" s="489">
        <f t="shared" ca="1" si="106"/>
        <v>2.8000000000000003</v>
      </c>
      <c r="DO65" s="489">
        <f t="shared" ca="1" si="107"/>
        <v>2.8000000000000003</v>
      </c>
      <c r="DP65" s="489">
        <f t="shared" si="108"/>
        <v>1</v>
      </c>
      <c r="DQ65" s="488">
        <f t="shared" si="109"/>
        <v>0</v>
      </c>
      <c r="DR65" s="489">
        <f t="shared" si="110"/>
        <v>0</v>
      </c>
      <c r="DS65" s="488">
        <f t="shared" si="111"/>
        <v>0</v>
      </c>
      <c r="DT65" s="489">
        <f t="shared" si="112"/>
        <v>0.1</v>
      </c>
      <c r="DX65" s="487">
        <f ca="1">MIN(6,CV65+Races!$F$19)*1.8 +  IF(CV65+Races!$F$19&gt;6,(CV65+Races!$F$19-6)*0.2,0) - Races!$N$19</f>
        <v>2.5200000000000005</v>
      </c>
      <c r="DY65" s="488">
        <f ca="1">1.8 * MIN(MAX(CW65+Races!$E$20,CX65+Races!$F$20),6)  +  0.45 * MIN(MIN(CW65+Races!$E$20,CX65+Races!$F$20),6)  +  0.2 * ( MAX(CW65+Races!$E$20-6,0) + MAX(CX65+Races!$F$20-6,0) )  -  Races!$N$20</f>
        <v>3.1500000000000012</v>
      </c>
      <c r="DZ65" s="57">
        <f t="shared" ca="1" si="113"/>
        <v>3780.0000000000009</v>
      </c>
      <c r="EA65" s="666">
        <f ca="1">MIN(6,CY65+Races!$F$35)*1.8 +  IF(CY65+Races!$F$35&gt;6,(CY65+Races!$F$35-6)*0.2,0) - Races!$N$19</f>
        <v>0.72000000000000064</v>
      </c>
      <c r="EB65" s="57">
        <f t="shared" ca="1" si="114"/>
        <v>0</v>
      </c>
      <c r="EC65" s="666">
        <f ca="1">1.8 * MIN(MAX(Races!$E$27,DB65+Races!$F$27),6)  +  0.45 * MIN(MIN(Races!$E$27,DB65+Races!$F$27),6)  +  0.2 * ( MAX(Races!$E$27-6,0) + MAX(DB65+Races!$F$27-6,0) )  -  Races!$N$20</f>
        <v>4.7700000000000005</v>
      </c>
      <c r="ED65" s="57">
        <f t="shared" ca="1" si="115"/>
        <v>0</v>
      </c>
      <c r="EE65" s="666">
        <f>1.8 * MIN(MAX(DC65+Races!$E$47,DD65+Races!$F$47),6)  +  0.45 * MIN(MIN(DC65+Races!$E$47,DD65+Races!$F$47),6)  +  0.2 * ( MAX(DC65+Races!$E$47-6,0) + MAX(DD65+Races!$F$47-6,0) )  -  Races!$N$47</f>
        <v>0</v>
      </c>
      <c r="EF65" s="57">
        <f t="shared" si="116"/>
        <v>0</v>
      </c>
      <c r="EG65" s="666">
        <f ca="1">1.8 * MIN(MAX(DG65+Races!$F$71,Races!$E$71),6)  +  0.45 * MIN(MIN(DG65+Races!$F$71,Races!$E$71),6)  +  0.2 * ( MAX(DG65+Races!$F$71-6,0) + MAX(Races!$E$71-6,0) )  -  Races!$N$71</f>
        <v>2.5200000000000014</v>
      </c>
      <c r="EH65" s="666">
        <f>1.8 * MIN(MAX(DH65+Races!$E$71,Races!$F$71),6)  +  0.45 * MIN(MIN(DH65+Races!$E$71,Races!$F$71),6)  +  0.2 * ( MAX(DH65+Races!$E$71-6,0) + MAX(Races!$F$71-6,0) )  -  Races!$N$71</f>
        <v>0.16200000000000081</v>
      </c>
      <c r="EI65" s="57">
        <f t="shared" ca="1" si="117"/>
        <v>2584.8000000000015</v>
      </c>
      <c r="EJ65" s="57"/>
      <c r="EK65" s="57"/>
      <c r="EL65" s="57"/>
      <c r="EM65" s="57">
        <f ca="1">Overview!$L$22*E65+Overview!$L$23*F65+Overview!$L$24*G65+Overview!$L$25*H65+Overview!$L$26*I65+Overview!$L$27*J65+Overview!$L$28*K65+Construction!E65*20+Construction!B65*5 + DZ65*$DV$4+EB65*$DV$5+ED65*$DV$6+EF65*$DV$7+EI65*$DV$9</f>
        <v>39460</v>
      </c>
      <c r="EO65" s="738">
        <f>(J65+2*K65)/Construction!E65</f>
        <v>0.1</v>
      </c>
      <c r="EP65" s="734">
        <f ca="1">EO65*(1+race_wizard_strength+tech_magical_weaponry_wiz*Techs!AV137)</f>
        <v>0.1</v>
      </c>
      <c r="EQ65" s="16">
        <f>(I65+halfer*H65/3)/Construction!E65</f>
        <v>0.1</v>
      </c>
    </row>
    <row r="66" spans="1:147" s="16" customFormat="1">
      <c r="A66" s="629">
        <f>Rezone!J66</f>
        <v>64</v>
      </c>
      <c r="B66" s="56">
        <f ca="1">SUM(E66:K66)+SUM(AF58:AG66)+SUM(AH55:AL66)+Z66+Explore!AL66</f>
        <v>5295</v>
      </c>
      <c r="C66" s="97">
        <f ca="1">Population!G66</f>
        <v>0.57305194805194803</v>
      </c>
      <c r="E66" s="52">
        <f t="shared" si="118"/>
        <v>0</v>
      </c>
      <c r="F66" s="16">
        <f t="shared" si="119"/>
        <v>0</v>
      </c>
      <c r="G66" s="16">
        <f t="shared" si="120"/>
        <v>1000</v>
      </c>
      <c r="H66" s="16">
        <f t="shared" si="121"/>
        <v>400</v>
      </c>
      <c r="I66" s="16">
        <f t="shared" si="122"/>
        <v>100</v>
      </c>
      <c r="J66" s="16">
        <f t="shared" si="123"/>
        <v>100</v>
      </c>
      <c r="K66" s="53">
        <f t="shared" si="124"/>
        <v>0</v>
      </c>
      <c r="M66" s="64">
        <f ca="1">Production!G66</f>
        <v>39460</v>
      </c>
      <c r="O66" s="142">
        <f t="shared" ca="1" si="75"/>
        <v>4400</v>
      </c>
      <c r="P66" s="455">
        <f ca="1">race_offense+Imps!AB66+ROUND(MIN(gn_bonus*Construction!BF66/Construction!$E66,gn_bonus_cap),4)+MAX(IF(Magic!$AN66&gt;0,warsong_bonus),IF(Magic!AP66&gt;0,howling_op_bonus),IF(Magic!AS66&gt;0,nightfall_bonus),IF(Magic!AT66&gt;0,crusade_bonus),IF(Magic!AU66&gt;0,killingrage_bonus),IF(Magic!AV66&gt;0,bloodrage_bonus)) + Production!O66/100*prestige_offense_bonus + MAX(tech_military_offense*Techs!AH66,tech_magical_weaponry_op*Techs!AV66)</f>
        <v>0.05</v>
      </c>
      <c r="Q66" s="235">
        <f t="shared" ca="1" si="46"/>
        <v>4620</v>
      </c>
      <c r="R66" s="234">
        <f ca="1">F66*(spec_dp+spirit*DR66)+G66*(elite1_dp+woodie*CV66+sylvan*CY66+gnome*DB66+dark_elf*DD66+icekin*DG66+orc*DJ66+nox*DL66+beast*DN66+sacred*DP66+spirit*DS66+blackorc*DK66)+H66*(elite2_dp+woodie*CX66+beast*DO66+sacred*DQ66) + fh_peas_dp*MIN(Population!C66,20*Construction!BD66)+kobold*DE66</f>
        <v>7200</v>
      </c>
      <c r="S66" s="235">
        <f t="shared" ca="1" si="76"/>
        <v>10895</v>
      </c>
      <c r="T66" s="1052">
        <f ca="1">race_defense+Imps!AC66+ROUND(MIN(gt_bonus*Construction!BH66/Construction!$E66,gt_bonus_cap),4)+MAX(IF(Magic!AM66&gt;0,frenzy_bonus,IF(Magic!AQ66&gt;0,blizzard_bonus,IF(Magic!AP66&gt;0,howling_dp_bonus,IF(Magic!AI66&gt;0,ares_call_bonus)))),IF(Magic!AX66&gt;0,MIN(Construction!DF66/Construction!E66,0.2),0))</f>
        <v>0</v>
      </c>
      <c r="U66" s="1046">
        <f t="shared" ca="1" si="47"/>
        <v>7200</v>
      </c>
      <c r="V66" s="310">
        <f t="shared" ca="1" si="48"/>
        <v>10895</v>
      </c>
      <c r="W66" s="310">
        <f>Construction!E66</f>
        <v>1000</v>
      </c>
      <c r="X66" s="367"/>
      <c r="Y66" s="146">
        <f t="shared" si="74"/>
        <v>0.4</v>
      </c>
      <c r="Z66" s="166">
        <f ca="1">Z65+Population!Z65 - IF(race="Lux",AF66,SUM(AF66:AK66)) - BE66 + SUM(BF66:BL66) - Explore!AI66</f>
        <v>3695</v>
      </c>
      <c r="AA66" s="164"/>
      <c r="AB66" s="91">
        <f>(Construction!$BA66+Construction!BY66)/(Construction!$E66-Explore!S66*20)</f>
        <v>0.2</v>
      </c>
      <c r="AC66" s="529"/>
      <c r="AD66" s="799">
        <f>Rezone!J66</f>
        <v>64</v>
      </c>
      <c r="AE66" s="589">
        <f>Explore!AA66</f>
        <v>43694.624999999847</v>
      </c>
      <c r="AF66" s="375"/>
      <c r="AG66" s="376"/>
      <c r="AH66" s="348"/>
      <c r="AI66" s="348"/>
      <c r="AJ66" s="348"/>
      <c r="AK66" s="348"/>
      <c r="AL66" s="357"/>
      <c r="AN66" s="56">
        <f ca="1">Production!$H66</f>
        <v>3618524</v>
      </c>
      <c r="AO66" s="26">
        <f ca="1">Production!$L66</f>
        <v>231000</v>
      </c>
      <c r="AP66" s="26">
        <f ca="1">Production!J66</f>
        <v>277817</v>
      </c>
      <c r="AQ66" s="26">
        <f ca="1">Production!M66</f>
        <v>20000</v>
      </c>
      <c r="AR66" s="26">
        <f ca="1">Production!K66</f>
        <v>50599</v>
      </c>
      <c r="AS66" s="26">
        <f ca="1">Production!I66</f>
        <v>240757</v>
      </c>
      <c r="AT66" s="26">
        <f ca="1">Production!N66</f>
        <v>200</v>
      </c>
      <c r="AU66" s="152">
        <f t="shared" ca="1" si="77"/>
        <v>0</v>
      </c>
      <c r="AV66" s="164">
        <f t="shared" ca="1" si="78"/>
        <v>0</v>
      </c>
      <c r="AW66" s="164">
        <f t="shared" ca="1" si="50"/>
        <v>0</v>
      </c>
      <c r="AX66" s="164">
        <f t="shared" ca="1" si="51"/>
        <v>0</v>
      </c>
      <c r="AY66" s="164">
        <f t="shared" ca="1" si="52"/>
        <v>0</v>
      </c>
      <c r="AZ66" s="164">
        <f t="shared" ca="1" si="53"/>
        <v>0</v>
      </c>
      <c r="BA66" s="166">
        <f t="shared" ca="1" si="54"/>
        <v>0</v>
      </c>
      <c r="BB66" s="16">
        <v>64</v>
      </c>
      <c r="BC66" s="574">
        <f t="shared" si="71"/>
        <v>43694.624999999847</v>
      </c>
      <c r="BD66" s="148">
        <f t="shared" ca="1" si="72"/>
        <v>3695</v>
      </c>
      <c r="BE66" s="356"/>
      <c r="BF66" s="348"/>
      <c r="BG66" s="348"/>
      <c r="BH66" s="348"/>
      <c r="BI66" s="348"/>
      <c r="BJ66" s="348"/>
      <c r="BK66" s="348"/>
      <c r="BL66" s="357"/>
      <c r="BN66" s="503">
        <f>Construction!BM66/Construction!E66</f>
        <v>0</v>
      </c>
      <c r="BO66" s="171">
        <f>Construction!BD66/Construction!E66</f>
        <v>0</v>
      </c>
      <c r="BP66" s="152">
        <f>ROUNDUP((1-MIN(AB66*smithy_bonus,smithy_bonus_cap))*(1+Techs!AO66*tech_master_of_frugality)*spec_op_plat,0)</f>
        <v>165</v>
      </c>
      <c r="BQ66" s="164">
        <f>ROUNDUP(IF(race="Gnome",1,(1-MIN(AB66*smithy_bonus,smithy_bonus_cap))*(1+Techs!AO66*tech_master_of_frugality))*spec_op_ore,0)</f>
        <v>15</v>
      </c>
      <c r="BR66" s="164">
        <f t="shared" si="79"/>
        <v>0</v>
      </c>
      <c r="BS66" s="164">
        <f t="shared" si="80"/>
        <v>0</v>
      </c>
      <c r="BT66" s="164">
        <f ca="1">ROUNDUP((1-MIN(AB66*smithy_bonus,smithy_bonus_cap))*(1+Techs!AO66*tech_master_of_frugality)*spec_dp_plat,0)</f>
        <v>165</v>
      </c>
      <c r="BU66" s="164">
        <f ca="1">ROUNDUP(IF(OR(race="Gnome",race="Imperial Gnome"),1,(1-MIN(AB66*smithy_bonus,smithy_bonus_cap))*(1+Techs!AO66*tech_master_of_frugality))*spec_dp_ore,0)</f>
        <v>6</v>
      </c>
      <c r="BV66" s="164">
        <f t="shared" ca="1" si="81"/>
        <v>0</v>
      </c>
      <c r="BW66" s="164">
        <f t="shared" ca="1" si="82"/>
        <v>0</v>
      </c>
      <c r="BX66" s="164">
        <f t="shared" ca="1" si="83"/>
        <v>0</v>
      </c>
      <c r="BY66" s="164">
        <f ca="1">ROUNDUP((1-MIN(AB66*smithy_bonus,smithy_bonus_cap))*(1+Techs!AO66*tech_master_of_frugality)*elite1_plat,0)</f>
        <v>600</v>
      </c>
      <c r="BZ66" s="164">
        <f ca="1">ROUNDUP(IF(race="Gnome",1,(1-MIN(AB66*smithy_bonus,smithy_bonus_cap))*(1+Techs!AO66*tech_master_of_frugality))*elite1_ore,0)</f>
        <v>45</v>
      </c>
      <c r="CA66" s="164">
        <f t="shared" ca="1" si="84"/>
        <v>0</v>
      </c>
      <c r="CB66" s="164">
        <f t="shared" ca="1" si="85"/>
        <v>0</v>
      </c>
      <c r="CC66" s="164">
        <f t="shared" ca="1" si="86"/>
        <v>0</v>
      </c>
      <c r="CD66" s="164">
        <f t="shared" ca="1" si="87"/>
        <v>0</v>
      </c>
      <c r="CE66" s="164">
        <f t="shared" ca="1" si="88"/>
        <v>0</v>
      </c>
      <c r="CF66" s="164">
        <f ca="1">ROUNDUP((1-MIN(AB66*smithy_bonus,smithy_bonus_cap))*(1+Techs!AO66*tech_master_of_frugality)*elite2_plat,0)</f>
        <v>750</v>
      </c>
      <c r="CG66" s="164">
        <f ca="1">ROUNDUP(IF(race="Gnome",1,(1-MIN(AB66*smithy_bonus,smithy_bonus_cap))*(1+Techs!AO66*tech_master_of_frugality))*elite2_ore,0)</f>
        <v>60</v>
      </c>
      <c r="CH66" s="164">
        <f t="shared" ca="1" si="89"/>
        <v>0</v>
      </c>
      <c r="CI66" s="164">
        <f t="shared" ca="1" si="90"/>
        <v>0</v>
      </c>
      <c r="CJ66" s="164">
        <f t="shared" ca="1" si="91"/>
        <v>0</v>
      </c>
      <c r="CK66" s="164">
        <f t="shared" ca="1" si="92"/>
        <v>0</v>
      </c>
      <c r="CL66" s="164">
        <f t="shared" ca="1" si="93"/>
        <v>0</v>
      </c>
      <c r="CM66" s="164">
        <f>ROUNDUP((1+tech_spy_cost*Techs!AJ66)*spy_plat,0)</f>
        <v>500</v>
      </c>
      <c r="CN66" s="164">
        <f>ROUNDUP((1+tech_wizard_cost*Techs!AM66-MIN(ROUND(wg_wiz_cost_bonus*BN66,4),wg_wiz_cost_cap))*wizard_plat,0)</f>
        <v>500</v>
      </c>
      <c r="CO66" s="166">
        <f>ROUNDUP((1+tech_wizard_cost*Techs!AM66-MIN(ROUND(wg_wiz_cost_bonus*BN66,4),wg_wiz_cost_cap))*archmage_plat,0)</f>
        <v>1000</v>
      </c>
      <c r="CQ66" s="465">
        <f ca="1">Construction!DF66/Construction!E66</f>
        <v>0.28000000000000003</v>
      </c>
      <c r="CR66" s="466">
        <f t="shared" si="73"/>
        <v>0</v>
      </c>
      <c r="CS66" s="466">
        <f>Construction!BK66/Construction!E66</f>
        <v>0.05</v>
      </c>
      <c r="CT66" s="466">
        <f>Construction!BJ66/Construction!E66</f>
        <v>0</v>
      </c>
      <c r="CU66" s="466">
        <f>Construction!AY66/Construction!E66</f>
        <v>0</v>
      </c>
      <c r="CV66" s="487">
        <f t="shared" ca="1" si="94"/>
        <v>1.4000000000000001</v>
      </c>
      <c r="CW66" s="488">
        <f t="shared" ca="1" si="95"/>
        <v>1.4000000000000001</v>
      </c>
      <c r="CX66" s="488">
        <f t="shared" ca="1" si="96"/>
        <v>1.4000000000000001</v>
      </c>
      <c r="CY66" s="489">
        <f t="shared" ca="1" si="97"/>
        <v>1.4000000000000001</v>
      </c>
      <c r="CZ66" s="489">
        <f t="shared" si="98"/>
        <v>0.1</v>
      </c>
      <c r="DA66" s="489">
        <f t="shared" ca="1" si="99"/>
        <v>3</v>
      </c>
      <c r="DB66" s="489">
        <f t="shared" ca="1" si="100"/>
        <v>1.4000000000000001</v>
      </c>
      <c r="DC66" s="488">
        <f t="shared" si="101"/>
        <v>0</v>
      </c>
      <c r="DD66" s="848">
        <f t="shared" si="102"/>
        <v>0</v>
      </c>
      <c r="DE66" s="442">
        <f t="shared" si="56"/>
        <v>800</v>
      </c>
      <c r="DF66" s="442">
        <f t="shared" si="57"/>
        <v>0</v>
      </c>
      <c r="DG66" s="487">
        <f t="shared" ca="1" si="103"/>
        <v>1.4000000000000001</v>
      </c>
      <c r="DH66" s="452">
        <f t="shared" si="104"/>
        <v>9.0000000000000011E-2</v>
      </c>
      <c r="DI66" s="452">
        <f>MIN(valkyrja_cap,Production!O66/valkyrja_bonus)</f>
        <v>1</v>
      </c>
      <c r="DJ66" s="848">
        <f>MIN(voodoo_magi_cap,Production!O66/voodoo_magi_bonus)</f>
        <v>0.83333333333333337</v>
      </c>
      <c r="DK66" s="848">
        <f>MIN(warlock_cap,Production!O66/warlock_bonus)</f>
        <v>1.25</v>
      </c>
      <c r="DL66" s="848">
        <f ca="1">MIN(nox_nightshade_cap,Construction!DF66/Construction!E66/nox_nightshade_swamp_bonus)</f>
        <v>2.8000000000000003</v>
      </c>
      <c r="DM66" s="488">
        <f t="shared" si="105"/>
        <v>0</v>
      </c>
      <c r="DN66" s="489">
        <f t="shared" ca="1" si="106"/>
        <v>2.8000000000000003</v>
      </c>
      <c r="DO66" s="489">
        <f t="shared" ca="1" si="107"/>
        <v>2.8000000000000003</v>
      </c>
      <c r="DP66" s="489">
        <f t="shared" si="108"/>
        <v>1</v>
      </c>
      <c r="DQ66" s="488">
        <f t="shared" si="109"/>
        <v>0</v>
      </c>
      <c r="DR66" s="489">
        <f t="shared" si="110"/>
        <v>0</v>
      </c>
      <c r="DS66" s="488">
        <f t="shared" si="111"/>
        <v>0</v>
      </c>
      <c r="DT66" s="489">
        <f t="shared" si="112"/>
        <v>0.1</v>
      </c>
      <c r="DX66" s="487">
        <f ca="1">MIN(6,CV66+Races!$F$19)*1.8 +  IF(CV66+Races!$F$19&gt;6,(CV66+Races!$F$19-6)*0.2,0) - Races!$N$19</f>
        <v>2.5200000000000005</v>
      </c>
      <c r="DY66" s="488">
        <f ca="1">1.8 * MIN(MAX(CW66+Races!$E$20,CX66+Races!$F$20),6)  +  0.45 * MIN(MIN(CW66+Races!$E$20,CX66+Races!$F$20),6)  +  0.2 * ( MAX(CW66+Races!$E$20-6,0) + MAX(CX66+Races!$F$20-6,0) )  -  Races!$N$20</f>
        <v>3.1500000000000012</v>
      </c>
      <c r="DZ66" s="57">
        <f t="shared" ca="1" si="113"/>
        <v>3780.0000000000009</v>
      </c>
      <c r="EA66" s="666">
        <f ca="1">MIN(6,CY66+Races!$F$35)*1.8 +  IF(CY66+Races!$F$35&gt;6,(CY66+Races!$F$35-6)*0.2,0) - Races!$N$19</f>
        <v>0.72000000000000064</v>
      </c>
      <c r="EB66" s="57">
        <f t="shared" ca="1" si="114"/>
        <v>0</v>
      </c>
      <c r="EC66" s="666">
        <f ca="1">1.8 * MIN(MAX(Races!$E$27,DB66+Races!$F$27),6)  +  0.45 * MIN(MIN(Races!$E$27,DB66+Races!$F$27),6)  +  0.2 * ( MAX(Races!$E$27-6,0) + MAX(DB66+Races!$F$27-6,0) )  -  Races!$N$20</f>
        <v>4.7700000000000005</v>
      </c>
      <c r="ED66" s="57">
        <f t="shared" ca="1" si="115"/>
        <v>0</v>
      </c>
      <c r="EE66" s="666">
        <f>1.8 * MIN(MAX(DC66+Races!$E$47,DD66+Races!$F$47),6)  +  0.45 * MIN(MIN(DC66+Races!$E$47,DD66+Races!$F$47),6)  +  0.2 * ( MAX(DC66+Races!$E$47-6,0) + MAX(DD66+Races!$F$47-6,0) )  -  Races!$N$47</f>
        <v>0</v>
      </c>
      <c r="EF66" s="57">
        <f t="shared" si="116"/>
        <v>0</v>
      </c>
      <c r="EG66" s="666">
        <f ca="1">1.8 * MIN(MAX(DG66+Races!$F$71,Races!$E$71),6)  +  0.45 * MIN(MIN(DG66+Races!$F$71,Races!$E$71),6)  +  0.2 * ( MAX(DG66+Races!$F$71-6,0) + MAX(Races!$E$71-6,0) )  -  Races!$N$71</f>
        <v>2.5200000000000014</v>
      </c>
      <c r="EH66" s="666">
        <f>1.8 * MIN(MAX(DH66+Races!$E$71,Races!$F$71),6)  +  0.45 * MIN(MIN(DH66+Races!$E$71,Races!$F$71),6)  +  0.2 * ( MAX(DH66+Races!$E$71-6,0) + MAX(Races!$F$71-6,0) )  -  Races!$N$71</f>
        <v>0.16200000000000081</v>
      </c>
      <c r="EI66" s="57">
        <f t="shared" ca="1" si="117"/>
        <v>2584.8000000000015</v>
      </c>
      <c r="EJ66" s="57"/>
      <c r="EK66" s="57"/>
      <c r="EL66" s="57"/>
      <c r="EM66" s="57">
        <f ca="1">Overview!$L$22*E66+Overview!$L$23*F66+Overview!$L$24*G66+Overview!$L$25*H66+Overview!$L$26*I66+Overview!$L$27*J66+Overview!$L$28*K66+Construction!E66*20+Construction!B66*5 + DZ66*$DV$4+EB66*$DV$5+ED66*$DV$6+EF66*$DV$7+EI66*$DV$9</f>
        <v>39460</v>
      </c>
      <c r="EO66" s="738">
        <f>(J66+2*K66)/Construction!E66</f>
        <v>0.1</v>
      </c>
      <c r="EP66" s="734">
        <f ca="1">EO66*(1+race_wizard_strength+tech_magical_weaponry_wiz*Techs!AV138)</f>
        <v>0.1</v>
      </c>
      <c r="EQ66" s="16">
        <f>(I66+halfer*H66/3)/Construction!E66</f>
        <v>0.1</v>
      </c>
    </row>
    <row r="67" spans="1:147" s="16" customFormat="1">
      <c r="A67" s="629">
        <f>Rezone!J67</f>
        <v>65</v>
      </c>
      <c r="B67" s="56">
        <f ca="1">SUM(E67:K67)+SUM(AF59:AG67)+SUM(AH56:AL67)+Z67+Explore!AL67</f>
        <v>5295</v>
      </c>
      <c r="C67" s="97">
        <f ca="1">Population!G67</f>
        <v>0.57305194805194803</v>
      </c>
      <c r="E67" s="52">
        <f t="shared" si="118"/>
        <v>0</v>
      </c>
      <c r="F67" s="16">
        <f t="shared" si="119"/>
        <v>0</v>
      </c>
      <c r="G67" s="16">
        <f t="shared" si="120"/>
        <v>1000</v>
      </c>
      <c r="H67" s="16">
        <f t="shared" si="121"/>
        <v>400</v>
      </c>
      <c r="I67" s="16">
        <f t="shared" si="122"/>
        <v>100</v>
      </c>
      <c r="J67" s="16">
        <f t="shared" si="123"/>
        <v>100</v>
      </c>
      <c r="K67" s="53">
        <f t="shared" si="124"/>
        <v>0</v>
      </c>
      <c r="M67" s="64">
        <f ca="1">Production!G67</f>
        <v>39460</v>
      </c>
      <c r="O67" s="142">
        <f t="shared" ref="O67:O98" ca="1" si="125">E67*(spec_op+spirit*DR67)+G67*(elite1_op+dark_elf*DC67+beast*DN67+sacred*DP67+spirit*DS67+halfer*CZ67+norse*DI67)+H67*(elite2_op+icekin*DH67+woodie*CW67+ants*DM67+beast*DO67+sacred*DQ67+undead*DT67+lizzie*DA67)+kobold*DF67</f>
        <v>4400</v>
      </c>
      <c r="P67" s="455">
        <f ca="1">race_offense+Imps!AB67+ROUND(MIN(gn_bonus*Construction!BF67/Construction!$E67,gn_bonus_cap),4)+MAX(IF(Magic!$AN67&gt;0,warsong_bonus),IF(Magic!AP67&gt;0,howling_op_bonus),IF(Magic!AS67&gt;0,nightfall_bonus),IF(Magic!AT67&gt;0,crusade_bonus),IF(Magic!AU67&gt;0,killingrage_bonus),IF(Magic!AV67&gt;0,bloodrage_bonus)) + Production!O67/100*prestige_offense_bonus + MAX(tech_military_offense*Techs!AH67,tech_magical_weaponry_op*Techs!AV67)</f>
        <v>0.05</v>
      </c>
      <c r="Q67" s="235">
        <f t="shared" ca="1" si="46"/>
        <v>4620</v>
      </c>
      <c r="R67" s="234">
        <f ca="1">F67*(spec_dp+spirit*DR67)+G67*(elite1_dp+woodie*CV67+sylvan*CY67+gnome*DB67+dark_elf*DD67+icekin*DG67+orc*DJ67+nox*DL67+beast*DN67+sacred*DP67+spirit*DS67+blackorc*DK67)+H67*(elite2_dp+woodie*CX67+beast*DO67+sacred*DQ67) + fh_peas_dp*MIN(Population!C67,20*Construction!BD67)+kobold*DE67</f>
        <v>7200</v>
      </c>
      <c r="S67" s="235">
        <f t="shared" ref="S67:S98" ca="1" si="126">R67+Z67*IF(race="Ants",0.1,IF(race="Growth",0.01,1))</f>
        <v>10895</v>
      </c>
      <c r="T67" s="1052">
        <f ca="1">race_defense+Imps!AC67+ROUND(MIN(gt_bonus*Construction!BH67/Construction!$E67,gt_bonus_cap),4)+MAX(IF(Magic!AM67&gt;0,frenzy_bonus,IF(Magic!AQ67&gt;0,blizzard_bonus,IF(Magic!AP67&gt;0,howling_dp_bonus,IF(Magic!AI67&gt;0,ares_call_bonus)))),IF(Magic!AX67&gt;0,MIN(Construction!DF67/Construction!E67,0.2),0))</f>
        <v>0</v>
      </c>
      <c r="U67" s="1046">
        <f t="shared" ca="1" si="47"/>
        <v>7200</v>
      </c>
      <c r="V67" s="310">
        <f t="shared" ca="1" si="48"/>
        <v>10895</v>
      </c>
      <c r="W67" s="310">
        <f>Construction!E67</f>
        <v>1000</v>
      </c>
      <c r="X67" s="367"/>
      <c r="Y67" s="146">
        <f t="shared" si="74"/>
        <v>0.4</v>
      </c>
      <c r="Z67" s="166">
        <f ca="1">Z66+Population!Z66 - IF(race="Lux",AF67,SUM(AF67:AK67)) - BE67 + SUM(BF67:BL67) - Explore!AI67</f>
        <v>3695</v>
      </c>
      <c r="AA67" s="164"/>
      <c r="AB67" s="91">
        <f>(Construction!$BA67+Construction!BY67)/(Construction!$E67-Explore!S67*20)</f>
        <v>0.2</v>
      </c>
      <c r="AC67" s="529"/>
      <c r="AD67" s="799">
        <f>Rezone!J67</f>
        <v>65</v>
      </c>
      <c r="AE67" s="589">
        <f>Explore!AA67</f>
        <v>43694.666666666511</v>
      </c>
      <c r="AF67" s="375"/>
      <c r="AG67" s="376"/>
      <c r="AH67" s="348"/>
      <c r="AI67" s="348"/>
      <c r="AJ67" s="348"/>
      <c r="AK67" s="348"/>
      <c r="AL67" s="357"/>
      <c r="AN67" s="56">
        <f ca="1">Production!$H67</f>
        <v>3629175</v>
      </c>
      <c r="AO67" s="26">
        <f ca="1">Production!$L67</f>
        <v>231000</v>
      </c>
      <c r="AP67" s="26">
        <f ca="1">Production!J67</f>
        <v>277539</v>
      </c>
      <c r="AQ67" s="26">
        <f ca="1">Production!M67</f>
        <v>20000</v>
      </c>
      <c r="AR67" s="26">
        <f ca="1">Production!K67</f>
        <v>50837</v>
      </c>
      <c r="AS67" s="26">
        <f ca="1">Production!I67</f>
        <v>243079</v>
      </c>
      <c r="AT67" s="26">
        <f ca="1">Production!N67</f>
        <v>200</v>
      </c>
      <c r="AU67" s="152">
        <f t="shared" ref="AU67:AU98" ca="1" si="127">$AF67*BP67+$AG67*BT67+$AH67*BY67+$AI67*CF67+AJ67*CM67+AK67*CN67+AL67*CO67</f>
        <v>0</v>
      </c>
      <c r="AV67" s="164">
        <f t="shared" ref="AV67:AV98" ca="1" si="128">$AF67*BQ67+$AG67*BU67+$AH67*BZ67+$AI67*CG67</f>
        <v>0</v>
      </c>
      <c r="AW67" s="164">
        <f t="shared" ca="1" si="50"/>
        <v>0</v>
      </c>
      <c r="AX67" s="164">
        <f t="shared" ca="1" si="51"/>
        <v>0</v>
      </c>
      <c r="AY67" s="164">
        <f t="shared" ca="1" si="52"/>
        <v>0</v>
      </c>
      <c r="AZ67" s="164">
        <f t="shared" ca="1" si="53"/>
        <v>0</v>
      </c>
      <c r="BA67" s="166">
        <f t="shared" ca="1" si="54"/>
        <v>0</v>
      </c>
      <c r="BB67" s="16">
        <v>65</v>
      </c>
      <c r="BC67" s="574">
        <f t="shared" si="71"/>
        <v>43694.666666666511</v>
      </c>
      <c r="BD67" s="148">
        <f t="shared" ca="1" si="72"/>
        <v>3695</v>
      </c>
      <c r="BE67" s="356"/>
      <c r="BF67" s="348"/>
      <c r="BG67" s="348"/>
      <c r="BH67" s="348"/>
      <c r="BI67" s="348"/>
      <c r="BJ67" s="348"/>
      <c r="BK67" s="348"/>
      <c r="BL67" s="357"/>
      <c r="BN67" s="503">
        <f>Construction!BM67/Construction!E67</f>
        <v>0</v>
      </c>
      <c r="BO67" s="171">
        <f>Construction!BD67/Construction!E67</f>
        <v>0</v>
      </c>
      <c r="BP67" s="152">
        <f>ROUNDUP((1-MIN(AB67*smithy_bonus,smithy_bonus_cap))*(1+Techs!AO67*tech_master_of_frugality)*spec_op_plat,0)</f>
        <v>165</v>
      </c>
      <c r="BQ67" s="164">
        <f>ROUNDUP(IF(race="Gnome",1,(1-MIN(AB67*smithy_bonus,smithy_bonus_cap))*(1+Techs!AO67*tech_master_of_frugality))*spec_op_ore,0)</f>
        <v>15</v>
      </c>
      <c r="BR67" s="164">
        <f t="shared" ref="BR67:BR98" si="129">spec1_mana</f>
        <v>0</v>
      </c>
      <c r="BS67" s="164">
        <f t="shared" ref="BS67:BS98" si="130">spec1_food</f>
        <v>0</v>
      </c>
      <c r="BT67" s="164">
        <f ca="1">ROUNDUP((1-MIN(AB67*smithy_bonus,smithy_bonus_cap))*(1+Techs!AO67*tech_master_of_frugality)*spec_dp_plat,0)</f>
        <v>165</v>
      </c>
      <c r="BU67" s="164">
        <f ca="1">ROUNDUP(IF(OR(race="Gnome",race="Imperial Gnome"),1,(1-MIN(AB67*smithy_bonus,smithy_bonus_cap))*(1+Techs!AO67*tech_master_of_frugality))*spec_dp_ore,0)</f>
        <v>6</v>
      </c>
      <c r="BV67" s="164">
        <f t="shared" ref="BV67:BV98" ca="1" si="131">spec2_mana</f>
        <v>0</v>
      </c>
      <c r="BW67" s="164">
        <f t="shared" ref="BW67:BW98" ca="1" si="132">spec2_gems</f>
        <v>0</v>
      </c>
      <c r="BX67" s="164">
        <f t="shared" ref="BX67:BX98" ca="1" si="133">spec2_food</f>
        <v>0</v>
      </c>
      <c r="BY67" s="164">
        <f ca="1">ROUNDUP((1-MIN(AB67*smithy_bonus,smithy_bonus_cap))*(1+Techs!AO67*tech_master_of_frugality)*elite1_plat,0)</f>
        <v>600</v>
      </c>
      <c r="BZ67" s="164">
        <f ca="1">ROUNDUP(IF(race="Gnome",1,(1-MIN(AB67*smithy_bonus,smithy_bonus_cap))*(1+Techs!AO67*tech_master_of_frugality))*elite1_ore,0)</f>
        <v>45</v>
      </c>
      <c r="CA67" s="164">
        <f t="shared" ref="CA67:CA98" ca="1" si="134">ROUNDUP((1-MIN(AB67*smithy_bonus,smithy_bonus_cap))*elite1_lumber,0)</f>
        <v>0</v>
      </c>
      <c r="CB67" s="164">
        <f t="shared" ref="CB67:CB98" ca="1" si="135">elite1_gems</f>
        <v>0</v>
      </c>
      <c r="CC67" s="164">
        <f t="shared" ref="CC67:CC98" ca="1" si="136">elite1_mana</f>
        <v>0</v>
      </c>
      <c r="CD67" s="164">
        <f t="shared" ref="CD67:CD98" ca="1" si="137">elite1_food</f>
        <v>0</v>
      </c>
      <c r="CE67" s="164">
        <f t="shared" ref="CE67:CE98" ca="1" si="138">elite1_boats</f>
        <v>0</v>
      </c>
      <c r="CF67" s="164">
        <f ca="1">ROUNDUP((1-MIN(AB67*smithy_bonus,smithy_bonus_cap))*(1+Techs!AO67*tech_master_of_frugality)*elite2_plat,0)</f>
        <v>750</v>
      </c>
      <c r="CG67" s="164">
        <f ca="1">ROUNDUP(IF(race="Gnome",1,(1-MIN(AB67*smithy_bonus,smithy_bonus_cap))*(1+Techs!AO67*tech_master_of_frugality))*elite2_ore,0)</f>
        <v>60</v>
      </c>
      <c r="CH67" s="164">
        <f t="shared" ref="CH67:CH98" ca="1" si="139">ROUNDUP((1-MIN(AB67*smithy_bonus,smithy_bonus_cap))*elite2_lumber,0)</f>
        <v>0</v>
      </c>
      <c r="CI67" s="164">
        <f t="shared" ref="CI67:CI98" ca="1" si="140">elite2_gems</f>
        <v>0</v>
      </c>
      <c r="CJ67" s="164">
        <f t="shared" ref="CJ67:CJ98" ca="1" si="141">elite2_mana</f>
        <v>0</v>
      </c>
      <c r="CK67" s="164">
        <f t="shared" ref="CK67:CK98" ca="1" si="142">elite2_food</f>
        <v>0</v>
      </c>
      <c r="CL67" s="164">
        <f t="shared" ref="CL67:CL98" ca="1" si="143">elite2_boats</f>
        <v>0</v>
      </c>
      <c r="CM67" s="164">
        <f>ROUNDUP((1+tech_spy_cost*Techs!AJ67)*spy_plat,0)</f>
        <v>500</v>
      </c>
      <c r="CN67" s="164">
        <f>ROUNDUP((1+tech_wizard_cost*Techs!AM67-MIN(ROUND(wg_wiz_cost_bonus*BN67,4),wg_wiz_cost_cap))*wizard_plat,0)</f>
        <v>500</v>
      </c>
      <c r="CO67" s="166">
        <f>ROUNDUP((1+tech_wizard_cost*Techs!AM67-MIN(ROUND(wg_wiz_cost_bonus*BN67,4),wg_wiz_cost_cap))*archmage_plat,0)</f>
        <v>1000</v>
      </c>
      <c r="CQ67" s="465">
        <f ca="1">Construction!DF67/Construction!E67</f>
        <v>0.28000000000000003</v>
      </c>
      <c r="CR67" s="466">
        <f t="shared" si="73"/>
        <v>0</v>
      </c>
      <c r="CS67" s="466">
        <f>Construction!BK67/Construction!E67</f>
        <v>0.05</v>
      </c>
      <c r="CT67" s="466">
        <f>Construction!BJ67/Construction!E67</f>
        <v>0</v>
      </c>
      <c r="CU67" s="466">
        <f>Construction!AY67/Construction!E67</f>
        <v>0</v>
      </c>
      <c r="CV67" s="487">
        <f t="shared" ref="CV67:CV98" ca="1" si="144">IF(mystic_cap="none",CQ67/mystic_bonus,MIN(mystic_cap,CQ67/mystic_bonus))</f>
        <v>1.4000000000000001</v>
      </c>
      <c r="CW67" s="488">
        <f t="shared" ref="CW67:CW98" ca="1" si="145">IF(druid_op_cap="none",CQ67/druid_op_bonus,MIN(druid_op_cap,CQ67/druid_op_bonus))</f>
        <v>1.4000000000000001</v>
      </c>
      <c r="CX67" s="488">
        <f t="shared" ref="CX67:CX98" ca="1" si="146">IF(druid_dp_cap="none",CQ67/druid_dp_bonus,MIN(druid_dp_cap,CQ67/druid_dp_bonus))</f>
        <v>1.4000000000000001</v>
      </c>
      <c r="CY67" s="489">
        <f t="shared" ref="CY67:CY98" ca="1" si="147">MIN(dryad_cap,CQ67/dryad_bonus)</f>
        <v>1.4000000000000001</v>
      </c>
      <c r="CZ67" s="489">
        <f t="shared" ref="CZ67:CZ98" si="148">MIN(staff_cap,EQ67*staff_bonus)</f>
        <v>0.1</v>
      </c>
      <c r="DA67" s="489">
        <f t="shared" ref="DA67:DA98" ca="1" si="149">MIN(lizardman_cap,CQ67/lizardman_bonus)</f>
        <v>3</v>
      </c>
      <c r="DB67" s="489">
        <f t="shared" ref="DB67:DB98" ca="1" si="150">MIN(rocka_cap,CQ67/rocka_bonus)</f>
        <v>1.4000000000000001</v>
      </c>
      <c r="DC67" s="488">
        <f t="shared" ref="DC67:DC98" si="151">MIN(adept_op_cap,CR67/adept_op_bonus)</f>
        <v>0</v>
      </c>
      <c r="DD67" s="848">
        <f t="shared" ref="DD67:DD98" si="152">MIN(adept_dp_cap,CR67/adept_dp_bonus)</f>
        <v>0</v>
      </c>
      <c r="DE67" s="442">
        <f t="shared" si="56"/>
        <v>800</v>
      </c>
      <c r="DF67" s="442">
        <f t="shared" si="57"/>
        <v>0</v>
      </c>
      <c r="DG67" s="487">
        <f t="shared" ref="DG67:DG98" ca="1" si="153">MIN(frost_mage_cap,CQ67/frost_mage_bonus)</f>
        <v>1.4000000000000001</v>
      </c>
      <c r="DH67" s="452">
        <f t="shared" ref="DH67:DH98" si="154">MIN(ice_elem_cap,EO67*ice_elem_bonus)</f>
        <v>9.0000000000000011E-2</v>
      </c>
      <c r="DI67" s="452">
        <f>MIN(valkyrja_cap,Production!O67/valkyrja_bonus)</f>
        <v>1</v>
      </c>
      <c r="DJ67" s="848">
        <f>MIN(voodoo_magi_cap,Production!O67/voodoo_magi_bonus)</f>
        <v>0.83333333333333337</v>
      </c>
      <c r="DK67" s="848">
        <f>MIN(warlock_cap,Production!O67/warlock_bonus)</f>
        <v>1.25</v>
      </c>
      <c r="DL67" s="848">
        <f ca="1">MIN(nox_nightshade_cap,Construction!DF67/Construction!E67/nox_nightshade_swamp_bonus)</f>
        <v>2.8000000000000003</v>
      </c>
      <c r="DM67" s="488">
        <f t="shared" ref="DM67:DM98" si="155">MIN(flying_ant_cap,BO67/flying_ant_bonus)</f>
        <v>0</v>
      </c>
      <c r="DN67" s="489">
        <f t="shared" ref="DN67:DN98" ca="1" si="156">MIN(goat_witch_cap,CQ67/goat_witch_bonus)</f>
        <v>2.8000000000000003</v>
      </c>
      <c r="DO67" s="489">
        <f t="shared" ref="DO67:DO98" ca="1" si="157">MIN(minotaur_cap,CQ67/minotaur_bonus)</f>
        <v>2.8000000000000003</v>
      </c>
      <c r="DP67" s="489">
        <f t="shared" ref="DP67:DP98" si="158">MIN(fanatic_cap,CS67/fanatic_bonus)</f>
        <v>1</v>
      </c>
      <c r="DQ67" s="488">
        <f t="shared" ref="DQ67:DQ98" si="159">MIN(holy_warrior_cap,CT67/holy_warrior_bonus)</f>
        <v>0</v>
      </c>
      <c r="DR67" s="489">
        <f t="shared" ref="DR67:DR98" si="160">MIN(banshee_cap,CU67/banshee_bonus)</f>
        <v>0</v>
      </c>
      <c r="DS67" s="488">
        <f t="shared" ref="DS67:DS98" si="161">MIN(phantom_cap,CU67/phantom_bonus)</f>
        <v>0</v>
      </c>
      <c r="DT67" s="489">
        <f t="shared" ref="DT67:DT98" si="162">MIN(wraith_cap,EO67*wraith_bonus)</f>
        <v>0.1</v>
      </c>
      <c r="DX67" s="487">
        <f ca="1">MIN(6,CV67+Races!$F$19)*1.8 +  IF(CV67+Races!$F$19&gt;6,(CV67+Races!$F$19-6)*0.2,0) - Races!$N$19</f>
        <v>2.5200000000000005</v>
      </c>
      <c r="DY67" s="488">
        <f ca="1">1.8 * MIN(MAX(CW67+Races!$E$20,CX67+Races!$F$20),6)  +  0.45 * MIN(MIN(CW67+Races!$E$20,CX67+Races!$F$20),6)  +  0.2 * ( MAX(CW67+Races!$E$20-6,0) + MAX(CX67+Races!$F$20-6,0) )  -  Races!$N$20</f>
        <v>3.1500000000000012</v>
      </c>
      <c r="DZ67" s="57">
        <f t="shared" ref="DZ67:DZ98" ca="1" si="163">DX67*G67+DY67*H67</f>
        <v>3780.0000000000009</v>
      </c>
      <c r="EA67" s="666">
        <f ca="1">MIN(6,CY67+Races!$F$35)*1.8 +  IF(CY67+Races!$F$35&gt;6,(CY67+Races!$F$35-6)*0.2,0) - Races!$N$19</f>
        <v>0.72000000000000064</v>
      </c>
      <c r="EB67" s="57">
        <f t="shared" ref="EB67:EB98" ca="1" si="164">$DV$5*(DX67*G67)</f>
        <v>0</v>
      </c>
      <c r="EC67" s="666">
        <f ca="1">1.8 * MIN(MAX(Races!$E$27,DB67+Races!$F$27),6)  +  0.45 * MIN(MIN(Races!$E$27,DB67+Races!$F$27),6)  +  0.2 * ( MAX(Races!$E$27-6,0) + MAX(DB67+Races!$F$27-6,0) )  -  Races!$N$20</f>
        <v>4.7700000000000005</v>
      </c>
      <c r="ED67" s="57">
        <f t="shared" ref="ED67:ED98" ca="1" si="165">$DV$6*(EC67*G67)</f>
        <v>0</v>
      </c>
      <c r="EE67" s="666">
        <f>1.8 * MIN(MAX(DC67+Races!$E$47,DD67+Races!$F$47),6)  +  0.45 * MIN(MIN(DC67+Races!$E$47,DD67+Races!$F$47),6)  +  0.2 * ( MAX(DC67+Races!$E$47-6,0) + MAX(DD67+Races!$F$47-6,0) )  -  Races!$N$47</f>
        <v>0</v>
      </c>
      <c r="EF67" s="57">
        <f t="shared" ref="EF67:EF98" si="166">$DV$7*(EE67*G67)</f>
        <v>0</v>
      </c>
      <c r="EG67" s="666">
        <f ca="1">1.8 * MIN(MAX(DG67+Races!$F$71,Races!$E$71),6)  +  0.45 * MIN(MIN(DG67+Races!$F$71,Races!$E$71),6)  +  0.2 * ( MAX(DG67+Races!$F$71-6,0) + MAX(Races!$E$71-6,0) )  -  Races!$N$71</f>
        <v>2.5200000000000014</v>
      </c>
      <c r="EH67" s="666">
        <f>1.8 * MIN(MAX(DH67+Races!$E$71,Races!$F$71),6)  +  0.45 * MIN(MIN(DH67+Races!$E$71,Races!$F$71),6)  +  0.2 * ( MAX(DH67+Races!$E$71-6,0) + MAX(Races!$F$71-6,0) )  -  Races!$N$71</f>
        <v>0.16200000000000081</v>
      </c>
      <c r="EI67" s="57">
        <f t="shared" ref="EI67:EI98" ca="1" si="167">EG67*G67+EH67*H67</f>
        <v>2584.8000000000015</v>
      </c>
      <c r="EJ67" s="57"/>
      <c r="EK67" s="57"/>
      <c r="EL67" s="57"/>
      <c r="EM67" s="57">
        <f ca="1">Overview!$L$22*E67+Overview!$L$23*F67+Overview!$L$24*G67+Overview!$L$25*H67+Overview!$L$26*I67+Overview!$L$27*J67+Overview!$L$28*K67+Construction!E67*20+Construction!B67*5 + DZ67*$DV$4+EB67*$DV$5+ED67*$DV$6+EF67*$DV$7+EI67*$DV$9</f>
        <v>39460</v>
      </c>
      <c r="EO67" s="738">
        <f>(J67+2*K67)/Construction!E67</f>
        <v>0.1</v>
      </c>
      <c r="EP67" s="734">
        <f ca="1">EO67*(1+race_wizard_strength+tech_magical_weaponry_wiz*Techs!AV139)</f>
        <v>0.1</v>
      </c>
      <c r="EQ67" s="16">
        <f>(I67+halfer*H67/3)/Construction!E67</f>
        <v>0.1</v>
      </c>
    </row>
    <row r="68" spans="1:147" s="16" customFormat="1">
      <c r="A68" s="629">
        <f>Rezone!J68</f>
        <v>66</v>
      </c>
      <c r="B68" s="56">
        <f ca="1">SUM(E68:K68)+SUM(AF60:AG68)+SUM(AH57:AL68)+Z68+Explore!AL68</f>
        <v>5295</v>
      </c>
      <c r="C68" s="97">
        <f ca="1">Population!G68</f>
        <v>0.57305194805194803</v>
      </c>
      <c r="E68" s="52">
        <f t="shared" si="118"/>
        <v>0</v>
      </c>
      <c r="F68" s="16">
        <f t="shared" si="119"/>
        <v>0</v>
      </c>
      <c r="G68" s="16">
        <f t="shared" si="120"/>
        <v>1000</v>
      </c>
      <c r="H68" s="16">
        <f t="shared" si="121"/>
        <v>400</v>
      </c>
      <c r="I68" s="16">
        <f t="shared" si="122"/>
        <v>100</v>
      </c>
      <c r="J68" s="16">
        <f t="shared" si="123"/>
        <v>100</v>
      </c>
      <c r="K68" s="53">
        <f t="shared" si="124"/>
        <v>0</v>
      </c>
      <c r="M68" s="64">
        <f ca="1">Production!G68</f>
        <v>39460</v>
      </c>
      <c r="O68" s="142">
        <f t="shared" ca="1" si="125"/>
        <v>4400</v>
      </c>
      <c r="P68" s="455">
        <f ca="1">race_offense+Imps!AB68+ROUND(MIN(gn_bonus*Construction!BF68/Construction!$E68,gn_bonus_cap),4)+MAX(IF(Magic!$AN68&gt;0,warsong_bonus),IF(Magic!AP68&gt;0,howling_op_bonus),IF(Magic!AS68&gt;0,nightfall_bonus),IF(Magic!AT68&gt;0,crusade_bonus),IF(Magic!AU68&gt;0,killingrage_bonus),IF(Magic!AV68&gt;0,bloodrage_bonus)) + Production!O68/100*prestige_offense_bonus + MAX(tech_military_offense*Techs!AH68,tech_magical_weaponry_op*Techs!AV68)</f>
        <v>0.05</v>
      </c>
      <c r="Q68" s="235">
        <f t="shared" ref="Q68:Q131" ca="1" si="168">O68*(1+P68)</f>
        <v>4620</v>
      </c>
      <c r="R68" s="234">
        <f ca="1">F68*(spec_dp+spirit*DR68)+G68*(elite1_dp+woodie*CV68+sylvan*CY68+gnome*DB68+dark_elf*DD68+icekin*DG68+orc*DJ68+nox*DL68+beast*DN68+sacred*DP68+spirit*DS68+blackorc*DK68)+H68*(elite2_dp+woodie*CX68+beast*DO68+sacred*DQ68) + fh_peas_dp*MIN(Population!C68,20*Construction!BD68)+kobold*DE68</f>
        <v>7200</v>
      </c>
      <c r="S68" s="235">
        <f t="shared" ca="1" si="126"/>
        <v>10895</v>
      </c>
      <c r="T68" s="1052">
        <f ca="1">race_defense+Imps!AC68+ROUND(MIN(gt_bonus*Construction!BH68/Construction!$E68,gt_bonus_cap),4)+MAX(IF(Magic!AM68&gt;0,frenzy_bonus,IF(Magic!AQ68&gt;0,blizzard_bonus,IF(Magic!AP68&gt;0,howling_dp_bonus,IF(Magic!AI68&gt;0,ares_call_bonus)))),IF(Magic!AX68&gt;0,MIN(Construction!DF68/Construction!E68,0.2),0))</f>
        <v>0</v>
      </c>
      <c r="U68" s="1046">
        <f t="shared" ref="U68:U131" ca="1" si="169">R68 * (1 + T68)</f>
        <v>7200</v>
      </c>
      <c r="V68" s="310">
        <f t="shared" ref="V68:V131" ca="1" si="170">S68 * (1 + T68)</f>
        <v>10895</v>
      </c>
      <c r="W68" s="310">
        <f>Construction!E68</f>
        <v>1000</v>
      </c>
      <c r="X68" s="367"/>
      <c r="Y68" s="146">
        <f t="shared" si="74"/>
        <v>0.4</v>
      </c>
      <c r="Z68" s="166">
        <f ca="1">Z67+Population!Z67 - IF(race="Lux",AF68,SUM(AF68:AK68)) - BE68 + SUM(BF68:BL68) - Explore!AI68</f>
        <v>3695</v>
      </c>
      <c r="AA68" s="164"/>
      <c r="AB68" s="91">
        <f>(Construction!$BA68+Construction!BY68)/(Construction!$E68-Explore!S68*20)</f>
        <v>0.2</v>
      </c>
      <c r="AC68" s="529"/>
      <c r="AD68" s="799">
        <f>Rezone!J68</f>
        <v>66</v>
      </c>
      <c r="AE68" s="589">
        <f>Explore!AA68</f>
        <v>43694.708333333176</v>
      </c>
      <c r="AF68" s="356"/>
      <c r="AG68" s="376"/>
      <c r="AH68" s="348"/>
      <c r="AI68" s="348"/>
      <c r="AJ68" s="348"/>
      <c r="AK68" s="348"/>
      <c r="AL68" s="357"/>
      <c r="AN68" s="56">
        <f ca="1">Production!$H68</f>
        <v>3639826</v>
      </c>
      <c r="AO68" s="26">
        <f ca="1">Production!$L68</f>
        <v>231000</v>
      </c>
      <c r="AP68" s="26">
        <f ca="1">Production!J68</f>
        <v>277264</v>
      </c>
      <c r="AQ68" s="26">
        <f ca="1">Production!M68</f>
        <v>20000</v>
      </c>
      <c r="AR68" s="26">
        <f ca="1">Production!K68</f>
        <v>51070</v>
      </c>
      <c r="AS68" s="26">
        <f ca="1">Production!I68</f>
        <v>245378</v>
      </c>
      <c r="AT68" s="26">
        <f ca="1">Production!N68</f>
        <v>200</v>
      </c>
      <c r="AU68" s="152">
        <f t="shared" ca="1" si="127"/>
        <v>0</v>
      </c>
      <c r="AV68" s="164">
        <f t="shared" ca="1" si="128"/>
        <v>0</v>
      </c>
      <c r="AW68" s="164">
        <f t="shared" ref="AW68:AW131" ca="1" si="171">$AH68*CA68+$AI68*CH68</f>
        <v>0</v>
      </c>
      <c r="AX68" s="164">
        <f t="shared" ref="AX68:AX131" ca="1" si="172">$AG68*BW68+$AH68*CB68+$AI68*CI68</f>
        <v>0</v>
      </c>
      <c r="AY68" s="164">
        <f t="shared" ref="AY68:AY131" ca="1" si="173">$AF68*BR68+$AG68*BV68+$AH68*CC68+$AI68*CJ68</f>
        <v>0</v>
      </c>
      <c r="AZ68" s="164">
        <f t="shared" ref="AZ68:AZ131" ca="1" si="174">$AF68*BS68+$AG68*BX68+$AH68*CD68+$AI68*CK68</f>
        <v>0</v>
      </c>
      <c r="BA68" s="166">
        <f t="shared" ref="BA68:BA131" ca="1" si="175">$AH68*CE68+$AI68*CL68</f>
        <v>0</v>
      </c>
      <c r="BB68" s="16">
        <v>66</v>
      </c>
      <c r="BC68" s="574">
        <f t="shared" ref="BC68:BC131" si="176">AE68</f>
        <v>43694.708333333176</v>
      </c>
      <c r="BD68" s="148">
        <f t="shared" ref="BD68:BD131" ca="1" si="177">$Z68</f>
        <v>3695</v>
      </c>
      <c r="BE68" s="356"/>
      <c r="BF68" s="348"/>
      <c r="BG68" s="348"/>
      <c r="BH68" s="348"/>
      <c r="BI68" s="348"/>
      <c r="BJ68" s="348"/>
      <c r="BK68" s="348"/>
      <c r="BL68" s="357"/>
      <c r="BN68" s="503">
        <f>Construction!BM68/Construction!E68</f>
        <v>0</v>
      </c>
      <c r="BO68" s="171">
        <f>Construction!BD68/Construction!E68</f>
        <v>0</v>
      </c>
      <c r="BP68" s="152">
        <f>ROUNDUP((1-MIN(AB68*smithy_bonus,smithy_bonus_cap))*(1+Techs!AO68*tech_master_of_frugality)*spec_op_plat,0)</f>
        <v>165</v>
      </c>
      <c r="BQ68" s="164">
        <f>ROUNDUP(IF(race="Gnome",1,(1-MIN(AB68*smithy_bonus,smithy_bonus_cap))*(1+Techs!AO68*tech_master_of_frugality))*spec_op_ore,0)</f>
        <v>15</v>
      </c>
      <c r="BR68" s="164">
        <f t="shared" si="129"/>
        <v>0</v>
      </c>
      <c r="BS68" s="164">
        <f t="shared" si="130"/>
        <v>0</v>
      </c>
      <c r="BT68" s="164">
        <f ca="1">ROUNDUP((1-MIN(AB68*smithy_bonus,smithy_bonus_cap))*(1+Techs!AO68*tech_master_of_frugality)*spec_dp_plat,0)</f>
        <v>165</v>
      </c>
      <c r="BU68" s="164">
        <f ca="1">ROUNDUP(IF(OR(race="Gnome",race="Imperial Gnome"),1,(1-MIN(AB68*smithy_bonus,smithy_bonus_cap))*(1+Techs!AO68*tech_master_of_frugality))*spec_dp_ore,0)</f>
        <v>6</v>
      </c>
      <c r="BV68" s="164">
        <f t="shared" ca="1" si="131"/>
        <v>0</v>
      </c>
      <c r="BW68" s="164">
        <f t="shared" ca="1" si="132"/>
        <v>0</v>
      </c>
      <c r="BX68" s="164">
        <f t="shared" ca="1" si="133"/>
        <v>0</v>
      </c>
      <c r="BY68" s="164">
        <f ca="1">ROUNDUP((1-MIN(AB68*smithy_bonus,smithy_bonus_cap))*(1+Techs!AO68*tech_master_of_frugality)*elite1_plat,0)</f>
        <v>600</v>
      </c>
      <c r="BZ68" s="164">
        <f ca="1">ROUNDUP(IF(race="Gnome",1,(1-MIN(AB68*smithy_bonus,smithy_bonus_cap))*(1+Techs!AO68*tech_master_of_frugality))*elite1_ore,0)</f>
        <v>45</v>
      </c>
      <c r="CA68" s="164">
        <f t="shared" ca="1" si="134"/>
        <v>0</v>
      </c>
      <c r="CB68" s="164">
        <f t="shared" ca="1" si="135"/>
        <v>0</v>
      </c>
      <c r="CC68" s="164">
        <f t="shared" ca="1" si="136"/>
        <v>0</v>
      </c>
      <c r="CD68" s="164">
        <f t="shared" ca="1" si="137"/>
        <v>0</v>
      </c>
      <c r="CE68" s="164">
        <f t="shared" ca="1" si="138"/>
        <v>0</v>
      </c>
      <c r="CF68" s="164">
        <f ca="1">ROUNDUP((1-MIN(AB68*smithy_bonus,smithy_bonus_cap))*(1+Techs!AO68*tech_master_of_frugality)*elite2_plat,0)</f>
        <v>750</v>
      </c>
      <c r="CG68" s="164">
        <f ca="1">ROUNDUP(IF(race="Gnome",1,(1-MIN(AB68*smithy_bonus,smithy_bonus_cap))*(1+Techs!AO68*tech_master_of_frugality))*elite2_ore,0)</f>
        <v>60</v>
      </c>
      <c r="CH68" s="164">
        <f t="shared" ca="1" si="139"/>
        <v>0</v>
      </c>
      <c r="CI68" s="164">
        <f t="shared" ca="1" si="140"/>
        <v>0</v>
      </c>
      <c r="CJ68" s="164">
        <f t="shared" ca="1" si="141"/>
        <v>0</v>
      </c>
      <c r="CK68" s="164">
        <f t="shared" ca="1" si="142"/>
        <v>0</v>
      </c>
      <c r="CL68" s="164">
        <f t="shared" ca="1" si="143"/>
        <v>0</v>
      </c>
      <c r="CM68" s="164">
        <f>ROUNDUP((1+tech_spy_cost*Techs!AJ68)*spy_plat,0)</f>
        <v>500</v>
      </c>
      <c r="CN68" s="164">
        <f>ROUNDUP((1+tech_wizard_cost*Techs!AM68-MIN(ROUND(wg_wiz_cost_bonus*BN68,4),wg_wiz_cost_cap))*wizard_plat,0)</f>
        <v>500</v>
      </c>
      <c r="CO68" s="166">
        <f>ROUNDUP((1+tech_wizard_cost*Techs!AM68-MIN(ROUND(wg_wiz_cost_bonus*BN68,4),wg_wiz_cost_cap))*archmage_plat,0)</f>
        <v>1000</v>
      </c>
      <c r="CQ68" s="465">
        <f ca="1">Construction!DF68/Construction!E68</f>
        <v>0.28000000000000003</v>
      </c>
      <c r="CR68" s="466">
        <f t="shared" ref="CR68:CR131" si="178">BN68</f>
        <v>0</v>
      </c>
      <c r="CS68" s="466">
        <f>Construction!BK68/Construction!E68</f>
        <v>0.05</v>
      </c>
      <c r="CT68" s="466">
        <f>Construction!BJ68/Construction!E68</f>
        <v>0</v>
      </c>
      <c r="CU68" s="466">
        <f>Construction!AY68/Construction!E68</f>
        <v>0</v>
      </c>
      <c r="CV68" s="487">
        <f t="shared" ca="1" si="144"/>
        <v>1.4000000000000001</v>
      </c>
      <c r="CW68" s="488">
        <f t="shared" ca="1" si="145"/>
        <v>1.4000000000000001</v>
      </c>
      <c r="CX68" s="488">
        <f t="shared" ca="1" si="146"/>
        <v>1.4000000000000001</v>
      </c>
      <c r="CY68" s="489">
        <f t="shared" ca="1" si="147"/>
        <v>1.4000000000000001</v>
      </c>
      <c r="CZ68" s="489">
        <f t="shared" si="148"/>
        <v>0.1</v>
      </c>
      <c r="DA68" s="489">
        <f t="shared" ca="1" si="149"/>
        <v>3</v>
      </c>
      <c r="DB68" s="489">
        <f t="shared" ca="1" si="150"/>
        <v>1.4000000000000001</v>
      </c>
      <c r="DC68" s="488">
        <f t="shared" si="151"/>
        <v>0</v>
      </c>
      <c r="DD68" s="848">
        <f t="shared" si="152"/>
        <v>0</v>
      </c>
      <c r="DE68" s="442">
        <f t="shared" ref="DE68:DE131" si="179">MIN(G68,H68)*2</f>
        <v>800</v>
      </c>
      <c r="DF68" s="442">
        <f t="shared" ref="DF68:DF131" si="180">MIN(E68,H68)*2</f>
        <v>0</v>
      </c>
      <c r="DG68" s="487">
        <f t="shared" ca="1" si="153"/>
        <v>1.4000000000000001</v>
      </c>
      <c r="DH68" s="452">
        <f t="shared" si="154"/>
        <v>9.0000000000000011E-2</v>
      </c>
      <c r="DI68" s="452">
        <f>MIN(valkyrja_cap,Production!O68/valkyrja_bonus)</f>
        <v>1</v>
      </c>
      <c r="DJ68" s="848">
        <f>MIN(voodoo_magi_cap,Production!O68/voodoo_magi_bonus)</f>
        <v>0.83333333333333337</v>
      </c>
      <c r="DK68" s="848">
        <f>MIN(warlock_cap,Production!O68/warlock_bonus)</f>
        <v>1.25</v>
      </c>
      <c r="DL68" s="848">
        <f ca="1">MIN(nox_nightshade_cap,Construction!DF68/Construction!E68/nox_nightshade_swamp_bonus)</f>
        <v>2.8000000000000003</v>
      </c>
      <c r="DM68" s="488">
        <f t="shared" si="155"/>
        <v>0</v>
      </c>
      <c r="DN68" s="489">
        <f t="shared" ca="1" si="156"/>
        <v>2.8000000000000003</v>
      </c>
      <c r="DO68" s="489">
        <f t="shared" ca="1" si="157"/>
        <v>2.8000000000000003</v>
      </c>
      <c r="DP68" s="489">
        <f t="shared" si="158"/>
        <v>1</v>
      </c>
      <c r="DQ68" s="488">
        <f t="shared" si="159"/>
        <v>0</v>
      </c>
      <c r="DR68" s="489">
        <f t="shared" si="160"/>
        <v>0</v>
      </c>
      <c r="DS68" s="488">
        <f t="shared" si="161"/>
        <v>0</v>
      </c>
      <c r="DT68" s="489">
        <f t="shared" si="162"/>
        <v>0.1</v>
      </c>
      <c r="DX68" s="487">
        <f ca="1">MIN(6,CV68+Races!$F$19)*1.8 +  IF(CV68+Races!$F$19&gt;6,(CV68+Races!$F$19-6)*0.2,0) - Races!$N$19</f>
        <v>2.5200000000000005</v>
      </c>
      <c r="DY68" s="488">
        <f ca="1">1.8 * MIN(MAX(CW68+Races!$E$20,CX68+Races!$F$20),6)  +  0.45 * MIN(MIN(CW68+Races!$E$20,CX68+Races!$F$20),6)  +  0.2 * ( MAX(CW68+Races!$E$20-6,0) + MAX(CX68+Races!$F$20-6,0) )  -  Races!$N$20</f>
        <v>3.1500000000000012</v>
      </c>
      <c r="DZ68" s="57">
        <f t="shared" ca="1" si="163"/>
        <v>3780.0000000000009</v>
      </c>
      <c r="EA68" s="666">
        <f ca="1">MIN(6,CY68+Races!$F$35)*1.8 +  IF(CY68+Races!$F$35&gt;6,(CY68+Races!$F$35-6)*0.2,0) - Races!$N$19</f>
        <v>0.72000000000000064</v>
      </c>
      <c r="EB68" s="57">
        <f t="shared" ca="1" si="164"/>
        <v>0</v>
      </c>
      <c r="EC68" s="666">
        <f ca="1">1.8 * MIN(MAX(Races!$E$27,DB68+Races!$F$27),6)  +  0.45 * MIN(MIN(Races!$E$27,DB68+Races!$F$27),6)  +  0.2 * ( MAX(Races!$E$27-6,0) + MAX(DB68+Races!$F$27-6,0) )  -  Races!$N$20</f>
        <v>4.7700000000000005</v>
      </c>
      <c r="ED68" s="57">
        <f t="shared" ca="1" si="165"/>
        <v>0</v>
      </c>
      <c r="EE68" s="666">
        <f>1.8 * MIN(MAX(DC68+Races!$E$47,DD68+Races!$F$47),6)  +  0.45 * MIN(MIN(DC68+Races!$E$47,DD68+Races!$F$47),6)  +  0.2 * ( MAX(DC68+Races!$E$47-6,0) + MAX(DD68+Races!$F$47-6,0) )  -  Races!$N$47</f>
        <v>0</v>
      </c>
      <c r="EF68" s="57">
        <f t="shared" si="166"/>
        <v>0</v>
      </c>
      <c r="EG68" s="666">
        <f ca="1">1.8 * MIN(MAX(DG68+Races!$F$71,Races!$E$71),6)  +  0.45 * MIN(MIN(DG68+Races!$F$71,Races!$E$71),6)  +  0.2 * ( MAX(DG68+Races!$F$71-6,0) + MAX(Races!$E$71-6,0) )  -  Races!$N$71</f>
        <v>2.5200000000000014</v>
      </c>
      <c r="EH68" s="666">
        <f>1.8 * MIN(MAX(DH68+Races!$E$71,Races!$F$71),6)  +  0.45 * MIN(MIN(DH68+Races!$E$71,Races!$F$71),6)  +  0.2 * ( MAX(DH68+Races!$E$71-6,0) + MAX(Races!$F$71-6,0) )  -  Races!$N$71</f>
        <v>0.16200000000000081</v>
      </c>
      <c r="EI68" s="57">
        <f t="shared" ca="1" si="167"/>
        <v>2584.8000000000015</v>
      </c>
      <c r="EJ68" s="57"/>
      <c r="EK68" s="57"/>
      <c r="EL68" s="57"/>
      <c r="EM68" s="57">
        <f ca="1">Overview!$L$22*E68+Overview!$L$23*F68+Overview!$L$24*G68+Overview!$L$25*H68+Overview!$L$26*I68+Overview!$L$27*J68+Overview!$L$28*K68+Construction!E68*20+Construction!B68*5 + DZ68*$DV$4+EB68*$DV$5+ED68*$DV$6+EF68*$DV$7+EI68*$DV$9</f>
        <v>39460</v>
      </c>
      <c r="EO68" s="738">
        <f>(J68+2*K68)/Construction!E68</f>
        <v>0.1</v>
      </c>
      <c r="EP68" s="734">
        <f ca="1">EO68*(1+race_wizard_strength+tech_magical_weaponry_wiz*Techs!AV140)</f>
        <v>0.1</v>
      </c>
      <c r="EQ68" s="16">
        <f>(I68+halfer*H68/3)/Construction!E68</f>
        <v>0.1</v>
      </c>
    </row>
    <row r="69" spans="1:147" s="16" customFormat="1">
      <c r="A69" s="629">
        <f>Rezone!J69</f>
        <v>67</v>
      </c>
      <c r="B69" s="56">
        <f ca="1">SUM(E69:K69)+SUM(AF61:AG69)+SUM(AH58:AL69)+Z69+Explore!AL69</f>
        <v>5295</v>
      </c>
      <c r="C69" s="97">
        <f ca="1">Population!G69</f>
        <v>0.57305194805194803</v>
      </c>
      <c r="E69" s="52">
        <f t="shared" si="118"/>
        <v>0</v>
      </c>
      <c r="F69" s="16">
        <f t="shared" si="119"/>
        <v>0</v>
      </c>
      <c r="G69" s="16">
        <f t="shared" si="120"/>
        <v>1000</v>
      </c>
      <c r="H69" s="16">
        <f t="shared" si="121"/>
        <v>400</v>
      </c>
      <c r="I69" s="16">
        <f t="shared" si="122"/>
        <v>100</v>
      </c>
      <c r="J69" s="16">
        <f t="shared" si="123"/>
        <v>100</v>
      </c>
      <c r="K69" s="53">
        <f t="shared" si="124"/>
        <v>0</v>
      </c>
      <c r="M69" s="64">
        <f ca="1">Production!G69</f>
        <v>39460</v>
      </c>
      <c r="O69" s="142">
        <f t="shared" ca="1" si="125"/>
        <v>4400</v>
      </c>
      <c r="P69" s="455">
        <f ca="1">race_offense+Imps!AB69+ROUND(MIN(gn_bonus*Construction!BF69/Construction!$E69,gn_bonus_cap),4)+MAX(IF(Magic!$AN69&gt;0,warsong_bonus),IF(Magic!AP69&gt;0,howling_op_bonus),IF(Magic!AS69&gt;0,nightfall_bonus),IF(Magic!AT69&gt;0,crusade_bonus),IF(Magic!AU69&gt;0,killingrage_bonus),IF(Magic!AV69&gt;0,bloodrage_bonus)) + Production!O69/100*prestige_offense_bonus + MAX(tech_military_offense*Techs!AH69,tech_magical_weaponry_op*Techs!AV69)</f>
        <v>0.05</v>
      </c>
      <c r="Q69" s="235">
        <f t="shared" ca="1" si="168"/>
        <v>4620</v>
      </c>
      <c r="R69" s="234">
        <f ca="1">F69*(spec_dp+spirit*DR69)+G69*(elite1_dp+woodie*CV69+sylvan*CY69+gnome*DB69+dark_elf*DD69+icekin*DG69+orc*DJ69+nox*DL69+beast*DN69+sacred*DP69+spirit*DS69+blackorc*DK69)+H69*(elite2_dp+woodie*CX69+beast*DO69+sacred*DQ69) + fh_peas_dp*MIN(Population!C69,20*Construction!BD69)+kobold*DE69</f>
        <v>7200</v>
      </c>
      <c r="S69" s="235">
        <f t="shared" ca="1" si="126"/>
        <v>10895</v>
      </c>
      <c r="T69" s="1052">
        <f ca="1">race_defense+Imps!AC69+ROUND(MIN(gt_bonus*Construction!BH69/Construction!$E69,gt_bonus_cap),4)+MAX(IF(Magic!AM69&gt;0,frenzy_bonus,IF(Magic!AQ69&gt;0,blizzard_bonus,IF(Magic!AP69&gt;0,howling_dp_bonus,IF(Magic!AI69&gt;0,ares_call_bonus)))),IF(Magic!AX69&gt;0,MIN(Construction!DF69/Construction!E69,0.2),0))</f>
        <v>0</v>
      </c>
      <c r="U69" s="1046">
        <f t="shared" ca="1" si="169"/>
        <v>7200</v>
      </c>
      <c r="V69" s="310">
        <f t="shared" ca="1" si="170"/>
        <v>10895</v>
      </c>
      <c r="W69" s="310">
        <f>Construction!E69</f>
        <v>1000</v>
      </c>
      <c r="X69" s="367"/>
      <c r="Y69" s="146">
        <f t="shared" si="74"/>
        <v>0.4</v>
      </c>
      <c r="Z69" s="166">
        <f ca="1">Z68+Population!Z68 - IF(race="Lux",AF69,SUM(AF69:AK69)) - BE69 + SUM(BF69:BL69) - Explore!AI69</f>
        <v>3695</v>
      </c>
      <c r="AA69" s="164"/>
      <c r="AB69" s="91">
        <f>(Construction!$BA69+Construction!BY69)/(Construction!$E69-Explore!S69*20)</f>
        <v>0.2</v>
      </c>
      <c r="AC69" s="529"/>
      <c r="AD69" s="799">
        <f>Rezone!J69</f>
        <v>67</v>
      </c>
      <c r="AE69" s="589">
        <f>Explore!AA69</f>
        <v>43694.74999999984</v>
      </c>
      <c r="AF69" s="356"/>
      <c r="AG69" s="376"/>
      <c r="AH69" s="348"/>
      <c r="AI69" s="348"/>
      <c r="AJ69" s="348"/>
      <c r="AK69" s="348"/>
      <c r="AL69" s="357"/>
      <c r="AN69" s="56">
        <f ca="1">Production!$H69</f>
        <v>3650477</v>
      </c>
      <c r="AO69" s="26">
        <f ca="1">Production!$L69</f>
        <v>231000</v>
      </c>
      <c r="AP69" s="26">
        <f ca="1">Production!J69</f>
        <v>276991</v>
      </c>
      <c r="AQ69" s="26">
        <f ca="1">Production!M69</f>
        <v>20000</v>
      </c>
      <c r="AR69" s="26">
        <f ca="1">Production!K69</f>
        <v>51299</v>
      </c>
      <c r="AS69" s="26">
        <f ca="1">Production!I69</f>
        <v>247654</v>
      </c>
      <c r="AT69" s="26">
        <f ca="1">Production!N69</f>
        <v>200</v>
      </c>
      <c r="AU69" s="152">
        <f t="shared" ca="1" si="127"/>
        <v>0</v>
      </c>
      <c r="AV69" s="164">
        <f t="shared" ca="1" si="128"/>
        <v>0</v>
      </c>
      <c r="AW69" s="164">
        <f t="shared" ca="1" si="171"/>
        <v>0</v>
      </c>
      <c r="AX69" s="164">
        <f t="shared" ca="1" si="172"/>
        <v>0</v>
      </c>
      <c r="AY69" s="164">
        <f t="shared" ca="1" si="173"/>
        <v>0</v>
      </c>
      <c r="AZ69" s="164">
        <f t="shared" ca="1" si="174"/>
        <v>0</v>
      </c>
      <c r="BA69" s="166">
        <f t="shared" ca="1" si="175"/>
        <v>0</v>
      </c>
      <c r="BB69" s="16">
        <v>67</v>
      </c>
      <c r="BC69" s="574">
        <f t="shared" si="176"/>
        <v>43694.74999999984</v>
      </c>
      <c r="BD69" s="148">
        <f t="shared" ca="1" si="177"/>
        <v>3695</v>
      </c>
      <c r="BE69" s="356"/>
      <c r="BF69" s="348"/>
      <c r="BG69" s="348"/>
      <c r="BH69" s="348"/>
      <c r="BI69" s="348"/>
      <c r="BJ69" s="348"/>
      <c r="BK69" s="348"/>
      <c r="BL69" s="357"/>
      <c r="BN69" s="503">
        <f>Construction!BM69/Construction!E69</f>
        <v>0</v>
      </c>
      <c r="BO69" s="171">
        <f>Construction!BD69/Construction!E69</f>
        <v>0</v>
      </c>
      <c r="BP69" s="152">
        <f>ROUNDUP((1-MIN(AB69*smithy_bonus,smithy_bonus_cap))*(1+Techs!AO69*tech_master_of_frugality)*spec_op_plat,0)</f>
        <v>165</v>
      </c>
      <c r="BQ69" s="164">
        <f>ROUNDUP(IF(race="Gnome",1,(1-MIN(AB69*smithy_bonus,smithy_bonus_cap))*(1+Techs!AO69*tech_master_of_frugality))*spec_op_ore,0)</f>
        <v>15</v>
      </c>
      <c r="BR69" s="164">
        <f t="shared" si="129"/>
        <v>0</v>
      </c>
      <c r="BS69" s="164">
        <f t="shared" si="130"/>
        <v>0</v>
      </c>
      <c r="BT69" s="164">
        <f ca="1">ROUNDUP((1-MIN(AB69*smithy_bonus,smithy_bonus_cap))*(1+Techs!AO69*tech_master_of_frugality)*spec_dp_plat,0)</f>
        <v>165</v>
      </c>
      <c r="BU69" s="164">
        <f ca="1">ROUNDUP(IF(OR(race="Gnome",race="Imperial Gnome"),1,(1-MIN(AB69*smithy_bonus,smithy_bonus_cap))*(1+Techs!AO69*tech_master_of_frugality))*spec_dp_ore,0)</f>
        <v>6</v>
      </c>
      <c r="BV69" s="164">
        <f t="shared" ca="1" si="131"/>
        <v>0</v>
      </c>
      <c r="BW69" s="164">
        <f t="shared" ca="1" si="132"/>
        <v>0</v>
      </c>
      <c r="BX69" s="164">
        <f t="shared" ca="1" si="133"/>
        <v>0</v>
      </c>
      <c r="BY69" s="164">
        <f ca="1">ROUNDUP((1-MIN(AB69*smithy_bonus,smithy_bonus_cap))*(1+Techs!AO69*tech_master_of_frugality)*elite1_plat,0)</f>
        <v>600</v>
      </c>
      <c r="BZ69" s="164">
        <f ca="1">ROUNDUP(IF(race="Gnome",1,(1-MIN(AB69*smithy_bonus,smithy_bonus_cap))*(1+Techs!AO69*tech_master_of_frugality))*elite1_ore,0)</f>
        <v>45</v>
      </c>
      <c r="CA69" s="164">
        <f t="shared" ca="1" si="134"/>
        <v>0</v>
      </c>
      <c r="CB69" s="164">
        <f t="shared" ca="1" si="135"/>
        <v>0</v>
      </c>
      <c r="CC69" s="164">
        <f t="shared" ca="1" si="136"/>
        <v>0</v>
      </c>
      <c r="CD69" s="164">
        <f t="shared" ca="1" si="137"/>
        <v>0</v>
      </c>
      <c r="CE69" s="164">
        <f t="shared" ca="1" si="138"/>
        <v>0</v>
      </c>
      <c r="CF69" s="164">
        <f ca="1">ROUNDUP((1-MIN(AB69*smithy_bonus,smithy_bonus_cap))*(1+Techs!AO69*tech_master_of_frugality)*elite2_plat,0)</f>
        <v>750</v>
      </c>
      <c r="CG69" s="164">
        <f ca="1">ROUNDUP(IF(race="Gnome",1,(1-MIN(AB69*smithy_bonus,smithy_bonus_cap))*(1+Techs!AO69*tech_master_of_frugality))*elite2_ore,0)</f>
        <v>60</v>
      </c>
      <c r="CH69" s="164">
        <f t="shared" ca="1" si="139"/>
        <v>0</v>
      </c>
      <c r="CI69" s="164">
        <f t="shared" ca="1" si="140"/>
        <v>0</v>
      </c>
      <c r="CJ69" s="164">
        <f t="shared" ca="1" si="141"/>
        <v>0</v>
      </c>
      <c r="CK69" s="164">
        <f t="shared" ca="1" si="142"/>
        <v>0</v>
      </c>
      <c r="CL69" s="164">
        <f t="shared" ca="1" si="143"/>
        <v>0</v>
      </c>
      <c r="CM69" s="164">
        <f>ROUNDUP((1+tech_spy_cost*Techs!AJ69)*spy_plat,0)</f>
        <v>500</v>
      </c>
      <c r="CN69" s="164">
        <f>ROUNDUP((1+tech_wizard_cost*Techs!AM69-MIN(ROUND(wg_wiz_cost_bonus*BN69,4),wg_wiz_cost_cap))*wizard_plat,0)</f>
        <v>500</v>
      </c>
      <c r="CO69" s="166">
        <f>ROUNDUP((1+tech_wizard_cost*Techs!AM69-MIN(ROUND(wg_wiz_cost_bonus*BN69,4),wg_wiz_cost_cap))*archmage_plat,0)</f>
        <v>1000</v>
      </c>
      <c r="CQ69" s="465">
        <f ca="1">Construction!DF69/Construction!E69</f>
        <v>0.28000000000000003</v>
      </c>
      <c r="CR69" s="466">
        <f t="shared" si="178"/>
        <v>0</v>
      </c>
      <c r="CS69" s="466">
        <f>Construction!BK69/Construction!E69</f>
        <v>0.05</v>
      </c>
      <c r="CT69" s="466">
        <f>Construction!BJ69/Construction!E69</f>
        <v>0</v>
      </c>
      <c r="CU69" s="466">
        <f>Construction!AY69/Construction!E69</f>
        <v>0</v>
      </c>
      <c r="CV69" s="487">
        <f t="shared" ca="1" si="144"/>
        <v>1.4000000000000001</v>
      </c>
      <c r="CW69" s="488">
        <f t="shared" ca="1" si="145"/>
        <v>1.4000000000000001</v>
      </c>
      <c r="CX69" s="488">
        <f t="shared" ca="1" si="146"/>
        <v>1.4000000000000001</v>
      </c>
      <c r="CY69" s="489">
        <f t="shared" ca="1" si="147"/>
        <v>1.4000000000000001</v>
      </c>
      <c r="CZ69" s="489">
        <f t="shared" si="148"/>
        <v>0.1</v>
      </c>
      <c r="DA69" s="489">
        <f t="shared" ca="1" si="149"/>
        <v>3</v>
      </c>
      <c r="DB69" s="489">
        <f t="shared" ca="1" si="150"/>
        <v>1.4000000000000001</v>
      </c>
      <c r="DC69" s="488">
        <f t="shared" si="151"/>
        <v>0</v>
      </c>
      <c r="DD69" s="848">
        <f t="shared" si="152"/>
        <v>0</v>
      </c>
      <c r="DE69" s="442">
        <f t="shared" si="179"/>
        <v>800</v>
      </c>
      <c r="DF69" s="442">
        <f t="shared" si="180"/>
        <v>0</v>
      </c>
      <c r="DG69" s="487">
        <f t="shared" ca="1" si="153"/>
        <v>1.4000000000000001</v>
      </c>
      <c r="DH69" s="452">
        <f t="shared" si="154"/>
        <v>9.0000000000000011E-2</v>
      </c>
      <c r="DI69" s="452">
        <f>MIN(valkyrja_cap,Production!O69/valkyrja_bonus)</f>
        <v>1</v>
      </c>
      <c r="DJ69" s="848">
        <f>MIN(voodoo_magi_cap,Production!O69/voodoo_magi_bonus)</f>
        <v>0.83333333333333337</v>
      </c>
      <c r="DK69" s="848">
        <f>MIN(warlock_cap,Production!O69/warlock_bonus)</f>
        <v>1.25</v>
      </c>
      <c r="DL69" s="848">
        <f ca="1">MIN(nox_nightshade_cap,Construction!DF69/Construction!E69/nox_nightshade_swamp_bonus)</f>
        <v>2.8000000000000003</v>
      </c>
      <c r="DM69" s="488">
        <f t="shared" si="155"/>
        <v>0</v>
      </c>
      <c r="DN69" s="489">
        <f t="shared" ca="1" si="156"/>
        <v>2.8000000000000003</v>
      </c>
      <c r="DO69" s="489">
        <f t="shared" ca="1" si="157"/>
        <v>2.8000000000000003</v>
      </c>
      <c r="DP69" s="489">
        <f t="shared" si="158"/>
        <v>1</v>
      </c>
      <c r="DQ69" s="488">
        <f t="shared" si="159"/>
        <v>0</v>
      </c>
      <c r="DR69" s="489">
        <f t="shared" si="160"/>
        <v>0</v>
      </c>
      <c r="DS69" s="488">
        <f t="shared" si="161"/>
        <v>0</v>
      </c>
      <c r="DT69" s="489">
        <f t="shared" si="162"/>
        <v>0.1</v>
      </c>
      <c r="DX69" s="487">
        <f ca="1">MIN(6,CV69+Races!$F$19)*1.8 +  IF(CV69+Races!$F$19&gt;6,(CV69+Races!$F$19-6)*0.2,0) - Races!$N$19</f>
        <v>2.5200000000000005</v>
      </c>
      <c r="DY69" s="488">
        <f ca="1">1.8 * MIN(MAX(CW69+Races!$E$20,CX69+Races!$F$20),6)  +  0.45 * MIN(MIN(CW69+Races!$E$20,CX69+Races!$F$20),6)  +  0.2 * ( MAX(CW69+Races!$E$20-6,0) + MAX(CX69+Races!$F$20-6,0) )  -  Races!$N$20</f>
        <v>3.1500000000000012</v>
      </c>
      <c r="DZ69" s="57">
        <f t="shared" ca="1" si="163"/>
        <v>3780.0000000000009</v>
      </c>
      <c r="EA69" s="666">
        <f ca="1">MIN(6,CY69+Races!$F$35)*1.8 +  IF(CY69+Races!$F$35&gt;6,(CY69+Races!$F$35-6)*0.2,0) - Races!$N$19</f>
        <v>0.72000000000000064</v>
      </c>
      <c r="EB69" s="57">
        <f t="shared" ca="1" si="164"/>
        <v>0</v>
      </c>
      <c r="EC69" s="666">
        <f ca="1">1.8 * MIN(MAX(Races!$E$27,DB69+Races!$F$27),6)  +  0.45 * MIN(MIN(Races!$E$27,DB69+Races!$F$27),6)  +  0.2 * ( MAX(Races!$E$27-6,0) + MAX(DB69+Races!$F$27-6,0) )  -  Races!$N$20</f>
        <v>4.7700000000000005</v>
      </c>
      <c r="ED69" s="57">
        <f t="shared" ca="1" si="165"/>
        <v>0</v>
      </c>
      <c r="EE69" s="666">
        <f>1.8 * MIN(MAX(DC69+Races!$E$47,DD69+Races!$F$47),6)  +  0.45 * MIN(MIN(DC69+Races!$E$47,DD69+Races!$F$47),6)  +  0.2 * ( MAX(DC69+Races!$E$47-6,0) + MAX(DD69+Races!$F$47-6,0) )  -  Races!$N$47</f>
        <v>0</v>
      </c>
      <c r="EF69" s="57">
        <f t="shared" si="166"/>
        <v>0</v>
      </c>
      <c r="EG69" s="666">
        <f ca="1">1.8 * MIN(MAX(DG69+Races!$F$71,Races!$E$71),6)  +  0.45 * MIN(MIN(DG69+Races!$F$71,Races!$E$71),6)  +  0.2 * ( MAX(DG69+Races!$F$71-6,0) + MAX(Races!$E$71-6,0) )  -  Races!$N$71</f>
        <v>2.5200000000000014</v>
      </c>
      <c r="EH69" s="666">
        <f>1.8 * MIN(MAX(DH69+Races!$E$71,Races!$F$71),6)  +  0.45 * MIN(MIN(DH69+Races!$E$71,Races!$F$71),6)  +  0.2 * ( MAX(DH69+Races!$E$71-6,0) + MAX(Races!$F$71-6,0) )  -  Races!$N$71</f>
        <v>0.16200000000000081</v>
      </c>
      <c r="EI69" s="57">
        <f t="shared" ca="1" si="167"/>
        <v>2584.8000000000015</v>
      </c>
      <c r="EJ69" s="57"/>
      <c r="EK69" s="57"/>
      <c r="EL69" s="57"/>
      <c r="EM69" s="57">
        <f ca="1">Overview!$L$22*E69+Overview!$L$23*F69+Overview!$L$24*G69+Overview!$L$25*H69+Overview!$L$26*I69+Overview!$L$27*J69+Overview!$L$28*K69+Construction!E69*20+Construction!B69*5 + DZ69*$DV$4+EB69*$DV$5+ED69*$DV$6+EF69*$DV$7+EI69*$DV$9</f>
        <v>39460</v>
      </c>
      <c r="EO69" s="738">
        <f>(J69+2*K69)/Construction!E69</f>
        <v>0.1</v>
      </c>
      <c r="EP69" s="734">
        <f ca="1">EO69*(1+race_wizard_strength+tech_magical_weaponry_wiz*Techs!AV141)</f>
        <v>0.1</v>
      </c>
      <c r="EQ69" s="16">
        <f>(I69+halfer*H69/3)/Construction!E69</f>
        <v>0.1</v>
      </c>
    </row>
    <row r="70" spans="1:147" s="16" customFormat="1">
      <c r="A70" s="629">
        <f>Rezone!J70</f>
        <v>68</v>
      </c>
      <c r="B70" s="56">
        <f ca="1">SUM(E70:K70)+SUM(AF62:AG70)+SUM(AH59:AL70)+Z70+Explore!AL70</f>
        <v>5295</v>
      </c>
      <c r="C70" s="97">
        <f ca="1">Population!G70</f>
        <v>0.57305194805194803</v>
      </c>
      <c r="E70" s="52">
        <f t="shared" si="118"/>
        <v>0</v>
      </c>
      <c r="F70" s="16">
        <f t="shared" si="119"/>
        <v>0</v>
      </c>
      <c r="G70" s="16">
        <f t="shared" si="120"/>
        <v>1000</v>
      </c>
      <c r="H70" s="16">
        <f t="shared" si="121"/>
        <v>400</v>
      </c>
      <c r="I70" s="16">
        <f t="shared" si="122"/>
        <v>100</v>
      </c>
      <c r="J70" s="16">
        <f t="shared" si="123"/>
        <v>100</v>
      </c>
      <c r="K70" s="53">
        <f t="shared" si="124"/>
        <v>0</v>
      </c>
      <c r="M70" s="64">
        <f ca="1">Production!G70</f>
        <v>39460</v>
      </c>
      <c r="O70" s="142">
        <f t="shared" ca="1" si="125"/>
        <v>4400</v>
      </c>
      <c r="P70" s="455">
        <f ca="1">race_offense+Imps!AB70+ROUND(MIN(gn_bonus*Construction!BF70/Construction!$E70,gn_bonus_cap),4)+MAX(IF(Magic!$AN70&gt;0,warsong_bonus),IF(Magic!AP70&gt;0,howling_op_bonus),IF(Magic!AS70&gt;0,nightfall_bonus),IF(Magic!AT70&gt;0,crusade_bonus),IF(Magic!AU70&gt;0,killingrage_bonus),IF(Magic!AV70&gt;0,bloodrage_bonus)) + Production!O70/100*prestige_offense_bonus + MAX(tech_military_offense*Techs!AH70,tech_magical_weaponry_op*Techs!AV70)</f>
        <v>0.05</v>
      </c>
      <c r="Q70" s="235">
        <f t="shared" ca="1" si="168"/>
        <v>4620</v>
      </c>
      <c r="R70" s="234">
        <f ca="1">F70*(spec_dp+spirit*DR70)+G70*(elite1_dp+woodie*CV70+sylvan*CY70+gnome*DB70+dark_elf*DD70+icekin*DG70+orc*DJ70+nox*DL70+beast*DN70+sacred*DP70+spirit*DS70+blackorc*DK70)+H70*(elite2_dp+woodie*CX70+beast*DO70+sacred*DQ70) + fh_peas_dp*MIN(Population!C70,20*Construction!BD70)+kobold*DE70</f>
        <v>7200</v>
      </c>
      <c r="S70" s="235">
        <f t="shared" ca="1" si="126"/>
        <v>10895</v>
      </c>
      <c r="T70" s="1052">
        <f ca="1">race_defense+Imps!AC70+ROUND(MIN(gt_bonus*Construction!BH70/Construction!$E70,gt_bonus_cap),4)+MAX(IF(Magic!AM70&gt;0,frenzy_bonus,IF(Magic!AQ70&gt;0,blizzard_bonus,IF(Magic!AP70&gt;0,howling_dp_bonus,IF(Magic!AI70&gt;0,ares_call_bonus)))),IF(Magic!AX70&gt;0,MIN(Construction!DF70/Construction!E70,0.2),0))</f>
        <v>0</v>
      </c>
      <c r="U70" s="1046">
        <f t="shared" ca="1" si="169"/>
        <v>7200</v>
      </c>
      <c r="V70" s="310">
        <f t="shared" ca="1" si="170"/>
        <v>10895</v>
      </c>
      <c r="W70" s="310">
        <f>Construction!E70</f>
        <v>1000</v>
      </c>
      <c r="X70" s="367"/>
      <c r="Y70" s="146">
        <f t="shared" si="74"/>
        <v>0.4</v>
      </c>
      <c r="Z70" s="166">
        <f ca="1">Z69+Population!Z69 - IF(race="Lux",AF70,SUM(AF70:AK70)) - BE70 + SUM(BF70:BL70) - Explore!AI70</f>
        <v>3695</v>
      </c>
      <c r="AA70" s="164"/>
      <c r="AB70" s="91">
        <f>(Construction!$BA70+Construction!BY70)/(Construction!$E70-Explore!S70*20)</f>
        <v>0.2</v>
      </c>
      <c r="AC70" s="529"/>
      <c r="AD70" s="799">
        <f>Rezone!J70</f>
        <v>68</v>
      </c>
      <c r="AE70" s="589">
        <f>Explore!AA70</f>
        <v>43694.791666666504</v>
      </c>
      <c r="AF70" s="356"/>
      <c r="AG70" s="376"/>
      <c r="AH70" s="348"/>
      <c r="AI70" s="348"/>
      <c r="AJ70" s="348"/>
      <c r="AK70" s="348"/>
      <c r="AL70" s="357"/>
      <c r="AN70" s="56">
        <f ca="1">Production!$H70</f>
        <v>3661128</v>
      </c>
      <c r="AO70" s="26">
        <f ca="1">Production!$L70</f>
        <v>231000</v>
      </c>
      <c r="AP70" s="26">
        <f ca="1">Production!J70</f>
        <v>276721</v>
      </c>
      <c r="AQ70" s="26">
        <f ca="1">Production!M70</f>
        <v>20000</v>
      </c>
      <c r="AR70" s="26">
        <f ca="1">Production!K70</f>
        <v>51523</v>
      </c>
      <c r="AS70" s="26">
        <f ca="1">Production!I70</f>
        <v>249907</v>
      </c>
      <c r="AT70" s="26">
        <f ca="1">Production!N70</f>
        <v>200</v>
      </c>
      <c r="AU70" s="152">
        <f t="shared" ca="1" si="127"/>
        <v>0</v>
      </c>
      <c r="AV70" s="164">
        <f t="shared" ca="1" si="128"/>
        <v>0</v>
      </c>
      <c r="AW70" s="164">
        <f t="shared" ca="1" si="171"/>
        <v>0</v>
      </c>
      <c r="AX70" s="164">
        <f t="shared" ca="1" si="172"/>
        <v>0</v>
      </c>
      <c r="AY70" s="164">
        <f t="shared" ca="1" si="173"/>
        <v>0</v>
      </c>
      <c r="AZ70" s="164">
        <f t="shared" ca="1" si="174"/>
        <v>0</v>
      </c>
      <c r="BA70" s="166">
        <f t="shared" ca="1" si="175"/>
        <v>0</v>
      </c>
      <c r="BB70" s="16">
        <v>68</v>
      </c>
      <c r="BC70" s="574">
        <f t="shared" si="176"/>
        <v>43694.791666666504</v>
      </c>
      <c r="BD70" s="148">
        <f t="shared" ca="1" si="177"/>
        <v>3695</v>
      </c>
      <c r="BE70" s="356"/>
      <c r="BF70" s="348"/>
      <c r="BG70" s="348"/>
      <c r="BH70" s="348"/>
      <c r="BI70" s="348"/>
      <c r="BJ70" s="348"/>
      <c r="BK70" s="348"/>
      <c r="BL70" s="357"/>
      <c r="BN70" s="503">
        <f>Construction!BM70/Construction!E70</f>
        <v>0</v>
      </c>
      <c r="BO70" s="171">
        <f>Construction!BD70/Construction!E70</f>
        <v>0</v>
      </c>
      <c r="BP70" s="152">
        <f>ROUNDUP((1-MIN(AB70*smithy_bonus,smithy_bonus_cap))*(1+Techs!AO70*tech_master_of_frugality)*spec_op_plat,0)</f>
        <v>165</v>
      </c>
      <c r="BQ70" s="164">
        <f>ROUNDUP(IF(race="Gnome",1,(1-MIN(AB70*smithy_bonus,smithy_bonus_cap))*(1+Techs!AO70*tech_master_of_frugality))*spec_op_ore,0)</f>
        <v>15</v>
      </c>
      <c r="BR70" s="164">
        <f t="shared" si="129"/>
        <v>0</v>
      </c>
      <c r="BS70" s="164">
        <f t="shared" si="130"/>
        <v>0</v>
      </c>
      <c r="BT70" s="164">
        <f ca="1">ROUNDUP((1-MIN(AB70*smithy_bonus,smithy_bonus_cap))*(1+Techs!AO70*tech_master_of_frugality)*spec_dp_plat,0)</f>
        <v>165</v>
      </c>
      <c r="BU70" s="164">
        <f ca="1">ROUNDUP(IF(OR(race="Gnome",race="Imperial Gnome"),1,(1-MIN(AB70*smithy_bonus,smithy_bonus_cap))*(1+Techs!AO70*tech_master_of_frugality))*spec_dp_ore,0)</f>
        <v>6</v>
      </c>
      <c r="BV70" s="164">
        <f t="shared" ca="1" si="131"/>
        <v>0</v>
      </c>
      <c r="BW70" s="164">
        <f t="shared" ca="1" si="132"/>
        <v>0</v>
      </c>
      <c r="BX70" s="164">
        <f t="shared" ca="1" si="133"/>
        <v>0</v>
      </c>
      <c r="BY70" s="164">
        <f ca="1">ROUNDUP((1-MIN(AB70*smithy_bonus,smithy_bonus_cap))*(1+Techs!AO70*tech_master_of_frugality)*elite1_plat,0)</f>
        <v>600</v>
      </c>
      <c r="BZ70" s="164">
        <f ca="1">ROUNDUP(IF(race="Gnome",1,(1-MIN(AB70*smithy_bonus,smithy_bonus_cap))*(1+Techs!AO70*tech_master_of_frugality))*elite1_ore,0)</f>
        <v>45</v>
      </c>
      <c r="CA70" s="164">
        <f t="shared" ca="1" si="134"/>
        <v>0</v>
      </c>
      <c r="CB70" s="164">
        <f t="shared" ca="1" si="135"/>
        <v>0</v>
      </c>
      <c r="CC70" s="164">
        <f t="shared" ca="1" si="136"/>
        <v>0</v>
      </c>
      <c r="CD70" s="164">
        <f t="shared" ca="1" si="137"/>
        <v>0</v>
      </c>
      <c r="CE70" s="164">
        <f t="shared" ca="1" si="138"/>
        <v>0</v>
      </c>
      <c r="CF70" s="164">
        <f ca="1">ROUNDUP((1-MIN(AB70*smithy_bonus,smithy_bonus_cap))*(1+Techs!AO70*tech_master_of_frugality)*elite2_plat,0)</f>
        <v>750</v>
      </c>
      <c r="CG70" s="164">
        <f ca="1">ROUNDUP(IF(race="Gnome",1,(1-MIN(AB70*smithy_bonus,smithy_bonus_cap))*(1+Techs!AO70*tech_master_of_frugality))*elite2_ore,0)</f>
        <v>60</v>
      </c>
      <c r="CH70" s="164">
        <f t="shared" ca="1" si="139"/>
        <v>0</v>
      </c>
      <c r="CI70" s="164">
        <f t="shared" ca="1" si="140"/>
        <v>0</v>
      </c>
      <c r="CJ70" s="164">
        <f t="shared" ca="1" si="141"/>
        <v>0</v>
      </c>
      <c r="CK70" s="164">
        <f t="shared" ca="1" si="142"/>
        <v>0</v>
      </c>
      <c r="CL70" s="164">
        <f t="shared" ca="1" si="143"/>
        <v>0</v>
      </c>
      <c r="CM70" s="164">
        <f>ROUNDUP((1+tech_spy_cost*Techs!AJ70)*spy_plat,0)</f>
        <v>500</v>
      </c>
      <c r="CN70" s="164">
        <f>ROUNDUP((1+tech_wizard_cost*Techs!AM70-MIN(ROUND(wg_wiz_cost_bonus*BN70,4),wg_wiz_cost_cap))*wizard_plat,0)</f>
        <v>500</v>
      </c>
      <c r="CO70" s="166">
        <f>ROUNDUP((1+tech_wizard_cost*Techs!AM70-MIN(ROUND(wg_wiz_cost_bonus*BN70,4),wg_wiz_cost_cap))*archmage_plat,0)</f>
        <v>1000</v>
      </c>
      <c r="CQ70" s="465">
        <f ca="1">Construction!DF70/Construction!E70</f>
        <v>0.28000000000000003</v>
      </c>
      <c r="CR70" s="466">
        <f t="shared" si="178"/>
        <v>0</v>
      </c>
      <c r="CS70" s="466">
        <f>Construction!BK70/Construction!E70</f>
        <v>0.05</v>
      </c>
      <c r="CT70" s="466">
        <f>Construction!BJ70/Construction!E70</f>
        <v>0</v>
      </c>
      <c r="CU70" s="466">
        <f>Construction!AY70/Construction!E70</f>
        <v>0</v>
      </c>
      <c r="CV70" s="487">
        <f t="shared" ca="1" si="144"/>
        <v>1.4000000000000001</v>
      </c>
      <c r="CW70" s="488">
        <f t="shared" ca="1" si="145"/>
        <v>1.4000000000000001</v>
      </c>
      <c r="CX70" s="488">
        <f t="shared" ca="1" si="146"/>
        <v>1.4000000000000001</v>
      </c>
      <c r="CY70" s="489">
        <f t="shared" ca="1" si="147"/>
        <v>1.4000000000000001</v>
      </c>
      <c r="CZ70" s="489">
        <f t="shared" si="148"/>
        <v>0.1</v>
      </c>
      <c r="DA70" s="489">
        <f t="shared" ca="1" si="149"/>
        <v>3</v>
      </c>
      <c r="DB70" s="489">
        <f t="shared" ca="1" si="150"/>
        <v>1.4000000000000001</v>
      </c>
      <c r="DC70" s="488">
        <f t="shared" si="151"/>
        <v>0</v>
      </c>
      <c r="DD70" s="848">
        <f t="shared" si="152"/>
        <v>0</v>
      </c>
      <c r="DE70" s="442">
        <f t="shared" si="179"/>
        <v>800</v>
      </c>
      <c r="DF70" s="442">
        <f t="shared" si="180"/>
        <v>0</v>
      </c>
      <c r="DG70" s="487">
        <f t="shared" ca="1" si="153"/>
        <v>1.4000000000000001</v>
      </c>
      <c r="DH70" s="452">
        <f t="shared" si="154"/>
        <v>9.0000000000000011E-2</v>
      </c>
      <c r="DI70" s="452">
        <f>MIN(valkyrja_cap,Production!O70/valkyrja_bonus)</f>
        <v>1</v>
      </c>
      <c r="DJ70" s="848">
        <f>MIN(voodoo_magi_cap,Production!O70/voodoo_magi_bonus)</f>
        <v>0.83333333333333337</v>
      </c>
      <c r="DK70" s="848">
        <f>MIN(warlock_cap,Production!O70/warlock_bonus)</f>
        <v>1.25</v>
      </c>
      <c r="DL70" s="848">
        <f ca="1">MIN(nox_nightshade_cap,Construction!DF70/Construction!E70/nox_nightshade_swamp_bonus)</f>
        <v>2.8000000000000003</v>
      </c>
      <c r="DM70" s="488">
        <f t="shared" si="155"/>
        <v>0</v>
      </c>
      <c r="DN70" s="489">
        <f t="shared" ca="1" si="156"/>
        <v>2.8000000000000003</v>
      </c>
      <c r="DO70" s="489">
        <f t="shared" ca="1" si="157"/>
        <v>2.8000000000000003</v>
      </c>
      <c r="DP70" s="489">
        <f t="shared" si="158"/>
        <v>1</v>
      </c>
      <c r="DQ70" s="488">
        <f t="shared" si="159"/>
        <v>0</v>
      </c>
      <c r="DR70" s="489">
        <f t="shared" si="160"/>
        <v>0</v>
      </c>
      <c r="DS70" s="488">
        <f t="shared" si="161"/>
        <v>0</v>
      </c>
      <c r="DT70" s="489">
        <f t="shared" si="162"/>
        <v>0.1</v>
      </c>
      <c r="DX70" s="487">
        <f ca="1">MIN(6,CV70+Races!$F$19)*1.8 +  IF(CV70+Races!$F$19&gt;6,(CV70+Races!$F$19-6)*0.2,0) - Races!$N$19</f>
        <v>2.5200000000000005</v>
      </c>
      <c r="DY70" s="488">
        <f ca="1">1.8 * MIN(MAX(CW70+Races!$E$20,CX70+Races!$F$20),6)  +  0.45 * MIN(MIN(CW70+Races!$E$20,CX70+Races!$F$20),6)  +  0.2 * ( MAX(CW70+Races!$E$20-6,0) + MAX(CX70+Races!$F$20-6,0) )  -  Races!$N$20</f>
        <v>3.1500000000000012</v>
      </c>
      <c r="DZ70" s="57">
        <f t="shared" ca="1" si="163"/>
        <v>3780.0000000000009</v>
      </c>
      <c r="EA70" s="666">
        <f ca="1">MIN(6,CY70+Races!$F$35)*1.8 +  IF(CY70+Races!$F$35&gt;6,(CY70+Races!$F$35-6)*0.2,0) - Races!$N$19</f>
        <v>0.72000000000000064</v>
      </c>
      <c r="EB70" s="57">
        <f t="shared" ca="1" si="164"/>
        <v>0</v>
      </c>
      <c r="EC70" s="666">
        <f ca="1">1.8 * MIN(MAX(Races!$E$27,DB70+Races!$F$27),6)  +  0.45 * MIN(MIN(Races!$E$27,DB70+Races!$F$27),6)  +  0.2 * ( MAX(Races!$E$27-6,0) + MAX(DB70+Races!$F$27-6,0) )  -  Races!$N$20</f>
        <v>4.7700000000000005</v>
      </c>
      <c r="ED70" s="57">
        <f t="shared" ca="1" si="165"/>
        <v>0</v>
      </c>
      <c r="EE70" s="666">
        <f>1.8 * MIN(MAX(DC70+Races!$E$47,DD70+Races!$F$47),6)  +  0.45 * MIN(MIN(DC70+Races!$E$47,DD70+Races!$F$47),6)  +  0.2 * ( MAX(DC70+Races!$E$47-6,0) + MAX(DD70+Races!$F$47-6,0) )  -  Races!$N$47</f>
        <v>0</v>
      </c>
      <c r="EF70" s="57">
        <f t="shared" si="166"/>
        <v>0</v>
      </c>
      <c r="EG70" s="666">
        <f ca="1">1.8 * MIN(MAX(DG70+Races!$F$71,Races!$E$71),6)  +  0.45 * MIN(MIN(DG70+Races!$F$71,Races!$E$71),6)  +  0.2 * ( MAX(DG70+Races!$F$71-6,0) + MAX(Races!$E$71-6,0) )  -  Races!$N$71</f>
        <v>2.5200000000000014</v>
      </c>
      <c r="EH70" s="666">
        <f>1.8 * MIN(MAX(DH70+Races!$E$71,Races!$F$71),6)  +  0.45 * MIN(MIN(DH70+Races!$E$71,Races!$F$71),6)  +  0.2 * ( MAX(DH70+Races!$E$71-6,0) + MAX(Races!$F$71-6,0) )  -  Races!$N$71</f>
        <v>0.16200000000000081</v>
      </c>
      <c r="EI70" s="57">
        <f t="shared" ca="1" si="167"/>
        <v>2584.8000000000015</v>
      </c>
      <c r="EJ70" s="57"/>
      <c r="EK70" s="57"/>
      <c r="EL70" s="57"/>
      <c r="EM70" s="57">
        <f ca="1">Overview!$L$22*E70+Overview!$L$23*F70+Overview!$L$24*G70+Overview!$L$25*H70+Overview!$L$26*I70+Overview!$L$27*J70+Overview!$L$28*K70+Construction!E70*20+Construction!B70*5 + DZ70*$DV$4+EB70*$DV$5+ED70*$DV$6+EF70*$DV$7+EI70*$DV$9</f>
        <v>39460</v>
      </c>
      <c r="EO70" s="738">
        <f>(J70+2*K70)/Construction!E70</f>
        <v>0.1</v>
      </c>
      <c r="EP70" s="734">
        <f ca="1">EO70*(1+race_wizard_strength+tech_magical_weaponry_wiz*Techs!AV142)</f>
        <v>0.1</v>
      </c>
      <c r="EQ70" s="16">
        <f>(I70+halfer*H70/3)/Construction!E70</f>
        <v>0.1</v>
      </c>
    </row>
    <row r="71" spans="1:147" s="16" customFormat="1">
      <c r="A71" s="629">
        <f>Rezone!J71</f>
        <v>69</v>
      </c>
      <c r="B71" s="56">
        <f ca="1">SUM(E71:K71)+SUM(AF63:AG71)+SUM(AH60:AL71)+Z71+Explore!AL71</f>
        <v>5295</v>
      </c>
      <c r="C71" s="97">
        <f ca="1">Population!G71</f>
        <v>0.57305194805194803</v>
      </c>
      <c r="E71" s="52">
        <f t="shared" si="118"/>
        <v>0</v>
      </c>
      <c r="F71" s="16">
        <f t="shared" si="119"/>
        <v>0</v>
      </c>
      <c r="G71" s="16">
        <f t="shared" si="120"/>
        <v>1000</v>
      </c>
      <c r="H71" s="16">
        <f t="shared" si="121"/>
        <v>400</v>
      </c>
      <c r="I71" s="16">
        <f t="shared" si="122"/>
        <v>100</v>
      </c>
      <c r="J71" s="16">
        <f t="shared" si="123"/>
        <v>100</v>
      </c>
      <c r="K71" s="53">
        <f t="shared" si="124"/>
        <v>0</v>
      </c>
      <c r="M71" s="64">
        <f ca="1">Production!G71</f>
        <v>39460</v>
      </c>
      <c r="O71" s="142">
        <f t="shared" ca="1" si="125"/>
        <v>4400</v>
      </c>
      <c r="P71" s="455">
        <f ca="1">race_offense+Imps!AB71+ROUND(MIN(gn_bonus*Construction!BF71/Construction!$E71,gn_bonus_cap),4)+MAX(IF(Magic!$AN71&gt;0,warsong_bonus),IF(Magic!AP71&gt;0,howling_op_bonus),IF(Magic!AS71&gt;0,nightfall_bonus),IF(Magic!AT71&gt;0,crusade_bonus),IF(Magic!AU71&gt;0,killingrage_bonus),IF(Magic!AV71&gt;0,bloodrage_bonus)) + Production!O71/100*prestige_offense_bonus + MAX(tech_military_offense*Techs!AH71,tech_magical_weaponry_op*Techs!AV71)</f>
        <v>0.05</v>
      </c>
      <c r="Q71" s="235">
        <f t="shared" ca="1" si="168"/>
        <v>4620</v>
      </c>
      <c r="R71" s="234">
        <f ca="1">F71*(spec_dp+spirit*DR71)+G71*(elite1_dp+woodie*CV71+sylvan*CY71+gnome*DB71+dark_elf*DD71+icekin*DG71+orc*DJ71+nox*DL71+beast*DN71+sacred*DP71+spirit*DS71+blackorc*DK71)+H71*(elite2_dp+woodie*CX71+beast*DO71+sacred*DQ71) + fh_peas_dp*MIN(Population!C71,20*Construction!BD71)+kobold*DE71</f>
        <v>7200</v>
      </c>
      <c r="S71" s="235">
        <f t="shared" ca="1" si="126"/>
        <v>10895</v>
      </c>
      <c r="T71" s="1052">
        <f ca="1">race_defense+Imps!AC71+ROUND(MIN(gt_bonus*Construction!BH71/Construction!$E71,gt_bonus_cap),4)+MAX(IF(Magic!AM71&gt;0,frenzy_bonus,IF(Magic!AQ71&gt;0,blizzard_bonus,IF(Magic!AP71&gt;0,howling_dp_bonus,IF(Magic!AI71&gt;0,ares_call_bonus)))),IF(Magic!AX71&gt;0,MIN(Construction!DF71/Construction!E71,0.2),0))</f>
        <v>0</v>
      </c>
      <c r="U71" s="1046">
        <f t="shared" ca="1" si="169"/>
        <v>7200</v>
      </c>
      <c r="V71" s="310">
        <f t="shared" ca="1" si="170"/>
        <v>10895</v>
      </c>
      <c r="W71" s="310">
        <f>Construction!E71</f>
        <v>1000</v>
      </c>
      <c r="X71" s="367"/>
      <c r="Y71" s="146">
        <f t="shared" si="74"/>
        <v>0.4</v>
      </c>
      <c r="Z71" s="166">
        <f ca="1">Z70+Population!Z70 - IF(race="Lux",AF71,SUM(AF71:AK71)) - BE71 + SUM(BF71:BL71) - Explore!AI71</f>
        <v>3695</v>
      </c>
      <c r="AA71" s="164"/>
      <c r="AB71" s="91">
        <f>(Construction!$BA71+Construction!BY71)/(Construction!$E71-Explore!S71*20)</f>
        <v>0.2</v>
      </c>
      <c r="AC71" s="529"/>
      <c r="AD71" s="799">
        <f>Rezone!J71</f>
        <v>69</v>
      </c>
      <c r="AE71" s="589">
        <f>Explore!AA71</f>
        <v>43694.833333333168</v>
      </c>
      <c r="AF71" s="356"/>
      <c r="AG71" s="348"/>
      <c r="AH71" s="348"/>
      <c r="AI71" s="348"/>
      <c r="AJ71" s="348"/>
      <c r="AK71" s="348"/>
      <c r="AL71" s="357"/>
      <c r="AN71" s="56">
        <f ca="1">Production!$H71</f>
        <v>3671779</v>
      </c>
      <c r="AO71" s="26">
        <f ca="1">Production!$L71</f>
        <v>231000</v>
      </c>
      <c r="AP71" s="26">
        <f ca="1">Production!J71</f>
        <v>276454</v>
      </c>
      <c r="AQ71" s="26">
        <f ca="1">Production!M71</f>
        <v>20000</v>
      </c>
      <c r="AR71" s="26">
        <f ca="1">Production!K71</f>
        <v>51743</v>
      </c>
      <c r="AS71" s="26">
        <f ca="1">Production!I71</f>
        <v>252138</v>
      </c>
      <c r="AT71" s="26">
        <f ca="1">Production!N71</f>
        <v>200</v>
      </c>
      <c r="AU71" s="152">
        <f t="shared" ca="1" si="127"/>
        <v>0</v>
      </c>
      <c r="AV71" s="164">
        <f t="shared" ca="1" si="128"/>
        <v>0</v>
      </c>
      <c r="AW71" s="164">
        <f t="shared" ca="1" si="171"/>
        <v>0</v>
      </c>
      <c r="AX71" s="164">
        <f t="shared" ca="1" si="172"/>
        <v>0</v>
      </c>
      <c r="AY71" s="164">
        <f t="shared" ca="1" si="173"/>
        <v>0</v>
      </c>
      <c r="AZ71" s="164">
        <f t="shared" ca="1" si="174"/>
        <v>0</v>
      </c>
      <c r="BA71" s="166">
        <f t="shared" ca="1" si="175"/>
        <v>0</v>
      </c>
      <c r="BB71" s="16">
        <v>69</v>
      </c>
      <c r="BC71" s="574">
        <f t="shared" si="176"/>
        <v>43694.833333333168</v>
      </c>
      <c r="BD71" s="148">
        <f t="shared" ca="1" si="177"/>
        <v>3695</v>
      </c>
      <c r="BE71" s="356"/>
      <c r="BF71" s="348"/>
      <c r="BG71" s="348"/>
      <c r="BH71" s="348"/>
      <c r="BI71" s="348"/>
      <c r="BJ71" s="348"/>
      <c r="BK71" s="348"/>
      <c r="BL71" s="357"/>
      <c r="BN71" s="503">
        <f>Construction!BM71/Construction!E71</f>
        <v>0</v>
      </c>
      <c r="BO71" s="171">
        <f>Construction!BD71/Construction!E71</f>
        <v>0</v>
      </c>
      <c r="BP71" s="152">
        <f>ROUNDUP((1-MIN(AB71*smithy_bonus,smithy_bonus_cap))*(1+Techs!AO71*tech_master_of_frugality)*spec_op_plat,0)</f>
        <v>165</v>
      </c>
      <c r="BQ71" s="164">
        <f>ROUNDUP(IF(race="Gnome",1,(1-MIN(AB71*smithy_bonus,smithy_bonus_cap))*(1+Techs!AO71*tech_master_of_frugality))*spec_op_ore,0)</f>
        <v>15</v>
      </c>
      <c r="BR71" s="164">
        <f t="shared" si="129"/>
        <v>0</v>
      </c>
      <c r="BS71" s="164">
        <f t="shared" si="130"/>
        <v>0</v>
      </c>
      <c r="BT71" s="164">
        <f ca="1">ROUNDUP((1-MIN(AB71*smithy_bonus,smithy_bonus_cap))*(1+Techs!AO71*tech_master_of_frugality)*spec_dp_plat,0)</f>
        <v>165</v>
      </c>
      <c r="BU71" s="164">
        <f ca="1">ROUNDUP(IF(OR(race="Gnome",race="Imperial Gnome"),1,(1-MIN(AB71*smithy_bonus,smithy_bonus_cap))*(1+Techs!AO71*tech_master_of_frugality))*spec_dp_ore,0)</f>
        <v>6</v>
      </c>
      <c r="BV71" s="164">
        <f t="shared" ca="1" si="131"/>
        <v>0</v>
      </c>
      <c r="BW71" s="164">
        <f t="shared" ca="1" si="132"/>
        <v>0</v>
      </c>
      <c r="BX71" s="164">
        <f t="shared" ca="1" si="133"/>
        <v>0</v>
      </c>
      <c r="BY71" s="164">
        <f ca="1">ROUNDUP((1-MIN(AB71*smithy_bonus,smithy_bonus_cap))*(1+Techs!AO71*tech_master_of_frugality)*elite1_plat,0)</f>
        <v>600</v>
      </c>
      <c r="BZ71" s="164">
        <f ca="1">ROUNDUP(IF(race="Gnome",1,(1-MIN(AB71*smithy_bonus,smithy_bonus_cap))*(1+Techs!AO71*tech_master_of_frugality))*elite1_ore,0)</f>
        <v>45</v>
      </c>
      <c r="CA71" s="164">
        <f t="shared" ca="1" si="134"/>
        <v>0</v>
      </c>
      <c r="CB71" s="164">
        <f t="shared" ca="1" si="135"/>
        <v>0</v>
      </c>
      <c r="CC71" s="164">
        <f t="shared" ca="1" si="136"/>
        <v>0</v>
      </c>
      <c r="CD71" s="164">
        <f t="shared" ca="1" si="137"/>
        <v>0</v>
      </c>
      <c r="CE71" s="164">
        <f t="shared" ca="1" si="138"/>
        <v>0</v>
      </c>
      <c r="CF71" s="164">
        <f ca="1">ROUNDUP((1-MIN(AB71*smithy_bonus,smithy_bonus_cap))*(1+Techs!AO71*tech_master_of_frugality)*elite2_plat,0)</f>
        <v>750</v>
      </c>
      <c r="CG71" s="164">
        <f ca="1">ROUNDUP(IF(race="Gnome",1,(1-MIN(AB71*smithy_bonus,smithy_bonus_cap))*(1+Techs!AO71*tech_master_of_frugality))*elite2_ore,0)</f>
        <v>60</v>
      </c>
      <c r="CH71" s="164">
        <f t="shared" ca="1" si="139"/>
        <v>0</v>
      </c>
      <c r="CI71" s="164">
        <f t="shared" ca="1" si="140"/>
        <v>0</v>
      </c>
      <c r="CJ71" s="164">
        <f t="shared" ca="1" si="141"/>
        <v>0</v>
      </c>
      <c r="CK71" s="164">
        <f t="shared" ca="1" si="142"/>
        <v>0</v>
      </c>
      <c r="CL71" s="164">
        <f t="shared" ca="1" si="143"/>
        <v>0</v>
      </c>
      <c r="CM71" s="164">
        <f>ROUNDUP((1+tech_spy_cost*Techs!AJ71)*spy_plat,0)</f>
        <v>500</v>
      </c>
      <c r="CN71" s="164">
        <f>ROUNDUP((1+tech_wizard_cost*Techs!AM71-MIN(ROUND(wg_wiz_cost_bonus*BN71,4),wg_wiz_cost_cap))*wizard_plat,0)</f>
        <v>500</v>
      </c>
      <c r="CO71" s="166">
        <f>ROUNDUP((1+tech_wizard_cost*Techs!AM71-MIN(ROUND(wg_wiz_cost_bonus*BN71,4),wg_wiz_cost_cap))*archmage_plat,0)</f>
        <v>1000</v>
      </c>
      <c r="CQ71" s="465">
        <f ca="1">Construction!DF71/Construction!E71</f>
        <v>0.28000000000000003</v>
      </c>
      <c r="CR71" s="466">
        <f t="shared" si="178"/>
        <v>0</v>
      </c>
      <c r="CS71" s="466">
        <f>Construction!BK71/Construction!E71</f>
        <v>0.05</v>
      </c>
      <c r="CT71" s="466">
        <f>Construction!BJ71/Construction!E71</f>
        <v>0</v>
      </c>
      <c r="CU71" s="466">
        <f>Construction!AY71/Construction!E71</f>
        <v>0</v>
      </c>
      <c r="CV71" s="487">
        <f t="shared" ca="1" si="144"/>
        <v>1.4000000000000001</v>
      </c>
      <c r="CW71" s="488">
        <f t="shared" ca="1" si="145"/>
        <v>1.4000000000000001</v>
      </c>
      <c r="CX71" s="488">
        <f t="shared" ca="1" si="146"/>
        <v>1.4000000000000001</v>
      </c>
      <c r="CY71" s="489">
        <f t="shared" ca="1" si="147"/>
        <v>1.4000000000000001</v>
      </c>
      <c r="CZ71" s="489">
        <f t="shared" si="148"/>
        <v>0.1</v>
      </c>
      <c r="DA71" s="489">
        <f t="shared" ca="1" si="149"/>
        <v>3</v>
      </c>
      <c r="DB71" s="489">
        <f t="shared" ca="1" si="150"/>
        <v>1.4000000000000001</v>
      </c>
      <c r="DC71" s="488">
        <f t="shared" si="151"/>
        <v>0</v>
      </c>
      <c r="DD71" s="848">
        <f t="shared" si="152"/>
        <v>0</v>
      </c>
      <c r="DE71" s="442">
        <f t="shared" si="179"/>
        <v>800</v>
      </c>
      <c r="DF71" s="442">
        <f t="shared" si="180"/>
        <v>0</v>
      </c>
      <c r="DG71" s="487">
        <f t="shared" ca="1" si="153"/>
        <v>1.4000000000000001</v>
      </c>
      <c r="DH71" s="452">
        <f t="shared" si="154"/>
        <v>9.0000000000000011E-2</v>
      </c>
      <c r="DI71" s="452">
        <f>MIN(valkyrja_cap,Production!O71/valkyrja_bonus)</f>
        <v>1</v>
      </c>
      <c r="DJ71" s="848">
        <f>MIN(voodoo_magi_cap,Production!O71/voodoo_magi_bonus)</f>
        <v>0.83333333333333337</v>
      </c>
      <c r="DK71" s="848">
        <f>MIN(warlock_cap,Production!O71/warlock_bonus)</f>
        <v>1.25</v>
      </c>
      <c r="DL71" s="848">
        <f ca="1">MIN(nox_nightshade_cap,Construction!DF71/Construction!E71/nox_nightshade_swamp_bonus)</f>
        <v>2.8000000000000003</v>
      </c>
      <c r="DM71" s="488">
        <f t="shared" si="155"/>
        <v>0</v>
      </c>
      <c r="DN71" s="489">
        <f t="shared" ca="1" si="156"/>
        <v>2.8000000000000003</v>
      </c>
      <c r="DO71" s="489">
        <f t="shared" ca="1" si="157"/>
        <v>2.8000000000000003</v>
      </c>
      <c r="DP71" s="489">
        <f t="shared" si="158"/>
        <v>1</v>
      </c>
      <c r="DQ71" s="488">
        <f t="shared" si="159"/>
        <v>0</v>
      </c>
      <c r="DR71" s="489">
        <f t="shared" si="160"/>
        <v>0</v>
      </c>
      <c r="DS71" s="488">
        <f t="shared" si="161"/>
        <v>0</v>
      </c>
      <c r="DT71" s="489">
        <f t="shared" si="162"/>
        <v>0.1</v>
      </c>
      <c r="DX71" s="487">
        <f ca="1">MIN(6,CV71+Races!$F$19)*1.8 +  IF(CV71+Races!$F$19&gt;6,(CV71+Races!$F$19-6)*0.2,0) - Races!$N$19</f>
        <v>2.5200000000000005</v>
      </c>
      <c r="DY71" s="488">
        <f ca="1">1.8 * MIN(MAX(CW71+Races!$E$20,CX71+Races!$F$20),6)  +  0.45 * MIN(MIN(CW71+Races!$E$20,CX71+Races!$F$20),6)  +  0.2 * ( MAX(CW71+Races!$E$20-6,0) + MAX(CX71+Races!$F$20-6,0) )  -  Races!$N$20</f>
        <v>3.1500000000000012</v>
      </c>
      <c r="DZ71" s="57">
        <f t="shared" ca="1" si="163"/>
        <v>3780.0000000000009</v>
      </c>
      <c r="EA71" s="666">
        <f ca="1">MIN(6,CY71+Races!$F$35)*1.8 +  IF(CY71+Races!$F$35&gt;6,(CY71+Races!$F$35-6)*0.2,0) - Races!$N$19</f>
        <v>0.72000000000000064</v>
      </c>
      <c r="EB71" s="57">
        <f t="shared" ca="1" si="164"/>
        <v>0</v>
      </c>
      <c r="EC71" s="666">
        <f ca="1">1.8 * MIN(MAX(Races!$E$27,DB71+Races!$F$27),6)  +  0.45 * MIN(MIN(Races!$E$27,DB71+Races!$F$27),6)  +  0.2 * ( MAX(Races!$E$27-6,0) + MAX(DB71+Races!$F$27-6,0) )  -  Races!$N$20</f>
        <v>4.7700000000000005</v>
      </c>
      <c r="ED71" s="57">
        <f t="shared" ca="1" si="165"/>
        <v>0</v>
      </c>
      <c r="EE71" s="666">
        <f>1.8 * MIN(MAX(DC71+Races!$E$47,DD71+Races!$F$47),6)  +  0.45 * MIN(MIN(DC71+Races!$E$47,DD71+Races!$F$47),6)  +  0.2 * ( MAX(DC71+Races!$E$47-6,0) + MAX(DD71+Races!$F$47-6,0) )  -  Races!$N$47</f>
        <v>0</v>
      </c>
      <c r="EF71" s="57">
        <f t="shared" si="166"/>
        <v>0</v>
      </c>
      <c r="EG71" s="666">
        <f ca="1">1.8 * MIN(MAX(DG71+Races!$F$71,Races!$E$71),6)  +  0.45 * MIN(MIN(DG71+Races!$F$71,Races!$E$71),6)  +  0.2 * ( MAX(DG71+Races!$F$71-6,0) + MAX(Races!$E$71-6,0) )  -  Races!$N$71</f>
        <v>2.5200000000000014</v>
      </c>
      <c r="EH71" s="666">
        <f>1.8 * MIN(MAX(DH71+Races!$E$71,Races!$F$71),6)  +  0.45 * MIN(MIN(DH71+Races!$E$71,Races!$F$71),6)  +  0.2 * ( MAX(DH71+Races!$E$71-6,0) + MAX(Races!$F$71-6,0) )  -  Races!$N$71</f>
        <v>0.16200000000000081</v>
      </c>
      <c r="EI71" s="57">
        <f t="shared" ca="1" si="167"/>
        <v>2584.8000000000015</v>
      </c>
      <c r="EJ71" s="57"/>
      <c r="EK71" s="57"/>
      <c r="EL71" s="57"/>
      <c r="EM71" s="57">
        <f ca="1">Overview!$L$22*E71+Overview!$L$23*F71+Overview!$L$24*G71+Overview!$L$25*H71+Overview!$L$26*I71+Overview!$L$27*J71+Overview!$L$28*K71+Construction!E71*20+Construction!B71*5 + DZ71*$DV$4+EB71*$DV$5+ED71*$DV$6+EF71*$DV$7+EI71*$DV$9</f>
        <v>39460</v>
      </c>
      <c r="EO71" s="738">
        <f>(J71+2*K71)/Construction!E71</f>
        <v>0.1</v>
      </c>
      <c r="EP71" s="734">
        <f ca="1">EO71*(1+race_wizard_strength+tech_magical_weaponry_wiz*Techs!AV143)</f>
        <v>0.1</v>
      </c>
      <c r="EQ71" s="16">
        <f>(I71+halfer*H71/3)/Construction!E71</f>
        <v>0.1</v>
      </c>
    </row>
    <row r="72" spans="1:147" s="16" customFormat="1">
      <c r="A72" s="629">
        <f>Rezone!J72</f>
        <v>70</v>
      </c>
      <c r="B72" s="56">
        <f ca="1">SUM(E72:K72)+SUM(AF64:AG72)+SUM(AH61:AL72)+Z72+Explore!AL72</f>
        <v>5295</v>
      </c>
      <c r="C72" s="97">
        <f ca="1">Population!G72</f>
        <v>0.57305194805194803</v>
      </c>
      <c r="E72" s="52">
        <f t="shared" si="118"/>
        <v>0</v>
      </c>
      <c r="F72" s="16">
        <f t="shared" si="119"/>
        <v>0</v>
      </c>
      <c r="G72" s="16">
        <f t="shared" si="120"/>
        <v>1000</v>
      </c>
      <c r="H72" s="16">
        <f t="shared" si="121"/>
        <v>400</v>
      </c>
      <c r="I72" s="16">
        <f t="shared" si="122"/>
        <v>100</v>
      </c>
      <c r="J72" s="16">
        <f t="shared" si="123"/>
        <v>100</v>
      </c>
      <c r="K72" s="53">
        <f t="shared" si="124"/>
        <v>0</v>
      </c>
      <c r="M72" s="64">
        <f ca="1">Production!G72</f>
        <v>39460</v>
      </c>
      <c r="O72" s="142">
        <f t="shared" ca="1" si="125"/>
        <v>4400</v>
      </c>
      <c r="P72" s="455">
        <f ca="1">race_offense+Imps!AB72+ROUND(MIN(gn_bonus*Construction!BF72/Construction!$E72,gn_bonus_cap),4)+MAX(IF(Magic!$AN72&gt;0,warsong_bonus),IF(Magic!AP72&gt;0,howling_op_bonus),IF(Magic!AS72&gt;0,nightfall_bonus),IF(Magic!AT72&gt;0,crusade_bonus),IF(Magic!AU72&gt;0,killingrage_bonus),IF(Magic!AV72&gt;0,bloodrage_bonus)) + Production!O72/100*prestige_offense_bonus + MAX(tech_military_offense*Techs!AH72,tech_magical_weaponry_op*Techs!AV72)</f>
        <v>0.05</v>
      </c>
      <c r="Q72" s="235">
        <f t="shared" ca="1" si="168"/>
        <v>4620</v>
      </c>
      <c r="R72" s="234">
        <f ca="1">F72*(spec_dp+spirit*DR72)+G72*(elite1_dp+woodie*CV72+sylvan*CY72+gnome*DB72+dark_elf*DD72+icekin*DG72+orc*DJ72+nox*DL72+beast*DN72+sacred*DP72+spirit*DS72+blackorc*DK72)+H72*(elite2_dp+woodie*CX72+beast*DO72+sacred*DQ72) + fh_peas_dp*MIN(Population!C72,20*Construction!BD72)+kobold*DE72</f>
        <v>7200</v>
      </c>
      <c r="S72" s="235">
        <f t="shared" ca="1" si="126"/>
        <v>10895</v>
      </c>
      <c r="T72" s="1052">
        <f ca="1">race_defense+Imps!AC72+ROUND(MIN(gt_bonus*Construction!BH72/Construction!$E72,gt_bonus_cap),4)+MAX(IF(Magic!AM72&gt;0,frenzy_bonus,IF(Magic!AQ72&gt;0,blizzard_bonus,IF(Magic!AP72&gt;0,howling_dp_bonus,IF(Magic!AI72&gt;0,ares_call_bonus)))),IF(Magic!AX72&gt;0,MIN(Construction!DF72/Construction!E72,0.2),0))</f>
        <v>0</v>
      </c>
      <c r="U72" s="1046">
        <f t="shared" ca="1" si="169"/>
        <v>7200</v>
      </c>
      <c r="V72" s="310">
        <f t="shared" ca="1" si="170"/>
        <v>10895</v>
      </c>
      <c r="W72" s="310">
        <f>Construction!E72</f>
        <v>1000</v>
      </c>
      <c r="X72" s="367"/>
      <c r="Y72" s="146">
        <f t="shared" si="74"/>
        <v>0.4</v>
      </c>
      <c r="Z72" s="166">
        <f ca="1">Z71+Population!Z71 - IF(race="Lux",AF72,SUM(AF72:AK72)) - BE72 + SUM(BF72:BL72) - Explore!AI72</f>
        <v>3695</v>
      </c>
      <c r="AA72" s="164"/>
      <c r="AB72" s="91">
        <f>(Construction!$BA72+Construction!BY72)/(Construction!$E72-Explore!S72*20)</f>
        <v>0.2</v>
      </c>
      <c r="AC72" s="529"/>
      <c r="AD72" s="799">
        <f>Rezone!J72</f>
        <v>70</v>
      </c>
      <c r="AE72" s="589">
        <f>Explore!AA72</f>
        <v>43694.874999999833</v>
      </c>
      <c r="AF72" s="356"/>
      <c r="AG72" s="348"/>
      <c r="AH72" s="348"/>
      <c r="AI72" s="348"/>
      <c r="AJ72" s="348"/>
      <c r="AK72" s="348"/>
      <c r="AL72" s="357"/>
      <c r="AN72" s="56">
        <f ca="1">Production!$H72</f>
        <v>3682430</v>
      </c>
      <c r="AO72" s="26">
        <f ca="1">Production!$L72</f>
        <v>231000</v>
      </c>
      <c r="AP72" s="26">
        <f ca="1">Production!J72</f>
        <v>276189</v>
      </c>
      <c r="AQ72" s="26">
        <f ca="1">Production!M72</f>
        <v>20000</v>
      </c>
      <c r="AR72" s="26">
        <f ca="1">Production!K72</f>
        <v>51958</v>
      </c>
      <c r="AS72" s="26">
        <f ca="1">Production!I72</f>
        <v>254347</v>
      </c>
      <c r="AT72" s="26">
        <f ca="1">Production!N72</f>
        <v>200</v>
      </c>
      <c r="AU72" s="152">
        <f t="shared" ca="1" si="127"/>
        <v>0</v>
      </c>
      <c r="AV72" s="164">
        <f t="shared" ca="1" si="128"/>
        <v>0</v>
      </c>
      <c r="AW72" s="164">
        <f t="shared" ca="1" si="171"/>
        <v>0</v>
      </c>
      <c r="AX72" s="164">
        <f t="shared" ca="1" si="172"/>
        <v>0</v>
      </c>
      <c r="AY72" s="164">
        <f t="shared" ca="1" si="173"/>
        <v>0</v>
      </c>
      <c r="AZ72" s="164">
        <f t="shared" ca="1" si="174"/>
        <v>0</v>
      </c>
      <c r="BA72" s="166">
        <f t="shared" ca="1" si="175"/>
        <v>0</v>
      </c>
      <c r="BB72" s="16">
        <v>70</v>
      </c>
      <c r="BC72" s="574">
        <f t="shared" si="176"/>
        <v>43694.874999999833</v>
      </c>
      <c r="BD72" s="148">
        <f t="shared" ca="1" si="177"/>
        <v>3695</v>
      </c>
      <c r="BE72" s="356"/>
      <c r="BF72" s="348"/>
      <c r="BG72" s="348"/>
      <c r="BH72" s="348"/>
      <c r="BI72" s="348"/>
      <c r="BJ72" s="348"/>
      <c r="BK72" s="348"/>
      <c r="BL72" s="357"/>
      <c r="BN72" s="503">
        <f>Construction!BM72/Construction!E72</f>
        <v>0</v>
      </c>
      <c r="BO72" s="171">
        <f>Construction!BD72/Construction!E72</f>
        <v>0</v>
      </c>
      <c r="BP72" s="152">
        <f>ROUNDUP((1-MIN(AB72*smithy_bonus,smithy_bonus_cap))*(1+Techs!AO72*tech_master_of_frugality)*spec_op_plat,0)</f>
        <v>165</v>
      </c>
      <c r="BQ72" s="164">
        <f>ROUNDUP(IF(race="Gnome",1,(1-MIN(AB72*smithy_bonus,smithy_bonus_cap))*(1+Techs!AO72*tech_master_of_frugality))*spec_op_ore,0)</f>
        <v>15</v>
      </c>
      <c r="BR72" s="164">
        <f t="shared" si="129"/>
        <v>0</v>
      </c>
      <c r="BS72" s="164">
        <f t="shared" si="130"/>
        <v>0</v>
      </c>
      <c r="BT72" s="164">
        <f ca="1">ROUNDUP((1-MIN(AB72*smithy_bonus,smithy_bonus_cap))*(1+Techs!AO72*tech_master_of_frugality)*spec_dp_plat,0)</f>
        <v>165</v>
      </c>
      <c r="BU72" s="164">
        <f ca="1">ROUNDUP(IF(OR(race="Gnome",race="Imperial Gnome"),1,(1-MIN(AB72*smithy_bonus,smithy_bonus_cap))*(1+Techs!AO72*tech_master_of_frugality))*spec_dp_ore,0)</f>
        <v>6</v>
      </c>
      <c r="BV72" s="164">
        <f t="shared" ca="1" si="131"/>
        <v>0</v>
      </c>
      <c r="BW72" s="164">
        <f t="shared" ca="1" si="132"/>
        <v>0</v>
      </c>
      <c r="BX72" s="164">
        <f t="shared" ca="1" si="133"/>
        <v>0</v>
      </c>
      <c r="BY72" s="164">
        <f ca="1">ROUNDUP((1-MIN(AB72*smithy_bonus,smithy_bonus_cap))*(1+Techs!AO72*tech_master_of_frugality)*elite1_plat,0)</f>
        <v>600</v>
      </c>
      <c r="BZ72" s="164">
        <f ca="1">ROUNDUP(IF(race="Gnome",1,(1-MIN(AB72*smithy_bonus,smithy_bonus_cap))*(1+Techs!AO72*tech_master_of_frugality))*elite1_ore,0)</f>
        <v>45</v>
      </c>
      <c r="CA72" s="164">
        <f t="shared" ca="1" si="134"/>
        <v>0</v>
      </c>
      <c r="CB72" s="164">
        <f t="shared" ca="1" si="135"/>
        <v>0</v>
      </c>
      <c r="CC72" s="164">
        <f t="shared" ca="1" si="136"/>
        <v>0</v>
      </c>
      <c r="CD72" s="164">
        <f t="shared" ca="1" si="137"/>
        <v>0</v>
      </c>
      <c r="CE72" s="164">
        <f t="shared" ca="1" si="138"/>
        <v>0</v>
      </c>
      <c r="CF72" s="164">
        <f ca="1">ROUNDUP((1-MIN(AB72*smithy_bonus,smithy_bonus_cap))*(1+Techs!AO72*tech_master_of_frugality)*elite2_plat,0)</f>
        <v>750</v>
      </c>
      <c r="CG72" s="164">
        <f ca="1">ROUNDUP(IF(race="Gnome",1,(1-MIN(AB72*smithy_bonus,smithy_bonus_cap))*(1+Techs!AO72*tech_master_of_frugality))*elite2_ore,0)</f>
        <v>60</v>
      </c>
      <c r="CH72" s="164">
        <f t="shared" ca="1" si="139"/>
        <v>0</v>
      </c>
      <c r="CI72" s="164">
        <f t="shared" ca="1" si="140"/>
        <v>0</v>
      </c>
      <c r="CJ72" s="164">
        <f t="shared" ca="1" si="141"/>
        <v>0</v>
      </c>
      <c r="CK72" s="164">
        <f t="shared" ca="1" si="142"/>
        <v>0</v>
      </c>
      <c r="CL72" s="164">
        <f t="shared" ca="1" si="143"/>
        <v>0</v>
      </c>
      <c r="CM72" s="164">
        <f>ROUNDUP((1+tech_spy_cost*Techs!AJ72)*spy_plat,0)</f>
        <v>500</v>
      </c>
      <c r="CN72" s="164">
        <f>ROUNDUP((1+tech_wizard_cost*Techs!AM72-MIN(ROUND(wg_wiz_cost_bonus*BN72,4),wg_wiz_cost_cap))*wizard_plat,0)</f>
        <v>500</v>
      </c>
      <c r="CO72" s="166">
        <f>ROUNDUP((1+tech_wizard_cost*Techs!AM72-MIN(ROUND(wg_wiz_cost_bonus*BN72,4),wg_wiz_cost_cap))*archmage_plat,0)</f>
        <v>1000</v>
      </c>
      <c r="CQ72" s="465">
        <f ca="1">Construction!DF72/Construction!E72</f>
        <v>0.28000000000000003</v>
      </c>
      <c r="CR72" s="466">
        <f t="shared" si="178"/>
        <v>0</v>
      </c>
      <c r="CS72" s="466">
        <f>Construction!BK72/Construction!E72</f>
        <v>0.05</v>
      </c>
      <c r="CT72" s="466">
        <f>Construction!BJ72/Construction!E72</f>
        <v>0</v>
      </c>
      <c r="CU72" s="466">
        <f>Construction!AY72/Construction!E72</f>
        <v>0</v>
      </c>
      <c r="CV72" s="487">
        <f t="shared" ca="1" si="144"/>
        <v>1.4000000000000001</v>
      </c>
      <c r="CW72" s="488">
        <f t="shared" ca="1" si="145"/>
        <v>1.4000000000000001</v>
      </c>
      <c r="CX72" s="488">
        <f t="shared" ca="1" si="146"/>
        <v>1.4000000000000001</v>
      </c>
      <c r="CY72" s="489">
        <f t="shared" ca="1" si="147"/>
        <v>1.4000000000000001</v>
      </c>
      <c r="CZ72" s="489">
        <f t="shared" si="148"/>
        <v>0.1</v>
      </c>
      <c r="DA72" s="489">
        <f t="shared" ca="1" si="149"/>
        <v>3</v>
      </c>
      <c r="DB72" s="489">
        <f t="shared" ca="1" si="150"/>
        <v>1.4000000000000001</v>
      </c>
      <c r="DC72" s="488">
        <f t="shared" si="151"/>
        <v>0</v>
      </c>
      <c r="DD72" s="848">
        <f t="shared" si="152"/>
        <v>0</v>
      </c>
      <c r="DE72" s="442">
        <f t="shared" si="179"/>
        <v>800</v>
      </c>
      <c r="DF72" s="442">
        <f t="shared" si="180"/>
        <v>0</v>
      </c>
      <c r="DG72" s="487">
        <f t="shared" ca="1" si="153"/>
        <v>1.4000000000000001</v>
      </c>
      <c r="DH72" s="452">
        <f t="shared" si="154"/>
        <v>9.0000000000000011E-2</v>
      </c>
      <c r="DI72" s="452">
        <f>MIN(valkyrja_cap,Production!O72/valkyrja_bonus)</f>
        <v>1</v>
      </c>
      <c r="DJ72" s="848">
        <f>MIN(voodoo_magi_cap,Production!O72/voodoo_magi_bonus)</f>
        <v>0.83333333333333337</v>
      </c>
      <c r="DK72" s="848">
        <f>MIN(warlock_cap,Production!O72/warlock_bonus)</f>
        <v>1.25</v>
      </c>
      <c r="DL72" s="848">
        <f ca="1">MIN(nox_nightshade_cap,Construction!DF72/Construction!E72/nox_nightshade_swamp_bonus)</f>
        <v>2.8000000000000003</v>
      </c>
      <c r="DM72" s="488">
        <f t="shared" si="155"/>
        <v>0</v>
      </c>
      <c r="DN72" s="489">
        <f t="shared" ca="1" si="156"/>
        <v>2.8000000000000003</v>
      </c>
      <c r="DO72" s="489">
        <f t="shared" ca="1" si="157"/>
        <v>2.8000000000000003</v>
      </c>
      <c r="DP72" s="489">
        <f t="shared" si="158"/>
        <v>1</v>
      </c>
      <c r="DQ72" s="488">
        <f t="shared" si="159"/>
        <v>0</v>
      </c>
      <c r="DR72" s="489">
        <f t="shared" si="160"/>
        <v>0</v>
      </c>
      <c r="DS72" s="488">
        <f t="shared" si="161"/>
        <v>0</v>
      </c>
      <c r="DT72" s="489">
        <f t="shared" si="162"/>
        <v>0.1</v>
      </c>
      <c r="DX72" s="487">
        <f ca="1">MIN(6,CV72+Races!$F$19)*1.8 +  IF(CV72+Races!$F$19&gt;6,(CV72+Races!$F$19-6)*0.2,0) - Races!$N$19</f>
        <v>2.5200000000000005</v>
      </c>
      <c r="DY72" s="488">
        <f ca="1">1.8 * MIN(MAX(CW72+Races!$E$20,CX72+Races!$F$20),6)  +  0.45 * MIN(MIN(CW72+Races!$E$20,CX72+Races!$F$20),6)  +  0.2 * ( MAX(CW72+Races!$E$20-6,0) + MAX(CX72+Races!$F$20-6,0) )  -  Races!$N$20</f>
        <v>3.1500000000000012</v>
      </c>
      <c r="DZ72" s="57">
        <f t="shared" ca="1" si="163"/>
        <v>3780.0000000000009</v>
      </c>
      <c r="EA72" s="666">
        <f ca="1">MIN(6,CY72+Races!$F$35)*1.8 +  IF(CY72+Races!$F$35&gt;6,(CY72+Races!$F$35-6)*0.2,0) - Races!$N$19</f>
        <v>0.72000000000000064</v>
      </c>
      <c r="EB72" s="57">
        <f t="shared" ca="1" si="164"/>
        <v>0</v>
      </c>
      <c r="EC72" s="666">
        <f ca="1">1.8 * MIN(MAX(Races!$E$27,DB72+Races!$F$27),6)  +  0.45 * MIN(MIN(Races!$E$27,DB72+Races!$F$27),6)  +  0.2 * ( MAX(Races!$E$27-6,0) + MAX(DB72+Races!$F$27-6,0) )  -  Races!$N$20</f>
        <v>4.7700000000000005</v>
      </c>
      <c r="ED72" s="57">
        <f t="shared" ca="1" si="165"/>
        <v>0</v>
      </c>
      <c r="EE72" s="666">
        <f>1.8 * MIN(MAX(DC72+Races!$E$47,DD72+Races!$F$47),6)  +  0.45 * MIN(MIN(DC72+Races!$E$47,DD72+Races!$F$47),6)  +  0.2 * ( MAX(DC72+Races!$E$47-6,0) + MAX(DD72+Races!$F$47-6,0) )  -  Races!$N$47</f>
        <v>0</v>
      </c>
      <c r="EF72" s="57">
        <f t="shared" si="166"/>
        <v>0</v>
      </c>
      <c r="EG72" s="666">
        <f ca="1">1.8 * MIN(MAX(DG72+Races!$F$71,Races!$E$71),6)  +  0.45 * MIN(MIN(DG72+Races!$F$71,Races!$E$71),6)  +  0.2 * ( MAX(DG72+Races!$F$71-6,0) + MAX(Races!$E$71-6,0) )  -  Races!$N$71</f>
        <v>2.5200000000000014</v>
      </c>
      <c r="EH72" s="666">
        <f>1.8 * MIN(MAX(DH72+Races!$E$71,Races!$F$71),6)  +  0.45 * MIN(MIN(DH72+Races!$E$71,Races!$F$71),6)  +  0.2 * ( MAX(DH72+Races!$E$71-6,0) + MAX(Races!$F$71-6,0) )  -  Races!$N$71</f>
        <v>0.16200000000000081</v>
      </c>
      <c r="EI72" s="57">
        <f t="shared" ca="1" si="167"/>
        <v>2584.8000000000015</v>
      </c>
      <c r="EJ72" s="57"/>
      <c r="EK72" s="57"/>
      <c r="EL72" s="57"/>
      <c r="EM72" s="57">
        <f ca="1">Overview!$L$22*E72+Overview!$L$23*F72+Overview!$L$24*G72+Overview!$L$25*H72+Overview!$L$26*I72+Overview!$L$27*J72+Overview!$L$28*K72+Construction!E72*20+Construction!B72*5 + DZ72*$DV$4+EB72*$DV$5+ED72*$DV$6+EF72*$DV$7+EI72*$DV$9</f>
        <v>39460</v>
      </c>
      <c r="EO72" s="738">
        <f>(J72+2*K72)/Construction!E72</f>
        <v>0.1</v>
      </c>
      <c r="EP72" s="734">
        <f ca="1">EO72*(1+race_wizard_strength+tech_magical_weaponry_wiz*Techs!AV144)</f>
        <v>0.1</v>
      </c>
      <c r="EQ72" s="16">
        <f>(I72+halfer*H72/3)/Construction!E72</f>
        <v>0.1</v>
      </c>
    </row>
    <row r="73" spans="1:147" s="16" customFormat="1">
      <c r="A73" s="629">
        <f>Rezone!J73</f>
        <v>71</v>
      </c>
      <c r="B73" s="56">
        <f ca="1">SUM(E73:K73)+SUM(AF65:AG73)+SUM(AH62:AL73)+Z73+Explore!AL73</f>
        <v>5295</v>
      </c>
      <c r="C73" s="97">
        <f ca="1">Population!G73</f>
        <v>0.57305194805194803</v>
      </c>
      <c r="E73" s="52">
        <f t="shared" si="118"/>
        <v>0</v>
      </c>
      <c r="F73" s="16">
        <f t="shared" si="119"/>
        <v>0</v>
      </c>
      <c r="G73" s="16">
        <f t="shared" si="120"/>
        <v>1000</v>
      </c>
      <c r="H73" s="16">
        <f t="shared" si="121"/>
        <v>400</v>
      </c>
      <c r="I73" s="16">
        <f t="shared" si="122"/>
        <v>100</v>
      </c>
      <c r="J73" s="16">
        <f t="shared" si="123"/>
        <v>100</v>
      </c>
      <c r="K73" s="53">
        <f t="shared" si="124"/>
        <v>0</v>
      </c>
      <c r="M73" s="64">
        <f ca="1">Production!G73</f>
        <v>39460</v>
      </c>
      <c r="O73" s="142">
        <f t="shared" ca="1" si="125"/>
        <v>4400</v>
      </c>
      <c r="P73" s="455">
        <f ca="1">race_offense+Imps!AB73+ROUND(MIN(gn_bonus*Construction!BF73/Construction!$E73,gn_bonus_cap),4)+MAX(IF(Magic!$AN73&gt;0,warsong_bonus),IF(Magic!AP73&gt;0,howling_op_bonus),IF(Magic!AS73&gt;0,nightfall_bonus),IF(Magic!AT73&gt;0,crusade_bonus),IF(Magic!AU73&gt;0,killingrage_bonus),IF(Magic!AV73&gt;0,bloodrage_bonus)) + Production!O73/100*prestige_offense_bonus + MAX(tech_military_offense*Techs!AH73,tech_magical_weaponry_op*Techs!AV73)</f>
        <v>0.05</v>
      </c>
      <c r="Q73" s="235">
        <f t="shared" ca="1" si="168"/>
        <v>4620</v>
      </c>
      <c r="R73" s="234">
        <f ca="1">F73*(spec_dp+spirit*DR73)+G73*(elite1_dp+woodie*CV73+sylvan*CY73+gnome*DB73+dark_elf*DD73+icekin*DG73+orc*DJ73+nox*DL73+beast*DN73+sacred*DP73+spirit*DS73+blackorc*DK73)+H73*(elite2_dp+woodie*CX73+beast*DO73+sacred*DQ73) + fh_peas_dp*MIN(Population!C73,20*Construction!BD73)+kobold*DE73</f>
        <v>7200</v>
      </c>
      <c r="S73" s="235">
        <f t="shared" ca="1" si="126"/>
        <v>10895</v>
      </c>
      <c r="T73" s="1052">
        <f ca="1">race_defense+Imps!AC73+ROUND(MIN(gt_bonus*Construction!BH73/Construction!$E73,gt_bonus_cap),4)+MAX(IF(Magic!AM73&gt;0,frenzy_bonus,IF(Magic!AQ73&gt;0,blizzard_bonus,IF(Magic!AP73&gt;0,howling_dp_bonus,IF(Magic!AI73&gt;0,ares_call_bonus)))),IF(Magic!AX73&gt;0,MIN(Construction!DF73/Construction!E73,0.2),0))</f>
        <v>0</v>
      </c>
      <c r="U73" s="1046">
        <f t="shared" ca="1" si="169"/>
        <v>7200</v>
      </c>
      <c r="V73" s="310">
        <f t="shared" ca="1" si="170"/>
        <v>10895</v>
      </c>
      <c r="W73" s="310">
        <f>Construction!E73</f>
        <v>1000</v>
      </c>
      <c r="X73" s="367"/>
      <c r="Y73" s="146">
        <f t="shared" si="74"/>
        <v>0.4</v>
      </c>
      <c r="Z73" s="166">
        <f ca="1">Z72+Population!Z72 - IF(race="Lux",AF73,SUM(AF73:AK73)) - BE73 + SUM(BF73:BL73) - Explore!AI73</f>
        <v>3695</v>
      </c>
      <c r="AA73" s="164"/>
      <c r="AB73" s="91">
        <f>(Construction!$BA73+Construction!BY73)/(Construction!$E73-Explore!S73*20)</f>
        <v>0.2</v>
      </c>
      <c r="AC73" s="529"/>
      <c r="AD73" s="799">
        <f>Rezone!J73</f>
        <v>71</v>
      </c>
      <c r="AE73" s="589">
        <f>Explore!AA73</f>
        <v>43694.916666666497</v>
      </c>
      <c r="AF73" s="356"/>
      <c r="AG73" s="348"/>
      <c r="AH73" s="348"/>
      <c r="AI73" s="348"/>
      <c r="AJ73" s="348"/>
      <c r="AK73" s="348"/>
      <c r="AL73" s="357"/>
      <c r="AN73" s="56">
        <f ca="1">Production!$H73</f>
        <v>3693081</v>
      </c>
      <c r="AO73" s="26">
        <f ca="1">Production!$L73</f>
        <v>231000</v>
      </c>
      <c r="AP73" s="26">
        <f ca="1">Production!J73</f>
        <v>275927</v>
      </c>
      <c r="AQ73" s="26">
        <f ca="1">Production!M73</f>
        <v>20000</v>
      </c>
      <c r="AR73" s="26">
        <f ca="1">Production!K73</f>
        <v>52169</v>
      </c>
      <c r="AS73" s="26">
        <f ca="1">Production!I73</f>
        <v>256534</v>
      </c>
      <c r="AT73" s="26">
        <f ca="1">Production!N73</f>
        <v>200</v>
      </c>
      <c r="AU73" s="152">
        <f t="shared" ca="1" si="127"/>
        <v>0</v>
      </c>
      <c r="AV73" s="164">
        <f t="shared" ca="1" si="128"/>
        <v>0</v>
      </c>
      <c r="AW73" s="164">
        <f t="shared" ca="1" si="171"/>
        <v>0</v>
      </c>
      <c r="AX73" s="164">
        <f t="shared" ca="1" si="172"/>
        <v>0</v>
      </c>
      <c r="AY73" s="164">
        <f t="shared" ca="1" si="173"/>
        <v>0</v>
      </c>
      <c r="AZ73" s="164">
        <f t="shared" ca="1" si="174"/>
        <v>0</v>
      </c>
      <c r="BA73" s="166">
        <f t="shared" ca="1" si="175"/>
        <v>0</v>
      </c>
      <c r="BB73" s="16">
        <v>71</v>
      </c>
      <c r="BC73" s="574">
        <f t="shared" si="176"/>
        <v>43694.916666666497</v>
      </c>
      <c r="BD73" s="148">
        <f t="shared" ca="1" si="177"/>
        <v>3695</v>
      </c>
      <c r="BE73" s="356"/>
      <c r="BF73" s="348"/>
      <c r="BG73" s="348"/>
      <c r="BH73" s="348"/>
      <c r="BI73" s="348"/>
      <c r="BJ73" s="348"/>
      <c r="BK73" s="348"/>
      <c r="BL73" s="357"/>
      <c r="BN73" s="503">
        <f>Construction!BM73/Construction!E73</f>
        <v>0</v>
      </c>
      <c r="BO73" s="171">
        <f>Construction!BD73/Construction!E73</f>
        <v>0</v>
      </c>
      <c r="BP73" s="152">
        <f>ROUNDUP((1-MIN(AB73*smithy_bonus,smithy_bonus_cap))*(1+Techs!AO73*tech_master_of_frugality)*spec_op_plat,0)</f>
        <v>165</v>
      </c>
      <c r="BQ73" s="164">
        <f>ROUNDUP(IF(race="Gnome",1,(1-MIN(AB73*smithy_bonus,smithy_bonus_cap))*(1+Techs!AO73*tech_master_of_frugality))*spec_op_ore,0)</f>
        <v>15</v>
      </c>
      <c r="BR73" s="164">
        <f t="shared" si="129"/>
        <v>0</v>
      </c>
      <c r="BS73" s="164">
        <f t="shared" si="130"/>
        <v>0</v>
      </c>
      <c r="BT73" s="164">
        <f ca="1">ROUNDUP((1-MIN(AB73*smithy_bonus,smithy_bonus_cap))*(1+Techs!AO73*tech_master_of_frugality)*spec_dp_plat,0)</f>
        <v>165</v>
      </c>
      <c r="BU73" s="164">
        <f ca="1">ROUNDUP(IF(OR(race="Gnome",race="Imperial Gnome"),1,(1-MIN(AB73*smithy_bonus,smithy_bonus_cap))*(1+Techs!AO73*tech_master_of_frugality))*spec_dp_ore,0)</f>
        <v>6</v>
      </c>
      <c r="BV73" s="164">
        <f t="shared" ca="1" si="131"/>
        <v>0</v>
      </c>
      <c r="BW73" s="164">
        <f t="shared" ca="1" si="132"/>
        <v>0</v>
      </c>
      <c r="BX73" s="164">
        <f t="shared" ca="1" si="133"/>
        <v>0</v>
      </c>
      <c r="BY73" s="164">
        <f ca="1">ROUNDUP((1-MIN(AB73*smithy_bonus,smithy_bonus_cap))*(1+Techs!AO73*tech_master_of_frugality)*elite1_plat,0)</f>
        <v>600</v>
      </c>
      <c r="BZ73" s="164">
        <f ca="1">ROUNDUP(IF(race="Gnome",1,(1-MIN(AB73*smithy_bonus,smithy_bonus_cap))*(1+Techs!AO73*tech_master_of_frugality))*elite1_ore,0)</f>
        <v>45</v>
      </c>
      <c r="CA73" s="164">
        <f t="shared" ca="1" si="134"/>
        <v>0</v>
      </c>
      <c r="CB73" s="164">
        <f t="shared" ca="1" si="135"/>
        <v>0</v>
      </c>
      <c r="CC73" s="164">
        <f t="shared" ca="1" si="136"/>
        <v>0</v>
      </c>
      <c r="CD73" s="164">
        <f t="shared" ca="1" si="137"/>
        <v>0</v>
      </c>
      <c r="CE73" s="164">
        <f t="shared" ca="1" si="138"/>
        <v>0</v>
      </c>
      <c r="CF73" s="164">
        <f ca="1">ROUNDUP((1-MIN(AB73*smithy_bonus,smithy_bonus_cap))*(1+Techs!AO73*tech_master_of_frugality)*elite2_plat,0)</f>
        <v>750</v>
      </c>
      <c r="CG73" s="164">
        <f ca="1">ROUNDUP(IF(race="Gnome",1,(1-MIN(AB73*smithy_bonus,smithy_bonus_cap))*(1+Techs!AO73*tech_master_of_frugality))*elite2_ore,0)</f>
        <v>60</v>
      </c>
      <c r="CH73" s="164">
        <f t="shared" ca="1" si="139"/>
        <v>0</v>
      </c>
      <c r="CI73" s="164">
        <f t="shared" ca="1" si="140"/>
        <v>0</v>
      </c>
      <c r="CJ73" s="164">
        <f t="shared" ca="1" si="141"/>
        <v>0</v>
      </c>
      <c r="CK73" s="164">
        <f t="shared" ca="1" si="142"/>
        <v>0</v>
      </c>
      <c r="CL73" s="164">
        <f t="shared" ca="1" si="143"/>
        <v>0</v>
      </c>
      <c r="CM73" s="164">
        <f>ROUNDUP((1+tech_spy_cost*Techs!AJ73)*spy_plat,0)</f>
        <v>500</v>
      </c>
      <c r="CN73" s="164">
        <f>ROUNDUP((1+tech_wizard_cost*Techs!AM73-MIN(ROUND(wg_wiz_cost_bonus*BN73,4),wg_wiz_cost_cap))*wizard_plat,0)</f>
        <v>500</v>
      </c>
      <c r="CO73" s="166">
        <f>ROUNDUP((1+tech_wizard_cost*Techs!AM73-MIN(ROUND(wg_wiz_cost_bonus*BN73,4),wg_wiz_cost_cap))*archmage_plat,0)</f>
        <v>1000</v>
      </c>
      <c r="CQ73" s="465">
        <f ca="1">Construction!DF73/Construction!E73</f>
        <v>0.28000000000000003</v>
      </c>
      <c r="CR73" s="466">
        <f t="shared" si="178"/>
        <v>0</v>
      </c>
      <c r="CS73" s="466">
        <f>Construction!BK73/Construction!E73</f>
        <v>0.05</v>
      </c>
      <c r="CT73" s="466">
        <f>Construction!BJ73/Construction!E73</f>
        <v>0</v>
      </c>
      <c r="CU73" s="466">
        <f>Construction!AY73/Construction!E73</f>
        <v>0</v>
      </c>
      <c r="CV73" s="487">
        <f t="shared" ca="1" si="144"/>
        <v>1.4000000000000001</v>
      </c>
      <c r="CW73" s="488">
        <f t="shared" ca="1" si="145"/>
        <v>1.4000000000000001</v>
      </c>
      <c r="CX73" s="488">
        <f t="shared" ca="1" si="146"/>
        <v>1.4000000000000001</v>
      </c>
      <c r="CY73" s="489">
        <f t="shared" ca="1" si="147"/>
        <v>1.4000000000000001</v>
      </c>
      <c r="CZ73" s="489">
        <f t="shared" si="148"/>
        <v>0.1</v>
      </c>
      <c r="DA73" s="489">
        <f t="shared" ca="1" si="149"/>
        <v>3</v>
      </c>
      <c r="DB73" s="489">
        <f t="shared" ca="1" si="150"/>
        <v>1.4000000000000001</v>
      </c>
      <c r="DC73" s="488">
        <f t="shared" si="151"/>
        <v>0</v>
      </c>
      <c r="DD73" s="848">
        <f t="shared" si="152"/>
        <v>0</v>
      </c>
      <c r="DE73" s="442">
        <f t="shared" si="179"/>
        <v>800</v>
      </c>
      <c r="DF73" s="442">
        <f t="shared" si="180"/>
        <v>0</v>
      </c>
      <c r="DG73" s="487">
        <f t="shared" ca="1" si="153"/>
        <v>1.4000000000000001</v>
      </c>
      <c r="DH73" s="452">
        <f t="shared" si="154"/>
        <v>9.0000000000000011E-2</v>
      </c>
      <c r="DI73" s="452">
        <f>MIN(valkyrja_cap,Production!O73/valkyrja_bonus)</f>
        <v>1</v>
      </c>
      <c r="DJ73" s="848">
        <f>MIN(voodoo_magi_cap,Production!O73/voodoo_magi_bonus)</f>
        <v>0.83333333333333337</v>
      </c>
      <c r="DK73" s="848">
        <f>MIN(warlock_cap,Production!O73/warlock_bonus)</f>
        <v>1.25</v>
      </c>
      <c r="DL73" s="848">
        <f ca="1">MIN(nox_nightshade_cap,Construction!DF73/Construction!E73/nox_nightshade_swamp_bonus)</f>
        <v>2.8000000000000003</v>
      </c>
      <c r="DM73" s="488">
        <f t="shared" si="155"/>
        <v>0</v>
      </c>
      <c r="DN73" s="489">
        <f t="shared" ca="1" si="156"/>
        <v>2.8000000000000003</v>
      </c>
      <c r="DO73" s="489">
        <f t="shared" ca="1" si="157"/>
        <v>2.8000000000000003</v>
      </c>
      <c r="DP73" s="489">
        <f t="shared" si="158"/>
        <v>1</v>
      </c>
      <c r="DQ73" s="488">
        <f t="shared" si="159"/>
        <v>0</v>
      </c>
      <c r="DR73" s="489">
        <f t="shared" si="160"/>
        <v>0</v>
      </c>
      <c r="DS73" s="488">
        <f t="shared" si="161"/>
        <v>0</v>
      </c>
      <c r="DT73" s="489">
        <f t="shared" si="162"/>
        <v>0.1</v>
      </c>
      <c r="DX73" s="487">
        <f ca="1">MIN(6,CV73+Races!$F$19)*1.8 +  IF(CV73+Races!$F$19&gt;6,(CV73+Races!$F$19-6)*0.2,0) - Races!$N$19</f>
        <v>2.5200000000000005</v>
      </c>
      <c r="DY73" s="488">
        <f ca="1">1.8 * MIN(MAX(CW73+Races!$E$20,CX73+Races!$F$20),6)  +  0.45 * MIN(MIN(CW73+Races!$E$20,CX73+Races!$F$20),6)  +  0.2 * ( MAX(CW73+Races!$E$20-6,0) + MAX(CX73+Races!$F$20-6,0) )  -  Races!$N$20</f>
        <v>3.1500000000000012</v>
      </c>
      <c r="DZ73" s="57">
        <f t="shared" ca="1" si="163"/>
        <v>3780.0000000000009</v>
      </c>
      <c r="EA73" s="666">
        <f ca="1">MIN(6,CY73+Races!$F$35)*1.8 +  IF(CY73+Races!$F$35&gt;6,(CY73+Races!$F$35-6)*0.2,0) - Races!$N$19</f>
        <v>0.72000000000000064</v>
      </c>
      <c r="EB73" s="57">
        <f t="shared" ca="1" si="164"/>
        <v>0</v>
      </c>
      <c r="EC73" s="666">
        <f ca="1">1.8 * MIN(MAX(Races!$E$27,DB73+Races!$F$27),6)  +  0.45 * MIN(MIN(Races!$E$27,DB73+Races!$F$27),6)  +  0.2 * ( MAX(Races!$E$27-6,0) + MAX(DB73+Races!$F$27-6,0) )  -  Races!$N$20</f>
        <v>4.7700000000000005</v>
      </c>
      <c r="ED73" s="57">
        <f t="shared" ca="1" si="165"/>
        <v>0</v>
      </c>
      <c r="EE73" s="666">
        <f>1.8 * MIN(MAX(DC73+Races!$E$47,DD73+Races!$F$47),6)  +  0.45 * MIN(MIN(DC73+Races!$E$47,DD73+Races!$F$47),6)  +  0.2 * ( MAX(DC73+Races!$E$47-6,0) + MAX(DD73+Races!$F$47-6,0) )  -  Races!$N$47</f>
        <v>0</v>
      </c>
      <c r="EF73" s="57">
        <f t="shared" si="166"/>
        <v>0</v>
      </c>
      <c r="EG73" s="666">
        <f ca="1">1.8 * MIN(MAX(DG73+Races!$F$71,Races!$E$71),6)  +  0.45 * MIN(MIN(DG73+Races!$F$71,Races!$E$71),6)  +  0.2 * ( MAX(DG73+Races!$F$71-6,0) + MAX(Races!$E$71-6,0) )  -  Races!$N$71</f>
        <v>2.5200000000000014</v>
      </c>
      <c r="EH73" s="666">
        <f>1.8 * MIN(MAX(DH73+Races!$E$71,Races!$F$71),6)  +  0.45 * MIN(MIN(DH73+Races!$E$71,Races!$F$71),6)  +  0.2 * ( MAX(DH73+Races!$E$71-6,0) + MAX(Races!$F$71-6,0) )  -  Races!$N$71</f>
        <v>0.16200000000000081</v>
      </c>
      <c r="EI73" s="57">
        <f t="shared" ca="1" si="167"/>
        <v>2584.8000000000015</v>
      </c>
      <c r="EJ73" s="57"/>
      <c r="EK73" s="57"/>
      <c r="EL73" s="57"/>
      <c r="EM73" s="57">
        <f ca="1">Overview!$L$22*E73+Overview!$L$23*F73+Overview!$L$24*G73+Overview!$L$25*H73+Overview!$L$26*I73+Overview!$L$27*J73+Overview!$L$28*K73+Construction!E73*20+Construction!B73*5 + DZ73*$DV$4+EB73*$DV$5+ED73*$DV$6+EF73*$DV$7+EI73*$DV$9</f>
        <v>39460</v>
      </c>
      <c r="EO73" s="738">
        <f>(J73+2*K73)/Construction!E73</f>
        <v>0.1</v>
      </c>
      <c r="EP73" s="734">
        <f ca="1">EO73*(1+race_wizard_strength+tech_magical_weaponry_wiz*Techs!AV145)</f>
        <v>0.1</v>
      </c>
      <c r="EQ73" s="16">
        <f>(I73+halfer*H73/3)/Construction!E73</f>
        <v>0.1</v>
      </c>
    </row>
    <row r="74" spans="1:147" s="16" customFormat="1" ht="13.5" thickBot="1">
      <c r="A74" s="629">
        <f>Rezone!J74</f>
        <v>72</v>
      </c>
      <c r="B74" s="56">
        <f ca="1">SUM(E74:K74)+SUM(AF66:AG74)+SUM(AH63:AL74)+Z74+Explore!AL74</f>
        <v>5295</v>
      </c>
      <c r="C74" s="97">
        <f ca="1">Population!G74</f>
        <v>0.57305194805194803</v>
      </c>
      <c r="E74" s="52">
        <f t="shared" si="118"/>
        <v>0</v>
      </c>
      <c r="F74" s="16">
        <f t="shared" si="119"/>
        <v>0</v>
      </c>
      <c r="G74" s="16">
        <f t="shared" si="120"/>
        <v>1000</v>
      </c>
      <c r="H74" s="16">
        <f t="shared" si="121"/>
        <v>400</v>
      </c>
      <c r="I74" s="16">
        <f t="shared" si="122"/>
        <v>100</v>
      </c>
      <c r="J74" s="16">
        <f t="shared" si="123"/>
        <v>100</v>
      </c>
      <c r="K74" s="53">
        <f t="shared" si="124"/>
        <v>0</v>
      </c>
      <c r="M74" s="64">
        <f ca="1">Production!G74</f>
        <v>39460</v>
      </c>
      <c r="O74" s="142">
        <f t="shared" ca="1" si="125"/>
        <v>4400</v>
      </c>
      <c r="P74" s="455">
        <f ca="1">race_offense+Imps!AB74+ROUND(MIN(gn_bonus*Construction!BF74/Construction!$E74,gn_bonus_cap),4)+MAX(IF(Magic!$AN74&gt;0,warsong_bonus),IF(Magic!AP74&gt;0,howling_op_bonus),IF(Magic!AS74&gt;0,nightfall_bonus),IF(Magic!AT74&gt;0,crusade_bonus),IF(Magic!AU74&gt;0,killingrage_bonus),IF(Magic!AV74&gt;0,bloodrage_bonus)) + Production!O74/100*prestige_offense_bonus + MAX(tech_military_offense*Techs!AH74,tech_magical_weaponry_op*Techs!AV74)</f>
        <v>0.05</v>
      </c>
      <c r="Q74" s="235">
        <f t="shared" ca="1" si="168"/>
        <v>4620</v>
      </c>
      <c r="R74" s="234">
        <f ca="1">F74*(spec_dp+spirit*DR74)+G74*(elite1_dp+woodie*CV74+sylvan*CY74+gnome*DB74+dark_elf*DD74+icekin*DG74+orc*DJ74+nox*DL74+beast*DN74+sacred*DP74+spirit*DS74+blackorc*DK74)+H74*(elite2_dp+woodie*CX74+beast*DO74+sacred*DQ74) + fh_peas_dp*MIN(Population!C74,20*Construction!BD74)+kobold*DE74</f>
        <v>7200</v>
      </c>
      <c r="S74" s="235">
        <f t="shared" ca="1" si="126"/>
        <v>10895</v>
      </c>
      <c r="T74" s="1052">
        <f ca="1">race_defense+Imps!AC74+ROUND(MIN(gt_bonus*Construction!BH74/Construction!$E74,gt_bonus_cap),4)+MAX(IF(Magic!AM74&gt;0,frenzy_bonus,IF(Magic!AQ74&gt;0,blizzard_bonus,IF(Magic!AP74&gt;0,howling_dp_bonus,IF(Magic!AI74&gt;0,ares_call_bonus)))),IF(Magic!AX74&gt;0,MIN(Construction!DF74/Construction!E74,0.2),0))</f>
        <v>0</v>
      </c>
      <c r="U74" s="1046">
        <f t="shared" ca="1" si="169"/>
        <v>7200</v>
      </c>
      <c r="V74" s="310">
        <f t="shared" ca="1" si="170"/>
        <v>10895</v>
      </c>
      <c r="W74" s="310">
        <f>Construction!E74</f>
        <v>1000</v>
      </c>
      <c r="X74" s="367"/>
      <c r="Y74" s="146">
        <f t="shared" si="74"/>
        <v>0.4</v>
      </c>
      <c r="Z74" s="166">
        <f ca="1">Z73+Population!Z73 - IF(race="Lux",AF74,SUM(AF74:AK74)) - BE74 + SUM(BF74:BL74) - Explore!AI74</f>
        <v>3695</v>
      </c>
      <c r="AA74" s="164"/>
      <c r="AB74" s="91">
        <f>(Construction!$BA74+Construction!BY74)/(Construction!$E74-Explore!S74*20)</f>
        <v>0.2</v>
      </c>
      <c r="AC74" s="529"/>
      <c r="AD74" s="799">
        <f>Rezone!J74</f>
        <v>72</v>
      </c>
      <c r="AE74" s="589">
        <f>Explore!AA74</f>
        <v>43694.958333333161</v>
      </c>
      <c r="AF74" s="356"/>
      <c r="AG74" s="348"/>
      <c r="AH74" s="348"/>
      <c r="AI74" s="348"/>
      <c r="AJ74" s="348"/>
      <c r="AK74" s="348"/>
      <c r="AL74" s="357"/>
      <c r="AN74" s="56">
        <f ca="1">Production!$H74</f>
        <v>3703732</v>
      </c>
      <c r="AO74" s="26">
        <f ca="1">Production!$L74</f>
        <v>231000</v>
      </c>
      <c r="AP74" s="26">
        <f ca="1">Production!J74</f>
        <v>275668</v>
      </c>
      <c r="AQ74" s="26">
        <f ca="1">Production!M74</f>
        <v>20000</v>
      </c>
      <c r="AR74" s="26">
        <f ca="1">Production!K74</f>
        <v>52376</v>
      </c>
      <c r="AS74" s="26">
        <f ca="1">Production!I74</f>
        <v>258699</v>
      </c>
      <c r="AT74" s="26">
        <f ca="1">Production!N74</f>
        <v>200</v>
      </c>
      <c r="AU74" s="152">
        <f t="shared" ca="1" si="127"/>
        <v>0</v>
      </c>
      <c r="AV74" s="164">
        <f t="shared" ca="1" si="128"/>
        <v>0</v>
      </c>
      <c r="AW74" s="164">
        <f t="shared" ca="1" si="171"/>
        <v>0</v>
      </c>
      <c r="AX74" s="164">
        <f t="shared" ca="1" si="172"/>
        <v>0</v>
      </c>
      <c r="AY74" s="164">
        <f t="shared" ca="1" si="173"/>
        <v>0</v>
      </c>
      <c r="AZ74" s="164">
        <f t="shared" ca="1" si="174"/>
        <v>0</v>
      </c>
      <c r="BA74" s="166">
        <f t="shared" ca="1" si="175"/>
        <v>0</v>
      </c>
      <c r="BB74" s="16">
        <v>72</v>
      </c>
      <c r="BC74" s="574">
        <f t="shared" si="176"/>
        <v>43694.958333333161</v>
      </c>
      <c r="BD74" s="148">
        <f t="shared" ca="1" si="177"/>
        <v>3695</v>
      </c>
      <c r="BE74" s="356"/>
      <c r="BF74" s="348"/>
      <c r="BG74" s="348"/>
      <c r="BH74" s="348"/>
      <c r="BI74" s="348"/>
      <c r="BJ74" s="348"/>
      <c r="BK74" s="348"/>
      <c r="BL74" s="357"/>
      <c r="BN74" s="503">
        <f>Construction!BM74/Construction!E74</f>
        <v>0</v>
      </c>
      <c r="BO74" s="171">
        <f>Construction!BD74/Construction!E74</f>
        <v>0</v>
      </c>
      <c r="BP74" s="152">
        <f>ROUNDUP((1-MIN(AB74*smithy_bonus,smithy_bonus_cap))*(1+Techs!AO74*tech_master_of_frugality)*spec_op_plat,0)</f>
        <v>165</v>
      </c>
      <c r="BQ74" s="164">
        <f>ROUNDUP(IF(race="Gnome",1,(1-MIN(AB74*smithy_bonus,smithy_bonus_cap))*(1+Techs!AO74*tech_master_of_frugality))*spec_op_ore,0)</f>
        <v>15</v>
      </c>
      <c r="BR74" s="164">
        <f t="shared" si="129"/>
        <v>0</v>
      </c>
      <c r="BS74" s="164">
        <f t="shared" si="130"/>
        <v>0</v>
      </c>
      <c r="BT74" s="164">
        <f ca="1">ROUNDUP((1-MIN(AB74*smithy_bonus,smithy_bonus_cap))*(1+Techs!AO74*tech_master_of_frugality)*spec_dp_plat,0)</f>
        <v>165</v>
      </c>
      <c r="BU74" s="164">
        <f ca="1">ROUNDUP(IF(OR(race="Gnome",race="Imperial Gnome"),1,(1-MIN(AB74*smithy_bonus,smithy_bonus_cap))*(1+Techs!AO74*tech_master_of_frugality))*spec_dp_ore,0)</f>
        <v>6</v>
      </c>
      <c r="BV74" s="164">
        <f t="shared" ca="1" si="131"/>
        <v>0</v>
      </c>
      <c r="BW74" s="164">
        <f t="shared" ca="1" si="132"/>
        <v>0</v>
      </c>
      <c r="BX74" s="164">
        <f t="shared" ca="1" si="133"/>
        <v>0</v>
      </c>
      <c r="BY74" s="164">
        <f ca="1">ROUNDUP((1-MIN(AB74*smithy_bonus,smithy_bonus_cap))*(1+Techs!AO74*tech_master_of_frugality)*elite1_plat,0)</f>
        <v>600</v>
      </c>
      <c r="BZ74" s="164">
        <f ca="1">ROUNDUP(IF(race="Gnome",1,(1-MIN(AB74*smithy_bonus,smithy_bonus_cap))*(1+Techs!AO74*tech_master_of_frugality))*elite1_ore,0)</f>
        <v>45</v>
      </c>
      <c r="CA74" s="164">
        <f t="shared" ca="1" si="134"/>
        <v>0</v>
      </c>
      <c r="CB74" s="164">
        <f t="shared" ca="1" si="135"/>
        <v>0</v>
      </c>
      <c r="CC74" s="164">
        <f t="shared" ca="1" si="136"/>
        <v>0</v>
      </c>
      <c r="CD74" s="164">
        <f t="shared" ca="1" si="137"/>
        <v>0</v>
      </c>
      <c r="CE74" s="164">
        <f t="shared" ca="1" si="138"/>
        <v>0</v>
      </c>
      <c r="CF74" s="164">
        <f ca="1">ROUNDUP((1-MIN(AB74*smithy_bonus,smithy_bonus_cap))*(1+Techs!AO74*tech_master_of_frugality)*elite2_plat,0)</f>
        <v>750</v>
      </c>
      <c r="CG74" s="164">
        <f ca="1">ROUNDUP(IF(race="Gnome",1,(1-MIN(AB74*smithy_bonus,smithy_bonus_cap))*(1+Techs!AO74*tech_master_of_frugality))*elite2_ore,0)</f>
        <v>60</v>
      </c>
      <c r="CH74" s="164">
        <f t="shared" ca="1" si="139"/>
        <v>0</v>
      </c>
      <c r="CI74" s="164">
        <f t="shared" ca="1" si="140"/>
        <v>0</v>
      </c>
      <c r="CJ74" s="164">
        <f t="shared" ca="1" si="141"/>
        <v>0</v>
      </c>
      <c r="CK74" s="164">
        <f t="shared" ca="1" si="142"/>
        <v>0</v>
      </c>
      <c r="CL74" s="164">
        <f t="shared" ca="1" si="143"/>
        <v>0</v>
      </c>
      <c r="CM74" s="164">
        <f>ROUNDUP((1+tech_spy_cost*Techs!AJ74)*spy_plat,0)</f>
        <v>500</v>
      </c>
      <c r="CN74" s="164">
        <f>ROUNDUP((1+tech_wizard_cost*Techs!AM74-MIN(ROUND(wg_wiz_cost_bonus*BN74,4),wg_wiz_cost_cap))*wizard_plat,0)</f>
        <v>500</v>
      </c>
      <c r="CO74" s="166">
        <f>ROUNDUP((1+tech_wizard_cost*Techs!AM74-MIN(ROUND(wg_wiz_cost_bonus*BN74,4),wg_wiz_cost_cap))*archmage_plat,0)</f>
        <v>1000</v>
      </c>
      <c r="CQ74" s="465">
        <f ca="1">Construction!DF74/Construction!E74</f>
        <v>0.28000000000000003</v>
      </c>
      <c r="CR74" s="466">
        <f t="shared" si="178"/>
        <v>0</v>
      </c>
      <c r="CS74" s="466">
        <f>Construction!BK74/Construction!E74</f>
        <v>0.05</v>
      </c>
      <c r="CT74" s="466">
        <f>Construction!BJ74/Construction!E74</f>
        <v>0</v>
      </c>
      <c r="CU74" s="466">
        <f>Construction!AY74/Construction!E74</f>
        <v>0</v>
      </c>
      <c r="CV74" s="487">
        <f t="shared" ca="1" si="144"/>
        <v>1.4000000000000001</v>
      </c>
      <c r="CW74" s="488">
        <f t="shared" ca="1" si="145"/>
        <v>1.4000000000000001</v>
      </c>
      <c r="CX74" s="488">
        <f t="shared" ca="1" si="146"/>
        <v>1.4000000000000001</v>
      </c>
      <c r="CY74" s="489">
        <f t="shared" ca="1" si="147"/>
        <v>1.4000000000000001</v>
      </c>
      <c r="CZ74" s="489">
        <f t="shared" si="148"/>
        <v>0.1</v>
      </c>
      <c r="DA74" s="489">
        <f t="shared" ca="1" si="149"/>
        <v>3</v>
      </c>
      <c r="DB74" s="489">
        <f t="shared" ca="1" si="150"/>
        <v>1.4000000000000001</v>
      </c>
      <c r="DC74" s="488">
        <f t="shared" si="151"/>
        <v>0</v>
      </c>
      <c r="DD74" s="848">
        <f t="shared" si="152"/>
        <v>0</v>
      </c>
      <c r="DE74" s="442">
        <f t="shared" si="179"/>
        <v>800</v>
      </c>
      <c r="DF74" s="442">
        <f t="shared" si="180"/>
        <v>0</v>
      </c>
      <c r="DG74" s="487">
        <f t="shared" ca="1" si="153"/>
        <v>1.4000000000000001</v>
      </c>
      <c r="DH74" s="452">
        <f t="shared" si="154"/>
        <v>9.0000000000000011E-2</v>
      </c>
      <c r="DI74" s="452">
        <f>MIN(valkyrja_cap,Production!O74/valkyrja_bonus)</f>
        <v>1</v>
      </c>
      <c r="DJ74" s="848">
        <f>MIN(voodoo_magi_cap,Production!O74/voodoo_magi_bonus)</f>
        <v>0.83333333333333337</v>
      </c>
      <c r="DK74" s="848">
        <f>MIN(warlock_cap,Production!O74/warlock_bonus)</f>
        <v>1.25</v>
      </c>
      <c r="DL74" s="848">
        <f ca="1">MIN(nox_nightshade_cap,Construction!DF74/Construction!E74/nox_nightshade_swamp_bonus)</f>
        <v>2.8000000000000003</v>
      </c>
      <c r="DM74" s="488">
        <f t="shared" si="155"/>
        <v>0</v>
      </c>
      <c r="DN74" s="489">
        <f t="shared" ca="1" si="156"/>
        <v>2.8000000000000003</v>
      </c>
      <c r="DO74" s="489">
        <f t="shared" ca="1" si="157"/>
        <v>2.8000000000000003</v>
      </c>
      <c r="DP74" s="489">
        <f t="shared" si="158"/>
        <v>1</v>
      </c>
      <c r="DQ74" s="488">
        <f t="shared" si="159"/>
        <v>0</v>
      </c>
      <c r="DR74" s="489">
        <f t="shared" si="160"/>
        <v>0</v>
      </c>
      <c r="DS74" s="488">
        <f t="shared" si="161"/>
        <v>0</v>
      </c>
      <c r="DT74" s="489">
        <f t="shared" si="162"/>
        <v>0.1</v>
      </c>
      <c r="DX74" s="487">
        <f ca="1">MIN(6,CV74+Races!$F$19)*1.8 +  IF(CV74+Races!$F$19&gt;6,(CV74+Races!$F$19-6)*0.2,0) - Races!$N$19</f>
        <v>2.5200000000000005</v>
      </c>
      <c r="DY74" s="488">
        <f ca="1">1.8 * MIN(MAX(CW74+Races!$E$20,CX74+Races!$F$20),6)  +  0.45 * MIN(MIN(CW74+Races!$E$20,CX74+Races!$F$20),6)  +  0.2 * ( MAX(CW74+Races!$E$20-6,0) + MAX(CX74+Races!$F$20-6,0) )  -  Races!$N$20</f>
        <v>3.1500000000000012</v>
      </c>
      <c r="DZ74" s="57">
        <f t="shared" ca="1" si="163"/>
        <v>3780.0000000000009</v>
      </c>
      <c r="EA74" s="666">
        <f ca="1">MIN(6,CY74+Races!$F$35)*1.8 +  IF(CY74+Races!$F$35&gt;6,(CY74+Races!$F$35-6)*0.2,0) - Races!$N$19</f>
        <v>0.72000000000000064</v>
      </c>
      <c r="EB74" s="57">
        <f t="shared" ca="1" si="164"/>
        <v>0</v>
      </c>
      <c r="EC74" s="666">
        <f ca="1">1.8 * MIN(MAX(Races!$E$27,DB74+Races!$F$27),6)  +  0.45 * MIN(MIN(Races!$E$27,DB74+Races!$F$27),6)  +  0.2 * ( MAX(Races!$E$27-6,0) + MAX(DB74+Races!$F$27-6,0) )  -  Races!$N$20</f>
        <v>4.7700000000000005</v>
      </c>
      <c r="ED74" s="57">
        <f t="shared" ca="1" si="165"/>
        <v>0</v>
      </c>
      <c r="EE74" s="666">
        <f>1.8 * MIN(MAX(DC74+Races!$E$47,DD74+Races!$F$47),6)  +  0.45 * MIN(MIN(DC74+Races!$E$47,DD74+Races!$F$47),6)  +  0.2 * ( MAX(DC74+Races!$E$47-6,0) + MAX(DD74+Races!$F$47-6,0) )  -  Races!$N$47</f>
        <v>0</v>
      </c>
      <c r="EF74" s="57">
        <f t="shared" si="166"/>
        <v>0</v>
      </c>
      <c r="EG74" s="666">
        <f ca="1">1.8 * MIN(MAX(DG74+Races!$F$71,Races!$E$71),6)  +  0.45 * MIN(MIN(DG74+Races!$F$71,Races!$E$71),6)  +  0.2 * ( MAX(DG74+Races!$F$71-6,0) + MAX(Races!$E$71-6,0) )  -  Races!$N$71</f>
        <v>2.5200000000000014</v>
      </c>
      <c r="EH74" s="666">
        <f>1.8 * MIN(MAX(DH74+Races!$E$71,Races!$F$71),6)  +  0.45 * MIN(MIN(DH74+Races!$E$71,Races!$F$71),6)  +  0.2 * ( MAX(DH74+Races!$E$71-6,0) + MAX(Races!$F$71-6,0) )  -  Races!$N$71</f>
        <v>0.16200000000000081</v>
      </c>
      <c r="EI74" s="57">
        <f t="shared" ca="1" si="167"/>
        <v>2584.8000000000015</v>
      </c>
      <c r="EJ74" s="57"/>
      <c r="EK74" s="57"/>
      <c r="EL74" s="57"/>
      <c r="EM74" s="57">
        <f ca="1">Overview!$L$22*E74+Overview!$L$23*F74+Overview!$L$24*G74+Overview!$L$25*H74+Overview!$L$26*I74+Overview!$L$27*J74+Overview!$L$28*K74+Construction!E74*20+Construction!B74*5 + DZ74*$DV$4+EB74*$DV$5+ED74*$DV$6+EF74*$DV$7+EI74*$DV$9</f>
        <v>39460</v>
      </c>
      <c r="EO74" s="738">
        <f>(J74+2*K74)/Construction!E74</f>
        <v>0.1</v>
      </c>
      <c r="EP74" s="734">
        <f ca="1">EO74*(1+race_wizard_strength+tech_magical_weaponry_wiz*Techs!AV146)</f>
        <v>0.1</v>
      </c>
      <c r="EQ74" s="16">
        <f>(I74+halfer*H74/3)/Construction!E74</f>
        <v>0.1</v>
      </c>
    </row>
    <row r="75" spans="1:147" s="936" customFormat="1" ht="13.5" thickBot="1">
      <c r="A75" s="1331">
        <f>Rezone!J75</f>
        <v>73</v>
      </c>
      <c r="B75" s="1176">
        <f ca="1">SUM(E75:K75)+SUM(AF67:AG75)+SUM(AH64:AL75)+Z75+Explore!AL75</f>
        <v>5295</v>
      </c>
      <c r="C75" s="1315">
        <f ca="1">Population!G75</f>
        <v>0.57305194805194803</v>
      </c>
      <c r="E75" s="937">
        <f t="shared" si="118"/>
        <v>0</v>
      </c>
      <c r="F75" s="936">
        <f t="shared" si="119"/>
        <v>0</v>
      </c>
      <c r="G75" s="936">
        <f t="shared" si="120"/>
        <v>1000</v>
      </c>
      <c r="H75" s="936">
        <f t="shared" si="121"/>
        <v>400</v>
      </c>
      <c r="I75" s="936">
        <f t="shared" si="122"/>
        <v>100</v>
      </c>
      <c r="J75" s="936">
        <f t="shared" si="123"/>
        <v>100</v>
      </c>
      <c r="K75" s="938">
        <f t="shared" si="124"/>
        <v>0</v>
      </c>
      <c r="M75" s="1306">
        <f ca="1">Production!G75</f>
        <v>39460</v>
      </c>
      <c r="O75" s="1332">
        <f t="shared" ca="1" si="125"/>
        <v>4400</v>
      </c>
      <c r="P75" s="456">
        <f ca="1">race_offense+Imps!AB75+ROUND(MIN(gn_bonus*Construction!BF75/Construction!$E75,gn_bonus_cap),4)+MAX(IF(Magic!$AN75&gt;0,warsong_bonus),IF(Magic!AP75&gt;0,howling_op_bonus),IF(Magic!AS75&gt;0,nightfall_bonus),IF(Magic!AT75&gt;0,crusade_bonus),IF(Magic!AU75&gt;0,killingrage_bonus),IF(Magic!AV75&gt;0,bloodrage_bonus)) + Production!O75/100*prestige_offense_bonus + MAX(tech_military_offense*Techs!AH75,tech_magical_weaponry_op*Techs!AV75)</f>
        <v>0.05</v>
      </c>
      <c r="Q75" s="238">
        <f t="shared" ca="1" si="168"/>
        <v>4620</v>
      </c>
      <c r="R75" s="237">
        <f ca="1">F75*(spec_dp+spirit*DR75)+G75*(elite1_dp+woodie*CV75+sylvan*CY75+gnome*DB75+dark_elf*DD75+icekin*DG75+orc*DJ75+nox*DL75+beast*DN75+sacred*DP75+spirit*DS75+blackorc*DK75)+H75*(elite2_dp+woodie*CX75+beast*DO75+sacred*DQ75) + fh_peas_dp*MIN(Population!C75,20*Construction!BD75)+kobold*DE75</f>
        <v>7200</v>
      </c>
      <c r="S75" s="238">
        <f t="shared" ca="1" si="126"/>
        <v>10895</v>
      </c>
      <c r="T75" s="1179">
        <f ca="1">race_defense+Imps!AC75+ROUND(MIN(gt_bonus*Construction!BH75/Construction!$E75,gt_bonus_cap),4)+MAX(IF(Magic!AM75&gt;0,frenzy_bonus,IF(Magic!AQ75&gt;0,blizzard_bonus,IF(Magic!AP75&gt;0,howling_dp_bonus,IF(Magic!AI75&gt;0,ares_call_bonus)))),IF(Magic!AX75&gt;0,MIN(Construction!DF75/Construction!E75,0.2),0))</f>
        <v>0</v>
      </c>
      <c r="U75" s="1048">
        <f t="shared" ca="1" si="169"/>
        <v>7200</v>
      </c>
      <c r="V75" s="1333">
        <f t="shared" ca="1" si="170"/>
        <v>10895</v>
      </c>
      <c r="W75" s="1333">
        <f>Construction!E75</f>
        <v>1000</v>
      </c>
      <c r="X75" s="1334"/>
      <c r="Y75" s="1335">
        <f>IF(X75&lt;&gt;"",X75,Y74)</f>
        <v>0.4</v>
      </c>
      <c r="Z75" s="179">
        <f ca="1">Z74+Population!Z74 - IF(race="Lux",AF75,SUM(AF75:AK75)) - BE75 + SUM(BF75:BL75) - Explore!AI75</f>
        <v>3695</v>
      </c>
      <c r="AA75" s="174"/>
      <c r="AB75" s="1336">
        <f>(Construction!$BA75+Construction!BY75)/(Construction!$E75-Explore!S75*20)</f>
        <v>0.2</v>
      </c>
      <c r="AC75" s="1301"/>
      <c r="AD75" s="1337">
        <f>Rezone!J75</f>
        <v>73</v>
      </c>
      <c r="AE75" s="590">
        <f>Explore!AA75</f>
        <v>43694.999999999825</v>
      </c>
      <c r="AF75" s="1328"/>
      <c r="AG75" s="539"/>
      <c r="AH75" s="539"/>
      <c r="AI75" s="539"/>
      <c r="AJ75" s="539"/>
      <c r="AK75" s="539"/>
      <c r="AL75" s="1329"/>
      <c r="AN75" s="1176">
        <f ca="1">Production!$H75</f>
        <v>3714383</v>
      </c>
      <c r="AO75" s="279">
        <f ca="1">Production!$L75</f>
        <v>231000</v>
      </c>
      <c r="AP75" s="279">
        <f ca="1">Production!J75</f>
        <v>275411</v>
      </c>
      <c r="AQ75" s="279">
        <f ca="1">Production!M75</f>
        <v>20000</v>
      </c>
      <c r="AR75" s="279">
        <f ca="1">Production!K75</f>
        <v>52578</v>
      </c>
      <c r="AS75" s="279">
        <f ca="1">Production!I75</f>
        <v>260842</v>
      </c>
      <c r="AT75" s="279">
        <f ca="1">Production!N75</f>
        <v>200</v>
      </c>
      <c r="AU75" s="175">
        <f t="shared" ca="1" si="127"/>
        <v>0</v>
      </c>
      <c r="AV75" s="174">
        <f t="shared" ca="1" si="128"/>
        <v>0</v>
      </c>
      <c r="AW75" s="174">
        <f t="shared" ca="1" si="171"/>
        <v>0</v>
      </c>
      <c r="AX75" s="174">
        <f t="shared" ca="1" si="172"/>
        <v>0</v>
      </c>
      <c r="AY75" s="174">
        <f t="shared" ca="1" si="173"/>
        <v>0</v>
      </c>
      <c r="AZ75" s="174">
        <f t="shared" ca="1" si="174"/>
        <v>0</v>
      </c>
      <c r="BA75" s="179">
        <f t="shared" ca="1" si="175"/>
        <v>0</v>
      </c>
      <c r="BB75" s="936" t="s">
        <v>243</v>
      </c>
      <c r="BC75" s="1327">
        <f t="shared" si="176"/>
        <v>43694.999999999825</v>
      </c>
      <c r="BD75" s="1338">
        <f t="shared" ca="1" si="177"/>
        <v>3695</v>
      </c>
      <c r="BE75" s="1328"/>
      <c r="BF75" s="539"/>
      <c r="BG75" s="539"/>
      <c r="BH75" s="539"/>
      <c r="BI75" s="539"/>
      <c r="BJ75" s="539"/>
      <c r="BK75" s="539"/>
      <c r="BL75" s="1329"/>
      <c r="BN75" s="504">
        <f>Construction!BM75/Construction!E75</f>
        <v>0</v>
      </c>
      <c r="BO75" s="183">
        <f>Construction!BD75/Construction!E75</f>
        <v>0</v>
      </c>
      <c r="BP75" s="175">
        <f>ROUNDUP((1-MIN(AB75*smithy_bonus,smithy_bonus_cap))*(1+Techs!AO75*tech_master_of_frugality)*spec_op_plat,0)</f>
        <v>165</v>
      </c>
      <c r="BQ75" s="174">
        <f>ROUNDUP(IF(race="Gnome",1,(1-MIN(AB75*smithy_bonus,smithy_bonus_cap))*(1+Techs!AO75*tech_master_of_frugality))*spec_op_ore,0)</f>
        <v>15</v>
      </c>
      <c r="BR75" s="174">
        <f t="shared" si="129"/>
        <v>0</v>
      </c>
      <c r="BS75" s="174">
        <f t="shared" si="130"/>
        <v>0</v>
      </c>
      <c r="BT75" s="174">
        <f ca="1">ROUNDUP((1-MIN(AB75*smithy_bonus,smithy_bonus_cap))*(1+Techs!AO75*tech_master_of_frugality)*spec_dp_plat,0)</f>
        <v>165</v>
      </c>
      <c r="BU75" s="174">
        <f ca="1">ROUNDUP(IF(OR(race="Gnome",race="Imperial Gnome"),1,(1-MIN(AB75*smithy_bonus,smithy_bonus_cap))*(1+Techs!AO75*tech_master_of_frugality))*spec_dp_ore,0)</f>
        <v>6</v>
      </c>
      <c r="BV75" s="174">
        <f t="shared" ca="1" si="131"/>
        <v>0</v>
      </c>
      <c r="BW75" s="174">
        <f t="shared" ca="1" si="132"/>
        <v>0</v>
      </c>
      <c r="BX75" s="174">
        <f t="shared" ca="1" si="133"/>
        <v>0</v>
      </c>
      <c r="BY75" s="174">
        <f ca="1">ROUNDUP((1-MIN(AB75*smithy_bonus,smithy_bonus_cap))*(1+Techs!AO75*tech_master_of_frugality)*elite1_plat,0)</f>
        <v>600</v>
      </c>
      <c r="BZ75" s="174">
        <f ca="1">ROUNDUP(IF(race="Gnome",1,(1-MIN(AB75*smithy_bonus,smithy_bonus_cap))*(1+Techs!AO75*tech_master_of_frugality))*elite1_ore,0)</f>
        <v>45</v>
      </c>
      <c r="CA75" s="174">
        <f t="shared" ca="1" si="134"/>
        <v>0</v>
      </c>
      <c r="CB75" s="174">
        <f t="shared" ca="1" si="135"/>
        <v>0</v>
      </c>
      <c r="CC75" s="174">
        <f t="shared" ca="1" si="136"/>
        <v>0</v>
      </c>
      <c r="CD75" s="174">
        <f t="shared" ca="1" si="137"/>
        <v>0</v>
      </c>
      <c r="CE75" s="174">
        <f t="shared" ca="1" si="138"/>
        <v>0</v>
      </c>
      <c r="CF75" s="174">
        <f ca="1">ROUNDUP((1-MIN(AB75*smithy_bonus,smithy_bonus_cap))*(1+Techs!AO75*tech_master_of_frugality)*elite2_plat,0)</f>
        <v>750</v>
      </c>
      <c r="CG75" s="174">
        <f ca="1">ROUNDUP(IF(race="Gnome",1,(1-MIN(AB75*smithy_bonus,smithy_bonus_cap))*(1+Techs!AO75*tech_master_of_frugality))*elite2_ore,0)</f>
        <v>60</v>
      </c>
      <c r="CH75" s="174">
        <f t="shared" ca="1" si="139"/>
        <v>0</v>
      </c>
      <c r="CI75" s="174">
        <f t="shared" ca="1" si="140"/>
        <v>0</v>
      </c>
      <c r="CJ75" s="174">
        <f t="shared" ca="1" si="141"/>
        <v>0</v>
      </c>
      <c r="CK75" s="174">
        <f t="shared" ca="1" si="142"/>
        <v>0</v>
      </c>
      <c r="CL75" s="174">
        <f t="shared" ca="1" si="143"/>
        <v>0</v>
      </c>
      <c r="CM75" s="174">
        <f>ROUNDUP((1+tech_spy_cost*Techs!AJ75)*spy_plat,0)</f>
        <v>500</v>
      </c>
      <c r="CN75" s="174">
        <f>ROUNDUP((1+tech_wizard_cost*Techs!AM75-MIN(ROUND(wg_wiz_cost_bonus*BN75,4),wg_wiz_cost_cap))*wizard_plat,0)</f>
        <v>500</v>
      </c>
      <c r="CO75" s="179">
        <f>ROUNDUP((1+tech_wizard_cost*Techs!AM75-MIN(ROUND(wg_wiz_cost_bonus*BN75,4),wg_wiz_cost_cap))*archmage_plat,0)</f>
        <v>1000</v>
      </c>
      <c r="CQ75" s="1339">
        <f ca="1">Construction!DF75/Construction!E75</f>
        <v>0.28000000000000003</v>
      </c>
      <c r="CR75" s="1340">
        <f t="shared" si="178"/>
        <v>0</v>
      </c>
      <c r="CS75" s="1340">
        <f>Construction!BK75/Construction!E75</f>
        <v>0.05</v>
      </c>
      <c r="CT75" s="1340">
        <f>Construction!BJ75/Construction!E75</f>
        <v>0</v>
      </c>
      <c r="CU75" s="1340">
        <f>Construction!AY75/Construction!E75</f>
        <v>0</v>
      </c>
      <c r="CV75" s="1341">
        <f t="shared" ca="1" si="144"/>
        <v>1.4000000000000001</v>
      </c>
      <c r="CW75" s="1342">
        <f t="shared" ca="1" si="145"/>
        <v>1.4000000000000001</v>
      </c>
      <c r="CX75" s="1342">
        <f t="shared" ca="1" si="146"/>
        <v>1.4000000000000001</v>
      </c>
      <c r="CY75" s="1343">
        <f t="shared" ca="1" si="147"/>
        <v>1.4000000000000001</v>
      </c>
      <c r="CZ75" s="1343">
        <f t="shared" si="148"/>
        <v>0.1</v>
      </c>
      <c r="DA75" s="1343">
        <f t="shared" ca="1" si="149"/>
        <v>3</v>
      </c>
      <c r="DB75" s="1343">
        <f t="shared" ca="1" si="150"/>
        <v>1.4000000000000001</v>
      </c>
      <c r="DC75" s="1342">
        <f t="shared" si="151"/>
        <v>0</v>
      </c>
      <c r="DD75" s="1344">
        <f t="shared" si="152"/>
        <v>0</v>
      </c>
      <c r="DE75" s="1345">
        <f t="shared" si="179"/>
        <v>800</v>
      </c>
      <c r="DF75" s="1345">
        <f t="shared" si="180"/>
        <v>0</v>
      </c>
      <c r="DG75" s="1341">
        <f t="shared" ca="1" si="153"/>
        <v>1.4000000000000001</v>
      </c>
      <c r="DH75" s="1346">
        <f t="shared" si="154"/>
        <v>9.0000000000000011E-2</v>
      </c>
      <c r="DI75" s="1346">
        <f>MIN(valkyrja_cap,Production!O75/valkyrja_bonus)</f>
        <v>1</v>
      </c>
      <c r="DJ75" s="1344">
        <f>MIN(voodoo_magi_cap,Production!O75/voodoo_magi_bonus)</f>
        <v>0.83333333333333337</v>
      </c>
      <c r="DK75" s="1344">
        <f>MIN(warlock_cap,Production!O75/warlock_bonus)</f>
        <v>1.25</v>
      </c>
      <c r="DL75" s="1344">
        <f ca="1">MIN(nox_nightshade_cap,Construction!DF75/Construction!E75/nox_nightshade_swamp_bonus)</f>
        <v>2.8000000000000003</v>
      </c>
      <c r="DM75" s="1342">
        <f t="shared" si="155"/>
        <v>0</v>
      </c>
      <c r="DN75" s="1343">
        <f t="shared" ca="1" si="156"/>
        <v>2.8000000000000003</v>
      </c>
      <c r="DO75" s="1343">
        <f t="shared" ca="1" si="157"/>
        <v>2.8000000000000003</v>
      </c>
      <c r="DP75" s="1343">
        <f t="shared" si="158"/>
        <v>1</v>
      </c>
      <c r="DQ75" s="1342">
        <f t="shared" si="159"/>
        <v>0</v>
      </c>
      <c r="DR75" s="1343">
        <f t="shared" si="160"/>
        <v>0</v>
      </c>
      <c r="DS75" s="1342">
        <f t="shared" si="161"/>
        <v>0</v>
      </c>
      <c r="DT75" s="1343">
        <f t="shared" si="162"/>
        <v>0.1</v>
      </c>
      <c r="DX75" s="1341">
        <f ca="1">MIN(6,CV75+Races!$F$19)*1.8 +  IF(CV75+Races!$F$19&gt;6,(CV75+Races!$F$19-6)*0.2,0) - Races!$N$19</f>
        <v>2.5200000000000005</v>
      </c>
      <c r="DY75" s="1342">
        <f ca="1">1.8 * MIN(MAX(CW75+Races!$E$20,CX75+Races!$F$20),6)  +  0.45 * MIN(MIN(CW75+Races!$E$20,CX75+Races!$F$20),6)  +  0.2 * ( MAX(CW75+Races!$E$20-6,0) + MAX(CX75+Races!$F$20-6,0) )  -  Races!$N$20</f>
        <v>3.1500000000000012</v>
      </c>
      <c r="DZ75" s="1307">
        <f t="shared" ca="1" si="163"/>
        <v>3780.0000000000009</v>
      </c>
      <c r="EA75" s="1347">
        <f ca="1">MIN(6,CY75+Races!$F$35)*1.8 +  IF(CY75+Races!$F$35&gt;6,(CY75+Races!$F$35-6)*0.2,0) - Races!$N$19</f>
        <v>0.72000000000000064</v>
      </c>
      <c r="EB75" s="1307">
        <f t="shared" ca="1" si="164"/>
        <v>0</v>
      </c>
      <c r="EC75" s="1347">
        <f ca="1">1.8 * MIN(MAX(Races!$E$27,DB75+Races!$F$27),6)  +  0.45 * MIN(MIN(Races!$E$27,DB75+Races!$F$27),6)  +  0.2 * ( MAX(Races!$E$27-6,0) + MAX(DB75+Races!$F$27-6,0) )  -  Races!$N$20</f>
        <v>4.7700000000000005</v>
      </c>
      <c r="ED75" s="1307">
        <f t="shared" ca="1" si="165"/>
        <v>0</v>
      </c>
      <c r="EE75" s="1347">
        <f>1.8 * MIN(MAX(DC75+Races!$E$47,DD75+Races!$F$47),6)  +  0.45 * MIN(MIN(DC75+Races!$E$47,DD75+Races!$F$47),6)  +  0.2 * ( MAX(DC75+Races!$E$47-6,0) + MAX(DD75+Races!$F$47-6,0) )  -  Races!$N$47</f>
        <v>0</v>
      </c>
      <c r="EF75" s="1307">
        <f t="shared" si="166"/>
        <v>0</v>
      </c>
      <c r="EG75" s="1347">
        <f ca="1">1.8 * MIN(MAX(DG75+Races!$F$71,Races!$E$71),6)  +  0.45 * MIN(MIN(DG75+Races!$F$71,Races!$E$71),6)  +  0.2 * ( MAX(DG75+Races!$F$71-6,0) + MAX(Races!$E$71-6,0) )  -  Races!$N$71</f>
        <v>2.5200000000000014</v>
      </c>
      <c r="EH75" s="1347">
        <f>1.8 * MIN(MAX(DH75+Races!$E$71,Races!$F$71),6)  +  0.45 * MIN(MIN(DH75+Races!$E$71,Races!$F$71),6)  +  0.2 * ( MAX(DH75+Races!$E$71-6,0) + MAX(Races!$F$71-6,0) )  -  Races!$N$71</f>
        <v>0.16200000000000081</v>
      </c>
      <c r="EI75" s="1307">
        <f t="shared" ca="1" si="167"/>
        <v>2584.8000000000015</v>
      </c>
      <c r="EJ75" s="1307"/>
      <c r="EK75" s="1307"/>
      <c r="EL75" s="1307"/>
      <c r="EM75" s="1307">
        <f ca="1">Overview!$L$22*E75+Overview!$L$23*F75+Overview!$L$24*G75+Overview!$L$25*H75+Overview!$L$26*I75+Overview!$L$27*J75+Overview!$L$28*K75+Construction!E75*20+Construction!B75*5 + DZ75*$DV$4+EB75*$DV$5+ED75*$DV$6+EF75*$DV$7+EI75*$DV$9</f>
        <v>39460</v>
      </c>
      <c r="EO75" s="1348">
        <f>(J75+2*K75)/Construction!E75</f>
        <v>0.1</v>
      </c>
      <c r="EP75" s="736">
        <f ca="1">EO75*(1+race_wizard_strength+tech_magical_weaponry_wiz*Techs!AV147)</f>
        <v>0.1</v>
      </c>
      <c r="EQ75" s="936">
        <f>(I75+halfer*H75/3)/Construction!E75</f>
        <v>0.1</v>
      </c>
    </row>
    <row r="76" spans="1:147" s="170" customFormat="1">
      <c r="A76" s="629">
        <f>Rezone!J76</f>
        <v>74</v>
      </c>
      <c r="B76" s="152">
        <f ca="1">SUM(E76:K76)+SUM(AF68:AG76)+SUM(AH65:AL76)+Z76+Explore!AL76</f>
        <v>5295</v>
      </c>
      <c r="C76" s="171">
        <f ca="1">Population!G76</f>
        <v>0.57305194805194803</v>
      </c>
      <c r="E76" s="156">
        <f t="shared" si="118"/>
        <v>0</v>
      </c>
      <c r="F76" s="170">
        <f t="shared" si="119"/>
        <v>0</v>
      </c>
      <c r="G76" s="170">
        <f t="shared" si="120"/>
        <v>1000</v>
      </c>
      <c r="H76" s="170">
        <f t="shared" si="121"/>
        <v>400</v>
      </c>
      <c r="I76" s="170">
        <f t="shared" si="122"/>
        <v>100</v>
      </c>
      <c r="J76" s="170">
        <f t="shared" si="123"/>
        <v>100</v>
      </c>
      <c r="K76" s="157">
        <f t="shared" si="124"/>
        <v>0</v>
      </c>
      <c r="M76" s="160">
        <f ca="1">Production!G76</f>
        <v>39460</v>
      </c>
      <c r="O76" s="234">
        <f t="shared" ca="1" si="125"/>
        <v>4400</v>
      </c>
      <c r="P76" s="455">
        <f ca="1">race_offense+Imps!AB76+ROUND(MIN(gn_bonus*Construction!BF76/Construction!$E76,gn_bonus_cap),4)+MAX(IF(Magic!$AN76&gt;0,warsong_bonus),IF(Magic!AP76&gt;0,howling_op_bonus),IF(Magic!AS76&gt;0,nightfall_bonus),IF(Magic!AT76&gt;0,crusade_bonus),IF(Magic!AU76&gt;0,killingrage_bonus),IF(Magic!AV76&gt;0,bloodrage_bonus)) + Production!O76/100*prestige_offense_bonus + MAX(tech_military_offense*Techs!AH76,tech_magical_weaponry_op*Techs!AV76)</f>
        <v>0.05</v>
      </c>
      <c r="Q76" s="235">
        <f t="shared" ca="1" si="168"/>
        <v>4620</v>
      </c>
      <c r="R76" s="234">
        <f ca="1">F76*(spec_dp+spirit*DR76)+G76*(elite1_dp+woodie*CV76+sylvan*CY76+gnome*DB76+dark_elf*DD76+icekin*DG76+orc*DJ76+nox*DL76+beast*DN76+sacred*DP76+spirit*DS76+blackorc*DK76)+H76*(elite2_dp+woodie*CX76+beast*DO76+sacred*DQ76) + fh_peas_dp*MIN(Population!C76,20*Construction!BD76)+kobold*DE76</f>
        <v>7200</v>
      </c>
      <c r="S76" s="235">
        <f t="shared" ca="1" si="126"/>
        <v>10895</v>
      </c>
      <c r="T76" s="1052">
        <f ca="1">race_defense+Imps!AC76+ROUND(MIN(gt_bonus*Construction!BH76/Construction!$E76,gt_bonus_cap),4)+MAX(IF(Magic!AM76&gt;0,frenzy_bonus,IF(Magic!AQ76&gt;0,blizzard_bonus,IF(Magic!AP76&gt;0,howling_dp_bonus,IF(Magic!AI76&gt;0,ares_call_bonus)))),IF(Magic!AX76&gt;0,MIN(Construction!DF76/Construction!E76,0.2),0))</f>
        <v>0</v>
      </c>
      <c r="U76" s="1046">
        <f t="shared" ca="1" si="169"/>
        <v>7200</v>
      </c>
      <c r="V76" s="308">
        <f t="shared" ca="1" si="170"/>
        <v>10895</v>
      </c>
      <c r="W76" s="308">
        <f>Construction!E76</f>
        <v>1000</v>
      </c>
      <c r="X76" s="364"/>
      <c r="Y76" s="232">
        <f t="shared" ref="Y76:Y87" si="181">IF(X76&lt;&gt;"",X76,Y75)</f>
        <v>0.4</v>
      </c>
      <c r="Z76" s="166">
        <f ca="1">Z75+Population!Z75 - IF(race="Lux",AF76,SUM(AF76:AK76)) - BE76 + SUM(BF76:BL76) - Explore!AI76</f>
        <v>3695</v>
      </c>
      <c r="AA76" s="164"/>
      <c r="AB76" s="251">
        <f>(Construction!$BA76+Construction!BY76)/(Construction!$E76-Explore!S76*20)</f>
        <v>0.2</v>
      </c>
      <c r="AC76" s="629"/>
      <c r="AD76" s="798">
        <f>Rezone!J76</f>
        <v>74</v>
      </c>
      <c r="AE76" s="589">
        <f>Explore!AA76</f>
        <v>43695.04166666649</v>
      </c>
      <c r="AF76" s="352"/>
      <c r="AG76" s="345"/>
      <c r="AH76" s="345"/>
      <c r="AI76" s="345"/>
      <c r="AJ76" s="345"/>
      <c r="AK76" s="345"/>
      <c r="AL76" s="353"/>
      <c r="AN76" s="152">
        <f ca="1">Production!$H76</f>
        <v>3725034</v>
      </c>
      <c r="AO76" s="164">
        <f ca="1">Production!$L76</f>
        <v>231000</v>
      </c>
      <c r="AP76" s="164">
        <f ca="1">Production!J76</f>
        <v>275157</v>
      </c>
      <c r="AQ76" s="164">
        <f ca="1">Production!M76</f>
        <v>20000</v>
      </c>
      <c r="AR76" s="164">
        <f ca="1">Production!K76</f>
        <v>52776</v>
      </c>
      <c r="AS76" s="164">
        <f ca="1">Production!I76</f>
        <v>262964</v>
      </c>
      <c r="AT76" s="164">
        <f ca="1">Production!N76</f>
        <v>200</v>
      </c>
      <c r="AU76" s="152">
        <f t="shared" ca="1" si="127"/>
        <v>0</v>
      </c>
      <c r="AV76" s="164">
        <f t="shared" ca="1" si="128"/>
        <v>0</v>
      </c>
      <c r="AW76" s="164">
        <f t="shared" ca="1" si="171"/>
        <v>0</v>
      </c>
      <c r="AX76" s="164">
        <f t="shared" ca="1" si="172"/>
        <v>0</v>
      </c>
      <c r="AY76" s="164">
        <f t="shared" ca="1" si="173"/>
        <v>0</v>
      </c>
      <c r="AZ76" s="164">
        <f t="shared" ca="1" si="174"/>
        <v>0</v>
      </c>
      <c r="BA76" s="166">
        <f t="shared" ca="1" si="175"/>
        <v>0</v>
      </c>
      <c r="BB76" s="170">
        <v>61</v>
      </c>
      <c r="BC76" s="532">
        <f t="shared" si="176"/>
        <v>43695.04166666649</v>
      </c>
      <c r="BD76" s="233">
        <f t="shared" ca="1" si="177"/>
        <v>3695</v>
      </c>
      <c r="BE76" s="830"/>
      <c r="BF76" s="345"/>
      <c r="BG76" s="345"/>
      <c r="BH76" s="345"/>
      <c r="BI76" s="345"/>
      <c r="BJ76" s="345"/>
      <c r="BK76" s="345"/>
      <c r="BL76" s="353"/>
      <c r="BN76" s="503">
        <f>Construction!BM76/Construction!E76</f>
        <v>0</v>
      </c>
      <c r="BO76" s="171">
        <f>Construction!BD76/Construction!E76</f>
        <v>0</v>
      </c>
      <c r="BP76" s="152">
        <f>ROUNDUP((1-MIN(AB76*smithy_bonus,smithy_bonus_cap))*(1+Techs!AO76*tech_master_of_frugality)*spec_op_plat,0)</f>
        <v>165</v>
      </c>
      <c r="BQ76" s="164">
        <f>ROUNDUP(IF(race="Gnome",1,(1-MIN(AB76*smithy_bonus,smithy_bonus_cap))*(1+Techs!AO76*tech_master_of_frugality))*spec_op_ore,0)</f>
        <v>15</v>
      </c>
      <c r="BR76" s="164">
        <f t="shared" si="129"/>
        <v>0</v>
      </c>
      <c r="BS76" s="164">
        <f t="shared" si="130"/>
        <v>0</v>
      </c>
      <c r="BT76" s="164">
        <f ca="1">ROUNDUP((1-MIN(AB76*smithy_bonus,smithy_bonus_cap))*(1+Techs!AO76*tech_master_of_frugality)*spec_dp_plat,0)</f>
        <v>165</v>
      </c>
      <c r="BU76" s="164">
        <f ca="1">ROUNDUP(IF(OR(race="Gnome",race="Imperial Gnome"),1,(1-MIN(AB76*smithy_bonus,smithy_bonus_cap))*(1+Techs!AO76*tech_master_of_frugality))*spec_dp_ore,0)</f>
        <v>6</v>
      </c>
      <c r="BV76" s="164">
        <f t="shared" ca="1" si="131"/>
        <v>0</v>
      </c>
      <c r="BW76" s="164">
        <f t="shared" ca="1" si="132"/>
        <v>0</v>
      </c>
      <c r="BX76" s="164">
        <f t="shared" ca="1" si="133"/>
        <v>0</v>
      </c>
      <c r="BY76" s="164">
        <f ca="1">ROUNDUP((1-MIN(AB76*smithy_bonus,smithy_bonus_cap))*(1+Techs!AO76*tech_master_of_frugality)*elite1_plat,0)</f>
        <v>600</v>
      </c>
      <c r="BZ76" s="164">
        <f ca="1">ROUNDUP(IF(race="Gnome",1,(1-MIN(AB76*smithy_bonus,smithy_bonus_cap))*(1+Techs!AO76*tech_master_of_frugality))*elite1_ore,0)</f>
        <v>45</v>
      </c>
      <c r="CA76" s="164">
        <f t="shared" ca="1" si="134"/>
        <v>0</v>
      </c>
      <c r="CB76" s="164">
        <f t="shared" ca="1" si="135"/>
        <v>0</v>
      </c>
      <c r="CC76" s="164">
        <f t="shared" ca="1" si="136"/>
        <v>0</v>
      </c>
      <c r="CD76" s="164">
        <f t="shared" ca="1" si="137"/>
        <v>0</v>
      </c>
      <c r="CE76" s="164">
        <f t="shared" ca="1" si="138"/>
        <v>0</v>
      </c>
      <c r="CF76" s="164">
        <f ca="1">ROUNDUP((1-MIN(AB76*smithy_bonus,smithy_bonus_cap))*(1+Techs!AO76*tech_master_of_frugality)*elite2_plat,0)</f>
        <v>750</v>
      </c>
      <c r="CG76" s="164">
        <f ca="1">ROUNDUP(IF(race="Gnome",1,(1-MIN(AB76*smithy_bonus,smithy_bonus_cap))*(1+Techs!AO76*tech_master_of_frugality))*elite2_ore,0)</f>
        <v>60</v>
      </c>
      <c r="CH76" s="164">
        <f t="shared" ca="1" si="139"/>
        <v>0</v>
      </c>
      <c r="CI76" s="164">
        <f t="shared" ca="1" si="140"/>
        <v>0</v>
      </c>
      <c r="CJ76" s="164">
        <f t="shared" ca="1" si="141"/>
        <v>0</v>
      </c>
      <c r="CK76" s="164">
        <f t="shared" ca="1" si="142"/>
        <v>0</v>
      </c>
      <c r="CL76" s="164">
        <f t="shared" ca="1" si="143"/>
        <v>0</v>
      </c>
      <c r="CM76" s="164">
        <f>ROUNDUP((1+tech_spy_cost*Techs!AJ76)*spy_plat,0)</f>
        <v>500</v>
      </c>
      <c r="CN76" s="164">
        <f>ROUNDUP((1+tech_wizard_cost*Techs!AM76-MIN(ROUND(wg_wiz_cost_bonus*BN76,4),wg_wiz_cost_cap))*wizard_plat,0)</f>
        <v>500</v>
      </c>
      <c r="CO76" s="166">
        <f>ROUNDUP((1+tech_wizard_cost*Techs!AM76-MIN(ROUND(wg_wiz_cost_bonus*BN76,4),wg_wiz_cost_cap))*archmage_plat,0)</f>
        <v>1000</v>
      </c>
      <c r="CQ76" s="461">
        <f ca="1">Construction!DF76/Construction!E76</f>
        <v>0.28000000000000003</v>
      </c>
      <c r="CR76" s="462">
        <f t="shared" si="178"/>
        <v>0</v>
      </c>
      <c r="CS76" s="462">
        <f>Construction!BK76/Construction!E76</f>
        <v>0.05</v>
      </c>
      <c r="CT76" s="462">
        <f>Construction!BJ76/Construction!E76</f>
        <v>0</v>
      </c>
      <c r="CU76" s="462">
        <f>Construction!AY76/Construction!E76</f>
        <v>0</v>
      </c>
      <c r="CV76" s="481">
        <f t="shared" ca="1" si="144"/>
        <v>1.4000000000000001</v>
      </c>
      <c r="CW76" s="482">
        <f t="shared" ca="1" si="145"/>
        <v>1.4000000000000001</v>
      </c>
      <c r="CX76" s="482">
        <f t="shared" ca="1" si="146"/>
        <v>1.4000000000000001</v>
      </c>
      <c r="CY76" s="483">
        <f t="shared" ca="1" si="147"/>
        <v>1.4000000000000001</v>
      </c>
      <c r="CZ76" s="483">
        <f t="shared" si="148"/>
        <v>0.1</v>
      </c>
      <c r="DA76" s="483">
        <f t="shared" ca="1" si="149"/>
        <v>3</v>
      </c>
      <c r="DB76" s="483">
        <f t="shared" ca="1" si="150"/>
        <v>1.4000000000000001</v>
      </c>
      <c r="DC76" s="482">
        <f t="shared" si="151"/>
        <v>0</v>
      </c>
      <c r="DD76" s="847">
        <f t="shared" si="152"/>
        <v>0</v>
      </c>
      <c r="DE76" s="440">
        <f t="shared" si="179"/>
        <v>800</v>
      </c>
      <c r="DF76" s="440">
        <f t="shared" si="180"/>
        <v>0</v>
      </c>
      <c r="DG76" s="481">
        <f t="shared" ca="1" si="153"/>
        <v>1.4000000000000001</v>
      </c>
      <c r="DH76" s="450">
        <f t="shared" si="154"/>
        <v>9.0000000000000011E-2</v>
      </c>
      <c r="DI76" s="450">
        <f>MIN(valkyrja_cap,Production!O76/valkyrja_bonus)</f>
        <v>1</v>
      </c>
      <c r="DJ76" s="847">
        <f>MIN(voodoo_magi_cap,Production!O76/voodoo_magi_bonus)</f>
        <v>0.83333333333333337</v>
      </c>
      <c r="DK76" s="847">
        <f>MIN(warlock_cap,Production!O76/warlock_bonus)</f>
        <v>1.25</v>
      </c>
      <c r="DL76" s="847">
        <f ca="1">MIN(nox_nightshade_cap,Construction!DF76/Construction!E76/nox_nightshade_swamp_bonus)</f>
        <v>2.8000000000000003</v>
      </c>
      <c r="DM76" s="482">
        <f t="shared" si="155"/>
        <v>0</v>
      </c>
      <c r="DN76" s="483">
        <f t="shared" ca="1" si="156"/>
        <v>2.8000000000000003</v>
      </c>
      <c r="DO76" s="483">
        <f t="shared" ca="1" si="157"/>
        <v>2.8000000000000003</v>
      </c>
      <c r="DP76" s="483">
        <f t="shared" si="158"/>
        <v>1</v>
      </c>
      <c r="DQ76" s="482">
        <f t="shared" si="159"/>
        <v>0</v>
      </c>
      <c r="DR76" s="483">
        <f t="shared" si="160"/>
        <v>0</v>
      </c>
      <c r="DS76" s="482">
        <f t="shared" si="161"/>
        <v>0</v>
      </c>
      <c r="DT76" s="483">
        <f t="shared" si="162"/>
        <v>0.1</v>
      </c>
      <c r="DU76"/>
      <c r="DV76"/>
      <c r="DX76" s="481">
        <f ca="1">MIN(6,CV76+Races!$F$19)*1.8 +  IF(CV76+Races!$F$19&gt;6,(CV76+Races!$F$19-6)*0.2,0) - Races!$N$19</f>
        <v>2.5200000000000005</v>
      </c>
      <c r="DY76" s="482">
        <f ca="1">1.8 * MIN(MAX(CW76+Races!$E$20,CX76+Races!$F$20),6)  +  0.45 * MIN(MIN(CW76+Races!$E$20,CX76+Races!$F$20),6)  +  0.2 * ( MAX(CW76+Races!$E$20-6,0) + MAX(CX76+Races!$F$20-6,0) )  -  Races!$N$20</f>
        <v>3.1500000000000012</v>
      </c>
      <c r="DZ76" s="166">
        <f t="shared" ca="1" si="163"/>
        <v>3780.0000000000009</v>
      </c>
      <c r="EA76" s="665">
        <f ca="1">MIN(6,CY76+Races!$F$35)*1.8 +  IF(CY76+Races!$F$35&gt;6,(CY76+Races!$F$35-6)*0.2,0) - Races!$N$19</f>
        <v>0.72000000000000064</v>
      </c>
      <c r="EB76" s="166">
        <f t="shared" ca="1" si="164"/>
        <v>0</v>
      </c>
      <c r="EC76" s="665">
        <f ca="1">1.8 * MIN(MAX(Races!$E$27,DB76+Races!$F$27),6)  +  0.45 * MIN(MIN(Races!$E$27,DB76+Races!$F$27),6)  +  0.2 * ( MAX(Races!$E$27-6,0) + MAX(DB76+Races!$F$27-6,0) )  -  Races!$N$20</f>
        <v>4.7700000000000005</v>
      </c>
      <c r="ED76" s="166">
        <f t="shared" ca="1" si="165"/>
        <v>0</v>
      </c>
      <c r="EE76" s="665">
        <f>1.8 * MIN(MAX(DC76+Races!$E$47,DD76+Races!$F$47),6)  +  0.45 * MIN(MIN(DC76+Races!$E$47,DD76+Races!$F$47),6)  +  0.2 * ( MAX(DC76+Races!$E$47-6,0) + MAX(DD76+Races!$F$47-6,0) )  -  Races!$N$47</f>
        <v>0</v>
      </c>
      <c r="EF76" s="166">
        <f t="shared" si="166"/>
        <v>0</v>
      </c>
      <c r="EG76" s="665">
        <f ca="1">1.8 * MIN(MAX(DG76+Races!$F$71,Races!$E$71),6)  +  0.45 * MIN(MIN(DG76+Races!$F$71,Races!$E$71),6)  +  0.2 * ( MAX(DG76+Races!$F$71-6,0) + MAX(Races!$E$71-6,0) )  -  Races!$N$71</f>
        <v>2.5200000000000014</v>
      </c>
      <c r="EH76" s="665">
        <f>1.8 * MIN(MAX(DH76+Races!$E$71,Races!$F$71),6)  +  0.45 * MIN(MIN(DH76+Races!$E$71,Races!$F$71),6)  +  0.2 * ( MAX(DH76+Races!$E$71-6,0) + MAX(Races!$F$71-6,0) )  -  Races!$N$71</f>
        <v>0.16200000000000081</v>
      </c>
      <c r="EI76" s="166">
        <f t="shared" ca="1" si="167"/>
        <v>2584.8000000000015</v>
      </c>
      <c r="EJ76" s="166"/>
      <c r="EK76" s="166"/>
      <c r="EL76" s="166"/>
      <c r="EM76" s="166">
        <f ca="1">Overview!$L$22*E76+Overview!$L$23*F76+Overview!$L$24*G76+Overview!$L$25*H76+Overview!$L$26*I76+Overview!$L$27*J76+Overview!$L$28*K76+Construction!E76*20+Construction!B76*5 + DZ76*$DV$4+EB76*$DV$5+ED76*$DV$6+EF76*$DV$7+EI76*$DV$9</f>
        <v>39460</v>
      </c>
      <c r="EO76" s="737">
        <f>(J76+2*K76)/Construction!E76</f>
        <v>0.1</v>
      </c>
      <c r="EP76" s="734">
        <f ca="1">EO76*(1+race_wizard_strength+tech_magical_weaponry_wiz*Techs!AV148)</f>
        <v>0.1</v>
      </c>
      <c r="EQ76" s="170">
        <f>(I76+halfer*H76/3)/Construction!E76</f>
        <v>0.1</v>
      </c>
    </row>
    <row r="77" spans="1:147" s="170" customFormat="1">
      <c r="A77" s="629">
        <f>Rezone!J77</f>
        <v>75</v>
      </c>
      <c r="B77" s="152">
        <f ca="1">SUM(E77:K77)+SUM(AF69:AG77)+SUM(AH66:AL77)+Z77+Explore!AL77</f>
        <v>5295</v>
      </c>
      <c r="C77" s="171">
        <f ca="1">Population!G77</f>
        <v>0.57305194805194803</v>
      </c>
      <c r="E77" s="156">
        <f t="shared" si="118"/>
        <v>0</v>
      </c>
      <c r="F77" s="170">
        <f t="shared" si="119"/>
        <v>0</v>
      </c>
      <c r="G77" s="170">
        <f t="shared" si="120"/>
        <v>1000</v>
      </c>
      <c r="H77" s="170">
        <f t="shared" si="121"/>
        <v>400</v>
      </c>
      <c r="I77" s="170">
        <f t="shared" si="122"/>
        <v>100</v>
      </c>
      <c r="J77" s="170">
        <f t="shared" si="123"/>
        <v>100</v>
      </c>
      <c r="K77" s="157">
        <f t="shared" si="124"/>
        <v>0</v>
      </c>
      <c r="M77" s="160">
        <f ca="1">Production!G77</f>
        <v>39460</v>
      </c>
      <c r="O77" s="234">
        <f t="shared" ca="1" si="125"/>
        <v>4400</v>
      </c>
      <c r="P77" s="455">
        <f ca="1">race_offense+Imps!AB77+ROUND(MIN(gn_bonus*Construction!BF77/Construction!$E77,gn_bonus_cap),4)+MAX(IF(Magic!$AN77&gt;0,warsong_bonus),IF(Magic!AP77&gt;0,howling_op_bonus),IF(Magic!AS77&gt;0,nightfall_bonus),IF(Magic!AT77&gt;0,crusade_bonus),IF(Magic!AU77&gt;0,killingrage_bonus),IF(Magic!AV77&gt;0,bloodrage_bonus)) + Production!O77/100*prestige_offense_bonus + MAX(tech_military_offense*Techs!AH77,tech_magical_weaponry_op*Techs!AV77)</f>
        <v>0.05</v>
      </c>
      <c r="Q77" s="235">
        <f t="shared" ca="1" si="168"/>
        <v>4620</v>
      </c>
      <c r="R77" s="234">
        <f ca="1">F77*(spec_dp+spirit*DR77)+G77*(elite1_dp+woodie*CV77+sylvan*CY77+gnome*DB77+dark_elf*DD77+icekin*DG77+orc*DJ77+nox*DL77+beast*DN77+sacred*DP77+spirit*DS77+blackorc*DK77)+H77*(elite2_dp+woodie*CX77+beast*DO77+sacred*DQ77) + fh_peas_dp*MIN(Population!C77,20*Construction!BD77)+kobold*DE77</f>
        <v>7200</v>
      </c>
      <c r="S77" s="235">
        <f t="shared" ca="1" si="126"/>
        <v>10895</v>
      </c>
      <c r="T77" s="1052">
        <f ca="1">race_defense+Imps!AC77+ROUND(MIN(gt_bonus*Construction!BH77/Construction!$E77,gt_bonus_cap),4)+MAX(IF(Magic!AM77&gt;0,frenzy_bonus,IF(Magic!AQ77&gt;0,blizzard_bonus,IF(Magic!AP77&gt;0,howling_dp_bonus,IF(Magic!AI77&gt;0,ares_call_bonus)))),IF(Magic!AX77&gt;0,MIN(Construction!DF77/Construction!E77,0.2),0))</f>
        <v>0</v>
      </c>
      <c r="U77" s="1046">
        <f t="shared" ca="1" si="169"/>
        <v>7200</v>
      </c>
      <c r="V77" s="308">
        <f t="shared" ca="1" si="170"/>
        <v>10895</v>
      </c>
      <c r="W77" s="308">
        <f>Construction!E77</f>
        <v>1000</v>
      </c>
      <c r="X77" s="364"/>
      <c r="Y77" s="232">
        <f t="shared" si="181"/>
        <v>0.4</v>
      </c>
      <c r="Z77" s="166">
        <f ca="1">Z76+Population!Z76 - IF(race="Lux",AF77,SUM(AF77:AK77)) - BE77 + SUM(BF77:BL77) - Explore!AI77</f>
        <v>3695</v>
      </c>
      <c r="AA77" s="164"/>
      <c r="AB77" s="251">
        <f>(Construction!$BA77+Construction!BY77)/(Construction!$E77-Explore!S77*20)</f>
        <v>0.2</v>
      </c>
      <c r="AC77" s="629"/>
      <c r="AD77" s="798">
        <f>Rezone!J77</f>
        <v>75</v>
      </c>
      <c r="AE77" s="589">
        <f>Explore!AA77</f>
        <v>43695.083333333154</v>
      </c>
      <c r="AF77" s="352"/>
      <c r="AG77" s="345"/>
      <c r="AH77" s="345"/>
      <c r="AI77" s="345"/>
      <c r="AJ77" s="345"/>
      <c r="AK77" s="345"/>
      <c r="AL77" s="353"/>
      <c r="AN77" s="152">
        <f ca="1">Production!$H77</f>
        <v>3735685</v>
      </c>
      <c r="AO77" s="164">
        <f ca="1">Production!$L77</f>
        <v>231000</v>
      </c>
      <c r="AP77" s="164">
        <f ca="1">Production!J77</f>
        <v>274905</v>
      </c>
      <c r="AQ77" s="164">
        <f ca="1">Production!M77</f>
        <v>20000</v>
      </c>
      <c r="AR77" s="164">
        <f ca="1">Production!K77</f>
        <v>52970</v>
      </c>
      <c r="AS77" s="164">
        <f ca="1">Production!I77</f>
        <v>265064</v>
      </c>
      <c r="AT77" s="164">
        <f ca="1">Production!N77</f>
        <v>200</v>
      </c>
      <c r="AU77" s="152">
        <f t="shared" ca="1" si="127"/>
        <v>0</v>
      </c>
      <c r="AV77" s="164">
        <f t="shared" ca="1" si="128"/>
        <v>0</v>
      </c>
      <c r="AW77" s="164">
        <f t="shared" ca="1" si="171"/>
        <v>0</v>
      </c>
      <c r="AX77" s="164">
        <f t="shared" ca="1" si="172"/>
        <v>0</v>
      </c>
      <c r="AY77" s="164">
        <f t="shared" ca="1" si="173"/>
        <v>0</v>
      </c>
      <c r="AZ77" s="164">
        <f t="shared" ca="1" si="174"/>
        <v>0</v>
      </c>
      <c r="BA77" s="166">
        <f t="shared" ca="1" si="175"/>
        <v>0</v>
      </c>
      <c r="BB77" s="170">
        <v>62</v>
      </c>
      <c r="BC77" s="532">
        <f t="shared" si="176"/>
        <v>43695.083333333154</v>
      </c>
      <c r="BD77" s="233">
        <f t="shared" ca="1" si="177"/>
        <v>3695</v>
      </c>
      <c r="BE77" s="352"/>
      <c r="BF77" s="345"/>
      <c r="BG77" s="345"/>
      <c r="BH77" s="345"/>
      <c r="BI77" s="345"/>
      <c r="BJ77" s="345"/>
      <c r="BK77" s="345"/>
      <c r="BL77" s="353"/>
      <c r="BN77" s="503">
        <f>Construction!BM77/Construction!E77</f>
        <v>0</v>
      </c>
      <c r="BO77" s="171">
        <f>Construction!BD77/Construction!E77</f>
        <v>0</v>
      </c>
      <c r="BP77" s="152">
        <f>ROUNDUP((1-MIN(AB77*smithy_bonus,smithy_bonus_cap))*(1+Techs!AO77*tech_master_of_frugality)*spec_op_plat,0)</f>
        <v>165</v>
      </c>
      <c r="BQ77" s="164">
        <f>ROUNDUP(IF(race="Gnome",1,(1-MIN(AB77*smithy_bonus,smithy_bonus_cap))*(1+Techs!AO77*tech_master_of_frugality))*spec_op_ore,0)</f>
        <v>15</v>
      </c>
      <c r="BR77" s="164">
        <f t="shared" si="129"/>
        <v>0</v>
      </c>
      <c r="BS77" s="164">
        <f t="shared" si="130"/>
        <v>0</v>
      </c>
      <c r="BT77" s="164">
        <f ca="1">ROUNDUP((1-MIN(AB77*smithy_bonus,smithy_bonus_cap))*(1+Techs!AO77*tech_master_of_frugality)*spec_dp_plat,0)</f>
        <v>165</v>
      </c>
      <c r="BU77" s="164">
        <f ca="1">ROUNDUP(IF(OR(race="Gnome",race="Imperial Gnome"),1,(1-MIN(AB77*smithy_bonus,smithy_bonus_cap))*(1+Techs!AO77*tech_master_of_frugality))*spec_dp_ore,0)</f>
        <v>6</v>
      </c>
      <c r="BV77" s="164">
        <f t="shared" ca="1" si="131"/>
        <v>0</v>
      </c>
      <c r="BW77" s="164">
        <f t="shared" ca="1" si="132"/>
        <v>0</v>
      </c>
      <c r="BX77" s="164">
        <f t="shared" ca="1" si="133"/>
        <v>0</v>
      </c>
      <c r="BY77" s="164">
        <f ca="1">ROUNDUP((1-MIN(AB77*smithy_bonus,smithy_bonus_cap))*(1+Techs!AO77*tech_master_of_frugality)*elite1_plat,0)</f>
        <v>600</v>
      </c>
      <c r="BZ77" s="164">
        <f ca="1">ROUNDUP(IF(race="Gnome",1,(1-MIN(AB77*smithy_bonus,smithy_bonus_cap))*(1+Techs!AO77*tech_master_of_frugality))*elite1_ore,0)</f>
        <v>45</v>
      </c>
      <c r="CA77" s="164">
        <f t="shared" ca="1" si="134"/>
        <v>0</v>
      </c>
      <c r="CB77" s="164">
        <f t="shared" ca="1" si="135"/>
        <v>0</v>
      </c>
      <c r="CC77" s="164">
        <f t="shared" ca="1" si="136"/>
        <v>0</v>
      </c>
      <c r="CD77" s="164">
        <f t="shared" ca="1" si="137"/>
        <v>0</v>
      </c>
      <c r="CE77" s="164">
        <f t="shared" ca="1" si="138"/>
        <v>0</v>
      </c>
      <c r="CF77" s="164">
        <f ca="1">ROUNDUP((1-MIN(AB77*smithy_bonus,smithy_bonus_cap))*(1+Techs!AO77*tech_master_of_frugality)*elite2_plat,0)</f>
        <v>750</v>
      </c>
      <c r="CG77" s="164">
        <f ca="1">ROUNDUP(IF(race="Gnome",1,(1-MIN(AB77*smithy_bonus,smithy_bonus_cap))*(1+Techs!AO77*tech_master_of_frugality))*elite2_ore,0)</f>
        <v>60</v>
      </c>
      <c r="CH77" s="164">
        <f t="shared" ca="1" si="139"/>
        <v>0</v>
      </c>
      <c r="CI77" s="164">
        <f t="shared" ca="1" si="140"/>
        <v>0</v>
      </c>
      <c r="CJ77" s="164">
        <f t="shared" ca="1" si="141"/>
        <v>0</v>
      </c>
      <c r="CK77" s="164">
        <f t="shared" ca="1" si="142"/>
        <v>0</v>
      </c>
      <c r="CL77" s="164">
        <f t="shared" ca="1" si="143"/>
        <v>0</v>
      </c>
      <c r="CM77" s="164">
        <f>ROUNDUP((1+tech_spy_cost*Techs!AJ77)*spy_plat,0)</f>
        <v>500</v>
      </c>
      <c r="CN77" s="164">
        <f>ROUNDUP((1+tech_wizard_cost*Techs!AM77-MIN(ROUND(wg_wiz_cost_bonus*BN77,4),wg_wiz_cost_cap))*wizard_plat,0)</f>
        <v>500</v>
      </c>
      <c r="CO77" s="166">
        <f>ROUNDUP((1+tech_wizard_cost*Techs!AM77-MIN(ROUND(wg_wiz_cost_bonus*BN77,4),wg_wiz_cost_cap))*archmage_plat,0)</f>
        <v>1000</v>
      </c>
      <c r="CQ77" s="461">
        <f ca="1">Construction!DF77/Construction!E77</f>
        <v>0.28000000000000003</v>
      </c>
      <c r="CR77" s="462">
        <f t="shared" si="178"/>
        <v>0</v>
      </c>
      <c r="CS77" s="462">
        <f>Construction!BK77/Construction!E77</f>
        <v>0.05</v>
      </c>
      <c r="CT77" s="462">
        <f>Construction!BJ77/Construction!E77</f>
        <v>0</v>
      </c>
      <c r="CU77" s="462">
        <f>Construction!AY77/Construction!E77</f>
        <v>0</v>
      </c>
      <c r="CV77" s="481">
        <f t="shared" ca="1" si="144"/>
        <v>1.4000000000000001</v>
      </c>
      <c r="CW77" s="482">
        <f t="shared" ca="1" si="145"/>
        <v>1.4000000000000001</v>
      </c>
      <c r="CX77" s="482">
        <f t="shared" ca="1" si="146"/>
        <v>1.4000000000000001</v>
      </c>
      <c r="CY77" s="483">
        <f t="shared" ca="1" si="147"/>
        <v>1.4000000000000001</v>
      </c>
      <c r="CZ77" s="483">
        <f t="shared" si="148"/>
        <v>0.1</v>
      </c>
      <c r="DA77" s="483">
        <f t="shared" ca="1" si="149"/>
        <v>3</v>
      </c>
      <c r="DB77" s="483">
        <f t="shared" ca="1" si="150"/>
        <v>1.4000000000000001</v>
      </c>
      <c r="DC77" s="482">
        <f t="shared" si="151"/>
        <v>0</v>
      </c>
      <c r="DD77" s="847">
        <f t="shared" si="152"/>
        <v>0</v>
      </c>
      <c r="DE77" s="440">
        <f t="shared" si="179"/>
        <v>800</v>
      </c>
      <c r="DF77" s="440">
        <f t="shared" si="180"/>
        <v>0</v>
      </c>
      <c r="DG77" s="481">
        <f t="shared" ca="1" si="153"/>
        <v>1.4000000000000001</v>
      </c>
      <c r="DH77" s="450">
        <f t="shared" si="154"/>
        <v>9.0000000000000011E-2</v>
      </c>
      <c r="DI77" s="450">
        <f>MIN(valkyrja_cap,Production!O77/valkyrja_bonus)</f>
        <v>1</v>
      </c>
      <c r="DJ77" s="847">
        <f>MIN(voodoo_magi_cap,Production!O77/voodoo_magi_bonus)</f>
        <v>0.83333333333333337</v>
      </c>
      <c r="DK77" s="847">
        <f>MIN(warlock_cap,Production!O77/warlock_bonus)</f>
        <v>1.25</v>
      </c>
      <c r="DL77" s="847">
        <f ca="1">MIN(nox_nightshade_cap,Construction!DF77/Construction!E77/nox_nightshade_swamp_bonus)</f>
        <v>2.8000000000000003</v>
      </c>
      <c r="DM77" s="482">
        <f t="shared" si="155"/>
        <v>0</v>
      </c>
      <c r="DN77" s="483">
        <f t="shared" ca="1" si="156"/>
        <v>2.8000000000000003</v>
      </c>
      <c r="DO77" s="483">
        <f t="shared" ca="1" si="157"/>
        <v>2.8000000000000003</v>
      </c>
      <c r="DP77" s="483">
        <f t="shared" si="158"/>
        <v>1</v>
      </c>
      <c r="DQ77" s="482">
        <f t="shared" si="159"/>
        <v>0</v>
      </c>
      <c r="DR77" s="483">
        <f t="shared" si="160"/>
        <v>0</v>
      </c>
      <c r="DS77" s="482">
        <f t="shared" si="161"/>
        <v>0</v>
      </c>
      <c r="DT77" s="483">
        <f t="shared" si="162"/>
        <v>0.1</v>
      </c>
      <c r="DU77"/>
      <c r="DV77"/>
      <c r="DX77" s="481">
        <f ca="1">MIN(6,CV77+Races!$F$19)*1.8 +  IF(CV77+Races!$F$19&gt;6,(CV77+Races!$F$19-6)*0.2,0) - Races!$N$19</f>
        <v>2.5200000000000005</v>
      </c>
      <c r="DY77" s="482">
        <f ca="1">1.8 * MIN(MAX(CW77+Races!$E$20,CX77+Races!$F$20),6)  +  0.45 * MIN(MIN(CW77+Races!$E$20,CX77+Races!$F$20),6)  +  0.2 * ( MAX(CW77+Races!$E$20-6,0) + MAX(CX77+Races!$F$20-6,0) )  -  Races!$N$20</f>
        <v>3.1500000000000012</v>
      </c>
      <c r="DZ77" s="166">
        <f t="shared" ca="1" si="163"/>
        <v>3780.0000000000009</v>
      </c>
      <c r="EA77" s="665">
        <f ca="1">MIN(6,CY77+Races!$F$35)*1.8 +  IF(CY77+Races!$F$35&gt;6,(CY77+Races!$F$35-6)*0.2,0) - Races!$N$19</f>
        <v>0.72000000000000064</v>
      </c>
      <c r="EB77" s="166">
        <f t="shared" ca="1" si="164"/>
        <v>0</v>
      </c>
      <c r="EC77" s="665">
        <f ca="1">1.8 * MIN(MAX(Races!$E$27,DB77+Races!$F$27),6)  +  0.45 * MIN(MIN(Races!$E$27,DB77+Races!$F$27),6)  +  0.2 * ( MAX(Races!$E$27-6,0) + MAX(DB77+Races!$F$27-6,0) )  -  Races!$N$20</f>
        <v>4.7700000000000005</v>
      </c>
      <c r="ED77" s="166">
        <f t="shared" ca="1" si="165"/>
        <v>0</v>
      </c>
      <c r="EE77" s="665">
        <f>1.8 * MIN(MAX(DC77+Races!$E$47,DD77+Races!$F$47),6)  +  0.45 * MIN(MIN(DC77+Races!$E$47,DD77+Races!$F$47),6)  +  0.2 * ( MAX(DC77+Races!$E$47-6,0) + MAX(DD77+Races!$F$47-6,0) )  -  Races!$N$47</f>
        <v>0</v>
      </c>
      <c r="EF77" s="166">
        <f t="shared" si="166"/>
        <v>0</v>
      </c>
      <c r="EG77" s="665">
        <f ca="1">1.8 * MIN(MAX(DG77+Races!$F$71,Races!$E$71),6)  +  0.45 * MIN(MIN(DG77+Races!$F$71,Races!$E$71),6)  +  0.2 * ( MAX(DG77+Races!$F$71-6,0) + MAX(Races!$E$71-6,0) )  -  Races!$N$71</f>
        <v>2.5200000000000014</v>
      </c>
      <c r="EH77" s="665">
        <f>1.8 * MIN(MAX(DH77+Races!$E$71,Races!$F$71),6)  +  0.45 * MIN(MIN(DH77+Races!$E$71,Races!$F$71),6)  +  0.2 * ( MAX(DH77+Races!$E$71-6,0) + MAX(Races!$F$71-6,0) )  -  Races!$N$71</f>
        <v>0.16200000000000081</v>
      </c>
      <c r="EI77" s="166">
        <f t="shared" ca="1" si="167"/>
        <v>2584.8000000000015</v>
      </c>
      <c r="EJ77" s="166"/>
      <c r="EK77" s="166"/>
      <c r="EL77" s="166"/>
      <c r="EM77" s="166">
        <f ca="1">Overview!$L$22*E77+Overview!$L$23*F77+Overview!$L$24*G77+Overview!$L$25*H77+Overview!$L$26*I77+Overview!$L$27*J77+Overview!$L$28*K77+Construction!E77*20+Construction!B77*5 + DZ77*$DV$4+EB77*$DV$5+ED77*$DV$6+EF77*$DV$7+EI77*$DV$9</f>
        <v>39460</v>
      </c>
      <c r="EO77" s="737">
        <f>(J77+2*K77)/Construction!E77</f>
        <v>0.1</v>
      </c>
      <c r="EP77" s="734">
        <f ca="1">EO77*(1+race_wizard_strength+tech_magical_weaponry_wiz*Techs!AV149)</f>
        <v>0.1</v>
      </c>
      <c r="EQ77" s="170">
        <f>(I77+halfer*H77/3)/Construction!E77</f>
        <v>0.1</v>
      </c>
    </row>
    <row r="78" spans="1:147" s="16" customFormat="1">
      <c r="A78" s="629">
        <f>Rezone!J78</f>
        <v>76</v>
      </c>
      <c r="B78" s="152">
        <f ca="1">SUM(E78:K78)+SUM(AF70:AG78)+SUM(AH67:AL78)+Z78+Explore!AL78</f>
        <v>5295</v>
      </c>
      <c r="C78" s="97">
        <f ca="1">Population!G78</f>
        <v>0.57305194805194803</v>
      </c>
      <c r="E78" s="156">
        <f t="shared" si="118"/>
        <v>0</v>
      </c>
      <c r="F78" s="170">
        <f t="shared" si="119"/>
        <v>0</v>
      </c>
      <c r="G78" s="170">
        <f t="shared" si="120"/>
        <v>1000</v>
      </c>
      <c r="H78" s="170">
        <f t="shared" si="121"/>
        <v>400</v>
      </c>
      <c r="I78" s="170">
        <f t="shared" si="122"/>
        <v>100</v>
      </c>
      <c r="J78" s="170">
        <f t="shared" si="123"/>
        <v>100</v>
      </c>
      <c r="K78" s="157">
        <f t="shared" si="124"/>
        <v>0</v>
      </c>
      <c r="M78" s="64">
        <f ca="1">Production!G78</f>
        <v>39460</v>
      </c>
      <c r="O78" s="234">
        <f t="shared" ca="1" si="125"/>
        <v>4400</v>
      </c>
      <c r="P78" s="455">
        <f ca="1">race_offense+Imps!AB78+ROUND(MIN(gn_bonus*Construction!BF78/Construction!$E78,gn_bonus_cap),4)+MAX(IF(Magic!$AN78&gt;0,warsong_bonus),IF(Magic!AP78&gt;0,howling_op_bonus),IF(Magic!AS78&gt;0,nightfall_bonus),IF(Magic!AT78&gt;0,crusade_bonus),IF(Magic!AU78&gt;0,killingrage_bonus),IF(Magic!AV78&gt;0,bloodrage_bonus)) + Production!O78/100*prestige_offense_bonus + MAX(tech_military_offense*Techs!AH78,tech_magical_weaponry_op*Techs!AV78)</f>
        <v>0.05</v>
      </c>
      <c r="Q78" s="235">
        <f t="shared" ca="1" si="168"/>
        <v>4620</v>
      </c>
      <c r="R78" s="234">
        <f ca="1">F78*(spec_dp+spirit*DR78)+G78*(elite1_dp+woodie*CV78+sylvan*CY78+gnome*DB78+dark_elf*DD78+icekin*DG78+orc*DJ78+nox*DL78+beast*DN78+sacred*DP78+spirit*DS78+blackorc*DK78)+H78*(elite2_dp+woodie*CX78+beast*DO78+sacred*DQ78) + fh_peas_dp*MIN(Population!C78,20*Construction!BD78)+kobold*DE78</f>
        <v>7200</v>
      </c>
      <c r="S78" s="235">
        <f t="shared" ca="1" si="126"/>
        <v>10895</v>
      </c>
      <c r="T78" s="1052">
        <f ca="1">race_defense+Imps!AC78+ROUND(MIN(gt_bonus*Construction!BH78/Construction!$E78,gt_bonus_cap),4)+MAX(IF(Magic!AM78&gt;0,frenzy_bonus,IF(Magic!AQ78&gt;0,blizzard_bonus,IF(Magic!AP78&gt;0,howling_dp_bonus,IF(Magic!AI78&gt;0,ares_call_bonus)))),IF(Magic!AX78&gt;0,MIN(Construction!DF78/Construction!E78,0.2),0))</f>
        <v>0</v>
      </c>
      <c r="U78" s="1046">
        <f t="shared" ca="1" si="169"/>
        <v>7200</v>
      </c>
      <c r="V78" s="308">
        <f t="shared" ca="1" si="170"/>
        <v>10895</v>
      </c>
      <c r="W78" s="310">
        <f>Construction!E78</f>
        <v>1000</v>
      </c>
      <c r="X78" s="367"/>
      <c r="Y78" s="146">
        <f t="shared" si="181"/>
        <v>0.4</v>
      </c>
      <c r="Z78" s="166">
        <f ca="1">Z77+Population!Z77 - IF(race="Lux",AF78,SUM(AF78:AK78)) - BE78 + SUM(BF78:BL78) - Explore!AI78</f>
        <v>3695</v>
      </c>
      <c r="AA78" s="164"/>
      <c r="AB78" s="91">
        <f>(Construction!$BA78+Construction!BY78)/(Construction!$E78-Explore!S78*20)</f>
        <v>0.2</v>
      </c>
      <c r="AC78" s="629"/>
      <c r="AD78" s="799">
        <f>Rezone!J78</f>
        <v>76</v>
      </c>
      <c r="AE78" s="589">
        <f>Explore!AA78</f>
        <v>43695.124999999818</v>
      </c>
      <c r="AF78" s="356"/>
      <c r="AG78" s="348"/>
      <c r="AH78" s="348"/>
      <c r="AI78" s="348"/>
      <c r="AJ78" s="348"/>
      <c r="AK78" s="348"/>
      <c r="AL78" s="357"/>
      <c r="AN78" s="56">
        <f ca="1">Production!$H78</f>
        <v>3746336</v>
      </c>
      <c r="AO78" s="26">
        <f ca="1">Production!$L78</f>
        <v>231000</v>
      </c>
      <c r="AP78" s="26">
        <f ca="1">Production!J78</f>
        <v>274656</v>
      </c>
      <c r="AQ78" s="26">
        <f ca="1">Production!M78</f>
        <v>20000</v>
      </c>
      <c r="AR78" s="26">
        <f ca="1">Production!K78</f>
        <v>53161</v>
      </c>
      <c r="AS78" s="26">
        <f ca="1">Production!I78</f>
        <v>267143</v>
      </c>
      <c r="AT78" s="26">
        <f ca="1">Production!N78</f>
        <v>200</v>
      </c>
      <c r="AU78" s="152">
        <f t="shared" ca="1" si="127"/>
        <v>0</v>
      </c>
      <c r="AV78" s="164">
        <f t="shared" ca="1" si="128"/>
        <v>0</v>
      </c>
      <c r="AW78" s="164">
        <f t="shared" ca="1" si="171"/>
        <v>0</v>
      </c>
      <c r="AX78" s="164">
        <f t="shared" ca="1" si="172"/>
        <v>0</v>
      </c>
      <c r="AY78" s="164">
        <f t="shared" ca="1" si="173"/>
        <v>0</v>
      </c>
      <c r="AZ78" s="164">
        <f t="shared" ca="1" si="174"/>
        <v>0</v>
      </c>
      <c r="BA78" s="166">
        <f t="shared" ca="1" si="175"/>
        <v>0</v>
      </c>
      <c r="BB78" s="16">
        <v>63</v>
      </c>
      <c r="BC78" s="574">
        <f t="shared" si="176"/>
        <v>43695.124999999818</v>
      </c>
      <c r="BD78" s="148">
        <f t="shared" ca="1" si="177"/>
        <v>3695</v>
      </c>
      <c r="BE78" s="375"/>
      <c r="BF78" s="348"/>
      <c r="BG78" s="348"/>
      <c r="BH78" s="348"/>
      <c r="BI78" s="348"/>
      <c r="BJ78" s="348"/>
      <c r="BK78" s="348"/>
      <c r="BL78" s="357"/>
      <c r="BN78" s="503">
        <f>Construction!BM78/Construction!E78</f>
        <v>0</v>
      </c>
      <c r="BO78" s="171">
        <f>Construction!BD78/Construction!E78</f>
        <v>0</v>
      </c>
      <c r="BP78" s="152">
        <f>ROUNDUP((1-MIN(AB78*smithy_bonus,smithy_bonus_cap))*(1+Techs!AO78*tech_master_of_frugality)*spec_op_plat,0)</f>
        <v>165</v>
      </c>
      <c r="BQ78" s="164">
        <f>ROUNDUP(IF(race="Gnome",1,(1-MIN(AB78*smithy_bonus,smithy_bonus_cap))*(1+Techs!AO78*tech_master_of_frugality))*spec_op_ore,0)</f>
        <v>15</v>
      </c>
      <c r="BR78" s="164">
        <f t="shared" si="129"/>
        <v>0</v>
      </c>
      <c r="BS78" s="164">
        <f t="shared" si="130"/>
        <v>0</v>
      </c>
      <c r="BT78" s="164">
        <f ca="1">ROUNDUP((1-MIN(AB78*smithy_bonus,smithy_bonus_cap))*(1+Techs!AO78*tech_master_of_frugality)*spec_dp_plat,0)</f>
        <v>165</v>
      </c>
      <c r="BU78" s="164">
        <f ca="1">ROUNDUP(IF(OR(race="Gnome",race="Imperial Gnome"),1,(1-MIN(AB78*smithy_bonus,smithy_bonus_cap))*(1+Techs!AO78*tech_master_of_frugality))*spec_dp_ore,0)</f>
        <v>6</v>
      </c>
      <c r="BV78" s="164">
        <f t="shared" ca="1" si="131"/>
        <v>0</v>
      </c>
      <c r="BW78" s="164">
        <f t="shared" ca="1" si="132"/>
        <v>0</v>
      </c>
      <c r="BX78" s="164">
        <f t="shared" ca="1" si="133"/>
        <v>0</v>
      </c>
      <c r="BY78" s="164">
        <f ca="1">ROUNDUP((1-MIN(AB78*smithy_bonus,smithy_bonus_cap))*(1+Techs!AO78*tech_master_of_frugality)*elite1_plat,0)</f>
        <v>600</v>
      </c>
      <c r="BZ78" s="164">
        <f ca="1">ROUNDUP(IF(race="Gnome",1,(1-MIN(AB78*smithy_bonus,smithy_bonus_cap))*(1+Techs!AO78*tech_master_of_frugality))*elite1_ore,0)</f>
        <v>45</v>
      </c>
      <c r="CA78" s="164">
        <f t="shared" ca="1" si="134"/>
        <v>0</v>
      </c>
      <c r="CB78" s="164">
        <f t="shared" ca="1" si="135"/>
        <v>0</v>
      </c>
      <c r="CC78" s="164">
        <f t="shared" ca="1" si="136"/>
        <v>0</v>
      </c>
      <c r="CD78" s="164">
        <f t="shared" ca="1" si="137"/>
        <v>0</v>
      </c>
      <c r="CE78" s="164">
        <f t="shared" ca="1" si="138"/>
        <v>0</v>
      </c>
      <c r="CF78" s="164">
        <f ca="1">ROUNDUP((1-MIN(AB78*smithy_bonus,smithy_bonus_cap))*(1+Techs!AO78*tech_master_of_frugality)*elite2_plat,0)</f>
        <v>750</v>
      </c>
      <c r="CG78" s="164">
        <f ca="1">ROUNDUP(IF(race="Gnome",1,(1-MIN(AB78*smithy_bonus,smithy_bonus_cap))*(1+Techs!AO78*tech_master_of_frugality))*elite2_ore,0)</f>
        <v>60</v>
      </c>
      <c r="CH78" s="164">
        <f t="shared" ca="1" si="139"/>
        <v>0</v>
      </c>
      <c r="CI78" s="164">
        <f t="shared" ca="1" si="140"/>
        <v>0</v>
      </c>
      <c r="CJ78" s="164">
        <f t="shared" ca="1" si="141"/>
        <v>0</v>
      </c>
      <c r="CK78" s="164">
        <f t="shared" ca="1" si="142"/>
        <v>0</v>
      </c>
      <c r="CL78" s="164">
        <f t="shared" ca="1" si="143"/>
        <v>0</v>
      </c>
      <c r="CM78" s="164">
        <f>ROUNDUP((1+tech_spy_cost*Techs!AJ78)*spy_plat,0)</f>
        <v>500</v>
      </c>
      <c r="CN78" s="164">
        <f>ROUNDUP((1+tech_wizard_cost*Techs!AM78-MIN(ROUND(wg_wiz_cost_bonus*BN78,4),wg_wiz_cost_cap))*wizard_plat,0)</f>
        <v>500</v>
      </c>
      <c r="CO78" s="166">
        <f>ROUNDUP((1+tech_wizard_cost*Techs!AM78-MIN(ROUND(wg_wiz_cost_bonus*BN78,4),wg_wiz_cost_cap))*archmage_plat,0)</f>
        <v>1000</v>
      </c>
      <c r="CQ78" s="465">
        <f ca="1">Construction!DF78/Construction!E78</f>
        <v>0.28000000000000003</v>
      </c>
      <c r="CR78" s="466">
        <f t="shared" si="178"/>
        <v>0</v>
      </c>
      <c r="CS78" s="466">
        <f>Construction!BK78/Construction!E78</f>
        <v>0.05</v>
      </c>
      <c r="CT78" s="466">
        <f>Construction!BJ78/Construction!E78</f>
        <v>0</v>
      </c>
      <c r="CU78" s="466">
        <f>Construction!AY78/Construction!E78</f>
        <v>0</v>
      </c>
      <c r="CV78" s="481">
        <f t="shared" ca="1" si="144"/>
        <v>1.4000000000000001</v>
      </c>
      <c r="CW78" s="482">
        <f t="shared" ca="1" si="145"/>
        <v>1.4000000000000001</v>
      </c>
      <c r="CX78" s="482">
        <f t="shared" ca="1" si="146"/>
        <v>1.4000000000000001</v>
      </c>
      <c r="CY78" s="483">
        <f t="shared" ca="1" si="147"/>
        <v>1.4000000000000001</v>
      </c>
      <c r="CZ78" s="483">
        <f t="shared" si="148"/>
        <v>0.1</v>
      </c>
      <c r="DA78" s="483">
        <f t="shared" ca="1" si="149"/>
        <v>3</v>
      </c>
      <c r="DB78" s="483">
        <f t="shared" ca="1" si="150"/>
        <v>1.4000000000000001</v>
      </c>
      <c r="DC78" s="482">
        <f t="shared" si="151"/>
        <v>0</v>
      </c>
      <c r="DD78" s="847">
        <f t="shared" si="152"/>
        <v>0</v>
      </c>
      <c r="DE78" s="440">
        <f t="shared" si="179"/>
        <v>800</v>
      </c>
      <c r="DF78" s="440">
        <f t="shared" si="180"/>
        <v>0</v>
      </c>
      <c r="DG78" s="481">
        <f t="shared" ca="1" si="153"/>
        <v>1.4000000000000001</v>
      </c>
      <c r="DH78" s="450">
        <f t="shared" si="154"/>
        <v>9.0000000000000011E-2</v>
      </c>
      <c r="DI78" s="450">
        <f>MIN(valkyrja_cap,Production!O78/valkyrja_bonus)</f>
        <v>1</v>
      </c>
      <c r="DJ78" s="847">
        <f>MIN(voodoo_magi_cap,Production!O78/voodoo_magi_bonus)</f>
        <v>0.83333333333333337</v>
      </c>
      <c r="DK78" s="847">
        <f>MIN(warlock_cap,Production!O78/warlock_bonus)</f>
        <v>1.25</v>
      </c>
      <c r="DL78" s="847">
        <f ca="1">MIN(nox_nightshade_cap,Construction!DF78/Construction!E78/nox_nightshade_swamp_bonus)</f>
        <v>2.8000000000000003</v>
      </c>
      <c r="DM78" s="482">
        <f t="shared" si="155"/>
        <v>0</v>
      </c>
      <c r="DN78" s="483">
        <f t="shared" ca="1" si="156"/>
        <v>2.8000000000000003</v>
      </c>
      <c r="DO78" s="483">
        <f t="shared" ca="1" si="157"/>
        <v>2.8000000000000003</v>
      </c>
      <c r="DP78" s="483">
        <f t="shared" si="158"/>
        <v>1</v>
      </c>
      <c r="DQ78" s="482">
        <f t="shared" si="159"/>
        <v>0</v>
      </c>
      <c r="DR78" s="483">
        <f t="shared" si="160"/>
        <v>0</v>
      </c>
      <c r="DS78" s="482">
        <f t="shared" si="161"/>
        <v>0</v>
      </c>
      <c r="DT78" s="483">
        <f t="shared" si="162"/>
        <v>0.1</v>
      </c>
      <c r="DU78"/>
      <c r="DV78"/>
      <c r="DX78" s="487">
        <f ca="1">MIN(6,CV78+Races!$F$19)*1.8 +  IF(CV78+Races!$F$19&gt;6,(CV78+Races!$F$19-6)*0.2,0) - Races!$N$19</f>
        <v>2.5200000000000005</v>
      </c>
      <c r="DY78" s="488">
        <f ca="1">1.8 * MIN(MAX(CW78+Races!$E$20,CX78+Races!$F$20),6)  +  0.45 * MIN(MIN(CW78+Races!$E$20,CX78+Races!$F$20),6)  +  0.2 * ( MAX(CW78+Races!$E$20-6,0) + MAX(CX78+Races!$F$20-6,0) )  -  Races!$N$20</f>
        <v>3.1500000000000012</v>
      </c>
      <c r="DZ78" s="57">
        <f t="shared" ca="1" si="163"/>
        <v>3780.0000000000009</v>
      </c>
      <c r="EA78" s="666">
        <f ca="1">MIN(6,CY78+Races!$F$35)*1.8 +  IF(CY78+Races!$F$35&gt;6,(CY78+Races!$F$35-6)*0.2,0) - Races!$N$19</f>
        <v>0.72000000000000064</v>
      </c>
      <c r="EB78" s="57">
        <f t="shared" ca="1" si="164"/>
        <v>0</v>
      </c>
      <c r="EC78" s="666">
        <f ca="1">1.8 * MIN(MAX(Races!$E$27,DB78+Races!$F$27),6)  +  0.45 * MIN(MIN(Races!$E$27,DB78+Races!$F$27),6)  +  0.2 * ( MAX(Races!$E$27-6,0) + MAX(DB78+Races!$F$27-6,0) )  -  Races!$N$20</f>
        <v>4.7700000000000005</v>
      </c>
      <c r="ED78" s="57">
        <f t="shared" ca="1" si="165"/>
        <v>0</v>
      </c>
      <c r="EE78" s="666">
        <f>1.8 * MIN(MAX(DC78+Races!$E$47,DD78+Races!$F$47),6)  +  0.45 * MIN(MIN(DC78+Races!$E$47,DD78+Races!$F$47),6)  +  0.2 * ( MAX(DC78+Races!$E$47-6,0) + MAX(DD78+Races!$F$47-6,0) )  -  Races!$N$47</f>
        <v>0</v>
      </c>
      <c r="EF78" s="57">
        <f t="shared" si="166"/>
        <v>0</v>
      </c>
      <c r="EG78" s="666">
        <f ca="1">1.8 * MIN(MAX(DG78+Races!$F$71,Races!$E$71),6)  +  0.45 * MIN(MIN(DG78+Races!$F$71,Races!$E$71),6)  +  0.2 * ( MAX(DG78+Races!$F$71-6,0) + MAX(Races!$E$71-6,0) )  -  Races!$N$71</f>
        <v>2.5200000000000014</v>
      </c>
      <c r="EH78" s="666">
        <f>1.8 * MIN(MAX(DH78+Races!$E$71,Races!$F$71),6)  +  0.45 * MIN(MIN(DH78+Races!$E$71,Races!$F$71),6)  +  0.2 * ( MAX(DH78+Races!$E$71-6,0) + MAX(Races!$F$71-6,0) )  -  Races!$N$71</f>
        <v>0.16200000000000081</v>
      </c>
      <c r="EI78" s="57">
        <f t="shared" ca="1" si="167"/>
        <v>2584.8000000000015</v>
      </c>
      <c r="EJ78" s="57"/>
      <c r="EK78" s="57"/>
      <c r="EL78" s="57"/>
      <c r="EM78" s="57">
        <f ca="1">Overview!$L$22*E78+Overview!$L$23*F78+Overview!$L$24*G78+Overview!$L$25*H78+Overview!$L$26*I78+Overview!$L$27*J78+Overview!$L$28*K78+Construction!E78*20+Construction!B78*5 + DZ78*$DV$4+EB78*$DV$5+ED78*$DV$6+EF78*$DV$7+EI78*$DV$9</f>
        <v>39460</v>
      </c>
      <c r="EO78" s="738">
        <f>(J78+2*K78)/Construction!E78</f>
        <v>0.1</v>
      </c>
      <c r="EP78" s="734">
        <f ca="1">EO78*(1+race_wizard_strength+tech_magical_weaponry_wiz*Techs!AV150)</f>
        <v>0.1</v>
      </c>
      <c r="EQ78" s="16">
        <f>(I78+halfer*H78/3)/Construction!E78</f>
        <v>0.1</v>
      </c>
    </row>
    <row r="79" spans="1:147" s="16" customFormat="1">
      <c r="A79" s="629">
        <f>Rezone!J79</f>
        <v>77</v>
      </c>
      <c r="B79" s="152">
        <f ca="1">SUM(E79:K79)+SUM(AF71:AG79)+SUM(AH68:AL79)+Z79+Explore!AL79</f>
        <v>5295</v>
      </c>
      <c r="C79" s="97">
        <f ca="1">Population!G79</f>
        <v>0.57305194805194803</v>
      </c>
      <c r="E79" s="156">
        <f t="shared" ref="E79:E110" si="182">E78 - BF79 + AF70 - IF(race="Lux",AG79+AH79,0)</f>
        <v>0</v>
      </c>
      <c r="F79" s="170">
        <f t="shared" ref="F79:F110" si="183">F78 - BG79 + IF(race="Lux",AG67,AG70) - IF(race="Lux",AI79,0)</f>
        <v>0</v>
      </c>
      <c r="G79" s="170">
        <f t="shared" ref="G79:G110" si="184">G78 + AH67 - BH79 - IF(race="Lux",AI79,0)</f>
        <v>1000</v>
      </c>
      <c r="H79" s="170">
        <f t="shared" ref="H79:H110" si="185">H78 + AI67 - BI79</f>
        <v>400</v>
      </c>
      <c r="I79" s="170">
        <f t="shared" ref="I79:I110" si="186">I78 + AJ67 - BJ79</f>
        <v>100</v>
      </c>
      <c r="J79" s="170">
        <f t="shared" ref="J79:J110" si="187">J78 + AK67 - AL79 - BK79</f>
        <v>100</v>
      </c>
      <c r="K79" s="157">
        <f t="shared" ref="K79:K110" si="188">K78 + AL67 - BL79</f>
        <v>0</v>
      </c>
      <c r="M79" s="64">
        <f ca="1">Production!G79</f>
        <v>39460</v>
      </c>
      <c r="O79" s="234">
        <f t="shared" ca="1" si="125"/>
        <v>4400</v>
      </c>
      <c r="P79" s="455">
        <f ca="1">race_offense+Imps!AB79+ROUND(MIN(gn_bonus*Construction!BF79/Construction!$E79,gn_bonus_cap),4)+MAX(IF(Magic!$AN79&gt;0,warsong_bonus),IF(Magic!AP79&gt;0,howling_op_bonus),IF(Magic!AS79&gt;0,nightfall_bonus),IF(Magic!AT79&gt;0,crusade_bonus),IF(Magic!AU79&gt;0,killingrage_bonus),IF(Magic!AV79&gt;0,bloodrage_bonus)) + Production!O79/100*prestige_offense_bonus + MAX(tech_military_offense*Techs!AH79,tech_magical_weaponry_op*Techs!AV79)</f>
        <v>0.05</v>
      </c>
      <c r="Q79" s="235">
        <f t="shared" ca="1" si="168"/>
        <v>4620</v>
      </c>
      <c r="R79" s="234">
        <f ca="1">F79*(spec_dp+spirit*DR79)+G79*(elite1_dp+woodie*CV79+sylvan*CY79+gnome*DB79+dark_elf*DD79+icekin*DG79+orc*DJ79+nox*DL79+beast*DN79+sacred*DP79+spirit*DS79+blackorc*DK79)+H79*(elite2_dp+woodie*CX79+beast*DO79+sacred*DQ79) + fh_peas_dp*MIN(Population!C79,20*Construction!BD79)+kobold*DE79</f>
        <v>7200</v>
      </c>
      <c r="S79" s="235">
        <f t="shared" ca="1" si="126"/>
        <v>10895</v>
      </c>
      <c r="T79" s="1052">
        <f ca="1">race_defense+Imps!AC79+ROUND(MIN(gt_bonus*Construction!BH79/Construction!$E79,gt_bonus_cap),4)+MAX(IF(Magic!AM79&gt;0,frenzy_bonus,IF(Magic!AQ79&gt;0,blizzard_bonus,IF(Magic!AP79&gt;0,howling_dp_bonus,IF(Magic!AI79&gt;0,ares_call_bonus)))),IF(Magic!AX79&gt;0,MIN(Construction!DF79/Construction!E79,0.2),0))</f>
        <v>0</v>
      </c>
      <c r="U79" s="1046">
        <f t="shared" ca="1" si="169"/>
        <v>7200</v>
      </c>
      <c r="V79" s="308">
        <f t="shared" ca="1" si="170"/>
        <v>10895</v>
      </c>
      <c r="W79" s="310">
        <f>Construction!E79</f>
        <v>1000</v>
      </c>
      <c r="X79" s="367"/>
      <c r="Y79" s="146">
        <f t="shared" si="181"/>
        <v>0.4</v>
      </c>
      <c r="Z79" s="166">
        <f ca="1">Z78+Population!Z78 - IF(race="Lux",AF79,SUM(AF79:AK79)) - BE79 + SUM(BF79:BL79) - Explore!AI79</f>
        <v>3695</v>
      </c>
      <c r="AA79" s="164"/>
      <c r="AB79" s="91">
        <f>(Construction!$BA79+Construction!BY79)/(Construction!$E79-Explore!S79*20)</f>
        <v>0.2</v>
      </c>
      <c r="AC79" s="629"/>
      <c r="AD79" s="799">
        <f>Rezone!J79</f>
        <v>77</v>
      </c>
      <c r="AE79" s="589">
        <f>Explore!AA79</f>
        <v>43695.166666666482</v>
      </c>
      <c r="AF79" s="356"/>
      <c r="AG79" s="348"/>
      <c r="AH79" s="348"/>
      <c r="AI79" s="348"/>
      <c r="AJ79" s="348"/>
      <c r="AK79" s="348"/>
      <c r="AL79" s="357"/>
      <c r="AN79" s="56">
        <f ca="1">Production!$H79</f>
        <v>3756987</v>
      </c>
      <c r="AO79" s="26">
        <f ca="1">Production!$L79</f>
        <v>231000</v>
      </c>
      <c r="AP79" s="26">
        <f ca="1">Production!J79</f>
        <v>274409</v>
      </c>
      <c r="AQ79" s="26">
        <f ca="1">Production!M79</f>
        <v>20000</v>
      </c>
      <c r="AR79" s="26">
        <f ca="1">Production!K79</f>
        <v>53348</v>
      </c>
      <c r="AS79" s="26">
        <f ca="1">Production!I79</f>
        <v>269202</v>
      </c>
      <c r="AT79" s="26">
        <f ca="1">Production!N79</f>
        <v>200</v>
      </c>
      <c r="AU79" s="152">
        <f t="shared" ca="1" si="127"/>
        <v>0</v>
      </c>
      <c r="AV79" s="164">
        <f t="shared" ca="1" si="128"/>
        <v>0</v>
      </c>
      <c r="AW79" s="164">
        <f t="shared" ca="1" si="171"/>
        <v>0</v>
      </c>
      <c r="AX79" s="164">
        <f t="shared" ca="1" si="172"/>
        <v>0</v>
      </c>
      <c r="AY79" s="164">
        <f t="shared" ca="1" si="173"/>
        <v>0</v>
      </c>
      <c r="AZ79" s="164">
        <f t="shared" ca="1" si="174"/>
        <v>0</v>
      </c>
      <c r="BA79" s="166">
        <f t="shared" ca="1" si="175"/>
        <v>0</v>
      </c>
      <c r="BB79" s="16">
        <v>64</v>
      </c>
      <c r="BC79" s="574">
        <f t="shared" si="176"/>
        <v>43695.166666666482</v>
      </c>
      <c r="BD79" s="148">
        <f t="shared" ca="1" si="177"/>
        <v>3695</v>
      </c>
      <c r="BE79" s="375"/>
      <c r="BF79" s="348"/>
      <c r="BG79" s="348"/>
      <c r="BH79" s="348"/>
      <c r="BI79" s="348"/>
      <c r="BJ79" s="348"/>
      <c r="BK79" s="348"/>
      <c r="BL79" s="357"/>
      <c r="BN79" s="503">
        <f>Construction!BM79/Construction!E79</f>
        <v>0</v>
      </c>
      <c r="BO79" s="171">
        <f>Construction!BD79/Construction!E79</f>
        <v>0</v>
      </c>
      <c r="BP79" s="152">
        <f>ROUNDUP((1-MIN(AB79*smithy_bonus,smithy_bonus_cap))*(1+Techs!AO79*tech_master_of_frugality)*spec_op_plat,0)</f>
        <v>165</v>
      </c>
      <c r="BQ79" s="164">
        <f>ROUNDUP(IF(race="Gnome",1,(1-MIN(AB79*smithy_bonus,smithy_bonus_cap))*(1+Techs!AO79*tech_master_of_frugality))*spec_op_ore,0)</f>
        <v>15</v>
      </c>
      <c r="BR79" s="164">
        <f t="shared" si="129"/>
        <v>0</v>
      </c>
      <c r="BS79" s="164">
        <f t="shared" si="130"/>
        <v>0</v>
      </c>
      <c r="BT79" s="164">
        <f ca="1">ROUNDUP((1-MIN(AB79*smithy_bonus,smithy_bonus_cap))*(1+Techs!AO79*tech_master_of_frugality)*spec_dp_plat,0)</f>
        <v>165</v>
      </c>
      <c r="BU79" s="164">
        <f ca="1">ROUNDUP(IF(OR(race="Gnome",race="Imperial Gnome"),1,(1-MIN(AB79*smithy_bonus,smithy_bonus_cap))*(1+Techs!AO79*tech_master_of_frugality))*spec_dp_ore,0)</f>
        <v>6</v>
      </c>
      <c r="BV79" s="164">
        <f t="shared" ca="1" si="131"/>
        <v>0</v>
      </c>
      <c r="BW79" s="164">
        <f t="shared" ca="1" si="132"/>
        <v>0</v>
      </c>
      <c r="BX79" s="164">
        <f t="shared" ca="1" si="133"/>
        <v>0</v>
      </c>
      <c r="BY79" s="164">
        <f ca="1">ROUNDUP((1-MIN(AB79*smithy_bonus,smithy_bonus_cap))*(1+Techs!AO79*tech_master_of_frugality)*elite1_plat,0)</f>
        <v>600</v>
      </c>
      <c r="BZ79" s="164">
        <f ca="1">ROUNDUP(IF(race="Gnome",1,(1-MIN(AB79*smithy_bonus,smithy_bonus_cap))*(1+Techs!AO79*tech_master_of_frugality))*elite1_ore,0)</f>
        <v>45</v>
      </c>
      <c r="CA79" s="164">
        <f t="shared" ca="1" si="134"/>
        <v>0</v>
      </c>
      <c r="CB79" s="164">
        <f t="shared" ca="1" si="135"/>
        <v>0</v>
      </c>
      <c r="CC79" s="164">
        <f t="shared" ca="1" si="136"/>
        <v>0</v>
      </c>
      <c r="CD79" s="164">
        <f t="shared" ca="1" si="137"/>
        <v>0</v>
      </c>
      <c r="CE79" s="164">
        <f t="shared" ca="1" si="138"/>
        <v>0</v>
      </c>
      <c r="CF79" s="164">
        <f ca="1">ROUNDUP((1-MIN(AB79*smithy_bonus,smithy_bonus_cap))*(1+Techs!AO79*tech_master_of_frugality)*elite2_plat,0)</f>
        <v>750</v>
      </c>
      <c r="CG79" s="164">
        <f ca="1">ROUNDUP(IF(race="Gnome",1,(1-MIN(AB79*smithy_bonus,smithy_bonus_cap))*(1+Techs!AO79*tech_master_of_frugality))*elite2_ore,0)</f>
        <v>60</v>
      </c>
      <c r="CH79" s="164">
        <f t="shared" ca="1" si="139"/>
        <v>0</v>
      </c>
      <c r="CI79" s="164">
        <f t="shared" ca="1" si="140"/>
        <v>0</v>
      </c>
      <c r="CJ79" s="164">
        <f t="shared" ca="1" si="141"/>
        <v>0</v>
      </c>
      <c r="CK79" s="164">
        <f t="shared" ca="1" si="142"/>
        <v>0</v>
      </c>
      <c r="CL79" s="164">
        <f t="shared" ca="1" si="143"/>
        <v>0</v>
      </c>
      <c r="CM79" s="164">
        <f>ROUNDUP((1+tech_spy_cost*Techs!AJ79)*spy_plat,0)</f>
        <v>500</v>
      </c>
      <c r="CN79" s="164">
        <f>ROUNDUP((1+tech_wizard_cost*Techs!AM79-MIN(ROUND(wg_wiz_cost_bonus*BN79,4),wg_wiz_cost_cap))*wizard_plat,0)</f>
        <v>500</v>
      </c>
      <c r="CO79" s="166">
        <f>ROUNDUP((1+tech_wizard_cost*Techs!AM79-MIN(ROUND(wg_wiz_cost_bonus*BN79,4),wg_wiz_cost_cap))*archmage_plat,0)</f>
        <v>1000</v>
      </c>
      <c r="CQ79" s="465">
        <f ca="1">Construction!DF79/Construction!E79</f>
        <v>0.28000000000000003</v>
      </c>
      <c r="CR79" s="466">
        <f t="shared" si="178"/>
        <v>0</v>
      </c>
      <c r="CS79" s="466">
        <f>Construction!BK79/Construction!E79</f>
        <v>0.05</v>
      </c>
      <c r="CT79" s="466">
        <f>Construction!BJ79/Construction!E79</f>
        <v>0</v>
      </c>
      <c r="CU79" s="466">
        <f>Construction!AY79/Construction!E79</f>
        <v>0</v>
      </c>
      <c r="CV79" s="481">
        <f t="shared" ca="1" si="144"/>
        <v>1.4000000000000001</v>
      </c>
      <c r="CW79" s="482">
        <f t="shared" ca="1" si="145"/>
        <v>1.4000000000000001</v>
      </c>
      <c r="CX79" s="482">
        <f t="shared" ca="1" si="146"/>
        <v>1.4000000000000001</v>
      </c>
      <c r="CY79" s="483">
        <f t="shared" ca="1" si="147"/>
        <v>1.4000000000000001</v>
      </c>
      <c r="CZ79" s="483">
        <f t="shared" si="148"/>
        <v>0.1</v>
      </c>
      <c r="DA79" s="483">
        <f t="shared" ca="1" si="149"/>
        <v>3</v>
      </c>
      <c r="DB79" s="483">
        <f t="shared" ca="1" si="150"/>
        <v>1.4000000000000001</v>
      </c>
      <c r="DC79" s="482">
        <f t="shared" si="151"/>
        <v>0</v>
      </c>
      <c r="DD79" s="847">
        <f t="shared" si="152"/>
        <v>0</v>
      </c>
      <c r="DE79" s="440">
        <f t="shared" si="179"/>
        <v>800</v>
      </c>
      <c r="DF79" s="440">
        <f t="shared" si="180"/>
        <v>0</v>
      </c>
      <c r="DG79" s="481">
        <f t="shared" ca="1" si="153"/>
        <v>1.4000000000000001</v>
      </c>
      <c r="DH79" s="450">
        <f t="shared" si="154"/>
        <v>9.0000000000000011E-2</v>
      </c>
      <c r="DI79" s="450">
        <f>MIN(valkyrja_cap,Production!O79/valkyrja_bonus)</f>
        <v>1</v>
      </c>
      <c r="DJ79" s="847">
        <f>MIN(voodoo_magi_cap,Production!O79/voodoo_magi_bonus)</f>
        <v>0.83333333333333337</v>
      </c>
      <c r="DK79" s="847">
        <f>MIN(warlock_cap,Production!O79/warlock_bonus)</f>
        <v>1.25</v>
      </c>
      <c r="DL79" s="847">
        <f ca="1">MIN(nox_nightshade_cap,Construction!DF79/Construction!E79/nox_nightshade_swamp_bonus)</f>
        <v>2.8000000000000003</v>
      </c>
      <c r="DM79" s="482">
        <f t="shared" si="155"/>
        <v>0</v>
      </c>
      <c r="DN79" s="483">
        <f t="shared" ca="1" si="156"/>
        <v>2.8000000000000003</v>
      </c>
      <c r="DO79" s="483">
        <f t="shared" ca="1" si="157"/>
        <v>2.8000000000000003</v>
      </c>
      <c r="DP79" s="483">
        <f t="shared" si="158"/>
        <v>1</v>
      </c>
      <c r="DQ79" s="482">
        <f t="shared" si="159"/>
        <v>0</v>
      </c>
      <c r="DR79" s="483">
        <f t="shared" si="160"/>
        <v>0</v>
      </c>
      <c r="DS79" s="482">
        <f t="shared" si="161"/>
        <v>0</v>
      </c>
      <c r="DT79" s="483">
        <f t="shared" si="162"/>
        <v>0.1</v>
      </c>
      <c r="DU79"/>
      <c r="DV79"/>
      <c r="DX79" s="487">
        <f ca="1">MIN(6,CV79+Races!$F$19)*1.8 +  IF(CV79+Races!$F$19&gt;6,(CV79+Races!$F$19-6)*0.2,0) - Races!$N$19</f>
        <v>2.5200000000000005</v>
      </c>
      <c r="DY79" s="488">
        <f ca="1">1.8 * MIN(MAX(CW79+Races!$E$20,CX79+Races!$F$20),6)  +  0.45 * MIN(MIN(CW79+Races!$E$20,CX79+Races!$F$20),6)  +  0.2 * ( MAX(CW79+Races!$E$20-6,0) + MAX(CX79+Races!$F$20-6,0) )  -  Races!$N$20</f>
        <v>3.1500000000000012</v>
      </c>
      <c r="DZ79" s="57">
        <f t="shared" ca="1" si="163"/>
        <v>3780.0000000000009</v>
      </c>
      <c r="EA79" s="666">
        <f ca="1">MIN(6,CY79+Races!$F$35)*1.8 +  IF(CY79+Races!$F$35&gt;6,(CY79+Races!$F$35-6)*0.2,0) - Races!$N$19</f>
        <v>0.72000000000000064</v>
      </c>
      <c r="EB79" s="57">
        <f t="shared" ca="1" si="164"/>
        <v>0</v>
      </c>
      <c r="EC79" s="666">
        <f ca="1">1.8 * MIN(MAX(Races!$E$27,DB79+Races!$F$27),6)  +  0.45 * MIN(MIN(Races!$E$27,DB79+Races!$F$27),6)  +  0.2 * ( MAX(Races!$E$27-6,0) + MAX(DB79+Races!$F$27-6,0) )  -  Races!$N$20</f>
        <v>4.7700000000000005</v>
      </c>
      <c r="ED79" s="57">
        <f t="shared" ca="1" si="165"/>
        <v>0</v>
      </c>
      <c r="EE79" s="666">
        <f>1.8 * MIN(MAX(DC79+Races!$E$47,DD79+Races!$F$47),6)  +  0.45 * MIN(MIN(DC79+Races!$E$47,DD79+Races!$F$47),6)  +  0.2 * ( MAX(DC79+Races!$E$47-6,0) + MAX(DD79+Races!$F$47-6,0) )  -  Races!$N$47</f>
        <v>0</v>
      </c>
      <c r="EF79" s="57">
        <f t="shared" si="166"/>
        <v>0</v>
      </c>
      <c r="EG79" s="666">
        <f ca="1">1.8 * MIN(MAX(DG79+Races!$F$71,Races!$E$71),6)  +  0.45 * MIN(MIN(DG79+Races!$F$71,Races!$E$71),6)  +  0.2 * ( MAX(DG79+Races!$F$71-6,0) + MAX(Races!$E$71-6,0) )  -  Races!$N$71</f>
        <v>2.5200000000000014</v>
      </c>
      <c r="EH79" s="666">
        <f>1.8 * MIN(MAX(DH79+Races!$E$71,Races!$F$71),6)  +  0.45 * MIN(MIN(DH79+Races!$E$71,Races!$F$71),6)  +  0.2 * ( MAX(DH79+Races!$E$71-6,0) + MAX(Races!$F$71-6,0) )  -  Races!$N$71</f>
        <v>0.16200000000000081</v>
      </c>
      <c r="EI79" s="57">
        <f t="shared" ca="1" si="167"/>
        <v>2584.8000000000015</v>
      </c>
      <c r="EJ79" s="57"/>
      <c r="EK79" s="57"/>
      <c r="EL79" s="57"/>
      <c r="EM79" s="57">
        <f ca="1">Overview!$L$22*E79+Overview!$L$23*F79+Overview!$L$24*G79+Overview!$L$25*H79+Overview!$L$26*I79+Overview!$L$27*J79+Overview!$L$28*K79+Construction!E79*20+Construction!B79*5 + DZ79*$DV$4+EB79*$DV$5+ED79*$DV$6+EF79*$DV$7+EI79*$DV$9</f>
        <v>39460</v>
      </c>
      <c r="EO79" s="738">
        <f>(J79+2*K79)/Construction!E79</f>
        <v>0.1</v>
      </c>
      <c r="EP79" s="734">
        <f ca="1">EO79*(1+race_wizard_strength+tech_magical_weaponry_wiz*Techs!AV151)</f>
        <v>0.1</v>
      </c>
      <c r="EQ79" s="16">
        <f>(I79+halfer*H79/3)/Construction!E79</f>
        <v>0.1</v>
      </c>
    </row>
    <row r="80" spans="1:147" s="16" customFormat="1">
      <c r="A80" s="629">
        <f>Rezone!J80</f>
        <v>78</v>
      </c>
      <c r="B80" s="152">
        <f ca="1">SUM(E80:K80)+SUM(AF72:AG80)+SUM(AH69:AL80)+Z80+Explore!AL80</f>
        <v>5295</v>
      </c>
      <c r="C80" s="97">
        <f ca="1">Population!G80</f>
        <v>0.57305194805194803</v>
      </c>
      <c r="E80" s="156">
        <f t="shared" si="182"/>
        <v>0</v>
      </c>
      <c r="F80" s="170">
        <f t="shared" si="183"/>
        <v>0</v>
      </c>
      <c r="G80" s="170">
        <f t="shared" si="184"/>
        <v>1000</v>
      </c>
      <c r="H80" s="170">
        <f t="shared" si="185"/>
        <v>400</v>
      </c>
      <c r="I80" s="170">
        <f t="shared" si="186"/>
        <v>100</v>
      </c>
      <c r="J80" s="170">
        <f t="shared" si="187"/>
        <v>100</v>
      </c>
      <c r="K80" s="157">
        <f t="shared" si="188"/>
        <v>0</v>
      </c>
      <c r="M80" s="64">
        <f ca="1">Production!G80</f>
        <v>39460</v>
      </c>
      <c r="O80" s="234">
        <f t="shared" ca="1" si="125"/>
        <v>4400</v>
      </c>
      <c r="P80" s="455">
        <f ca="1">race_offense+Imps!AB80+ROUND(MIN(gn_bonus*Construction!BF80/Construction!$E80,gn_bonus_cap),4)+MAX(IF(Magic!$AN80&gt;0,warsong_bonus),IF(Magic!AP80&gt;0,howling_op_bonus),IF(Magic!AS80&gt;0,nightfall_bonus),IF(Magic!AT80&gt;0,crusade_bonus),IF(Magic!AU80&gt;0,killingrage_bonus),IF(Magic!AV80&gt;0,bloodrage_bonus)) + Production!O80/100*prestige_offense_bonus + MAX(tech_military_offense*Techs!AH80,tech_magical_weaponry_op*Techs!AV80)</f>
        <v>0.05</v>
      </c>
      <c r="Q80" s="235">
        <f t="shared" ca="1" si="168"/>
        <v>4620</v>
      </c>
      <c r="R80" s="234">
        <f ca="1">F80*(spec_dp+spirit*DR80)+G80*(elite1_dp+woodie*CV80+sylvan*CY80+gnome*DB80+dark_elf*DD80+icekin*DG80+orc*DJ80+nox*DL80+beast*DN80+sacred*DP80+spirit*DS80+blackorc*DK80)+H80*(elite2_dp+woodie*CX80+beast*DO80+sacred*DQ80) + fh_peas_dp*MIN(Population!C80,20*Construction!BD80)+kobold*DE80</f>
        <v>7200</v>
      </c>
      <c r="S80" s="235">
        <f t="shared" ca="1" si="126"/>
        <v>10895</v>
      </c>
      <c r="T80" s="1052">
        <f ca="1">race_defense+Imps!AC80+ROUND(MIN(gt_bonus*Construction!BH80/Construction!$E80,gt_bonus_cap),4)+MAX(IF(Magic!AM80&gt;0,frenzy_bonus,IF(Magic!AQ80&gt;0,blizzard_bonus,IF(Magic!AP80&gt;0,howling_dp_bonus,IF(Magic!AI80&gt;0,ares_call_bonus)))),IF(Magic!AX80&gt;0,MIN(Construction!DF80/Construction!E80,0.2),0))</f>
        <v>0</v>
      </c>
      <c r="U80" s="1046">
        <f t="shared" ca="1" si="169"/>
        <v>7200</v>
      </c>
      <c r="V80" s="308">
        <f t="shared" ca="1" si="170"/>
        <v>10895</v>
      </c>
      <c r="W80" s="310">
        <f>Construction!E80</f>
        <v>1000</v>
      </c>
      <c r="X80" s="367"/>
      <c r="Y80" s="146">
        <f t="shared" si="181"/>
        <v>0.4</v>
      </c>
      <c r="Z80" s="166">
        <f ca="1">Z79+Population!Z79 - IF(race="Lux",AF80,SUM(AF80:AK80)) - BE80 + SUM(BF80:BL80) - Explore!AI80</f>
        <v>3695</v>
      </c>
      <c r="AA80" s="164"/>
      <c r="AB80" s="91">
        <f>(Construction!$BA80+Construction!BY80)/(Construction!$E80-Explore!S80*20)</f>
        <v>0.2</v>
      </c>
      <c r="AC80" s="629"/>
      <c r="AD80" s="799">
        <f>Rezone!J80</f>
        <v>78</v>
      </c>
      <c r="AE80" s="589">
        <f>Explore!AA80</f>
        <v>43695.208333333147</v>
      </c>
      <c r="AF80" s="356"/>
      <c r="AG80" s="348"/>
      <c r="AH80" s="348"/>
      <c r="AI80" s="348"/>
      <c r="AJ80" s="348"/>
      <c r="AK80" s="348"/>
      <c r="AL80" s="357"/>
      <c r="AN80" s="56">
        <f ca="1">Production!$H80</f>
        <v>3767638</v>
      </c>
      <c r="AO80" s="26">
        <f ca="1">Production!$L80</f>
        <v>231000</v>
      </c>
      <c r="AP80" s="26">
        <f ca="1">Production!J80</f>
        <v>274165</v>
      </c>
      <c r="AQ80" s="26">
        <f ca="1">Production!M80</f>
        <v>20000</v>
      </c>
      <c r="AR80" s="26">
        <f ca="1">Production!K80</f>
        <v>53531</v>
      </c>
      <c r="AS80" s="26">
        <f ca="1">Production!I80</f>
        <v>271240</v>
      </c>
      <c r="AT80" s="26">
        <f ca="1">Production!N80</f>
        <v>200</v>
      </c>
      <c r="AU80" s="152">
        <f t="shared" ca="1" si="127"/>
        <v>0</v>
      </c>
      <c r="AV80" s="164">
        <f t="shared" ca="1" si="128"/>
        <v>0</v>
      </c>
      <c r="AW80" s="164">
        <f t="shared" ca="1" si="171"/>
        <v>0</v>
      </c>
      <c r="AX80" s="164">
        <f t="shared" ca="1" si="172"/>
        <v>0</v>
      </c>
      <c r="AY80" s="164">
        <f t="shared" ca="1" si="173"/>
        <v>0</v>
      </c>
      <c r="AZ80" s="164">
        <f t="shared" ca="1" si="174"/>
        <v>0</v>
      </c>
      <c r="BA80" s="166">
        <f t="shared" ca="1" si="175"/>
        <v>0</v>
      </c>
      <c r="BB80" s="16">
        <v>65</v>
      </c>
      <c r="BC80" s="574">
        <f t="shared" si="176"/>
        <v>43695.208333333147</v>
      </c>
      <c r="BD80" s="148">
        <f t="shared" ca="1" si="177"/>
        <v>3695</v>
      </c>
      <c r="BE80" s="375"/>
      <c r="BF80" s="348"/>
      <c r="BG80" s="348"/>
      <c r="BH80" s="348"/>
      <c r="BI80" s="348"/>
      <c r="BJ80" s="348"/>
      <c r="BK80" s="348"/>
      <c r="BL80" s="357"/>
      <c r="BN80" s="503">
        <f>Construction!BM80/Construction!E80</f>
        <v>0</v>
      </c>
      <c r="BO80" s="171">
        <f>Construction!BD80/Construction!E80</f>
        <v>0</v>
      </c>
      <c r="BP80" s="152">
        <f>ROUNDUP((1-MIN(AB80*smithy_bonus,smithy_bonus_cap))*(1+Techs!AO80*tech_master_of_frugality)*spec_op_plat,0)</f>
        <v>165</v>
      </c>
      <c r="BQ80" s="164">
        <f>ROUNDUP(IF(race="Gnome",1,(1-MIN(AB80*smithy_bonus,smithy_bonus_cap))*(1+Techs!AO80*tech_master_of_frugality))*spec_op_ore,0)</f>
        <v>15</v>
      </c>
      <c r="BR80" s="164">
        <f t="shared" si="129"/>
        <v>0</v>
      </c>
      <c r="BS80" s="164">
        <f t="shared" si="130"/>
        <v>0</v>
      </c>
      <c r="BT80" s="164">
        <f ca="1">ROUNDUP((1-MIN(AB80*smithy_bonus,smithy_bonus_cap))*(1+Techs!AO80*tech_master_of_frugality)*spec_dp_plat,0)</f>
        <v>165</v>
      </c>
      <c r="BU80" s="164">
        <f ca="1">ROUNDUP(IF(OR(race="Gnome",race="Imperial Gnome"),1,(1-MIN(AB80*smithy_bonus,smithy_bonus_cap))*(1+Techs!AO80*tech_master_of_frugality))*spec_dp_ore,0)</f>
        <v>6</v>
      </c>
      <c r="BV80" s="164">
        <f t="shared" ca="1" si="131"/>
        <v>0</v>
      </c>
      <c r="BW80" s="164">
        <f t="shared" ca="1" si="132"/>
        <v>0</v>
      </c>
      <c r="BX80" s="164">
        <f t="shared" ca="1" si="133"/>
        <v>0</v>
      </c>
      <c r="BY80" s="164">
        <f ca="1">ROUNDUP((1-MIN(AB80*smithy_bonus,smithy_bonus_cap))*(1+Techs!AO80*tech_master_of_frugality)*elite1_plat,0)</f>
        <v>600</v>
      </c>
      <c r="BZ80" s="164">
        <f ca="1">ROUNDUP(IF(race="Gnome",1,(1-MIN(AB80*smithy_bonus,smithy_bonus_cap))*(1+Techs!AO80*tech_master_of_frugality))*elite1_ore,0)</f>
        <v>45</v>
      </c>
      <c r="CA80" s="164">
        <f t="shared" ca="1" si="134"/>
        <v>0</v>
      </c>
      <c r="CB80" s="164">
        <f t="shared" ca="1" si="135"/>
        <v>0</v>
      </c>
      <c r="CC80" s="164">
        <f t="shared" ca="1" si="136"/>
        <v>0</v>
      </c>
      <c r="CD80" s="164">
        <f t="shared" ca="1" si="137"/>
        <v>0</v>
      </c>
      <c r="CE80" s="164">
        <f t="shared" ca="1" si="138"/>
        <v>0</v>
      </c>
      <c r="CF80" s="164">
        <f ca="1">ROUNDUP((1-MIN(AB80*smithy_bonus,smithy_bonus_cap))*(1+Techs!AO80*tech_master_of_frugality)*elite2_plat,0)</f>
        <v>750</v>
      </c>
      <c r="CG80" s="164">
        <f ca="1">ROUNDUP(IF(race="Gnome",1,(1-MIN(AB80*smithy_bonus,smithy_bonus_cap))*(1+Techs!AO80*tech_master_of_frugality))*elite2_ore,0)</f>
        <v>60</v>
      </c>
      <c r="CH80" s="164">
        <f t="shared" ca="1" si="139"/>
        <v>0</v>
      </c>
      <c r="CI80" s="164">
        <f t="shared" ca="1" si="140"/>
        <v>0</v>
      </c>
      <c r="CJ80" s="164">
        <f t="shared" ca="1" si="141"/>
        <v>0</v>
      </c>
      <c r="CK80" s="164">
        <f t="shared" ca="1" si="142"/>
        <v>0</v>
      </c>
      <c r="CL80" s="164">
        <f t="shared" ca="1" si="143"/>
        <v>0</v>
      </c>
      <c r="CM80" s="164">
        <f>ROUNDUP((1+tech_spy_cost*Techs!AJ80)*spy_plat,0)</f>
        <v>500</v>
      </c>
      <c r="CN80" s="164">
        <f>ROUNDUP((1+tech_wizard_cost*Techs!AM80-MIN(ROUND(wg_wiz_cost_bonus*BN80,4),wg_wiz_cost_cap))*wizard_plat,0)</f>
        <v>500</v>
      </c>
      <c r="CO80" s="166">
        <f>ROUNDUP((1+tech_wizard_cost*Techs!AM80-MIN(ROUND(wg_wiz_cost_bonus*BN80,4),wg_wiz_cost_cap))*archmage_plat,0)</f>
        <v>1000</v>
      </c>
      <c r="CQ80" s="465">
        <f ca="1">Construction!DF80/Construction!E80</f>
        <v>0.28000000000000003</v>
      </c>
      <c r="CR80" s="466">
        <f t="shared" si="178"/>
        <v>0</v>
      </c>
      <c r="CS80" s="466">
        <f>Construction!BK80/Construction!E80</f>
        <v>0.05</v>
      </c>
      <c r="CT80" s="466">
        <f>Construction!BJ80/Construction!E80</f>
        <v>0</v>
      </c>
      <c r="CU80" s="466">
        <f>Construction!AY80/Construction!E80</f>
        <v>0</v>
      </c>
      <c r="CV80" s="481">
        <f t="shared" ca="1" si="144"/>
        <v>1.4000000000000001</v>
      </c>
      <c r="CW80" s="482">
        <f t="shared" ca="1" si="145"/>
        <v>1.4000000000000001</v>
      </c>
      <c r="CX80" s="482">
        <f t="shared" ca="1" si="146"/>
        <v>1.4000000000000001</v>
      </c>
      <c r="CY80" s="483">
        <f t="shared" ca="1" si="147"/>
        <v>1.4000000000000001</v>
      </c>
      <c r="CZ80" s="483">
        <f t="shared" si="148"/>
        <v>0.1</v>
      </c>
      <c r="DA80" s="483">
        <f t="shared" ca="1" si="149"/>
        <v>3</v>
      </c>
      <c r="DB80" s="483">
        <f t="shared" ca="1" si="150"/>
        <v>1.4000000000000001</v>
      </c>
      <c r="DC80" s="482">
        <f t="shared" si="151"/>
        <v>0</v>
      </c>
      <c r="DD80" s="847">
        <f t="shared" si="152"/>
        <v>0</v>
      </c>
      <c r="DE80" s="440">
        <f t="shared" si="179"/>
        <v>800</v>
      </c>
      <c r="DF80" s="440">
        <f t="shared" si="180"/>
        <v>0</v>
      </c>
      <c r="DG80" s="481">
        <f t="shared" ca="1" si="153"/>
        <v>1.4000000000000001</v>
      </c>
      <c r="DH80" s="450">
        <f t="shared" si="154"/>
        <v>9.0000000000000011E-2</v>
      </c>
      <c r="DI80" s="450">
        <f>MIN(valkyrja_cap,Production!O80/valkyrja_bonus)</f>
        <v>1</v>
      </c>
      <c r="DJ80" s="847">
        <f>MIN(voodoo_magi_cap,Production!O80/voodoo_magi_bonus)</f>
        <v>0.83333333333333337</v>
      </c>
      <c r="DK80" s="847">
        <f>MIN(warlock_cap,Production!O80/warlock_bonus)</f>
        <v>1.25</v>
      </c>
      <c r="DL80" s="847">
        <f ca="1">MIN(nox_nightshade_cap,Construction!DF80/Construction!E80/nox_nightshade_swamp_bonus)</f>
        <v>2.8000000000000003</v>
      </c>
      <c r="DM80" s="482">
        <f t="shared" si="155"/>
        <v>0</v>
      </c>
      <c r="DN80" s="483">
        <f t="shared" ca="1" si="156"/>
        <v>2.8000000000000003</v>
      </c>
      <c r="DO80" s="483">
        <f t="shared" ca="1" si="157"/>
        <v>2.8000000000000003</v>
      </c>
      <c r="DP80" s="483">
        <f t="shared" si="158"/>
        <v>1</v>
      </c>
      <c r="DQ80" s="482">
        <f t="shared" si="159"/>
        <v>0</v>
      </c>
      <c r="DR80" s="483">
        <f t="shared" si="160"/>
        <v>0</v>
      </c>
      <c r="DS80" s="482">
        <f t="shared" si="161"/>
        <v>0</v>
      </c>
      <c r="DT80" s="483">
        <f t="shared" si="162"/>
        <v>0.1</v>
      </c>
      <c r="DV80"/>
      <c r="DX80" s="487">
        <f ca="1">MIN(6,CV80+Races!$F$19)*1.8 +  IF(CV80+Races!$F$19&gt;6,(CV80+Races!$F$19-6)*0.2,0) - Races!$N$19</f>
        <v>2.5200000000000005</v>
      </c>
      <c r="DY80" s="488">
        <f ca="1">1.8 * MIN(MAX(CW80+Races!$E$20,CX80+Races!$F$20),6)  +  0.45 * MIN(MIN(CW80+Races!$E$20,CX80+Races!$F$20),6)  +  0.2 * ( MAX(CW80+Races!$E$20-6,0) + MAX(CX80+Races!$F$20-6,0) )  -  Races!$N$20</f>
        <v>3.1500000000000012</v>
      </c>
      <c r="DZ80" s="57">
        <f t="shared" ca="1" si="163"/>
        <v>3780.0000000000009</v>
      </c>
      <c r="EA80" s="666">
        <f ca="1">MIN(6,CY80+Races!$F$35)*1.8 +  IF(CY80+Races!$F$35&gt;6,(CY80+Races!$F$35-6)*0.2,0) - Races!$N$19</f>
        <v>0.72000000000000064</v>
      </c>
      <c r="EB80" s="57">
        <f t="shared" ca="1" si="164"/>
        <v>0</v>
      </c>
      <c r="EC80" s="666">
        <f ca="1">1.8 * MIN(MAX(Races!$E$27,DB80+Races!$F$27),6)  +  0.45 * MIN(MIN(Races!$E$27,DB80+Races!$F$27),6)  +  0.2 * ( MAX(Races!$E$27-6,0) + MAX(DB80+Races!$F$27-6,0) )  -  Races!$N$20</f>
        <v>4.7700000000000005</v>
      </c>
      <c r="ED80" s="57">
        <f t="shared" ca="1" si="165"/>
        <v>0</v>
      </c>
      <c r="EE80" s="666">
        <f>1.8 * MIN(MAX(DC80+Races!$E$47,DD80+Races!$F$47),6)  +  0.45 * MIN(MIN(DC80+Races!$E$47,DD80+Races!$F$47),6)  +  0.2 * ( MAX(DC80+Races!$E$47-6,0) + MAX(DD80+Races!$F$47-6,0) )  -  Races!$N$47</f>
        <v>0</v>
      </c>
      <c r="EF80" s="57">
        <f t="shared" si="166"/>
        <v>0</v>
      </c>
      <c r="EG80" s="666">
        <f ca="1">1.8 * MIN(MAX(DG80+Races!$F$71,Races!$E$71),6)  +  0.45 * MIN(MIN(DG80+Races!$F$71,Races!$E$71),6)  +  0.2 * ( MAX(DG80+Races!$F$71-6,0) + MAX(Races!$E$71-6,0) )  -  Races!$N$71</f>
        <v>2.5200000000000014</v>
      </c>
      <c r="EH80" s="666">
        <f>1.8 * MIN(MAX(DH80+Races!$E$71,Races!$F$71),6)  +  0.45 * MIN(MIN(DH80+Races!$E$71,Races!$F$71),6)  +  0.2 * ( MAX(DH80+Races!$E$71-6,0) + MAX(Races!$F$71-6,0) )  -  Races!$N$71</f>
        <v>0.16200000000000081</v>
      </c>
      <c r="EI80" s="57">
        <f t="shared" ca="1" si="167"/>
        <v>2584.8000000000015</v>
      </c>
      <c r="EJ80" s="57"/>
      <c r="EK80" s="57"/>
      <c r="EL80" s="57"/>
      <c r="EM80" s="57">
        <f ca="1">Overview!$L$22*E80+Overview!$L$23*F80+Overview!$L$24*G80+Overview!$L$25*H80+Overview!$L$26*I80+Overview!$L$27*J80+Overview!$L$28*K80+Construction!E80*20+Construction!B80*5 + DZ80*$DV$4+EB80*$DV$5+ED80*$DV$6+EF80*$DV$7+EI80*$DV$9</f>
        <v>39460</v>
      </c>
      <c r="EO80" s="738">
        <f>(J80+2*K80)/Construction!E80</f>
        <v>0.1</v>
      </c>
      <c r="EP80" s="734">
        <f ca="1">EO80*(1+race_wizard_strength+tech_magical_weaponry_wiz*Techs!AV152)</f>
        <v>0.1</v>
      </c>
      <c r="EQ80" s="16">
        <f>(I80+halfer*H80/3)/Construction!E80</f>
        <v>0.1</v>
      </c>
    </row>
    <row r="81" spans="1:147" s="16" customFormat="1">
      <c r="A81" s="629">
        <f>Rezone!J81</f>
        <v>79</v>
      </c>
      <c r="B81" s="152">
        <f ca="1">SUM(E81:K81)+SUM(AF73:AG81)+SUM(AH70:AL81)+Z81+Explore!AL81</f>
        <v>5295</v>
      </c>
      <c r="C81" s="97">
        <f ca="1">Population!G81</f>
        <v>0.57305194805194803</v>
      </c>
      <c r="E81" s="156">
        <f t="shared" si="182"/>
        <v>0</v>
      </c>
      <c r="F81" s="170">
        <f t="shared" si="183"/>
        <v>0</v>
      </c>
      <c r="G81" s="170">
        <f t="shared" si="184"/>
        <v>1000</v>
      </c>
      <c r="H81" s="170">
        <f t="shared" si="185"/>
        <v>400</v>
      </c>
      <c r="I81" s="170">
        <f t="shared" si="186"/>
        <v>100</v>
      </c>
      <c r="J81" s="170">
        <f t="shared" si="187"/>
        <v>100</v>
      </c>
      <c r="K81" s="157">
        <f t="shared" si="188"/>
        <v>0</v>
      </c>
      <c r="M81" s="64">
        <f ca="1">Production!G81</f>
        <v>39460</v>
      </c>
      <c r="O81" s="234">
        <f t="shared" ca="1" si="125"/>
        <v>4400</v>
      </c>
      <c r="P81" s="455">
        <f ca="1">race_offense+Imps!AB81+ROUND(MIN(gn_bonus*Construction!BF81/Construction!$E81,gn_bonus_cap),4)+MAX(IF(Magic!$AN81&gt;0,warsong_bonus),IF(Magic!AP81&gt;0,howling_op_bonus),IF(Magic!AS81&gt;0,nightfall_bonus),IF(Magic!AT81&gt;0,crusade_bonus),IF(Magic!AU81&gt;0,killingrage_bonus),IF(Magic!AV81&gt;0,bloodrage_bonus)) + Production!O81/100*prestige_offense_bonus + MAX(tech_military_offense*Techs!AH81,tech_magical_weaponry_op*Techs!AV81)</f>
        <v>0.05</v>
      </c>
      <c r="Q81" s="235">
        <f t="shared" ca="1" si="168"/>
        <v>4620</v>
      </c>
      <c r="R81" s="234">
        <f ca="1">F81*(spec_dp+spirit*DR81)+G81*(elite1_dp+woodie*CV81+sylvan*CY81+gnome*DB81+dark_elf*DD81+icekin*DG81+orc*DJ81+nox*DL81+beast*DN81+sacred*DP81+spirit*DS81+blackorc*DK81)+H81*(elite2_dp+woodie*CX81+beast*DO81+sacred*DQ81) + fh_peas_dp*MIN(Population!C81,20*Construction!BD81)+kobold*DE81</f>
        <v>7200</v>
      </c>
      <c r="S81" s="235">
        <f t="shared" ca="1" si="126"/>
        <v>10895</v>
      </c>
      <c r="T81" s="1052">
        <f ca="1">race_defense+Imps!AC81+ROUND(MIN(gt_bonus*Construction!BH81/Construction!$E81,gt_bonus_cap),4)+MAX(IF(Magic!AM81&gt;0,frenzy_bonus,IF(Magic!AQ81&gt;0,blizzard_bonus,IF(Magic!AP81&gt;0,howling_dp_bonus,IF(Magic!AI81&gt;0,ares_call_bonus)))),IF(Magic!AX81&gt;0,MIN(Construction!DF81/Construction!E81,0.2),0))</f>
        <v>0</v>
      </c>
      <c r="U81" s="1046">
        <f t="shared" ca="1" si="169"/>
        <v>7200</v>
      </c>
      <c r="V81" s="308">
        <f t="shared" ca="1" si="170"/>
        <v>10895</v>
      </c>
      <c r="W81" s="310">
        <f>Construction!E81</f>
        <v>1000</v>
      </c>
      <c r="X81" s="367"/>
      <c r="Y81" s="146">
        <f t="shared" si="181"/>
        <v>0.4</v>
      </c>
      <c r="Z81" s="166">
        <f ca="1">Z80+Population!Z80 - IF(race="Lux",AF81,SUM(AF81:AK81)) - BE81 + SUM(BF81:BL81) - Explore!AI81</f>
        <v>3695</v>
      </c>
      <c r="AA81" s="164"/>
      <c r="AB81" s="91">
        <f>(Construction!$BA81+Construction!BY81)/(Construction!$E81-Explore!S81*20)</f>
        <v>0.2</v>
      </c>
      <c r="AC81" s="629"/>
      <c r="AD81" s="799">
        <f>Rezone!J81</f>
        <v>79</v>
      </c>
      <c r="AE81" s="589">
        <f>Explore!AA81</f>
        <v>43695.249999999811</v>
      </c>
      <c r="AF81" s="356"/>
      <c r="AG81" s="348"/>
      <c r="AH81" s="348"/>
      <c r="AI81" s="348"/>
      <c r="AJ81" s="348"/>
      <c r="AK81" s="348"/>
      <c r="AL81" s="357"/>
      <c r="AN81" s="56">
        <f ca="1">Production!$H81</f>
        <v>3778289</v>
      </c>
      <c r="AO81" s="26">
        <f ca="1">Production!$L81</f>
        <v>231000</v>
      </c>
      <c r="AP81" s="26">
        <f ca="1">Production!J81</f>
        <v>273923</v>
      </c>
      <c r="AQ81" s="26">
        <f ca="1">Production!M81</f>
        <v>20000</v>
      </c>
      <c r="AR81" s="26">
        <f ca="1">Production!K81</f>
        <v>53710</v>
      </c>
      <c r="AS81" s="26">
        <f ca="1">Production!I81</f>
        <v>273258</v>
      </c>
      <c r="AT81" s="26">
        <f ca="1">Production!N81</f>
        <v>200</v>
      </c>
      <c r="AU81" s="152">
        <f t="shared" ca="1" si="127"/>
        <v>0</v>
      </c>
      <c r="AV81" s="164">
        <f t="shared" ca="1" si="128"/>
        <v>0</v>
      </c>
      <c r="AW81" s="164">
        <f t="shared" ca="1" si="171"/>
        <v>0</v>
      </c>
      <c r="AX81" s="164">
        <f t="shared" ca="1" si="172"/>
        <v>0</v>
      </c>
      <c r="AY81" s="164">
        <f t="shared" ca="1" si="173"/>
        <v>0</v>
      </c>
      <c r="AZ81" s="164">
        <f t="shared" ca="1" si="174"/>
        <v>0</v>
      </c>
      <c r="BA81" s="166">
        <f t="shared" ca="1" si="175"/>
        <v>0</v>
      </c>
      <c r="BB81" s="16">
        <v>66</v>
      </c>
      <c r="BC81" s="574">
        <f t="shared" ref="BC81:BC88" si="189">AE81</f>
        <v>43695.249999999811</v>
      </c>
      <c r="BD81" s="148">
        <f t="shared" ca="1" si="177"/>
        <v>3695</v>
      </c>
      <c r="BE81" s="375"/>
      <c r="BF81" s="348"/>
      <c r="BG81" s="348"/>
      <c r="BH81" s="348"/>
      <c r="BI81" s="348"/>
      <c r="BJ81" s="348"/>
      <c r="BK81" s="348"/>
      <c r="BL81" s="357"/>
      <c r="BN81" s="503">
        <f>Construction!BM81/Construction!E81</f>
        <v>0</v>
      </c>
      <c r="BO81" s="171">
        <f>Construction!BD81/Construction!E81</f>
        <v>0</v>
      </c>
      <c r="BP81" s="152">
        <f>ROUNDUP((1-MIN(AB81*smithy_bonus,smithy_bonus_cap))*(1+Techs!AO81*tech_master_of_frugality)*spec_op_plat,0)</f>
        <v>165</v>
      </c>
      <c r="BQ81" s="164">
        <f>ROUNDUP(IF(race="Gnome",1,(1-MIN(AB81*smithy_bonus,smithy_bonus_cap))*(1+Techs!AO81*tech_master_of_frugality))*spec_op_ore,0)</f>
        <v>15</v>
      </c>
      <c r="BR81" s="164">
        <f t="shared" si="129"/>
        <v>0</v>
      </c>
      <c r="BS81" s="164">
        <f t="shared" si="130"/>
        <v>0</v>
      </c>
      <c r="BT81" s="164">
        <f ca="1">ROUNDUP((1-MIN(AB81*smithy_bonus,smithy_bonus_cap))*(1+Techs!AO81*tech_master_of_frugality)*spec_dp_plat,0)</f>
        <v>165</v>
      </c>
      <c r="BU81" s="164">
        <f ca="1">ROUNDUP(IF(OR(race="Gnome",race="Imperial Gnome"),1,(1-MIN(AB81*smithy_bonus,smithy_bonus_cap))*(1+Techs!AO81*tech_master_of_frugality))*spec_dp_ore,0)</f>
        <v>6</v>
      </c>
      <c r="BV81" s="164">
        <f t="shared" ca="1" si="131"/>
        <v>0</v>
      </c>
      <c r="BW81" s="164">
        <f t="shared" ca="1" si="132"/>
        <v>0</v>
      </c>
      <c r="BX81" s="164">
        <f t="shared" ca="1" si="133"/>
        <v>0</v>
      </c>
      <c r="BY81" s="164">
        <f ca="1">ROUNDUP((1-MIN(AB81*smithy_bonus,smithy_bonus_cap))*(1+Techs!AO81*tech_master_of_frugality)*elite1_plat,0)</f>
        <v>600</v>
      </c>
      <c r="BZ81" s="164">
        <f ca="1">ROUNDUP(IF(race="Gnome",1,(1-MIN(AB81*smithy_bonus,smithy_bonus_cap))*(1+Techs!AO81*tech_master_of_frugality))*elite1_ore,0)</f>
        <v>45</v>
      </c>
      <c r="CA81" s="164">
        <f t="shared" ca="1" si="134"/>
        <v>0</v>
      </c>
      <c r="CB81" s="164">
        <f t="shared" ca="1" si="135"/>
        <v>0</v>
      </c>
      <c r="CC81" s="164">
        <f t="shared" ca="1" si="136"/>
        <v>0</v>
      </c>
      <c r="CD81" s="164">
        <f t="shared" ca="1" si="137"/>
        <v>0</v>
      </c>
      <c r="CE81" s="164">
        <f t="shared" ca="1" si="138"/>
        <v>0</v>
      </c>
      <c r="CF81" s="164">
        <f ca="1">ROUNDUP((1-MIN(AB81*smithy_bonus,smithy_bonus_cap))*(1+Techs!AO81*tech_master_of_frugality)*elite2_plat,0)</f>
        <v>750</v>
      </c>
      <c r="CG81" s="164">
        <f ca="1">ROUNDUP(IF(race="Gnome",1,(1-MIN(AB81*smithy_bonus,smithy_bonus_cap))*(1+Techs!AO81*tech_master_of_frugality))*elite2_ore,0)</f>
        <v>60</v>
      </c>
      <c r="CH81" s="164">
        <f t="shared" ca="1" si="139"/>
        <v>0</v>
      </c>
      <c r="CI81" s="164">
        <f t="shared" ca="1" si="140"/>
        <v>0</v>
      </c>
      <c r="CJ81" s="164">
        <f t="shared" ca="1" si="141"/>
        <v>0</v>
      </c>
      <c r="CK81" s="164">
        <f t="shared" ca="1" si="142"/>
        <v>0</v>
      </c>
      <c r="CL81" s="164">
        <f t="shared" ca="1" si="143"/>
        <v>0</v>
      </c>
      <c r="CM81" s="164">
        <f>ROUNDUP((1+tech_spy_cost*Techs!AJ81)*spy_plat,0)</f>
        <v>500</v>
      </c>
      <c r="CN81" s="164">
        <f>ROUNDUP((1+tech_wizard_cost*Techs!AM81-MIN(ROUND(wg_wiz_cost_bonus*BN81,4),wg_wiz_cost_cap))*wizard_plat,0)</f>
        <v>500</v>
      </c>
      <c r="CO81" s="166">
        <f>ROUNDUP((1+tech_wizard_cost*Techs!AM81-MIN(ROUND(wg_wiz_cost_bonus*BN81,4),wg_wiz_cost_cap))*archmage_plat,0)</f>
        <v>1000</v>
      </c>
      <c r="CQ81" s="465">
        <f ca="1">Construction!DF81/Construction!E81</f>
        <v>0.28000000000000003</v>
      </c>
      <c r="CR81" s="466">
        <f t="shared" ref="CR81:CR88" si="190">BN81</f>
        <v>0</v>
      </c>
      <c r="CS81" s="466">
        <f>Construction!BK81/Construction!E81</f>
        <v>0.05</v>
      </c>
      <c r="CT81" s="466">
        <f>Construction!BJ81/Construction!E81</f>
        <v>0</v>
      </c>
      <c r="CU81" s="466">
        <f>Construction!AY81/Construction!E81</f>
        <v>0</v>
      </c>
      <c r="CV81" s="481">
        <f t="shared" ca="1" si="144"/>
        <v>1.4000000000000001</v>
      </c>
      <c r="CW81" s="482">
        <f t="shared" ca="1" si="145"/>
        <v>1.4000000000000001</v>
      </c>
      <c r="CX81" s="482">
        <f t="shared" ca="1" si="146"/>
        <v>1.4000000000000001</v>
      </c>
      <c r="CY81" s="483">
        <f t="shared" ca="1" si="147"/>
        <v>1.4000000000000001</v>
      </c>
      <c r="CZ81" s="483">
        <f t="shared" si="148"/>
        <v>0.1</v>
      </c>
      <c r="DA81" s="483">
        <f t="shared" ca="1" si="149"/>
        <v>3</v>
      </c>
      <c r="DB81" s="483">
        <f t="shared" ca="1" si="150"/>
        <v>1.4000000000000001</v>
      </c>
      <c r="DC81" s="482">
        <f t="shared" si="151"/>
        <v>0</v>
      </c>
      <c r="DD81" s="847">
        <f t="shared" si="152"/>
        <v>0</v>
      </c>
      <c r="DE81" s="440">
        <f t="shared" si="179"/>
        <v>800</v>
      </c>
      <c r="DF81" s="440">
        <f t="shared" si="180"/>
        <v>0</v>
      </c>
      <c r="DG81" s="481">
        <f t="shared" ca="1" si="153"/>
        <v>1.4000000000000001</v>
      </c>
      <c r="DH81" s="450">
        <f t="shared" si="154"/>
        <v>9.0000000000000011E-2</v>
      </c>
      <c r="DI81" s="450">
        <f>MIN(valkyrja_cap,Production!O81/valkyrja_bonus)</f>
        <v>1</v>
      </c>
      <c r="DJ81" s="847">
        <f>MIN(voodoo_magi_cap,Production!O81/voodoo_magi_bonus)</f>
        <v>0.83333333333333337</v>
      </c>
      <c r="DK81" s="847">
        <f>MIN(warlock_cap,Production!O81/warlock_bonus)</f>
        <v>1.25</v>
      </c>
      <c r="DL81" s="847">
        <f ca="1">MIN(nox_nightshade_cap,Construction!DF81/Construction!E81/nox_nightshade_swamp_bonus)</f>
        <v>2.8000000000000003</v>
      </c>
      <c r="DM81" s="482">
        <f t="shared" si="155"/>
        <v>0</v>
      </c>
      <c r="DN81" s="483">
        <f t="shared" ca="1" si="156"/>
        <v>2.8000000000000003</v>
      </c>
      <c r="DO81" s="483">
        <f t="shared" ca="1" si="157"/>
        <v>2.8000000000000003</v>
      </c>
      <c r="DP81" s="483">
        <f t="shared" si="158"/>
        <v>1</v>
      </c>
      <c r="DQ81" s="482">
        <f t="shared" si="159"/>
        <v>0</v>
      </c>
      <c r="DR81" s="483">
        <f t="shared" si="160"/>
        <v>0</v>
      </c>
      <c r="DS81" s="482">
        <f t="shared" si="161"/>
        <v>0</v>
      </c>
      <c r="DT81" s="483">
        <f t="shared" si="162"/>
        <v>0.1</v>
      </c>
      <c r="DV81"/>
      <c r="DX81" s="487">
        <f ca="1">MIN(6,CV81+Races!$F$19)*1.8 +  IF(CV81+Races!$F$19&gt;6,(CV81+Races!$F$19-6)*0.2,0) - Races!$N$19</f>
        <v>2.5200000000000005</v>
      </c>
      <c r="DY81" s="488">
        <f ca="1">1.8 * MIN(MAX(CW81+Races!$E$20,CX81+Races!$F$20),6)  +  0.45 * MIN(MIN(CW81+Races!$E$20,CX81+Races!$F$20),6)  +  0.2 * ( MAX(CW81+Races!$E$20-6,0) + MAX(CX81+Races!$F$20-6,0) )  -  Races!$N$20</f>
        <v>3.1500000000000012</v>
      </c>
      <c r="DZ81" s="57">
        <f t="shared" ca="1" si="163"/>
        <v>3780.0000000000009</v>
      </c>
      <c r="EA81" s="666">
        <f ca="1">MIN(6,CY81+Races!$F$35)*1.8 +  IF(CY81+Races!$F$35&gt;6,(CY81+Races!$F$35-6)*0.2,0) - Races!$N$19</f>
        <v>0.72000000000000064</v>
      </c>
      <c r="EB81" s="57">
        <f t="shared" ca="1" si="164"/>
        <v>0</v>
      </c>
      <c r="EC81" s="666">
        <f ca="1">1.8 * MIN(MAX(Races!$E$27,DB81+Races!$F$27),6)  +  0.45 * MIN(MIN(Races!$E$27,DB81+Races!$F$27),6)  +  0.2 * ( MAX(Races!$E$27-6,0) + MAX(DB81+Races!$F$27-6,0) )  -  Races!$N$20</f>
        <v>4.7700000000000005</v>
      </c>
      <c r="ED81" s="57">
        <f t="shared" ca="1" si="165"/>
        <v>0</v>
      </c>
      <c r="EE81" s="666">
        <f>1.8 * MIN(MAX(DC81+Races!$E$47,DD81+Races!$F$47),6)  +  0.45 * MIN(MIN(DC81+Races!$E$47,DD81+Races!$F$47),6)  +  0.2 * ( MAX(DC81+Races!$E$47-6,0) + MAX(DD81+Races!$F$47-6,0) )  -  Races!$N$47</f>
        <v>0</v>
      </c>
      <c r="EF81" s="57">
        <f t="shared" si="166"/>
        <v>0</v>
      </c>
      <c r="EG81" s="666">
        <f ca="1">1.8 * MIN(MAX(DG81+Races!$F$71,Races!$E$71),6)  +  0.45 * MIN(MIN(DG81+Races!$F$71,Races!$E$71),6)  +  0.2 * ( MAX(DG81+Races!$F$71-6,0) + MAX(Races!$E$71-6,0) )  -  Races!$N$71</f>
        <v>2.5200000000000014</v>
      </c>
      <c r="EH81" s="666">
        <f>1.8 * MIN(MAX(DH81+Races!$E$71,Races!$F$71),6)  +  0.45 * MIN(MIN(DH81+Races!$E$71,Races!$F$71),6)  +  0.2 * ( MAX(DH81+Races!$E$71-6,0) + MAX(Races!$F$71-6,0) )  -  Races!$N$71</f>
        <v>0.16200000000000081</v>
      </c>
      <c r="EI81" s="57">
        <f t="shared" ca="1" si="167"/>
        <v>2584.8000000000015</v>
      </c>
      <c r="EJ81" s="57"/>
      <c r="EK81" s="57"/>
      <c r="EL81" s="57"/>
      <c r="EM81" s="57">
        <f ca="1">Overview!$L$22*E81+Overview!$L$23*F81+Overview!$L$24*G81+Overview!$L$25*H81+Overview!$L$26*I81+Overview!$L$27*J81+Overview!$L$28*K81+Construction!E81*20+Construction!B81*5 + DZ81*$DV$4+EB81*$DV$5+ED81*$DV$6+EF81*$DV$7+EI81*$DV$9</f>
        <v>39460</v>
      </c>
      <c r="EO81" s="738">
        <f>(J81+2*K81)/Construction!E81</f>
        <v>0.1</v>
      </c>
      <c r="EP81" s="734">
        <f ca="1">EO81*(1+race_wizard_strength+tech_magical_weaponry_wiz*Techs!AV153)</f>
        <v>0.1</v>
      </c>
      <c r="EQ81" s="16">
        <f>(I81+halfer*H81/3)/Construction!E81</f>
        <v>0.1</v>
      </c>
    </row>
    <row r="82" spans="1:147" s="16" customFormat="1">
      <c r="A82" s="629">
        <f>Rezone!J82</f>
        <v>80</v>
      </c>
      <c r="B82" s="152">
        <f ca="1">SUM(E82:K82)+SUM(AF74:AG82)+SUM(AH71:AL82)+Z82+Explore!AL82</f>
        <v>5295</v>
      </c>
      <c r="C82" s="97">
        <f ca="1">Population!G82</f>
        <v>0.57305194805194803</v>
      </c>
      <c r="E82" s="156">
        <f t="shared" si="182"/>
        <v>0</v>
      </c>
      <c r="F82" s="170">
        <f t="shared" si="183"/>
        <v>0</v>
      </c>
      <c r="G82" s="170">
        <f t="shared" si="184"/>
        <v>1000</v>
      </c>
      <c r="H82" s="170">
        <f t="shared" si="185"/>
        <v>400</v>
      </c>
      <c r="I82" s="170">
        <f t="shared" si="186"/>
        <v>100</v>
      </c>
      <c r="J82" s="170">
        <f t="shared" si="187"/>
        <v>100</v>
      </c>
      <c r="K82" s="157">
        <f t="shared" si="188"/>
        <v>0</v>
      </c>
      <c r="M82" s="64">
        <f ca="1">Production!G82</f>
        <v>39460</v>
      </c>
      <c r="O82" s="234">
        <f t="shared" ca="1" si="125"/>
        <v>4400</v>
      </c>
      <c r="P82" s="455">
        <f ca="1">race_offense+Imps!AB82+ROUND(MIN(gn_bonus*Construction!BF82/Construction!$E82,gn_bonus_cap),4)+MAX(IF(Magic!$AN82&gt;0,warsong_bonus),IF(Magic!AP82&gt;0,howling_op_bonus),IF(Magic!AS82&gt;0,nightfall_bonus),IF(Magic!AT82&gt;0,crusade_bonus),IF(Magic!AU82&gt;0,killingrage_bonus),IF(Magic!AV82&gt;0,bloodrage_bonus)) + Production!O82/100*prestige_offense_bonus + MAX(tech_military_offense*Techs!AH82,tech_magical_weaponry_op*Techs!AV82)</f>
        <v>0.05</v>
      </c>
      <c r="Q82" s="235">
        <f t="shared" ca="1" si="168"/>
        <v>4620</v>
      </c>
      <c r="R82" s="234">
        <f ca="1">F82*(spec_dp+spirit*DR82)+G82*(elite1_dp+woodie*CV82+sylvan*CY82+gnome*DB82+dark_elf*DD82+icekin*DG82+orc*DJ82+nox*DL82+beast*DN82+sacred*DP82+spirit*DS82+blackorc*DK82)+H82*(elite2_dp+woodie*CX82+beast*DO82+sacred*DQ82) + fh_peas_dp*MIN(Population!C82,20*Construction!BD82)+kobold*DE82</f>
        <v>7200</v>
      </c>
      <c r="S82" s="235">
        <f t="shared" ca="1" si="126"/>
        <v>10895</v>
      </c>
      <c r="T82" s="1052">
        <f ca="1">race_defense+Imps!AC82+ROUND(MIN(gt_bonus*Construction!BH82/Construction!$E82,gt_bonus_cap),4)+MAX(IF(Magic!AM82&gt;0,frenzy_bonus,IF(Magic!AQ82&gt;0,blizzard_bonus,IF(Magic!AP82&gt;0,howling_dp_bonus,IF(Magic!AI82&gt;0,ares_call_bonus)))),IF(Magic!AX82&gt;0,MIN(Construction!DF82/Construction!E82,0.2),0))</f>
        <v>0</v>
      </c>
      <c r="U82" s="1046">
        <f t="shared" ca="1" si="169"/>
        <v>7200</v>
      </c>
      <c r="V82" s="308">
        <f t="shared" ca="1" si="170"/>
        <v>10895</v>
      </c>
      <c r="W82" s="310">
        <f>Construction!E82</f>
        <v>1000</v>
      </c>
      <c r="X82" s="367"/>
      <c r="Y82" s="146">
        <f t="shared" si="181"/>
        <v>0.4</v>
      </c>
      <c r="Z82" s="166">
        <f ca="1">Z81+Population!Z81 - IF(race="Lux",AF82,SUM(AF82:AK82)) - BE82 + SUM(BF82:BL82) - Explore!AI82</f>
        <v>3695</v>
      </c>
      <c r="AA82" s="164"/>
      <c r="AB82" s="91">
        <f>(Construction!$BA82+Construction!BY82)/(Construction!$E82-Explore!S82*20)</f>
        <v>0.2</v>
      </c>
      <c r="AC82" s="629"/>
      <c r="AD82" s="799">
        <f>Rezone!J82</f>
        <v>80</v>
      </c>
      <c r="AE82" s="589">
        <f>Explore!AA82</f>
        <v>43695.291666666475</v>
      </c>
      <c r="AF82" s="356"/>
      <c r="AG82" s="348"/>
      <c r="AH82" s="348"/>
      <c r="AI82" s="348"/>
      <c r="AJ82" s="348"/>
      <c r="AK82" s="348"/>
      <c r="AL82" s="357"/>
      <c r="AN82" s="56">
        <f ca="1">Production!$H82</f>
        <v>3788940</v>
      </c>
      <c r="AO82" s="26">
        <f ca="1">Production!$L82</f>
        <v>231000</v>
      </c>
      <c r="AP82" s="26">
        <f ca="1">Production!J82</f>
        <v>273684</v>
      </c>
      <c r="AQ82" s="26">
        <f ca="1">Production!M82</f>
        <v>20000</v>
      </c>
      <c r="AR82" s="26">
        <f ca="1">Production!K82</f>
        <v>53886</v>
      </c>
      <c r="AS82" s="26">
        <f ca="1">Production!I82</f>
        <v>275255</v>
      </c>
      <c r="AT82" s="26">
        <f ca="1">Production!N82</f>
        <v>200</v>
      </c>
      <c r="AU82" s="152">
        <f t="shared" ca="1" si="127"/>
        <v>0</v>
      </c>
      <c r="AV82" s="164">
        <f t="shared" ca="1" si="128"/>
        <v>0</v>
      </c>
      <c r="AW82" s="164">
        <f t="shared" ca="1" si="171"/>
        <v>0</v>
      </c>
      <c r="AX82" s="164">
        <f t="shared" ca="1" si="172"/>
        <v>0</v>
      </c>
      <c r="AY82" s="164">
        <f t="shared" ca="1" si="173"/>
        <v>0</v>
      </c>
      <c r="AZ82" s="164">
        <f t="shared" ca="1" si="174"/>
        <v>0</v>
      </c>
      <c r="BA82" s="166">
        <f t="shared" ca="1" si="175"/>
        <v>0</v>
      </c>
      <c r="BB82" s="16">
        <v>67</v>
      </c>
      <c r="BC82" s="574">
        <f t="shared" si="189"/>
        <v>43695.291666666475</v>
      </c>
      <c r="BD82" s="148">
        <f t="shared" ca="1" si="177"/>
        <v>3695</v>
      </c>
      <c r="BE82" s="375"/>
      <c r="BF82" s="348"/>
      <c r="BG82" s="348"/>
      <c r="BH82" s="348"/>
      <c r="BI82" s="348"/>
      <c r="BJ82" s="348"/>
      <c r="BK82" s="348"/>
      <c r="BL82" s="357"/>
      <c r="BN82" s="503">
        <f>Construction!BM82/Construction!E82</f>
        <v>0</v>
      </c>
      <c r="BO82" s="171">
        <f>Construction!BD82/Construction!E82</f>
        <v>0</v>
      </c>
      <c r="BP82" s="152">
        <f>ROUNDUP((1-MIN(AB82*smithy_bonus,smithy_bonus_cap))*(1+Techs!AO82*tech_master_of_frugality)*spec_op_plat,0)</f>
        <v>165</v>
      </c>
      <c r="BQ82" s="164">
        <f>ROUNDUP(IF(race="Gnome",1,(1-MIN(AB82*smithy_bonus,smithy_bonus_cap))*(1+Techs!AO82*tech_master_of_frugality))*spec_op_ore,0)</f>
        <v>15</v>
      </c>
      <c r="BR82" s="164">
        <f t="shared" si="129"/>
        <v>0</v>
      </c>
      <c r="BS82" s="164">
        <f t="shared" si="130"/>
        <v>0</v>
      </c>
      <c r="BT82" s="164">
        <f ca="1">ROUNDUP((1-MIN(AB82*smithy_bonus,smithy_bonus_cap))*(1+Techs!AO82*tech_master_of_frugality)*spec_dp_plat,0)</f>
        <v>165</v>
      </c>
      <c r="BU82" s="164">
        <f ca="1">ROUNDUP(IF(OR(race="Gnome",race="Imperial Gnome"),1,(1-MIN(AB82*smithy_bonus,smithy_bonus_cap))*(1+Techs!AO82*tech_master_of_frugality))*spec_dp_ore,0)</f>
        <v>6</v>
      </c>
      <c r="BV82" s="164">
        <f t="shared" ca="1" si="131"/>
        <v>0</v>
      </c>
      <c r="BW82" s="164">
        <f t="shared" ca="1" si="132"/>
        <v>0</v>
      </c>
      <c r="BX82" s="164">
        <f t="shared" ca="1" si="133"/>
        <v>0</v>
      </c>
      <c r="BY82" s="164">
        <f ca="1">ROUNDUP((1-MIN(AB82*smithy_bonus,smithy_bonus_cap))*(1+Techs!AO82*tech_master_of_frugality)*elite1_plat,0)</f>
        <v>600</v>
      </c>
      <c r="BZ82" s="164">
        <f ca="1">ROUNDUP(IF(race="Gnome",1,(1-MIN(AB82*smithy_bonus,smithy_bonus_cap))*(1+Techs!AO82*tech_master_of_frugality))*elite1_ore,0)</f>
        <v>45</v>
      </c>
      <c r="CA82" s="164">
        <f t="shared" ca="1" si="134"/>
        <v>0</v>
      </c>
      <c r="CB82" s="164">
        <f t="shared" ca="1" si="135"/>
        <v>0</v>
      </c>
      <c r="CC82" s="164">
        <f t="shared" ca="1" si="136"/>
        <v>0</v>
      </c>
      <c r="CD82" s="164">
        <f t="shared" ca="1" si="137"/>
        <v>0</v>
      </c>
      <c r="CE82" s="164">
        <f t="shared" ca="1" si="138"/>
        <v>0</v>
      </c>
      <c r="CF82" s="164">
        <f ca="1">ROUNDUP((1-MIN(AB82*smithy_bonus,smithy_bonus_cap))*(1+Techs!AO82*tech_master_of_frugality)*elite2_plat,0)</f>
        <v>750</v>
      </c>
      <c r="CG82" s="164">
        <f ca="1">ROUNDUP(IF(race="Gnome",1,(1-MIN(AB82*smithy_bonus,smithy_bonus_cap))*(1+Techs!AO82*tech_master_of_frugality))*elite2_ore,0)</f>
        <v>60</v>
      </c>
      <c r="CH82" s="164">
        <f t="shared" ca="1" si="139"/>
        <v>0</v>
      </c>
      <c r="CI82" s="164">
        <f t="shared" ca="1" si="140"/>
        <v>0</v>
      </c>
      <c r="CJ82" s="164">
        <f t="shared" ca="1" si="141"/>
        <v>0</v>
      </c>
      <c r="CK82" s="164">
        <f t="shared" ca="1" si="142"/>
        <v>0</v>
      </c>
      <c r="CL82" s="164">
        <f t="shared" ca="1" si="143"/>
        <v>0</v>
      </c>
      <c r="CM82" s="164">
        <f>ROUNDUP((1+tech_spy_cost*Techs!AJ82)*spy_plat,0)</f>
        <v>500</v>
      </c>
      <c r="CN82" s="164">
        <f>ROUNDUP((1+tech_wizard_cost*Techs!AM82-MIN(ROUND(wg_wiz_cost_bonus*BN82,4),wg_wiz_cost_cap))*wizard_plat,0)</f>
        <v>500</v>
      </c>
      <c r="CO82" s="166">
        <f>ROUNDUP((1+tech_wizard_cost*Techs!AM82-MIN(ROUND(wg_wiz_cost_bonus*BN82,4),wg_wiz_cost_cap))*archmage_plat,0)</f>
        <v>1000</v>
      </c>
      <c r="CQ82" s="465">
        <f ca="1">Construction!DF82/Construction!E82</f>
        <v>0.28000000000000003</v>
      </c>
      <c r="CR82" s="466">
        <f t="shared" si="190"/>
        <v>0</v>
      </c>
      <c r="CS82" s="466">
        <f>Construction!BK82/Construction!E82</f>
        <v>0.05</v>
      </c>
      <c r="CT82" s="466">
        <f>Construction!BJ82/Construction!E82</f>
        <v>0</v>
      </c>
      <c r="CU82" s="466">
        <f>Construction!AY82/Construction!E82</f>
        <v>0</v>
      </c>
      <c r="CV82" s="481">
        <f t="shared" ca="1" si="144"/>
        <v>1.4000000000000001</v>
      </c>
      <c r="CW82" s="482">
        <f t="shared" ca="1" si="145"/>
        <v>1.4000000000000001</v>
      </c>
      <c r="CX82" s="482">
        <f t="shared" ca="1" si="146"/>
        <v>1.4000000000000001</v>
      </c>
      <c r="CY82" s="483">
        <f t="shared" ca="1" si="147"/>
        <v>1.4000000000000001</v>
      </c>
      <c r="CZ82" s="483">
        <f t="shared" si="148"/>
        <v>0.1</v>
      </c>
      <c r="DA82" s="483">
        <f t="shared" ca="1" si="149"/>
        <v>3</v>
      </c>
      <c r="DB82" s="483">
        <f t="shared" ca="1" si="150"/>
        <v>1.4000000000000001</v>
      </c>
      <c r="DC82" s="482">
        <f t="shared" si="151"/>
        <v>0</v>
      </c>
      <c r="DD82" s="847">
        <f t="shared" si="152"/>
        <v>0</v>
      </c>
      <c r="DE82" s="440">
        <f t="shared" si="179"/>
        <v>800</v>
      </c>
      <c r="DF82" s="440">
        <f t="shared" si="180"/>
        <v>0</v>
      </c>
      <c r="DG82" s="481">
        <f t="shared" ca="1" si="153"/>
        <v>1.4000000000000001</v>
      </c>
      <c r="DH82" s="450">
        <f t="shared" si="154"/>
        <v>9.0000000000000011E-2</v>
      </c>
      <c r="DI82" s="450">
        <f>MIN(valkyrja_cap,Production!O82/valkyrja_bonus)</f>
        <v>1</v>
      </c>
      <c r="DJ82" s="847">
        <f>MIN(voodoo_magi_cap,Production!O82/voodoo_magi_bonus)</f>
        <v>0.83333333333333337</v>
      </c>
      <c r="DK82" s="847">
        <f>MIN(warlock_cap,Production!O82/warlock_bonus)</f>
        <v>1.25</v>
      </c>
      <c r="DL82" s="847">
        <f ca="1">MIN(nox_nightshade_cap,Construction!DF82/Construction!E82/nox_nightshade_swamp_bonus)</f>
        <v>2.8000000000000003</v>
      </c>
      <c r="DM82" s="482">
        <f t="shared" si="155"/>
        <v>0</v>
      </c>
      <c r="DN82" s="483">
        <f t="shared" ca="1" si="156"/>
        <v>2.8000000000000003</v>
      </c>
      <c r="DO82" s="483">
        <f t="shared" ca="1" si="157"/>
        <v>2.8000000000000003</v>
      </c>
      <c r="DP82" s="483">
        <f t="shared" si="158"/>
        <v>1</v>
      </c>
      <c r="DQ82" s="482">
        <f t="shared" si="159"/>
        <v>0</v>
      </c>
      <c r="DR82" s="483">
        <f t="shared" si="160"/>
        <v>0</v>
      </c>
      <c r="DS82" s="482">
        <f t="shared" si="161"/>
        <v>0</v>
      </c>
      <c r="DT82" s="483">
        <f t="shared" si="162"/>
        <v>0.1</v>
      </c>
      <c r="DX82" s="487">
        <f ca="1">MIN(6,CV82+Races!$F$19)*1.8 +  IF(CV82+Races!$F$19&gt;6,(CV82+Races!$F$19-6)*0.2,0) - Races!$N$19</f>
        <v>2.5200000000000005</v>
      </c>
      <c r="DY82" s="488">
        <f ca="1">1.8 * MIN(MAX(CW82+Races!$E$20,CX82+Races!$F$20),6)  +  0.45 * MIN(MIN(CW82+Races!$E$20,CX82+Races!$F$20),6)  +  0.2 * ( MAX(CW82+Races!$E$20-6,0) + MAX(CX82+Races!$F$20-6,0) )  -  Races!$N$20</f>
        <v>3.1500000000000012</v>
      </c>
      <c r="DZ82" s="57">
        <f t="shared" ca="1" si="163"/>
        <v>3780.0000000000009</v>
      </c>
      <c r="EA82" s="666">
        <f ca="1">MIN(6,CY82+Races!$F$35)*1.8 +  IF(CY82+Races!$F$35&gt;6,(CY82+Races!$F$35-6)*0.2,0) - Races!$N$19</f>
        <v>0.72000000000000064</v>
      </c>
      <c r="EB82" s="57">
        <f t="shared" ca="1" si="164"/>
        <v>0</v>
      </c>
      <c r="EC82" s="666">
        <f ca="1">1.8 * MIN(MAX(Races!$E$27,DB82+Races!$F$27),6)  +  0.45 * MIN(MIN(Races!$E$27,DB82+Races!$F$27),6)  +  0.2 * ( MAX(Races!$E$27-6,0) + MAX(DB82+Races!$F$27-6,0) )  -  Races!$N$20</f>
        <v>4.7700000000000005</v>
      </c>
      <c r="ED82" s="57">
        <f t="shared" ca="1" si="165"/>
        <v>0</v>
      </c>
      <c r="EE82" s="666">
        <f>1.8 * MIN(MAX(DC82+Races!$E$47,DD82+Races!$F$47),6)  +  0.45 * MIN(MIN(DC82+Races!$E$47,DD82+Races!$F$47),6)  +  0.2 * ( MAX(DC82+Races!$E$47-6,0) + MAX(DD82+Races!$F$47-6,0) )  -  Races!$N$47</f>
        <v>0</v>
      </c>
      <c r="EF82" s="57">
        <f t="shared" si="166"/>
        <v>0</v>
      </c>
      <c r="EG82" s="666">
        <f ca="1">1.8 * MIN(MAX(DG82+Races!$F$71,Races!$E$71),6)  +  0.45 * MIN(MIN(DG82+Races!$F$71,Races!$E$71),6)  +  0.2 * ( MAX(DG82+Races!$F$71-6,0) + MAX(Races!$E$71-6,0) )  -  Races!$N$71</f>
        <v>2.5200000000000014</v>
      </c>
      <c r="EH82" s="666">
        <f>1.8 * MIN(MAX(DH82+Races!$E$71,Races!$F$71),6)  +  0.45 * MIN(MIN(DH82+Races!$E$71,Races!$F$71),6)  +  0.2 * ( MAX(DH82+Races!$E$71-6,0) + MAX(Races!$F$71-6,0) )  -  Races!$N$71</f>
        <v>0.16200000000000081</v>
      </c>
      <c r="EI82" s="57">
        <f t="shared" ca="1" si="167"/>
        <v>2584.8000000000015</v>
      </c>
      <c r="EJ82" s="57"/>
      <c r="EK82" s="57"/>
      <c r="EL82" s="57"/>
      <c r="EM82" s="57">
        <f ca="1">Overview!$L$22*E82+Overview!$L$23*F82+Overview!$L$24*G82+Overview!$L$25*H82+Overview!$L$26*I82+Overview!$L$27*J82+Overview!$L$28*K82+Construction!E82*20+Construction!B82*5 + DZ82*$DV$4+EB82*$DV$5+ED82*$DV$6+EF82*$DV$7+EI82*$DV$9</f>
        <v>39460</v>
      </c>
      <c r="EO82" s="738">
        <f>(J82+2*K82)/Construction!E82</f>
        <v>0.1</v>
      </c>
      <c r="EP82" s="734">
        <f ca="1">EO82*(1+race_wizard_strength+tech_magical_weaponry_wiz*Techs!AV154)</f>
        <v>0.1</v>
      </c>
      <c r="EQ82" s="16">
        <f>(I82+halfer*H82/3)/Construction!E82</f>
        <v>0.1</v>
      </c>
    </row>
    <row r="83" spans="1:147" s="16" customFormat="1">
      <c r="A83" s="629">
        <f>Rezone!J83</f>
        <v>81</v>
      </c>
      <c r="B83" s="152">
        <f ca="1">SUM(E83:K83)+SUM(AF75:AG83)+SUM(AH72:AL83)+Z83+Explore!AL83</f>
        <v>5295</v>
      </c>
      <c r="C83" s="97">
        <f ca="1">Population!G83</f>
        <v>0.57305194805194803</v>
      </c>
      <c r="E83" s="156">
        <f t="shared" si="182"/>
        <v>0</v>
      </c>
      <c r="F83" s="170">
        <f t="shared" si="183"/>
        <v>0</v>
      </c>
      <c r="G83" s="170">
        <f t="shared" si="184"/>
        <v>1000</v>
      </c>
      <c r="H83" s="170">
        <f t="shared" si="185"/>
        <v>400</v>
      </c>
      <c r="I83" s="170">
        <f t="shared" si="186"/>
        <v>100</v>
      </c>
      <c r="J83" s="170">
        <f t="shared" si="187"/>
        <v>100</v>
      </c>
      <c r="K83" s="157">
        <f t="shared" si="188"/>
        <v>0</v>
      </c>
      <c r="M83" s="64">
        <f ca="1">Production!G83</f>
        <v>39460</v>
      </c>
      <c r="O83" s="234">
        <f t="shared" ca="1" si="125"/>
        <v>4400</v>
      </c>
      <c r="P83" s="455">
        <f ca="1">race_offense+Imps!AB83+ROUND(MIN(gn_bonus*Construction!BF83/Construction!$E83,gn_bonus_cap),4)+MAX(IF(Magic!$AN83&gt;0,warsong_bonus),IF(Magic!AP83&gt;0,howling_op_bonus),IF(Magic!AS83&gt;0,nightfall_bonus),IF(Magic!AT83&gt;0,crusade_bonus),IF(Magic!AU83&gt;0,killingrage_bonus),IF(Magic!AV83&gt;0,bloodrage_bonus)) + Production!O83/100*prestige_offense_bonus + MAX(tech_military_offense*Techs!AH83,tech_magical_weaponry_op*Techs!AV83)</f>
        <v>0.05</v>
      </c>
      <c r="Q83" s="235">
        <f t="shared" ca="1" si="168"/>
        <v>4620</v>
      </c>
      <c r="R83" s="234">
        <f ca="1">F83*(spec_dp+spirit*DR83)+G83*(elite1_dp+woodie*CV83+sylvan*CY83+gnome*DB83+dark_elf*DD83+icekin*DG83+orc*DJ83+nox*DL83+beast*DN83+sacred*DP83+spirit*DS83+blackorc*DK83)+H83*(elite2_dp+woodie*CX83+beast*DO83+sacred*DQ83) + fh_peas_dp*MIN(Population!C83,20*Construction!BD83)+kobold*DE83</f>
        <v>7200</v>
      </c>
      <c r="S83" s="235">
        <f t="shared" ca="1" si="126"/>
        <v>10895</v>
      </c>
      <c r="T83" s="1052">
        <f ca="1">race_defense+Imps!AC83+ROUND(MIN(gt_bonus*Construction!BH83/Construction!$E83,gt_bonus_cap),4)+MAX(IF(Magic!AM83&gt;0,frenzy_bonus,IF(Magic!AQ83&gt;0,blizzard_bonus,IF(Magic!AP83&gt;0,howling_dp_bonus,IF(Magic!AI83&gt;0,ares_call_bonus)))),IF(Magic!AX83&gt;0,MIN(Construction!DF83/Construction!E83,0.2),0))</f>
        <v>0</v>
      </c>
      <c r="U83" s="1046">
        <f t="shared" ca="1" si="169"/>
        <v>7200</v>
      </c>
      <c r="V83" s="308">
        <f t="shared" ca="1" si="170"/>
        <v>10895</v>
      </c>
      <c r="W83" s="310">
        <f>Construction!E83</f>
        <v>1000</v>
      </c>
      <c r="X83" s="367"/>
      <c r="Y83" s="146">
        <f t="shared" si="181"/>
        <v>0.4</v>
      </c>
      <c r="Z83" s="166">
        <f ca="1">Z82+Population!Z82 - IF(race="Lux",AF83,SUM(AF83:AK83)) - BE83 + SUM(BF83:BL83) - Explore!AI83</f>
        <v>3695</v>
      </c>
      <c r="AA83" s="164"/>
      <c r="AB83" s="91">
        <f>(Construction!$BA83+Construction!BY83)/(Construction!$E83-Explore!S83*20)</f>
        <v>0.2</v>
      </c>
      <c r="AC83" s="629"/>
      <c r="AD83" s="799">
        <f>Rezone!J83</f>
        <v>81</v>
      </c>
      <c r="AE83" s="589">
        <f>Explore!AA83</f>
        <v>43695.333333333139</v>
      </c>
      <c r="AF83" s="356"/>
      <c r="AG83" s="348"/>
      <c r="AH83" s="348"/>
      <c r="AI83" s="348"/>
      <c r="AJ83" s="348"/>
      <c r="AK83" s="348"/>
      <c r="AL83" s="357"/>
      <c r="AN83" s="56">
        <f ca="1">Production!$H83</f>
        <v>3799591</v>
      </c>
      <c r="AO83" s="26">
        <f ca="1">Production!$L83</f>
        <v>231000</v>
      </c>
      <c r="AP83" s="26">
        <f ca="1">Production!J83</f>
        <v>273447</v>
      </c>
      <c r="AQ83" s="26">
        <f ca="1">Production!M83</f>
        <v>20000</v>
      </c>
      <c r="AR83" s="26">
        <f ca="1">Production!K83</f>
        <v>54058</v>
      </c>
      <c r="AS83" s="26">
        <f ca="1">Production!I83</f>
        <v>277232</v>
      </c>
      <c r="AT83" s="26">
        <f ca="1">Production!N83</f>
        <v>200</v>
      </c>
      <c r="AU83" s="152">
        <f t="shared" ca="1" si="127"/>
        <v>0</v>
      </c>
      <c r="AV83" s="164">
        <f t="shared" ca="1" si="128"/>
        <v>0</v>
      </c>
      <c r="AW83" s="164">
        <f t="shared" ca="1" si="171"/>
        <v>0</v>
      </c>
      <c r="AX83" s="164">
        <f t="shared" ca="1" si="172"/>
        <v>0</v>
      </c>
      <c r="AY83" s="164">
        <f t="shared" ca="1" si="173"/>
        <v>0</v>
      </c>
      <c r="AZ83" s="164">
        <f t="shared" ca="1" si="174"/>
        <v>0</v>
      </c>
      <c r="BA83" s="166">
        <f t="shared" ca="1" si="175"/>
        <v>0</v>
      </c>
      <c r="BB83" s="16">
        <v>68</v>
      </c>
      <c r="BC83" s="574">
        <f t="shared" si="189"/>
        <v>43695.333333333139</v>
      </c>
      <c r="BD83" s="148">
        <f t="shared" ca="1" si="177"/>
        <v>3695</v>
      </c>
      <c r="BE83" s="375"/>
      <c r="BF83" s="348"/>
      <c r="BG83" s="348"/>
      <c r="BH83" s="348"/>
      <c r="BI83" s="348"/>
      <c r="BJ83" s="348"/>
      <c r="BK83" s="348"/>
      <c r="BL83" s="357"/>
      <c r="BN83" s="503">
        <f>Construction!BM83/Construction!E83</f>
        <v>0</v>
      </c>
      <c r="BO83" s="171">
        <f>Construction!BD83/Construction!E83</f>
        <v>0</v>
      </c>
      <c r="BP83" s="152">
        <f>ROUNDUP((1-MIN(AB83*smithy_bonus,smithy_bonus_cap))*(1+Techs!AO83*tech_master_of_frugality)*spec_op_plat,0)</f>
        <v>165</v>
      </c>
      <c r="BQ83" s="164">
        <f>ROUNDUP(IF(race="Gnome",1,(1-MIN(AB83*smithy_bonus,smithy_bonus_cap))*(1+Techs!AO83*tech_master_of_frugality))*spec_op_ore,0)</f>
        <v>15</v>
      </c>
      <c r="BR83" s="164">
        <f t="shared" si="129"/>
        <v>0</v>
      </c>
      <c r="BS83" s="164">
        <f t="shared" si="130"/>
        <v>0</v>
      </c>
      <c r="BT83" s="164">
        <f ca="1">ROUNDUP((1-MIN(AB83*smithy_bonus,smithy_bonus_cap))*(1+Techs!AO83*tech_master_of_frugality)*spec_dp_plat,0)</f>
        <v>165</v>
      </c>
      <c r="BU83" s="164">
        <f ca="1">ROUNDUP(IF(OR(race="Gnome",race="Imperial Gnome"),1,(1-MIN(AB83*smithy_bonus,smithy_bonus_cap))*(1+Techs!AO83*tech_master_of_frugality))*spec_dp_ore,0)</f>
        <v>6</v>
      </c>
      <c r="BV83" s="164">
        <f t="shared" ca="1" si="131"/>
        <v>0</v>
      </c>
      <c r="BW83" s="164">
        <f t="shared" ca="1" si="132"/>
        <v>0</v>
      </c>
      <c r="BX83" s="164">
        <f t="shared" ca="1" si="133"/>
        <v>0</v>
      </c>
      <c r="BY83" s="164">
        <f ca="1">ROUNDUP((1-MIN(AB83*smithy_bonus,smithy_bonus_cap))*(1+Techs!AO83*tech_master_of_frugality)*elite1_plat,0)</f>
        <v>600</v>
      </c>
      <c r="BZ83" s="164">
        <f ca="1">ROUNDUP(IF(race="Gnome",1,(1-MIN(AB83*smithy_bonus,smithy_bonus_cap))*(1+Techs!AO83*tech_master_of_frugality))*elite1_ore,0)</f>
        <v>45</v>
      </c>
      <c r="CA83" s="164">
        <f t="shared" ca="1" si="134"/>
        <v>0</v>
      </c>
      <c r="CB83" s="164">
        <f t="shared" ca="1" si="135"/>
        <v>0</v>
      </c>
      <c r="CC83" s="164">
        <f t="shared" ca="1" si="136"/>
        <v>0</v>
      </c>
      <c r="CD83" s="164">
        <f t="shared" ca="1" si="137"/>
        <v>0</v>
      </c>
      <c r="CE83" s="164">
        <f t="shared" ca="1" si="138"/>
        <v>0</v>
      </c>
      <c r="CF83" s="164">
        <f ca="1">ROUNDUP((1-MIN(AB83*smithy_bonus,smithy_bonus_cap))*(1+Techs!AO83*tech_master_of_frugality)*elite2_plat,0)</f>
        <v>750</v>
      </c>
      <c r="CG83" s="164">
        <f ca="1">ROUNDUP(IF(race="Gnome",1,(1-MIN(AB83*smithy_bonus,smithy_bonus_cap))*(1+Techs!AO83*tech_master_of_frugality))*elite2_ore,0)</f>
        <v>60</v>
      </c>
      <c r="CH83" s="164">
        <f t="shared" ca="1" si="139"/>
        <v>0</v>
      </c>
      <c r="CI83" s="164">
        <f t="shared" ca="1" si="140"/>
        <v>0</v>
      </c>
      <c r="CJ83" s="164">
        <f t="shared" ca="1" si="141"/>
        <v>0</v>
      </c>
      <c r="CK83" s="164">
        <f t="shared" ca="1" si="142"/>
        <v>0</v>
      </c>
      <c r="CL83" s="164">
        <f t="shared" ca="1" si="143"/>
        <v>0</v>
      </c>
      <c r="CM83" s="164">
        <f>ROUNDUP((1+tech_spy_cost*Techs!AJ83)*spy_plat,0)</f>
        <v>500</v>
      </c>
      <c r="CN83" s="164">
        <f>ROUNDUP((1+tech_wizard_cost*Techs!AM83-MIN(ROUND(wg_wiz_cost_bonus*BN83,4),wg_wiz_cost_cap))*wizard_plat,0)</f>
        <v>500</v>
      </c>
      <c r="CO83" s="166">
        <f>ROUNDUP((1+tech_wizard_cost*Techs!AM83-MIN(ROUND(wg_wiz_cost_bonus*BN83,4),wg_wiz_cost_cap))*archmage_plat,0)</f>
        <v>1000</v>
      </c>
      <c r="CQ83" s="465">
        <f ca="1">Construction!DF83/Construction!E83</f>
        <v>0.28000000000000003</v>
      </c>
      <c r="CR83" s="466">
        <f t="shared" si="190"/>
        <v>0</v>
      </c>
      <c r="CS83" s="466">
        <f>Construction!BK83/Construction!E83</f>
        <v>0.05</v>
      </c>
      <c r="CT83" s="466">
        <f>Construction!BJ83/Construction!E83</f>
        <v>0</v>
      </c>
      <c r="CU83" s="466">
        <f>Construction!AY83/Construction!E83</f>
        <v>0</v>
      </c>
      <c r="CV83" s="481">
        <f t="shared" ca="1" si="144"/>
        <v>1.4000000000000001</v>
      </c>
      <c r="CW83" s="482">
        <f t="shared" ca="1" si="145"/>
        <v>1.4000000000000001</v>
      </c>
      <c r="CX83" s="482">
        <f t="shared" ca="1" si="146"/>
        <v>1.4000000000000001</v>
      </c>
      <c r="CY83" s="483">
        <f t="shared" ca="1" si="147"/>
        <v>1.4000000000000001</v>
      </c>
      <c r="CZ83" s="483">
        <f t="shared" si="148"/>
        <v>0.1</v>
      </c>
      <c r="DA83" s="483">
        <f t="shared" ca="1" si="149"/>
        <v>3</v>
      </c>
      <c r="DB83" s="483">
        <f t="shared" ca="1" si="150"/>
        <v>1.4000000000000001</v>
      </c>
      <c r="DC83" s="482">
        <f t="shared" si="151"/>
        <v>0</v>
      </c>
      <c r="DD83" s="847">
        <f t="shared" si="152"/>
        <v>0</v>
      </c>
      <c r="DE83" s="440">
        <f t="shared" si="179"/>
        <v>800</v>
      </c>
      <c r="DF83" s="440">
        <f t="shared" si="180"/>
        <v>0</v>
      </c>
      <c r="DG83" s="481">
        <f t="shared" ca="1" si="153"/>
        <v>1.4000000000000001</v>
      </c>
      <c r="DH83" s="450">
        <f t="shared" si="154"/>
        <v>9.0000000000000011E-2</v>
      </c>
      <c r="DI83" s="450">
        <f>MIN(valkyrja_cap,Production!O83/valkyrja_bonus)</f>
        <v>1</v>
      </c>
      <c r="DJ83" s="847">
        <f>MIN(voodoo_magi_cap,Production!O83/voodoo_magi_bonus)</f>
        <v>0.83333333333333337</v>
      </c>
      <c r="DK83" s="847">
        <f>MIN(warlock_cap,Production!O83/warlock_bonus)</f>
        <v>1.25</v>
      </c>
      <c r="DL83" s="847">
        <f ca="1">MIN(nox_nightshade_cap,Construction!DF83/Construction!E83/nox_nightshade_swamp_bonus)</f>
        <v>2.8000000000000003</v>
      </c>
      <c r="DM83" s="482">
        <f t="shared" si="155"/>
        <v>0</v>
      </c>
      <c r="DN83" s="483">
        <f t="shared" ca="1" si="156"/>
        <v>2.8000000000000003</v>
      </c>
      <c r="DO83" s="483">
        <f t="shared" ca="1" si="157"/>
        <v>2.8000000000000003</v>
      </c>
      <c r="DP83" s="483">
        <f t="shared" si="158"/>
        <v>1</v>
      </c>
      <c r="DQ83" s="482">
        <f t="shared" si="159"/>
        <v>0</v>
      </c>
      <c r="DR83" s="483">
        <f t="shared" si="160"/>
        <v>0</v>
      </c>
      <c r="DS83" s="482">
        <f t="shared" si="161"/>
        <v>0</v>
      </c>
      <c r="DT83" s="483">
        <f t="shared" si="162"/>
        <v>0.1</v>
      </c>
      <c r="DU83" s="107"/>
      <c r="DX83" s="487">
        <f ca="1">MIN(6,CV83+Races!$F$19)*1.8 +  IF(CV83+Races!$F$19&gt;6,(CV83+Races!$F$19-6)*0.2,0) - Races!$N$19</f>
        <v>2.5200000000000005</v>
      </c>
      <c r="DY83" s="488">
        <f ca="1">1.8 * MIN(MAX(CW83+Races!$E$20,CX83+Races!$F$20),6)  +  0.45 * MIN(MIN(CW83+Races!$E$20,CX83+Races!$F$20),6)  +  0.2 * ( MAX(CW83+Races!$E$20-6,0) + MAX(CX83+Races!$F$20-6,0) )  -  Races!$N$20</f>
        <v>3.1500000000000012</v>
      </c>
      <c r="DZ83" s="57">
        <f t="shared" ca="1" si="163"/>
        <v>3780.0000000000009</v>
      </c>
      <c r="EA83" s="666">
        <f ca="1">MIN(6,CY83+Races!$F$35)*1.8 +  IF(CY83+Races!$F$35&gt;6,(CY83+Races!$F$35-6)*0.2,0) - Races!$N$19</f>
        <v>0.72000000000000064</v>
      </c>
      <c r="EB83" s="57">
        <f t="shared" ca="1" si="164"/>
        <v>0</v>
      </c>
      <c r="EC83" s="666">
        <f ca="1">1.8 * MIN(MAX(Races!$E$27,DB83+Races!$F$27),6)  +  0.45 * MIN(MIN(Races!$E$27,DB83+Races!$F$27),6)  +  0.2 * ( MAX(Races!$E$27-6,0) + MAX(DB83+Races!$F$27-6,0) )  -  Races!$N$20</f>
        <v>4.7700000000000005</v>
      </c>
      <c r="ED83" s="57">
        <f t="shared" ca="1" si="165"/>
        <v>0</v>
      </c>
      <c r="EE83" s="666">
        <f>1.8 * MIN(MAX(DC83+Races!$E$47,DD83+Races!$F$47),6)  +  0.45 * MIN(MIN(DC83+Races!$E$47,DD83+Races!$F$47),6)  +  0.2 * ( MAX(DC83+Races!$E$47-6,0) + MAX(DD83+Races!$F$47-6,0) )  -  Races!$N$47</f>
        <v>0</v>
      </c>
      <c r="EF83" s="57">
        <f t="shared" si="166"/>
        <v>0</v>
      </c>
      <c r="EG83" s="666">
        <f ca="1">1.8 * MIN(MAX(DG83+Races!$F$71,Races!$E$71),6)  +  0.45 * MIN(MIN(DG83+Races!$F$71,Races!$E$71),6)  +  0.2 * ( MAX(DG83+Races!$F$71-6,0) + MAX(Races!$E$71-6,0) )  -  Races!$N$71</f>
        <v>2.5200000000000014</v>
      </c>
      <c r="EH83" s="666">
        <f>1.8 * MIN(MAX(DH83+Races!$E$71,Races!$F$71),6)  +  0.45 * MIN(MIN(DH83+Races!$E$71,Races!$F$71),6)  +  0.2 * ( MAX(DH83+Races!$E$71-6,0) + MAX(Races!$F$71-6,0) )  -  Races!$N$71</f>
        <v>0.16200000000000081</v>
      </c>
      <c r="EI83" s="57">
        <f t="shared" ca="1" si="167"/>
        <v>2584.8000000000015</v>
      </c>
      <c r="EJ83" s="57"/>
      <c r="EK83" s="57"/>
      <c r="EL83" s="57"/>
      <c r="EM83" s="57">
        <f ca="1">Overview!$L$22*E83+Overview!$L$23*F83+Overview!$L$24*G83+Overview!$L$25*H83+Overview!$L$26*I83+Overview!$L$27*J83+Overview!$L$28*K83+Construction!E83*20+Construction!B83*5 + DZ83*$DV$4+EB83*$DV$5+ED83*$DV$6+EF83*$DV$7+EI83*$DV$9</f>
        <v>39460</v>
      </c>
      <c r="EO83" s="738">
        <f>(J83+2*K83)/Construction!E83</f>
        <v>0.1</v>
      </c>
      <c r="EP83" s="734">
        <f ca="1">EO83*(1+race_wizard_strength+tech_magical_weaponry_wiz*Techs!AV155)</f>
        <v>0.1</v>
      </c>
      <c r="EQ83" s="16">
        <f>(I83+halfer*H83/3)/Construction!E83</f>
        <v>0.1</v>
      </c>
    </row>
    <row r="84" spans="1:147" s="16" customFormat="1">
      <c r="A84" s="629">
        <f>Rezone!J84</f>
        <v>82</v>
      </c>
      <c r="B84" s="152">
        <f ca="1">SUM(E84:K84)+SUM(AF76:AG84)+SUM(AH73:AL84)+Z84+Explore!AL84</f>
        <v>5295</v>
      </c>
      <c r="C84" s="97">
        <f ca="1">Population!G84</f>
        <v>0.57305194805194803</v>
      </c>
      <c r="E84" s="156">
        <f t="shared" si="182"/>
        <v>0</v>
      </c>
      <c r="F84" s="170">
        <f t="shared" si="183"/>
        <v>0</v>
      </c>
      <c r="G84" s="170">
        <f t="shared" si="184"/>
        <v>1000</v>
      </c>
      <c r="H84" s="170">
        <f t="shared" si="185"/>
        <v>400</v>
      </c>
      <c r="I84" s="170">
        <f t="shared" si="186"/>
        <v>100</v>
      </c>
      <c r="J84" s="170">
        <f t="shared" si="187"/>
        <v>100</v>
      </c>
      <c r="K84" s="157">
        <f t="shared" si="188"/>
        <v>0</v>
      </c>
      <c r="M84" s="64">
        <f ca="1">Production!G84</f>
        <v>39460</v>
      </c>
      <c r="O84" s="234">
        <f t="shared" ca="1" si="125"/>
        <v>4400</v>
      </c>
      <c r="P84" s="455">
        <f ca="1">race_offense+Imps!AB84+ROUND(MIN(gn_bonus*Construction!BF84/Construction!$E84,gn_bonus_cap),4)+MAX(IF(Magic!$AN84&gt;0,warsong_bonus),IF(Magic!AP84&gt;0,howling_op_bonus),IF(Magic!AS84&gt;0,nightfall_bonus),IF(Magic!AT84&gt;0,crusade_bonus),IF(Magic!AU84&gt;0,killingrage_bonus),IF(Magic!AV84&gt;0,bloodrage_bonus)) + Production!O84/100*prestige_offense_bonus + MAX(tech_military_offense*Techs!AH84,tech_magical_weaponry_op*Techs!AV84)</f>
        <v>0.05</v>
      </c>
      <c r="Q84" s="235">
        <f t="shared" ca="1" si="168"/>
        <v>4620</v>
      </c>
      <c r="R84" s="234">
        <f ca="1">F84*(spec_dp+spirit*DR84)+G84*(elite1_dp+woodie*CV84+sylvan*CY84+gnome*DB84+dark_elf*DD84+icekin*DG84+orc*DJ84+nox*DL84+beast*DN84+sacred*DP84+spirit*DS84+blackorc*DK84)+H84*(elite2_dp+woodie*CX84+beast*DO84+sacred*DQ84) + fh_peas_dp*MIN(Population!C84,20*Construction!BD84)+kobold*DE84</f>
        <v>7200</v>
      </c>
      <c r="S84" s="235">
        <f t="shared" ca="1" si="126"/>
        <v>10895</v>
      </c>
      <c r="T84" s="1052">
        <f ca="1">race_defense+Imps!AC84+ROUND(MIN(gt_bonus*Construction!BH84/Construction!$E84,gt_bonus_cap),4)+MAX(IF(Magic!AM84&gt;0,frenzy_bonus,IF(Magic!AQ84&gt;0,blizzard_bonus,IF(Magic!AP84&gt;0,howling_dp_bonus,IF(Magic!AI84&gt;0,ares_call_bonus)))),IF(Magic!AX84&gt;0,MIN(Construction!DF84/Construction!E84,0.2),0))</f>
        <v>0</v>
      </c>
      <c r="U84" s="1046">
        <f t="shared" ca="1" si="169"/>
        <v>7200</v>
      </c>
      <c r="V84" s="308">
        <f t="shared" ca="1" si="170"/>
        <v>10895</v>
      </c>
      <c r="W84" s="310">
        <f>Construction!E84</f>
        <v>1000</v>
      </c>
      <c r="X84" s="367"/>
      <c r="Y84" s="146">
        <f t="shared" si="181"/>
        <v>0.4</v>
      </c>
      <c r="Z84" s="166">
        <f ca="1">Z83+Population!Z83 - IF(race="Lux",AF84,SUM(AF84:AK84)) - BE84 + SUM(BF84:BL84) - Explore!AI84</f>
        <v>3695</v>
      </c>
      <c r="AA84" s="164"/>
      <c r="AB84" s="91">
        <f>(Construction!$BA84+Construction!BY84)/(Construction!$E84-Explore!S84*20)</f>
        <v>0.2</v>
      </c>
      <c r="AC84" s="629"/>
      <c r="AD84" s="799">
        <f>Rezone!J84</f>
        <v>82</v>
      </c>
      <c r="AE84" s="589">
        <f>Explore!AA84</f>
        <v>43695.374999999804</v>
      </c>
      <c r="AF84" s="356"/>
      <c r="AG84" s="348"/>
      <c r="AH84" s="348"/>
      <c r="AI84" s="348"/>
      <c r="AJ84" s="348"/>
      <c r="AK84" s="348"/>
      <c r="AL84" s="357"/>
      <c r="AN84" s="56">
        <f ca="1">Production!$H84</f>
        <v>3810242</v>
      </c>
      <c r="AO84" s="26">
        <f ca="1">Production!$L84</f>
        <v>231000</v>
      </c>
      <c r="AP84" s="26">
        <f ca="1">Production!J84</f>
        <v>273213</v>
      </c>
      <c r="AQ84" s="26">
        <f ca="1">Production!M84</f>
        <v>20000</v>
      </c>
      <c r="AR84" s="26">
        <f ca="1">Production!K84</f>
        <v>54227</v>
      </c>
      <c r="AS84" s="26">
        <f ca="1">Production!I84</f>
        <v>279190</v>
      </c>
      <c r="AT84" s="26">
        <f ca="1">Production!N84</f>
        <v>200</v>
      </c>
      <c r="AU84" s="152">
        <f t="shared" ca="1" si="127"/>
        <v>0</v>
      </c>
      <c r="AV84" s="164">
        <f t="shared" ca="1" si="128"/>
        <v>0</v>
      </c>
      <c r="AW84" s="164">
        <f t="shared" ca="1" si="171"/>
        <v>0</v>
      </c>
      <c r="AX84" s="164">
        <f t="shared" ca="1" si="172"/>
        <v>0</v>
      </c>
      <c r="AY84" s="164">
        <f t="shared" ca="1" si="173"/>
        <v>0</v>
      </c>
      <c r="AZ84" s="164">
        <f t="shared" ca="1" si="174"/>
        <v>0</v>
      </c>
      <c r="BA84" s="166">
        <f t="shared" ca="1" si="175"/>
        <v>0</v>
      </c>
      <c r="BB84" s="16">
        <v>69</v>
      </c>
      <c r="BC84" s="574">
        <f t="shared" si="189"/>
        <v>43695.374999999804</v>
      </c>
      <c r="BD84" s="148">
        <f t="shared" ca="1" si="177"/>
        <v>3695</v>
      </c>
      <c r="BE84" s="375"/>
      <c r="BF84" s="348"/>
      <c r="BG84" s="348"/>
      <c r="BH84" s="348"/>
      <c r="BI84" s="348"/>
      <c r="BJ84" s="348"/>
      <c r="BK84" s="348"/>
      <c r="BL84" s="357"/>
      <c r="BN84" s="503">
        <f>Construction!BM84/Construction!E84</f>
        <v>0</v>
      </c>
      <c r="BO84" s="171">
        <f>Construction!BD84/Construction!E84</f>
        <v>0</v>
      </c>
      <c r="BP84" s="152">
        <f>ROUNDUP((1-MIN(AB84*smithy_bonus,smithy_bonus_cap))*(1+Techs!AO84*tech_master_of_frugality)*spec_op_plat,0)</f>
        <v>165</v>
      </c>
      <c r="BQ84" s="164">
        <f>ROUNDUP(IF(race="Gnome",1,(1-MIN(AB84*smithy_bonus,smithy_bonus_cap))*(1+Techs!AO84*tech_master_of_frugality))*spec_op_ore,0)</f>
        <v>15</v>
      </c>
      <c r="BR84" s="164">
        <f t="shared" si="129"/>
        <v>0</v>
      </c>
      <c r="BS84" s="164">
        <f t="shared" si="130"/>
        <v>0</v>
      </c>
      <c r="BT84" s="164">
        <f ca="1">ROUNDUP((1-MIN(AB84*smithy_bonus,smithy_bonus_cap))*(1+Techs!AO84*tech_master_of_frugality)*spec_dp_plat,0)</f>
        <v>165</v>
      </c>
      <c r="BU84" s="164">
        <f ca="1">ROUNDUP(IF(OR(race="Gnome",race="Imperial Gnome"),1,(1-MIN(AB84*smithy_bonus,smithy_bonus_cap))*(1+Techs!AO84*tech_master_of_frugality))*spec_dp_ore,0)</f>
        <v>6</v>
      </c>
      <c r="BV84" s="164">
        <f t="shared" ca="1" si="131"/>
        <v>0</v>
      </c>
      <c r="BW84" s="164">
        <f t="shared" ca="1" si="132"/>
        <v>0</v>
      </c>
      <c r="BX84" s="164">
        <f t="shared" ca="1" si="133"/>
        <v>0</v>
      </c>
      <c r="BY84" s="164">
        <f ca="1">ROUNDUP((1-MIN(AB84*smithy_bonus,smithy_bonus_cap))*(1+Techs!AO84*tech_master_of_frugality)*elite1_plat,0)</f>
        <v>600</v>
      </c>
      <c r="BZ84" s="164">
        <f ca="1">ROUNDUP(IF(race="Gnome",1,(1-MIN(AB84*smithy_bonus,smithy_bonus_cap))*(1+Techs!AO84*tech_master_of_frugality))*elite1_ore,0)</f>
        <v>45</v>
      </c>
      <c r="CA84" s="164">
        <f t="shared" ca="1" si="134"/>
        <v>0</v>
      </c>
      <c r="CB84" s="164">
        <f t="shared" ca="1" si="135"/>
        <v>0</v>
      </c>
      <c r="CC84" s="164">
        <f t="shared" ca="1" si="136"/>
        <v>0</v>
      </c>
      <c r="CD84" s="164">
        <f t="shared" ca="1" si="137"/>
        <v>0</v>
      </c>
      <c r="CE84" s="164">
        <f t="shared" ca="1" si="138"/>
        <v>0</v>
      </c>
      <c r="CF84" s="164">
        <f ca="1">ROUNDUP((1-MIN(AB84*smithy_bonus,smithy_bonus_cap))*(1+Techs!AO84*tech_master_of_frugality)*elite2_plat,0)</f>
        <v>750</v>
      </c>
      <c r="CG84" s="164">
        <f ca="1">ROUNDUP(IF(race="Gnome",1,(1-MIN(AB84*smithy_bonus,smithy_bonus_cap))*(1+Techs!AO84*tech_master_of_frugality))*elite2_ore,0)</f>
        <v>60</v>
      </c>
      <c r="CH84" s="164">
        <f t="shared" ca="1" si="139"/>
        <v>0</v>
      </c>
      <c r="CI84" s="164">
        <f t="shared" ca="1" si="140"/>
        <v>0</v>
      </c>
      <c r="CJ84" s="164">
        <f t="shared" ca="1" si="141"/>
        <v>0</v>
      </c>
      <c r="CK84" s="164">
        <f t="shared" ca="1" si="142"/>
        <v>0</v>
      </c>
      <c r="CL84" s="164">
        <f t="shared" ca="1" si="143"/>
        <v>0</v>
      </c>
      <c r="CM84" s="164">
        <f>ROUNDUP((1+tech_spy_cost*Techs!AJ84)*spy_plat,0)</f>
        <v>500</v>
      </c>
      <c r="CN84" s="164">
        <f>ROUNDUP((1+tech_wizard_cost*Techs!AM84-MIN(ROUND(wg_wiz_cost_bonus*BN84,4),wg_wiz_cost_cap))*wizard_plat,0)</f>
        <v>500</v>
      </c>
      <c r="CO84" s="166">
        <f>ROUNDUP((1+tech_wizard_cost*Techs!AM84-MIN(ROUND(wg_wiz_cost_bonus*BN84,4),wg_wiz_cost_cap))*archmage_plat,0)</f>
        <v>1000</v>
      </c>
      <c r="CQ84" s="465">
        <f ca="1">Construction!DF84/Construction!E84</f>
        <v>0.28000000000000003</v>
      </c>
      <c r="CR84" s="466">
        <f t="shared" si="190"/>
        <v>0</v>
      </c>
      <c r="CS84" s="466">
        <f>Construction!BK84/Construction!E84</f>
        <v>0.05</v>
      </c>
      <c r="CT84" s="466">
        <f>Construction!BJ84/Construction!E84</f>
        <v>0</v>
      </c>
      <c r="CU84" s="466">
        <f>Construction!AY84/Construction!E84</f>
        <v>0</v>
      </c>
      <c r="CV84" s="481">
        <f t="shared" ca="1" si="144"/>
        <v>1.4000000000000001</v>
      </c>
      <c r="CW84" s="482">
        <f t="shared" ca="1" si="145"/>
        <v>1.4000000000000001</v>
      </c>
      <c r="CX84" s="482">
        <f t="shared" ca="1" si="146"/>
        <v>1.4000000000000001</v>
      </c>
      <c r="CY84" s="483">
        <f t="shared" ca="1" si="147"/>
        <v>1.4000000000000001</v>
      </c>
      <c r="CZ84" s="483">
        <f t="shared" si="148"/>
        <v>0.1</v>
      </c>
      <c r="DA84" s="483">
        <f t="shared" ca="1" si="149"/>
        <v>3</v>
      </c>
      <c r="DB84" s="483">
        <f t="shared" ca="1" si="150"/>
        <v>1.4000000000000001</v>
      </c>
      <c r="DC84" s="482">
        <f t="shared" si="151"/>
        <v>0</v>
      </c>
      <c r="DD84" s="847">
        <f t="shared" si="152"/>
        <v>0</v>
      </c>
      <c r="DE84" s="440">
        <f t="shared" si="179"/>
        <v>800</v>
      </c>
      <c r="DF84" s="440">
        <f t="shared" si="180"/>
        <v>0</v>
      </c>
      <c r="DG84" s="481">
        <f t="shared" ca="1" si="153"/>
        <v>1.4000000000000001</v>
      </c>
      <c r="DH84" s="450">
        <f t="shared" si="154"/>
        <v>9.0000000000000011E-2</v>
      </c>
      <c r="DI84" s="450">
        <f>MIN(valkyrja_cap,Production!O84/valkyrja_bonus)</f>
        <v>1</v>
      </c>
      <c r="DJ84" s="847">
        <f>MIN(voodoo_magi_cap,Production!O84/voodoo_magi_bonus)</f>
        <v>0.83333333333333337</v>
      </c>
      <c r="DK84" s="847">
        <f>MIN(warlock_cap,Production!O84/warlock_bonus)</f>
        <v>1.25</v>
      </c>
      <c r="DL84" s="847">
        <f ca="1">MIN(nox_nightshade_cap,Construction!DF84/Construction!E84/nox_nightshade_swamp_bonus)</f>
        <v>2.8000000000000003</v>
      </c>
      <c r="DM84" s="482">
        <f t="shared" si="155"/>
        <v>0</v>
      </c>
      <c r="DN84" s="483">
        <f t="shared" ca="1" si="156"/>
        <v>2.8000000000000003</v>
      </c>
      <c r="DO84" s="483">
        <f t="shared" ca="1" si="157"/>
        <v>2.8000000000000003</v>
      </c>
      <c r="DP84" s="483">
        <f t="shared" si="158"/>
        <v>1</v>
      </c>
      <c r="DQ84" s="482">
        <f t="shared" si="159"/>
        <v>0</v>
      </c>
      <c r="DR84" s="483">
        <f t="shared" si="160"/>
        <v>0</v>
      </c>
      <c r="DS84" s="482">
        <f t="shared" si="161"/>
        <v>0</v>
      </c>
      <c r="DT84" s="483">
        <f t="shared" si="162"/>
        <v>0.1</v>
      </c>
      <c r="DX84" s="487">
        <f ca="1">MIN(6,CV84+Races!$F$19)*1.8 +  IF(CV84+Races!$F$19&gt;6,(CV84+Races!$F$19-6)*0.2,0) - Races!$N$19</f>
        <v>2.5200000000000005</v>
      </c>
      <c r="DY84" s="488">
        <f ca="1">1.8 * MIN(MAX(CW84+Races!$E$20,CX84+Races!$F$20),6)  +  0.45 * MIN(MIN(CW84+Races!$E$20,CX84+Races!$F$20),6)  +  0.2 * ( MAX(CW84+Races!$E$20-6,0) + MAX(CX84+Races!$F$20-6,0) )  -  Races!$N$20</f>
        <v>3.1500000000000012</v>
      </c>
      <c r="DZ84" s="57">
        <f t="shared" ca="1" si="163"/>
        <v>3780.0000000000009</v>
      </c>
      <c r="EA84" s="666">
        <f ca="1">MIN(6,CY84+Races!$F$35)*1.8 +  IF(CY84+Races!$F$35&gt;6,(CY84+Races!$F$35-6)*0.2,0) - Races!$N$19</f>
        <v>0.72000000000000064</v>
      </c>
      <c r="EB84" s="57">
        <f t="shared" ca="1" si="164"/>
        <v>0</v>
      </c>
      <c r="EC84" s="666">
        <f ca="1">1.8 * MIN(MAX(Races!$E$27,DB84+Races!$F$27),6)  +  0.45 * MIN(MIN(Races!$E$27,DB84+Races!$F$27),6)  +  0.2 * ( MAX(Races!$E$27-6,0) + MAX(DB84+Races!$F$27-6,0) )  -  Races!$N$20</f>
        <v>4.7700000000000005</v>
      </c>
      <c r="ED84" s="57">
        <f t="shared" ca="1" si="165"/>
        <v>0</v>
      </c>
      <c r="EE84" s="666">
        <f>1.8 * MIN(MAX(DC84+Races!$E$47,DD84+Races!$F$47),6)  +  0.45 * MIN(MIN(DC84+Races!$E$47,DD84+Races!$F$47),6)  +  0.2 * ( MAX(DC84+Races!$E$47-6,0) + MAX(DD84+Races!$F$47-6,0) )  -  Races!$N$47</f>
        <v>0</v>
      </c>
      <c r="EF84" s="57">
        <f t="shared" si="166"/>
        <v>0</v>
      </c>
      <c r="EG84" s="666">
        <f ca="1">1.8 * MIN(MAX(DG84+Races!$F$71,Races!$E$71),6)  +  0.45 * MIN(MIN(DG84+Races!$F$71,Races!$E$71),6)  +  0.2 * ( MAX(DG84+Races!$F$71-6,0) + MAX(Races!$E$71-6,0) )  -  Races!$N$71</f>
        <v>2.5200000000000014</v>
      </c>
      <c r="EH84" s="666">
        <f>1.8 * MIN(MAX(DH84+Races!$E$71,Races!$F$71),6)  +  0.45 * MIN(MIN(DH84+Races!$E$71,Races!$F$71),6)  +  0.2 * ( MAX(DH84+Races!$E$71-6,0) + MAX(Races!$F$71-6,0) )  -  Races!$N$71</f>
        <v>0.16200000000000081</v>
      </c>
      <c r="EI84" s="57">
        <f t="shared" ca="1" si="167"/>
        <v>2584.8000000000015</v>
      </c>
      <c r="EJ84" s="57"/>
      <c r="EK84" s="57"/>
      <c r="EL84" s="57"/>
      <c r="EM84" s="57">
        <f ca="1">Overview!$L$22*E84+Overview!$L$23*F84+Overview!$L$24*G84+Overview!$L$25*H84+Overview!$L$26*I84+Overview!$L$27*J84+Overview!$L$28*K84+Construction!E84*20+Construction!B84*5 + DZ84*$DV$4+EB84*$DV$5+ED84*$DV$6+EF84*$DV$7+EI84*$DV$9</f>
        <v>39460</v>
      </c>
      <c r="EO84" s="738">
        <f>(J84+2*K84)/Construction!E84</f>
        <v>0.1</v>
      </c>
      <c r="EP84" s="734">
        <f ca="1">EO84*(1+race_wizard_strength+tech_magical_weaponry_wiz*Techs!AV156)</f>
        <v>0.1</v>
      </c>
      <c r="EQ84" s="16">
        <f>(I84+halfer*H84/3)/Construction!E84</f>
        <v>0.1</v>
      </c>
    </row>
    <row r="85" spans="1:147" s="16" customFormat="1">
      <c r="A85" s="629">
        <f>Rezone!J85</f>
        <v>83</v>
      </c>
      <c r="B85" s="152">
        <f ca="1">SUM(E85:K85)+SUM(AF77:AG85)+SUM(AH74:AL85)+Z85+Explore!AL85</f>
        <v>5295</v>
      </c>
      <c r="C85" s="97">
        <f ca="1">Population!G85</f>
        <v>0.57305194805194803</v>
      </c>
      <c r="E85" s="156">
        <f t="shared" si="182"/>
        <v>0</v>
      </c>
      <c r="F85" s="170">
        <f t="shared" si="183"/>
        <v>0</v>
      </c>
      <c r="G85" s="170">
        <f t="shared" si="184"/>
        <v>1000</v>
      </c>
      <c r="H85" s="170">
        <f t="shared" si="185"/>
        <v>400</v>
      </c>
      <c r="I85" s="170">
        <f t="shared" si="186"/>
        <v>100</v>
      </c>
      <c r="J85" s="170">
        <f t="shared" si="187"/>
        <v>100</v>
      </c>
      <c r="K85" s="157">
        <f t="shared" si="188"/>
        <v>0</v>
      </c>
      <c r="M85" s="64">
        <f ca="1">Production!G85</f>
        <v>39460</v>
      </c>
      <c r="O85" s="234">
        <f t="shared" ca="1" si="125"/>
        <v>4400</v>
      </c>
      <c r="P85" s="455">
        <f ca="1">race_offense+Imps!AB85+ROUND(MIN(gn_bonus*Construction!BF85/Construction!$E85,gn_bonus_cap),4)+MAX(IF(Magic!$AN85&gt;0,warsong_bonus),IF(Magic!AP85&gt;0,howling_op_bonus),IF(Magic!AS85&gt;0,nightfall_bonus),IF(Magic!AT85&gt;0,crusade_bonus),IF(Magic!AU85&gt;0,killingrage_bonus),IF(Magic!AV85&gt;0,bloodrage_bonus)) + Production!O85/100*prestige_offense_bonus + MAX(tech_military_offense*Techs!AH85,tech_magical_weaponry_op*Techs!AV85)</f>
        <v>0.05</v>
      </c>
      <c r="Q85" s="235">
        <f t="shared" ca="1" si="168"/>
        <v>4620</v>
      </c>
      <c r="R85" s="234">
        <f ca="1">F85*(spec_dp+spirit*DR85)+G85*(elite1_dp+woodie*CV85+sylvan*CY85+gnome*DB85+dark_elf*DD85+icekin*DG85+orc*DJ85+nox*DL85+beast*DN85+sacred*DP85+spirit*DS85+blackorc*DK85)+H85*(elite2_dp+woodie*CX85+beast*DO85+sacred*DQ85) + fh_peas_dp*MIN(Population!C85,20*Construction!BD85)+kobold*DE85</f>
        <v>7200</v>
      </c>
      <c r="S85" s="235">
        <f t="shared" ca="1" si="126"/>
        <v>10895</v>
      </c>
      <c r="T85" s="1052">
        <f ca="1">race_defense+Imps!AC85+ROUND(MIN(gt_bonus*Construction!BH85/Construction!$E85,gt_bonus_cap),4)+MAX(IF(Magic!AM85&gt;0,frenzy_bonus,IF(Magic!AQ85&gt;0,blizzard_bonus,IF(Magic!AP85&gt;0,howling_dp_bonus,IF(Magic!AI85&gt;0,ares_call_bonus)))),IF(Magic!AX85&gt;0,MIN(Construction!DF85/Construction!E85,0.2),0))</f>
        <v>0</v>
      </c>
      <c r="U85" s="1046">
        <f t="shared" ca="1" si="169"/>
        <v>7200</v>
      </c>
      <c r="V85" s="308">
        <f t="shared" ca="1" si="170"/>
        <v>10895</v>
      </c>
      <c r="W85" s="310">
        <f>Construction!E85</f>
        <v>1000</v>
      </c>
      <c r="X85" s="367"/>
      <c r="Y85" s="146">
        <f t="shared" si="181"/>
        <v>0.4</v>
      </c>
      <c r="Z85" s="166">
        <f ca="1">Z84+Population!Z84 - IF(race="Lux",AF85,SUM(AF85:AK85)) - BE85 + SUM(BF85:BL85) - Explore!AI85</f>
        <v>3695</v>
      </c>
      <c r="AA85" s="164"/>
      <c r="AB85" s="91">
        <f>(Construction!$BA85+Construction!BY85)/(Construction!$E85-Explore!S85*20)</f>
        <v>0.2</v>
      </c>
      <c r="AC85" s="629"/>
      <c r="AD85" s="799">
        <f>Rezone!J85</f>
        <v>83</v>
      </c>
      <c r="AE85" s="589">
        <f>Explore!AA85</f>
        <v>43695.416666666468</v>
      </c>
      <c r="AF85" s="356"/>
      <c r="AG85" s="348"/>
      <c r="AH85" s="348"/>
      <c r="AI85" s="348"/>
      <c r="AJ85" s="348"/>
      <c r="AK85" s="348"/>
      <c r="AL85" s="357"/>
      <c r="AN85" s="56">
        <f ca="1">Production!$H85</f>
        <v>3820893</v>
      </c>
      <c r="AO85" s="26">
        <f ca="1">Production!$L85</f>
        <v>231000</v>
      </c>
      <c r="AP85" s="26">
        <f ca="1">Production!J85</f>
        <v>272981</v>
      </c>
      <c r="AQ85" s="26">
        <f ca="1">Production!M85</f>
        <v>20000</v>
      </c>
      <c r="AR85" s="26">
        <f ca="1">Production!K85</f>
        <v>54392</v>
      </c>
      <c r="AS85" s="26">
        <f ca="1">Production!I85</f>
        <v>281128</v>
      </c>
      <c r="AT85" s="26">
        <f ca="1">Production!N85</f>
        <v>200</v>
      </c>
      <c r="AU85" s="152">
        <f t="shared" ca="1" si="127"/>
        <v>0</v>
      </c>
      <c r="AV85" s="164">
        <f t="shared" ca="1" si="128"/>
        <v>0</v>
      </c>
      <c r="AW85" s="164">
        <f t="shared" ca="1" si="171"/>
        <v>0</v>
      </c>
      <c r="AX85" s="164">
        <f t="shared" ca="1" si="172"/>
        <v>0</v>
      </c>
      <c r="AY85" s="164">
        <f t="shared" ca="1" si="173"/>
        <v>0</v>
      </c>
      <c r="AZ85" s="164">
        <f t="shared" ca="1" si="174"/>
        <v>0</v>
      </c>
      <c r="BA85" s="166">
        <f t="shared" ca="1" si="175"/>
        <v>0</v>
      </c>
      <c r="BB85" s="16">
        <v>70</v>
      </c>
      <c r="BC85" s="574">
        <f t="shared" si="189"/>
        <v>43695.416666666468</v>
      </c>
      <c r="BD85" s="148">
        <f t="shared" ca="1" si="177"/>
        <v>3695</v>
      </c>
      <c r="BE85" s="375"/>
      <c r="BF85" s="348"/>
      <c r="BG85" s="348"/>
      <c r="BH85" s="348"/>
      <c r="BI85" s="348"/>
      <c r="BJ85" s="348"/>
      <c r="BK85" s="348"/>
      <c r="BL85" s="357"/>
      <c r="BN85" s="503">
        <f>Construction!BM85/Construction!E85</f>
        <v>0</v>
      </c>
      <c r="BO85" s="171">
        <f>Construction!BD85/Construction!E85</f>
        <v>0</v>
      </c>
      <c r="BP85" s="152">
        <f>ROUNDUP((1-MIN(AB85*smithy_bonus,smithy_bonus_cap))*(1+Techs!AO85*tech_master_of_frugality)*spec_op_plat,0)</f>
        <v>165</v>
      </c>
      <c r="BQ85" s="164">
        <f>ROUNDUP(IF(race="Gnome",1,(1-MIN(AB85*smithy_bonus,smithy_bonus_cap))*(1+Techs!AO85*tech_master_of_frugality))*spec_op_ore,0)</f>
        <v>15</v>
      </c>
      <c r="BR85" s="164">
        <f t="shared" si="129"/>
        <v>0</v>
      </c>
      <c r="BS85" s="164">
        <f t="shared" si="130"/>
        <v>0</v>
      </c>
      <c r="BT85" s="164">
        <f ca="1">ROUNDUP((1-MIN(AB85*smithy_bonus,smithy_bonus_cap))*(1+Techs!AO85*tech_master_of_frugality)*spec_dp_plat,0)</f>
        <v>165</v>
      </c>
      <c r="BU85" s="164">
        <f ca="1">ROUNDUP(IF(OR(race="Gnome",race="Imperial Gnome"),1,(1-MIN(AB85*smithy_bonus,smithy_bonus_cap))*(1+Techs!AO85*tech_master_of_frugality))*spec_dp_ore,0)</f>
        <v>6</v>
      </c>
      <c r="BV85" s="164">
        <f t="shared" ca="1" si="131"/>
        <v>0</v>
      </c>
      <c r="BW85" s="164">
        <f t="shared" ca="1" si="132"/>
        <v>0</v>
      </c>
      <c r="BX85" s="164">
        <f t="shared" ca="1" si="133"/>
        <v>0</v>
      </c>
      <c r="BY85" s="164">
        <f ca="1">ROUNDUP((1-MIN(AB85*smithy_bonus,smithy_bonus_cap))*(1+Techs!AO85*tech_master_of_frugality)*elite1_plat,0)</f>
        <v>600</v>
      </c>
      <c r="BZ85" s="164">
        <f ca="1">ROUNDUP(IF(race="Gnome",1,(1-MIN(AB85*smithy_bonus,smithy_bonus_cap))*(1+Techs!AO85*tech_master_of_frugality))*elite1_ore,0)</f>
        <v>45</v>
      </c>
      <c r="CA85" s="164">
        <f t="shared" ca="1" si="134"/>
        <v>0</v>
      </c>
      <c r="CB85" s="164">
        <f t="shared" ca="1" si="135"/>
        <v>0</v>
      </c>
      <c r="CC85" s="164">
        <f t="shared" ca="1" si="136"/>
        <v>0</v>
      </c>
      <c r="CD85" s="164">
        <f t="shared" ca="1" si="137"/>
        <v>0</v>
      </c>
      <c r="CE85" s="164">
        <f t="shared" ca="1" si="138"/>
        <v>0</v>
      </c>
      <c r="CF85" s="164">
        <f ca="1">ROUNDUP((1-MIN(AB85*smithy_bonus,smithy_bonus_cap))*(1+Techs!AO85*tech_master_of_frugality)*elite2_plat,0)</f>
        <v>750</v>
      </c>
      <c r="CG85" s="164">
        <f ca="1">ROUNDUP(IF(race="Gnome",1,(1-MIN(AB85*smithy_bonus,smithy_bonus_cap))*(1+Techs!AO85*tech_master_of_frugality))*elite2_ore,0)</f>
        <v>60</v>
      </c>
      <c r="CH85" s="164">
        <f t="shared" ca="1" si="139"/>
        <v>0</v>
      </c>
      <c r="CI85" s="164">
        <f t="shared" ca="1" si="140"/>
        <v>0</v>
      </c>
      <c r="CJ85" s="164">
        <f t="shared" ca="1" si="141"/>
        <v>0</v>
      </c>
      <c r="CK85" s="164">
        <f t="shared" ca="1" si="142"/>
        <v>0</v>
      </c>
      <c r="CL85" s="164">
        <f t="shared" ca="1" si="143"/>
        <v>0</v>
      </c>
      <c r="CM85" s="164">
        <f>ROUNDUP((1+tech_spy_cost*Techs!AJ85)*spy_plat,0)</f>
        <v>500</v>
      </c>
      <c r="CN85" s="164">
        <f>ROUNDUP((1+tech_wizard_cost*Techs!AM85-MIN(ROUND(wg_wiz_cost_bonus*BN85,4),wg_wiz_cost_cap))*wizard_plat,0)</f>
        <v>500</v>
      </c>
      <c r="CO85" s="166">
        <f>ROUNDUP((1+tech_wizard_cost*Techs!AM85-MIN(ROUND(wg_wiz_cost_bonus*BN85,4),wg_wiz_cost_cap))*archmage_plat,0)</f>
        <v>1000</v>
      </c>
      <c r="CQ85" s="465">
        <f ca="1">Construction!DF85/Construction!E85</f>
        <v>0.28000000000000003</v>
      </c>
      <c r="CR85" s="466">
        <f t="shared" si="190"/>
        <v>0</v>
      </c>
      <c r="CS85" s="466">
        <f>Construction!BK85/Construction!E85</f>
        <v>0.05</v>
      </c>
      <c r="CT85" s="466">
        <f>Construction!BJ85/Construction!E85</f>
        <v>0</v>
      </c>
      <c r="CU85" s="466">
        <f>Construction!AY85/Construction!E85</f>
        <v>0</v>
      </c>
      <c r="CV85" s="481">
        <f t="shared" ca="1" si="144"/>
        <v>1.4000000000000001</v>
      </c>
      <c r="CW85" s="482">
        <f t="shared" ca="1" si="145"/>
        <v>1.4000000000000001</v>
      </c>
      <c r="CX85" s="482">
        <f t="shared" ca="1" si="146"/>
        <v>1.4000000000000001</v>
      </c>
      <c r="CY85" s="483">
        <f t="shared" ca="1" si="147"/>
        <v>1.4000000000000001</v>
      </c>
      <c r="CZ85" s="483">
        <f t="shared" si="148"/>
        <v>0.1</v>
      </c>
      <c r="DA85" s="483">
        <f t="shared" ca="1" si="149"/>
        <v>3</v>
      </c>
      <c r="DB85" s="483">
        <f t="shared" ca="1" si="150"/>
        <v>1.4000000000000001</v>
      </c>
      <c r="DC85" s="482">
        <f t="shared" si="151"/>
        <v>0</v>
      </c>
      <c r="DD85" s="847">
        <f t="shared" si="152"/>
        <v>0</v>
      </c>
      <c r="DE85" s="440">
        <f t="shared" si="179"/>
        <v>800</v>
      </c>
      <c r="DF85" s="440">
        <f t="shared" si="180"/>
        <v>0</v>
      </c>
      <c r="DG85" s="481">
        <f t="shared" ca="1" si="153"/>
        <v>1.4000000000000001</v>
      </c>
      <c r="DH85" s="450">
        <f t="shared" si="154"/>
        <v>9.0000000000000011E-2</v>
      </c>
      <c r="DI85" s="450">
        <f>MIN(valkyrja_cap,Production!O85/valkyrja_bonus)</f>
        <v>1</v>
      </c>
      <c r="DJ85" s="847">
        <f>MIN(voodoo_magi_cap,Production!O85/voodoo_magi_bonus)</f>
        <v>0.83333333333333337</v>
      </c>
      <c r="DK85" s="847">
        <f>MIN(warlock_cap,Production!O85/warlock_bonus)</f>
        <v>1.25</v>
      </c>
      <c r="DL85" s="847">
        <f ca="1">MIN(nox_nightshade_cap,Construction!DF85/Construction!E85/nox_nightshade_swamp_bonus)</f>
        <v>2.8000000000000003</v>
      </c>
      <c r="DM85" s="482">
        <f t="shared" si="155"/>
        <v>0</v>
      </c>
      <c r="DN85" s="483">
        <f t="shared" ca="1" si="156"/>
        <v>2.8000000000000003</v>
      </c>
      <c r="DO85" s="483">
        <f t="shared" ca="1" si="157"/>
        <v>2.8000000000000003</v>
      </c>
      <c r="DP85" s="483">
        <f t="shared" si="158"/>
        <v>1</v>
      </c>
      <c r="DQ85" s="482">
        <f t="shared" si="159"/>
        <v>0</v>
      </c>
      <c r="DR85" s="483">
        <f t="shared" si="160"/>
        <v>0</v>
      </c>
      <c r="DS85" s="482">
        <f t="shared" si="161"/>
        <v>0</v>
      </c>
      <c r="DT85" s="483">
        <f t="shared" si="162"/>
        <v>0.1</v>
      </c>
      <c r="DX85" s="487">
        <f ca="1">MIN(6,CV85+Races!$F$19)*1.8 +  IF(CV85+Races!$F$19&gt;6,(CV85+Races!$F$19-6)*0.2,0) - Races!$N$19</f>
        <v>2.5200000000000005</v>
      </c>
      <c r="DY85" s="488">
        <f ca="1">1.8 * MIN(MAX(CW85+Races!$E$20,CX85+Races!$F$20),6)  +  0.45 * MIN(MIN(CW85+Races!$E$20,CX85+Races!$F$20),6)  +  0.2 * ( MAX(CW85+Races!$E$20-6,0) + MAX(CX85+Races!$F$20-6,0) )  -  Races!$N$20</f>
        <v>3.1500000000000012</v>
      </c>
      <c r="DZ85" s="57">
        <f t="shared" ca="1" si="163"/>
        <v>3780.0000000000009</v>
      </c>
      <c r="EA85" s="666">
        <f ca="1">MIN(6,CY85+Races!$F$35)*1.8 +  IF(CY85+Races!$F$35&gt;6,(CY85+Races!$F$35-6)*0.2,0) - Races!$N$19</f>
        <v>0.72000000000000064</v>
      </c>
      <c r="EB85" s="57">
        <f t="shared" ca="1" si="164"/>
        <v>0</v>
      </c>
      <c r="EC85" s="666">
        <f ca="1">1.8 * MIN(MAX(Races!$E$27,DB85+Races!$F$27),6)  +  0.45 * MIN(MIN(Races!$E$27,DB85+Races!$F$27),6)  +  0.2 * ( MAX(Races!$E$27-6,0) + MAX(DB85+Races!$F$27-6,0) )  -  Races!$N$20</f>
        <v>4.7700000000000005</v>
      </c>
      <c r="ED85" s="57">
        <f t="shared" ca="1" si="165"/>
        <v>0</v>
      </c>
      <c r="EE85" s="666">
        <f>1.8 * MIN(MAX(DC85+Races!$E$47,DD85+Races!$F$47),6)  +  0.45 * MIN(MIN(DC85+Races!$E$47,DD85+Races!$F$47),6)  +  0.2 * ( MAX(DC85+Races!$E$47-6,0) + MAX(DD85+Races!$F$47-6,0) )  -  Races!$N$47</f>
        <v>0</v>
      </c>
      <c r="EF85" s="57">
        <f t="shared" si="166"/>
        <v>0</v>
      </c>
      <c r="EG85" s="666">
        <f ca="1">1.8 * MIN(MAX(DG85+Races!$F$71,Races!$E$71),6)  +  0.45 * MIN(MIN(DG85+Races!$F$71,Races!$E$71),6)  +  0.2 * ( MAX(DG85+Races!$F$71-6,0) + MAX(Races!$E$71-6,0) )  -  Races!$N$71</f>
        <v>2.5200000000000014</v>
      </c>
      <c r="EH85" s="666">
        <f>1.8 * MIN(MAX(DH85+Races!$E$71,Races!$F$71),6)  +  0.45 * MIN(MIN(DH85+Races!$E$71,Races!$F$71),6)  +  0.2 * ( MAX(DH85+Races!$E$71-6,0) + MAX(Races!$F$71-6,0) )  -  Races!$N$71</f>
        <v>0.16200000000000081</v>
      </c>
      <c r="EI85" s="57">
        <f t="shared" ca="1" si="167"/>
        <v>2584.8000000000015</v>
      </c>
      <c r="EJ85" s="57"/>
      <c r="EK85" s="57"/>
      <c r="EL85" s="57"/>
      <c r="EM85" s="57">
        <f ca="1">Overview!$L$22*E85+Overview!$L$23*F85+Overview!$L$24*G85+Overview!$L$25*H85+Overview!$L$26*I85+Overview!$L$27*J85+Overview!$L$28*K85+Construction!E85*20+Construction!B85*5 + DZ85*$DV$4+EB85*$DV$5+ED85*$DV$6+EF85*$DV$7+EI85*$DV$9</f>
        <v>39460</v>
      </c>
      <c r="EO85" s="738">
        <f>(J85+2*K85)/Construction!E85</f>
        <v>0.1</v>
      </c>
      <c r="EP85" s="734">
        <f ca="1">EO85*(1+race_wizard_strength+tech_magical_weaponry_wiz*Techs!AV157)</f>
        <v>0.1</v>
      </c>
      <c r="EQ85" s="16">
        <f>(I85+halfer*H85/3)/Construction!E85</f>
        <v>0.1</v>
      </c>
    </row>
    <row r="86" spans="1:147" s="170" customFormat="1">
      <c r="A86" s="629">
        <f>Rezone!J86</f>
        <v>84</v>
      </c>
      <c r="B86" s="152">
        <f ca="1">SUM(E86:K86)+SUM(AF78:AG86)+SUM(AH75:AL86)+Z86+Explore!AL86</f>
        <v>5295</v>
      </c>
      <c r="C86" s="171">
        <f ca="1">Population!G86</f>
        <v>0.57305194805194803</v>
      </c>
      <c r="E86" s="156">
        <f t="shared" si="182"/>
        <v>0</v>
      </c>
      <c r="F86" s="170">
        <f t="shared" si="183"/>
        <v>0</v>
      </c>
      <c r="G86" s="170">
        <f t="shared" si="184"/>
        <v>1000</v>
      </c>
      <c r="H86" s="170">
        <f t="shared" si="185"/>
        <v>400</v>
      </c>
      <c r="I86" s="170">
        <f t="shared" si="186"/>
        <v>100</v>
      </c>
      <c r="J86" s="170">
        <f t="shared" si="187"/>
        <v>100</v>
      </c>
      <c r="K86" s="157">
        <f t="shared" si="188"/>
        <v>0</v>
      </c>
      <c r="M86" s="160">
        <f ca="1">Production!G86</f>
        <v>39460</v>
      </c>
      <c r="O86" s="234">
        <f t="shared" ca="1" si="125"/>
        <v>4400</v>
      </c>
      <c r="P86" s="455">
        <f ca="1">race_offense+Imps!AB86+ROUND(MIN(gn_bonus*Construction!BF86/Construction!$E86,gn_bonus_cap),4)+MAX(IF(Magic!$AN86&gt;0,warsong_bonus),IF(Magic!AP86&gt;0,howling_op_bonus),IF(Magic!AS86&gt;0,nightfall_bonus),IF(Magic!AT86&gt;0,crusade_bonus),IF(Magic!AU86&gt;0,killingrage_bonus),IF(Magic!AV86&gt;0,bloodrage_bonus)) + Production!O86/100*prestige_offense_bonus + MAX(tech_military_offense*Techs!AH86,tech_magical_weaponry_op*Techs!AV86)</f>
        <v>0.05</v>
      </c>
      <c r="Q86" s="235">
        <f t="shared" ca="1" si="168"/>
        <v>4620</v>
      </c>
      <c r="R86" s="234">
        <f ca="1">F86*(spec_dp+spirit*DR86)+G86*(elite1_dp+woodie*CV86+sylvan*CY86+gnome*DB86+dark_elf*DD86+icekin*DG86+orc*DJ86+nox*DL86+beast*DN86+sacred*DP86+spirit*DS86+blackorc*DK86)+H86*(elite2_dp+woodie*CX86+beast*DO86+sacred*DQ86) + fh_peas_dp*MIN(Population!C86,20*Construction!BD86)+kobold*DE86</f>
        <v>7200</v>
      </c>
      <c r="S86" s="235">
        <f t="shared" ca="1" si="126"/>
        <v>10895</v>
      </c>
      <c r="T86" s="1052">
        <f ca="1">race_defense+Imps!AC86+ROUND(MIN(gt_bonus*Construction!BH86/Construction!$E86,gt_bonus_cap),4)+MAX(IF(Magic!AM86&gt;0,frenzy_bonus,IF(Magic!AQ86&gt;0,blizzard_bonus,IF(Magic!AP86&gt;0,howling_dp_bonus,IF(Magic!AI86&gt;0,ares_call_bonus)))),IF(Magic!AX86&gt;0,MIN(Construction!DF86/Construction!E86,0.2),0))</f>
        <v>0</v>
      </c>
      <c r="U86" s="1046">
        <f t="shared" ca="1" si="169"/>
        <v>7200</v>
      </c>
      <c r="V86" s="308">
        <f t="shared" ca="1" si="170"/>
        <v>10895</v>
      </c>
      <c r="W86" s="308">
        <f>Construction!E86</f>
        <v>1000</v>
      </c>
      <c r="X86" s="364"/>
      <c r="Y86" s="232">
        <f t="shared" si="181"/>
        <v>0.4</v>
      </c>
      <c r="Z86" s="166">
        <f ca="1">Z85+Population!Z85 - IF(race="Lux",AF86,SUM(AF86:AK86)) - BE86 + SUM(BF86:BL86) - Explore!AI86</f>
        <v>3695</v>
      </c>
      <c r="AA86" s="164"/>
      <c r="AB86" s="251">
        <f>(Construction!$BA86+Construction!BY86)/(Construction!$E86-Explore!S86*20)</f>
        <v>0.2</v>
      </c>
      <c r="AC86" s="629"/>
      <c r="AD86" s="798">
        <f>Rezone!J86</f>
        <v>84</v>
      </c>
      <c r="AE86" s="589">
        <f>Explore!AA86</f>
        <v>43695.458333333132</v>
      </c>
      <c r="AF86" s="352"/>
      <c r="AG86" s="345"/>
      <c r="AH86" s="345"/>
      <c r="AI86" s="345"/>
      <c r="AJ86" s="345"/>
      <c r="AK86" s="345"/>
      <c r="AL86" s="353"/>
      <c r="AN86" s="152">
        <f ca="1">Production!$H86</f>
        <v>3831544</v>
      </c>
      <c r="AO86" s="164">
        <f ca="1">Production!$L86</f>
        <v>231000</v>
      </c>
      <c r="AP86" s="164">
        <f ca="1">Production!J86</f>
        <v>272751</v>
      </c>
      <c r="AQ86" s="164">
        <f ca="1">Production!M86</f>
        <v>20000</v>
      </c>
      <c r="AR86" s="164">
        <f ca="1">Production!K86</f>
        <v>54554</v>
      </c>
      <c r="AS86" s="164">
        <f ca="1">Production!I86</f>
        <v>283047</v>
      </c>
      <c r="AT86" s="164">
        <f ca="1">Production!N86</f>
        <v>200</v>
      </c>
      <c r="AU86" s="152">
        <f t="shared" ca="1" si="127"/>
        <v>0</v>
      </c>
      <c r="AV86" s="164">
        <f t="shared" ca="1" si="128"/>
        <v>0</v>
      </c>
      <c r="AW86" s="164">
        <f t="shared" ca="1" si="171"/>
        <v>0</v>
      </c>
      <c r="AX86" s="164">
        <f t="shared" ca="1" si="172"/>
        <v>0</v>
      </c>
      <c r="AY86" s="164">
        <f t="shared" ca="1" si="173"/>
        <v>0</v>
      </c>
      <c r="AZ86" s="164">
        <f t="shared" ca="1" si="174"/>
        <v>0</v>
      </c>
      <c r="BA86" s="166">
        <f t="shared" ca="1" si="175"/>
        <v>0</v>
      </c>
      <c r="BB86" s="170">
        <v>71</v>
      </c>
      <c r="BC86" s="532">
        <f t="shared" si="189"/>
        <v>43695.458333333132</v>
      </c>
      <c r="BD86" s="233">
        <f t="shared" ca="1" si="177"/>
        <v>3695</v>
      </c>
      <c r="BE86" s="375"/>
      <c r="BF86" s="345"/>
      <c r="BG86" s="345"/>
      <c r="BH86" s="345"/>
      <c r="BI86" s="345"/>
      <c r="BJ86" s="345"/>
      <c r="BK86" s="345"/>
      <c r="BL86" s="353"/>
      <c r="BN86" s="503">
        <f>Construction!BM86/Construction!E86</f>
        <v>0</v>
      </c>
      <c r="BO86" s="171">
        <f>Construction!BD86/Construction!E86</f>
        <v>0</v>
      </c>
      <c r="BP86" s="152">
        <f>ROUNDUP((1-MIN(AB86*smithy_bonus,smithy_bonus_cap))*(1+Techs!AO86*tech_master_of_frugality)*spec_op_plat,0)</f>
        <v>165</v>
      </c>
      <c r="BQ86" s="164">
        <f>ROUNDUP(IF(race="Gnome",1,(1-MIN(AB86*smithy_bonus,smithy_bonus_cap))*(1+Techs!AO86*tech_master_of_frugality))*spec_op_ore,0)</f>
        <v>15</v>
      </c>
      <c r="BR86" s="164">
        <f t="shared" si="129"/>
        <v>0</v>
      </c>
      <c r="BS86" s="164">
        <f t="shared" si="130"/>
        <v>0</v>
      </c>
      <c r="BT86" s="164">
        <f ca="1">ROUNDUP((1-MIN(AB86*smithy_bonus,smithy_bonus_cap))*(1+Techs!AO86*tech_master_of_frugality)*spec_dp_plat,0)</f>
        <v>165</v>
      </c>
      <c r="BU86" s="164">
        <f ca="1">ROUNDUP(IF(OR(race="Gnome",race="Imperial Gnome"),1,(1-MIN(AB86*smithy_bonus,smithy_bonus_cap))*(1+Techs!AO86*tech_master_of_frugality))*spec_dp_ore,0)</f>
        <v>6</v>
      </c>
      <c r="BV86" s="164">
        <f t="shared" ca="1" si="131"/>
        <v>0</v>
      </c>
      <c r="BW86" s="164">
        <f t="shared" ca="1" si="132"/>
        <v>0</v>
      </c>
      <c r="BX86" s="164">
        <f t="shared" ca="1" si="133"/>
        <v>0</v>
      </c>
      <c r="BY86" s="164">
        <f ca="1">ROUNDUP((1-MIN(AB86*smithy_bonus,smithy_bonus_cap))*(1+Techs!AO86*tech_master_of_frugality)*elite1_plat,0)</f>
        <v>600</v>
      </c>
      <c r="BZ86" s="164">
        <f ca="1">ROUNDUP(IF(race="Gnome",1,(1-MIN(AB86*smithy_bonus,smithy_bonus_cap))*(1+Techs!AO86*tech_master_of_frugality))*elite1_ore,0)</f>
        <v>45</v>
      </c>
      <c r="CA86" s="164">
        <f t="shared" ca="1" si="134"/>
        <v>0</v>
      </c>
      <c r="CB86" s="164">
        <f t="shared" ca="1" si="135"/>
        <v>0</v>
      </c>
      <c r="CC86" s="164">
        <f t="shared" ca="1" si="136"/>
        <v>0</v>
      </c>
      <c r="CD86" s="164">
        <f t="shared" ca="1" si="137"/>
        <v>0</v>
      </c>
      <c r="CE86" s="164">
        <f t="shared" ca="1" si="138"/>
        <v>0</v>
      </c>
      <c r="CF86" s="164">
        <f ca="1">ROUNDUP((1-MIN(AB86*smithy_bonus,smithy_bonus_cap))*(1+Techs!AO86*tech_master_of_frugality)*elite2_plat,0)</f>
        <v>750</v>
      </c>
      <c r="CG86" s="164">
        <f ca="1">ROUNDUP(IF(race="Gnome",1,(1-MIN(AB86*smithy_bonus,smithy_bonus_cap))*(1+Techs!AO86*tech_master_of_frugality))*elite2_ore,0)</f>
        <v>60</v>
      </c>
      <c r="CH86" s="164">
        <f t="shared" ca="1" si="139"/>
        <v>0</v>
      </c>
      <c r="CI86" s="164">
        <f t="shared" ca="1" si="140"/>
        <v>0</v>
      </c>
      <c r="CJ86" s="164">
        <f t="shared" ca="1" si="141"/>
        <v>0</v>
      </c>
      <c r="CK86" s="164">
        <f t="shared" ca="1" si="142"/>
        <v>0</v>
      </c>
      <c r="CL86" s="164">
        <f t="shared" ca="1" si="143"/>
        <v>0</v>
      </c>
      <c r="CM86" s="164">
        <f>ROUNDUP((1+tech_spy_cost*Techs!AJ86)*spy_plat,0)</f>
        <v>500</v>
      </c>
      <c r="CN86" s="164">
        <f>ROUNDUP((1+tech_wizard_cost*Techs!AM86-MIN(ROUND(wg_wiz_cost_bonus*BN86,4),wg_wiz_cost_cap))*wizard_plat,0)</f>
        <v>500</v>
      </c>
      <c r="CO86" s="166">
        <f>ROUNDUP((1+tech_wizard_cost*Techs!AM86-MIN(ROUND(wg_wiz_cost_bonus*BN86,4),wg_wiz_cost_cap))*archmage_plat,0)</f>
        <v>1000</v>
      </c>
      <c r="CQ86" s="461">
        <f ca="1">Construction!DF86/Construction!E86</f>
        <v>0.28000000000000003</v>
      </c>
      <c r="CR86" s="462">
        <f t="shared" si="190"/>
        <v>0</v>
      </c>
      <c r="CS86" s="462">
        <f>Construction!BK86/Construction!E86</f>
        <v>0.05</v>
      </c>
      <c r="CT86" s="462">
        <f>Construction!BJ86/Construction!E86</f>
        <v>0</v>
      </c>
      <c r="CU86" s="462">
        <f>Construction!AY86/Construction!E86</f>
        <v>0</v>
      </c>
      <c r="CV86" s="481">
        <f t="shared" ca="1" si="144"/>
        <v>1.4000000000000001</v>
      </c>
      <c r="CW86" s="482">
        <f t="shared" ca="1" si="145"/>
        <v>1.4000000000000001</v>
      </c>
      <c r="CX86" s="482">
        <f t="shared" ca="1" si="146"/>
        <v>1.4000000000000001</v>
      </c>
      <c r="CY86" s="483">
        <f t="shared" ca="1" si="147"/>
        <v>1.4000000000000001</v>
      </c>
      <c r="CZ86" s="483">
        <f t="shared" si="148"/>
        <v>0.1</v>
      </c>
      <c r="DA86" s="483">
        <f t="shared" ca="1" si="149"/>
        <v>3</v>
      </c>
      <c r="DB86" s="483">
        <f t="shared" ca="1" si="150"/>
        <v>1.4000000000000001</v>
      </c>
      <c r="DC86" s="482">
        <f t="shared" si="151"/>
        <v>0</v>
      </c>
      <c r="DD86" s="847">
        <f t="shared" si="152"/>
        <v>0</v>
      </c>
      <c r="DE86" s="440">
        <f t="shared" si="179"/>
        <v>800</v>
      </c>
      <c r="DF86" s="440">
        <f t="shared" si="180"/>
        <v>0</v>
      </c>
      <c r="DG86" s="481">
        <f t="shared" ca="1" si="153"/>
        <v>1.4000000000000001</v>
      </c>
      <c r="DH86" s="450">
        <f t="shared" si="154"/>
        <v>9.0000000000000011E-2</v>
      </c>
      <c r="DI86" s="450">
        <f>MIN(valkyrja_cap,Production!O86/valkyrja_bonus)</f>
        <v>1</v>
      </c>
      <c r="DJ86" s="847">
        <f>MIN(voodoo_magi_cap,Production!O86/voodoo_magi_bonus)</f>
        <v>0.83333333333333337</v>
      </c>
      <c r="DK86" s="847">
        <f>MIN(warlock_cap,Production!O86/warlock_bonus)</f>
        <v>1.25</v>
      </c>
      <c r="DL86" s="847">
        <f ca="1">MIN(nox_nightshade_cap,Construction!DF86/Construction!E86/nox_nightshade_swamp_bonus)</f>
        <v>2.8000000000000003</v>
      </c>
      <c r="DM86" s="482">
        <f t="shared" si="155"/>
        <v>0</v>
      </c>
      <c r="DN86" s="483">
        <f t="shared" ca="1" si="156"/>
        <v>2.8000000000000003</v>
      </c>
      <c r="DO86" s="483">
        <f t="shared" ca="1" si="157"/>
        <v>2.8000000000000003</v>
      </c>
      <c r="DP86" s="483">
        <f t="shared" si="158"/>
        <v>1</v>
      </c>
      <c r="DQ86" s="482">
        <f t="shared" si="159"/>
        <v>0</v>
      </c>
      <c r="DR86" s="483">
        <f t="shared" si="160"/>
        <v>0</v>
      </c>
      <c r="DS86" s="482">
        <f t="shared" si="161"/>
        <v>0</v>
      </c>
      <c r="DT86" s="483">
        <f t="shared" si="162"/>
        <v>0.1</v>
      </c>
      <c r="DX86" s="481">
        <f ca="1">MIN(6,CV86+Races!$F$19)*1.8 +  IF(CV86+Races!$F$19&gt;6,(CV86+Races!$F$19-6)*0.2,0) - Races!$N$19</f>
        <v>2.5200000000000005</v>
      </c>
      <c r="DY86" s="482">
        <f ca="1">1.8 * MIN(MAX(CW86+Races!$E$20,CX86+Races!$F$20),6)  +  0.45 * MIN(MIN(CW86+Races!$E$20,CX86+Races!$F$20),6)  +  0.2 * ( MAX(CW86+Races!$E$20-6,0) + MAX(CX86+Races!$F$20-6,0) )  -  Races!$N$20</f>
        <v>3.1500000000000012</v>
      </c>
      <c r="DZ86" s="166">
        <f t="shared" ca="1" si="163"/>
        <v>3780.0000000000009</v>
      </c>
      <c r="EA86" s="665">
        <f ca="1">MIN(6,CY86+Races!$F$35)*1.8 +  IF(CY86+Races!$F$35&gt;6,(CY86+Races!$F$35-6)*0.2,0) - Races!$N$19</f>
        <v>0.72000000000000064</v>
      </c>
      <c r="EB86" s="166">
        <f t="shared" ca="1" si="164"/>
        <v>0</v>
      </c>
      <c r="EC86" s="665">
        <f ca="1">1.8 * MIN(MAX(Races!$E$27,DB86+Races!$F$27),6)  +  0.45 * MIN(MIN(Races!$E$27,DB86+Races!$F$27),6)  +  0.2 * ( MAX(Races!$E$27-6,0) + MAX(DB86+Races!$F$27-6,0) )  -  Races!$N$20</f>
        <v>4.7700000000000005</v>
      </c>
      <c r="ED86" s="166">
        <f t="shared" ca="1" si="165"/>
        <v>0</v>
      </c>
      <c r="EE86" s="665">
        <f>1.8 * MIN(MAX(DC86+Races!$E$47,DD86+Races!$F$47),6)  +  0.45 * MIN(MIN(DC86+Races!$E$47,DD86+Races!$F$47),6)  +  0.2 * ( MAX(DC86+Races!$E$47-6,0) + MAX(DD86+Races!$F$47-6,0) )  -  Races!$N$47</f>
        <v>0</v>
      </c>
      <c r="EF86" s="166">
        <f t="shared" si="166"/>
        <v>0</v>
      </c>
      <c r="EG86" s="665">
        <f ca="1">1.8 * MIN(MAX(DG86+Races!$F$71,Races!$E$71),6)  +  0.45 * MIN(MIN(DG86+Races!$F$71,Races!$E$71),6)  +  0.2 * ( MAX(DG86+Races!$F$71-6,0) + MAX(Races!$E$71-6,0) )  -  Races!$N$71</f>
        <v>2.5200000000000014</v>
      </c>
      <c r="EH86" s="665">
        <f>1.8 * MIN(MAX(DH86+Races!$E$71,Races!$F$71),6)  +  0.45 * MIN(MIN(DH86+Races!$E$71,Races!$F$71),6)  +  0.2 * ( MAX(DH86+Races!$E$71-6,0) + MAX(Races!$F$71-6,0) )  -  Races!$N$71</f>
        <v>0.16200000000000081</v>
      </c>
      <c r="EI86" s="166">
        <f t="shared" ca="1" si="167"/>
        <v>2584.8000000000015</v>
      </c>
      <c r="EJ86" s="166"/>
      <c r="EK86" s="166"/>
      <c r="EL86" s="166"/>
      <c r="EM86" s="166">
        <f ca="1">Overview!$L$22*E86+Overview!$L$23*F86+Overview!$L$24*G86+Overview!$L$25*H86+Overview!$L$26*I86+Overview!$L$27*J86+Overview!$L$28*K86+Construction!E86*20+Construction!B86*5 + DZ86*$DV$4+EB86*$DV$5+ED86*$DV$6+EF86*$DV$7+EI86*$DV$9</f>
        <v>39460</v>
      </c>
      <c r="EO86" s="737">
        <f>(J86+2*K86)/Construction!E86</f>
        <v>0.1</v>
      </c>
      <c r="EP86" s="734">
        <f ca="1">EO86*(1+race_wizard_strength+tech_magical_weaponry_wiz*Techs!AV158)</f>
        <v>0.1</v>
      </c>
      <c r="EQ86" s="170">
        <f>(I86+halfer*H86/3)/Construction!E86</f>
        <v>0.1</v>
      </c>
    </row>
    <row r="87" spans="1:147" s="163" customFormat="1">
      <c r="A87" s="319">
        <f>Rezone!J87</f>
        <v>85</v>
      </c>
      <c r="B87" s="151">
        <f ca="1">SUM(E87:K87)+SUM(AF79:AG87)+SUM(AH76:AL87)+Z87+Explore!AL87</f>
        <v>5295</v>
      </c>
      <c r="C87" s="162">
        <f ca="1">Population!G87</f>
        <v>0.57305194805194803</v>
      </c>
      <c r="E87" s="184">
        <f t="shared" si="182"/>
        <v>0</v>
      </c>
      <c r="F87" s="163">
        <f t="shared" si="183"/>
        <v>0</v>
      </c>
      <c r="G87" s="163">
        <f t="shared" si="184"/>
        <v>1000</v>
      </c>
      <c r="H87" s="163">
        <f t="shared" si="185"/>
        <v>400</v>
      </c>
      <c r="I87" s="163">
        <f t="shared" si="186"/>
        <v>100</v>
      </c>
      <c r="J87" s="163">
        <f t="shared" si="187"/>
        <v>100</v>
      </c>
      <c r="K87" s="185">
        <f t="shared" si="188"/>
        <v>0</v>
      </c>
      <c r="M87" s="203">
        <f ca="1">Production!G87</f>
        <v>39460</v>
      </c>
      <c r="O87" s="227">
        <f t="shared" ca="1" si="125"/>
        <v>4400</v>
      </c>
      <c r="P87" s="447">
        <f ca="1">race_offense+Imps!AB87+ROUND(MIN(gn_bonus*Construction!BF87/Construction!$E87,gn_bonus_cap),4)+MAX(IF(Magic!$AN87&gt;0,warsong_bonus),IF(Magic!AP87&gt;0,howling_op_bonus),IF(Magic!AS87&gt;0,nightfall_bonus),IF(Magic!AT87&gt;0,crusade_bonus),IF(Magic!AU87&gt;0,killingrage_bonus),IF(Magic!AV87&gt;0,bloodrage_bonus)) + Production!O87/100*prestige_offense_bonus + MAX(tech_military_offense*Techs!AH87,tech_magical_weaponry_op*Techs!AV87)</f>
        <v>0.05</v>
      </c>
      <c r="Q87" s="229">
        <f t="shared" ca="1" si="168"/>
        <v>4620</v>
      </c>
      <c r="R87" s="227">
        <f ca="1">F87*(spec_dp+spirit*DR87)+G87*(elite1_dp+woodie*CV87+sylvan*CY87+gnome*DB87+dark_elf*DD87+icekin*DG87+orc*DJ87+nox*DL87+beast*DN87+sacred*DP87+spirit*DS87+blackorc*DK87)+H87*(elite2_dp+woodie*CX87+beast*DO87+sacred*DQ87) + fh_peas_dp*MIN(Population!C87,20*Construction!BD87)+kobold*DE87</f>
        <v>7200</v>
      </c>
      <c r="S87" s="229">
        <f t="shared" ca="1" si="126"/>
        <v>10895</v>
      </c>
      <c r="T87" s="1178">
        <f ca="1">race_defense+Imps!AC87+ROUND(MIN(gt_bonus*Construction!BH87/Construction!$E87,gt_bonus_cap),4)+MAX(IF(Magic!AM87&gt;0,frenzy_bonus,IF(Magic!AQ87&gt;0,blizzard_bonus,IF(Magic!AP87&gt;0,howling_dp_bonus,IF(Magic!AI87&gt;0,ares_call_bonus)))),IF(Magic!AX87&gt;0,MIN(Construction!DF87/Construction!E87,0.2),0))</f>
        <v>0</v>
      </c>
      <c r="U87" s="1047">
        <f t="shared" ca="1" si="169"/>
        <v>7200</v>
      </c>
      <c r="V87" s="228">
        <f t="shared" ca="1" si="170"/>
        <v>10895</v>
      </c>
      <c r="W87" s="228">
        <f>Construction!E87</f>
        <v>1000</v>
      </c>
      <c r="X87" s="365"/>
      <c r="Y87" s="230">
        <f t="shared" si="181"/>
        <v>0.4</v>
      </c>
      <c r="Z87" s="158">
        <f ca="1">Z86+Population!Z86 - IF(race="Lux",AF87,SUM(AF87:AK87)) - BE87 + SUM(BF87:BL87) - Explore!AI87</f>
        <v>3695</v>
      </c>
      <c r="AA87" s="153"/>
      <c r="AB87" s="305">
        <f>(Construction!$BA87+Construction!BY87)/(Construction!$E87-Explore!S87*20)</f>
        <v>0.2</v>
      </c>
      <c r="AC87" s="710"/>
      <c r="AD87" s="800">
        <f>Rezone!J87</f>
        <v>85</v>
      </c>
      <c r="AE87" s="588">
        <f>Explore!AA87</f>
        <v>43695.499999999796</v>
      </c>
      <c r="AF87" s="371"/>
      <c r="AG87" s="346"/>
      <c r="AH87" s="346"/>
      <c r="AI87" s="346"/>
      <c r="AJ87" s="346"/>
      <c r="AK87" s="346"/>
      <c r="AL87" s="372"/>
      <c r="AN87" s="151">
        <f ca="1">Production!$H87</f>
        <v>3842195</v>
      </c>
      <c r="AO87" s="153">
        <f ca="1">Production!$L87</f>
        <v>231000</v>
      </c>
      <c r="AP87" s="153">
        <f ca="1">Production!J87</f>
        <v>272523</v>
      </c>
      <c r="AQ87" s="153">
        <f ca="1">Production!M87</f>
        <v>20000</v>
      </c>
      <c r="AR87" s="153">
        <f ca="1">Production!K87</f>
        <v>54713</v>
      </c>
      <c r="AS87" s="153">
        <f ca="1">Production!I87</f>
        <v>284947</v>
      </c>
      <c r="AT87" s="153">
        <f ca="1">Production!N87</f>
        <v>200</v>
      </c>
      <c r="AU87" s="151">
        <f t="shared" ca="1" si="127"/>
        <v>0</v>
      </c>
      <c r="AV87" s="153">
        <f t="shared" ca="1" si="128"/>
        <v>0</v>
      </c>
      <c r="AW87" s="153">
        <f t="shared" ca="1" si="171"/>
        <v>0</v>
      </c>
      <c r="AX87" s="153">
        <f t="shared" ca="1" si="172"/>
        <v>0</v>
      </c>
      <c r="AY87" s="153">
        <f t="shared" ca="1" si="173"/>
        <v>0</v>
      </c>
      <c r="AZ87" s="153">
        <f t="shared" ca="1" si="174"/>
        <v>0</v>
      </c>
      <c r="BA87" s="158">
        <f t="shared" ca="1" si="175"/>
        <v>0</v>
      </c>
      <c r="BB87" s="163">
        <v>72</v>
      </c>
      <c r="BC87" s="677">
        <f t="shared" si="189"/>
        <v>43695.499999999796</v>
      </c>
      <c r="BD87" s="231">
        <f t="shared" ca="1" si="177"/>
        <v>3695</v>
      </c>
      <c r="BE87" s="371"/>
      <c r="BF87" s="346"/>
      <c r="BG87" s="346"/>
      <c r="BH87" s="346"/>
      <c r="BI87" s="346"/>
      <c r="BJ87" s="346"/>
      <c r="BK87" s="346"/>
      <c r="BL87" s="372"/>
      <c r="BN87" s="502">
        <f>Construction!BM87/Construction!E87</f>
        <v>0</v>
      </c>
      <c r="BO87" s="162">
        <f>Construction!BD87/Construction!E87</f>
        <v>0</v>
      </c>
      <c r="BP87" s="151">
        <f>ROUNDUP((1-MIN(AB87*smithy_bonus,smithy_bonus_cap))*(1+Techs!AO87*tech_master_of_frugality)*spec_op_plat,0)</f>
        <v>165</v>
      </c>
      <c r="BQ87" s="153">
        <f>ROUNDUP(IF(race="Gnome",1,(1-MIN(AB87*smithy_bonus,smithy_bonus_cap))*(1+Techs!AO87*tech_master_of_frugality))*spec_op_ore,0)</f>
        <v>15</v>
      </c>
      <c r="BR87" s="153">
        <f t="shared" si="129"/>
        <v>0</v>
      </c>
      <c r="BS87" s="153">
        <f t="shared" si="130"/>
        <v>0</v>
      </c>
      <c r="BT87" s="153">
        <f ca="1">ROUNDUP((1-MIN(AB87*smithy_bonus,smithy_bonus_cap))*(1+Techs!AO87*tech_master_of_frugality)*spec_dp_plat,0)</f>
        <v>165</v>
      </c>
      <c r="BU87" s="153">
        <f ca="1">ROUNDUP(IF(OR(race="Gnome",race="Imperial Gnome"),1,(1-MIN(AB87*smithy_bonus,smithy_bonus_cap))*(1+Techs!AO87*tech_master_of_frugality))*spec_dp_ore,0)</f>
        <v>6</v>
      </c>
      <c r="BV87" s="153">
        <f t="shared" ca="1" si="131"/>
        <v>0</v>
      </c>
      <c r="BW87" s="153">
        <f t="shared" ca="1" si="132"/>
        <v>0</v>
      </c>
      <c r="BX87" s="153">
        <f t="shared" ca="1" si="133"/>
        <v>0</v>
      </c>
      <c r="BY87" s="153">
        <f ca="1">ROUNDUP((1-MIN(AB87*smithy_bonus,smithy_bonus_cap))*(1+Techs!AO87*tech_master_of_frugality)*elite1_plat,0)</f>
        <v>600</v>
      </c>
      <c r="BZ87" s="153">
        <f ca="1">ROUNDUP(IF(race="Gnome",1,(1-MIN(AB87*smithy_bonus,smithy_bonus_cap))*(1+Techs!AO87*tech_master_of_frugality))*elite1_ore,0)</f>
        <v>45</v>
      </c>
      <c r="CA87" s="153">
        <f t="shared" ca="1" si="134"/>
        <v>0</v>
      </c>
      <c r="CB87" s="153">
        <f t="shared" ca="1" si="135"/>
        <v>0</v>
      </c>
      <c r="CC87" s="153">
        <f t="shared" ca="1" si="136"/>
        <v>0</v>
      </c>
      <c r="CD87" s="153">
        <f t="shared" ca="1" si="137"/>
        <v>0</v>
      </c>
      <c r="CE87" s="153">
        <f t="shared" ca="1" si="138"/>
        <v>0</v>
      </c>
      <c r="CF87" s="153">
        <f ca="1">ROUNDUP((1-MIN(AB87*smithy_bonus,smithy_bonus_cap))*(1+Techs!AO87*tech_master_of_frugality)*elite2_plat,0)</f>
        <v>750</v>
      </c>
      <c r="CG87" s="153">
        <f ca="1">ROUNDUP(IF(race="Gnome",1,(1-MIN(AB87*smithy_bonus,smithy_bonus_cap))*(1+Techs!AO87*tech_master_of_frugality))*elite2_ore,0)</f>
        <v>60</v>
      </c>
      <c r="CH87" s="153">
        <f t="shared" ca="1" si="139"/>
        <v>0</v>
      </c>
      <c r="CI87" s="153">
        <f t="shared" ca="1" si="140"/>
        <v>0</v>
      </c>
      <c r="CJ87" s="153">
        <f t="shared" ca="1" si="141"/>
        <v>0</v>
      </c>
      <c r="CK87" s="153">
        <f t="shared" ca="1" si="142"/>
        <v>0</v>
      </c>
      <c r="CL87" s="153">
        <f t="shared" ca="1" si="143"/>
        <v>0</v>
      </c>
      <c r="CM87" s="153">
        <f>ROUNDUP((1+tech_spy_cost*Techs!AJ87)*spy_plat,0)</f>
        <v>500</v>
      </c>
      <c r="CN87" s="153">
        <f>ROUNDUP((1+tech_wizard_cost*Techs!AM87-MIN(ROUND(wg_wiz_cost_bonus*BN87,4),wg_wiz_cost_cap))*wizard_plat,0)</f>
        <v>500</v>
      </c>
      <c r="CO87" s="158">
        <f>ROUNDUP((1+tech_wizard_cost*Techs!AM87-MIN(ROUND(wg_wiz_cost_bonus*BN87,4),wg_wiz_cost_cap))*archmage_plat,0)</f>
        <v>1000</v>
      </c>
      <c r="CQ87" s="459">
        <f ca="1">Construction!DF87/Construction!E87</f>
        <v>0.28000000000000003</v>
      </c>
      <c r="CR87" s="460">
        <f t="shared" si="190"/>
        <v>0</v>
      </c>
      <c r="CS87" s="460">
        <f>Construction!BK87/Construction!E87</f>
        <v>0.05</v>
      </c>
      <c r="CT87" s="460">
        <f>Construction!BJ87/Construction!E87</f>
        <v>0</v>
      </c>
      <c r="CU87" s="460">
        <f>Construction!AY87/Construction!E87</f>
        <v>0</v>
      </c>
      <c r="CV87" s="478">
        <f t="shared" ca="1" si="144"/>
        <v>1.4000000000000001</v>
      </c>
      <c r="CW87" s="479">
        <f t="shared" ca="1" si="145"/>
        <v>1.4000000000000001</v>
      </c>
      <c r="CX87" s="479">
        <f t="shared" ca="1" si="146"/>
        <v>1.4000000000000001</v>
      </c>
      <c r="CY87" s="480">
        <f t="shared" ca="1" si="147"/>
        <v>1.4000000000000001</v>
      </c>
      <c r="CZ87" s="480">
        <f t="shared" si="148"/>
        <v>0.1</v>
      </c>
      <c r="DA87" s="480">
        <f t="shared" ca="1" si="149"/>
        <v>3</v>
      </c>
      <c r="DB87" s="480">
        <f t="shared" ca="1" si="150"/>
        <v>1.4000000000000001</v>
      </c>
      <c r="DC87" s="479">
        <f t="shared" si="151"/>
        <v>0</v>
      </c>
      <c r="DD87" s="849">
        <f t="shared" si="152"/>
        <v>0</v>
      </c>
      <c r="DE87" s="731">
        <f t="shared" si="179"/>
        <v>800</v>
      </c>
      <c r="DF87" s="731">
        <f t="shared" si="180"/>
        <v>0</v>
      </c>
      <c r="DG87" s="478">
        <f t="shared" ca="1" si="153"/>
        <v>1.4000000000000001</v>
      </c>
      <c r="DH87" s="448">
        <f t="shared" si="154"/>
        <v>9.0000000000000011E-2</v>
      </c>
      <c r="DI87" s="448">
        <f>MIN(valkyrja_cap,Production!O87/valkyrja_bonus)</f>
        <v>1</v>
      </c>
      <c r="DJ87" s="849">
        <f>MIN(voodoo_magi_cap,Production!O87/voodoo_magi_bonus)</f>
        <v>0.83333333333333337</v>
      </c>
      <c r="DK87" s="849">
        <f>MIN(warlock_cap,Production!O87/warlock_bonus)</f>
        <v>1.25</v>
      </c>
      <c r="DL87" s="849">
        <f ca="1">MIN(nox_nightshade_cap,Construction!DF87/Construction!E87/nox_nightshade_swamp_bonus)</f>
        <v>2.8000000000000003</v>
      </c>
      <c r="DM87" s="479">
        <f t="shared" si="155"/>
        <v>0</v>
      </c>
      <c r="DN87" s="480">
        <f t="shared" ca="1" si="156"/>
        <v>2.8000000000000003</v>
      </c>
      <c r="DO87" s="480">
        <f t="shared" ca="1" si="157"/>
        <v>2.8000000000000003</v>
      </c>
      <c r="DP87" s="480">
        <f t="shared" si="158"/>
        <v>1</v>
      </c>
      <c r="DQ87" s="479">
        <f t="shared" si="159"/>
        <v>0</v>
      </c>
      <c r="DR87" s="480">
        <f t="shared" si="160"/>
        <v>0</v>
      </c>
      <c r="DS87" s="479">
        <f t="shared" si="161"/>
        <v>0</v>
      </c>
      <c r="DT87" s="480">
        <f t="shared" si="162"/>
        <v>0.1</v>
      </c>
      <c r="DX87" s="478">
        <f ca="1">MIN(6,CV87+Races!$F$19)*1.8 +  IF(CV87+Races!$F$19&gt;6,(CV87+Races!$F$19-6)*0.2,0) - Races!$N$19</f>
        <v>2.5200000000000005</v>
      </c>
      <c r="DY87" s="479">
        <f ca="1">1.8 * MIN(MAX(CW87+Races!$E$20,CX87+Races!$F$20),6)  +  0.45 * MIN(MIN(CW87+Races!$E$20,CX87+Races!$F$20),6)  +  0.2 * ( MAX(CW87+Races!$E$20-6,0) + MAX(CX87+Races!$F$20-6,0) )  -  Races!$N$20</f>
        <v>3.1500000000000012</v>
      </c>
      <c r="DZ87" s="158">
        <f t="shared" ca="1" si="163"/>
        <v>3780.0000000000009</v>
      </c>
      <c r="EA87" s="664">
        <f ca="1">MIN(6,CY87+Races!$F$35)*1.8 +  IF(CY87+Races!$F$35&gt;6,(CY87+Races!$F$35-6)*0.2,0) - Races!$N$19</f>
        <v>0.72000000000000064</v>
      </c>
      <c r="EB87" s="158">
        <f t="shared" ca="1" si="164"/>
        <v>0</v>
      </c>
      <c r="EC87" s="664">
        <f ca="1">1.8 * MIN(MAX(Races!$E$27,DB87+Races!$F$27),6)  +  0.45 * MIN(MIN(Races!$E$27,DB87+Races!$F$27),6)  +  0.2 * ( MAX(Races!$E$27-6,0) + MAX(DB87+Races!$F$27-6,0) )  -  Races!$N$20</f>
        <v>4.7700000000000005</v>
      </c>
      <c r="ED87" s="158">
        <f t="shared" ca="1" si="165"/>
        <v>0</v>
      </c>
      <c r="EE87" s="664">
        <f>1.8 * MIN(MAX(DC87+Races!$E$47,DD87+Races!$F$47),6)  +  0.45 * MIN(MIN(DC87+Races!$E$47,DD87+Races!$F$47),6)  +  0.2 * ( MAX(DC87+Races!$E$47-6,0) + MAX(DD87+Races!$F$47-6,0) )  -  Races!$N$47</f>
        <v>0</v>
      </c>
      <c r="EF87" s="158">
        <f t="shared" si="166"/>
        <v>0</v>
      </c>
      <c r="EG87" s="664">
        <f ca="1">1.8 * MIN(MAX(DG87+Races!$F$71,Races!$E$71),6)  +  0.45 * MIN(MIN(DG87+Races!$F$71,Races!$E$71),6)  +  0.2 * ( MAX(DG87+Races!$F$71-6,0) + MAX(Races!$E$71-6,0) )  -  Races!$N$71</f>
        <v>2.5200000000000014</v>
      </c>
      <c r="EH87" s="664">
        <f>1.8 * MIN(MAX(DH87+Races!$E$71,Races!$F$71),6)  +  0.45 * MIN(MIN(DH87+Races!$E$71,Races!$F$71),6)  +  0.2 * ( MAX(DH87+Races!$E$71-6,0) + MAX(Races!$F$71-6,0) )  -  Races!$N$71</f>
        <v>0.16200000000000081</v>
      </c>
      <c r="EI87" s="158">
        <f t="shared" ca="1" si="167"/>
        <v>2584.8000000000015</v>
      </c>
      <c r="EJ87" s="158"/>
      <c r="EK87" s="158"/>
      <c r="EL87" s="158"/>
      <c r="EM87" s="158">
        <f ca="1">Overview!$L$22*E87+Overview!$L$23*F87+Overview!$L$24*G87+Overview!$L$25*H87+Overview!$L$26*I87+Overview!$L$27*J87+Overview!$L$28*K87+Construction!E87*20+Construction!B87*5 + DZ87*$DV$4+EB87*$DV$5+ED87*$DV$6+EF87*$DV$7+EI87*$DV$9</f>
        <v>39460</v>
      </c>
      <c r="EO87" s="739">
        <f>(J87+2*K87)/Construction!E87</f>
        <v>0.1</v>
      </c>
      <c r="EP87" s="735">
        <f ca="1">EO87*(1+race_wizard_strength+tech_magical_weaponry_wiz*Techs!AV159)</f>
        <v>0.1</v>
      </c>
      <c r="EQ87" s="163">
        <f>(I87+halfer*H87/3)/Construction!E87</f>
        <v>0.1</v>
      </c>
    </row>
    <row r="88" spans="1:147" s="170" customFormat="1">
      <c r="A88" s="629">
        <f>Rezone!J88</f>
        <v>86</v>
      </c>
      <c r="B88" s="152">
        <f ca="1">SUM(E88:K88)+SUM(AF80:AG88)+SUM(AH77:AL88)+Z88+Explore!AL88</f>
        <v>5295</v>
      </c>
      <c r="C88" s="171">
        <f ca="1">Population!G88</f>
        <v>0.57305194805194803</v>
      </c>
      <c r="E88" s="156">
        <f t="shared" si="182"/>
        <v>0</v>
      </c>
      <c r="F88" s="170">
        <f t="shared" si="183"/>
        <v>0</v>
      </c>
      <c r="G88" s="170">
        <f t="shared" si="184"/>
        <v>1000</v>
      </c>
      <c r="H88" s="170">
        <f t="shared" si="185"/>
        <v>400</v>
      </c>
      <c r="I88" s="170">
        <f t="shared" si="186"/>
        <v>100</v>
      </c>
      <c r="J88" s="170">
        <f t="shared" si="187"/>
        <v>100</v>
      </c>
      <c r="K88" s="157">
        <f t="shared" si="188"/>
        <v>0</v>
      </c>
      <c r="M88" s="160">
        <f ca="1">Production!G88</f>
        <v>39460</v>
      </c>
      <c r="O88" s="234">
        <f t="shared" ca="1" si="125"/>
        <v>4400</v>
      </c>
      <c r="P88" s="455">
        <f ca="1">race_offense+Imps!AB88+ROUND(MIN(gn_bonus*Construction!BF88/Construction!$E88,gn_bonus_cap),4)+MAX(IF(Magic!$AN88&gt;0,warsong_bonus),IF(Magic!AP88&gt;0,howling_op_bonus),IF(Magic!AS88&gt;0,nightfall_bonus),IF(Magic!AT88&gt;0,crusade_bonus),IF(Magic!AU88&gt;0,killingrage_bonus),IF(Magic!AV88&gt;0,bloodrage_bonus)) + Production!O88/100*prestige_offense_bonus + MAX(tech_military_offense*Techs!AH88,tech_magical_weaponry_op*Techs!AV88)</f>
        <v>0.05</v>
      </c>
      <c r="Q88" s="235">
        <f t="shared" ca="1" si="168"/>
        <v>4620</v>
      </c>
      <c r="R88" s="234">
        <f ca="1">F88*(spec_dp+spirit*DR88)+G88*(elite1_dp+woodie*CV88+sylvan*CY88+gnome*DB88+dark_elf*DD88+icekin*DG88+orc*DJ88+nox*DL88+beast*DN88+sacred*DP88+spirit*DS88+blackorc*DK88)+H88*(elite2_dp+woodie*CX88+beast*DO88+sacred*DQ88) + fh_peas_dp*MIN(Population!C88,20*Construction!BD88)+kobold*DE88</f>
        <v>7200</v>
      </c>
      <c r="S88" s="235">
        <f t="shared" ca="1" si="126"/>
        <v>10895</v>
      </c>
      <c r="T88" s="1052">
        <f ca="1">race_defense+Imps!AC88+ROUND(MIN(gt_bonus*Construction!BH88/Construction!$E88,gt_bonus_cap),4)+MAX(IF(Magic!AM88&gt;0,frenzy_bonus,IF(Magic!AQ88&gt;0,blizzard_bonus,IF(Magic!AP88&gt;0,howling_dp_bonus,IF(Magic!AI88&gt;0,ares_call_bonus)))),IF(Magic!AX88&gt;0,MIN(Construction!DF88/Construction!E88,0.2),0))</f>
        <v>0</v>
      </c>
      <c r="U88" s="1046">
        <f t="shared" ca="1" si="169"/>
        <v>7200</v>
      </c>
      <c r="V88" s="308">
        <f t="shared" ca="1" si="170"/>
        <v>10895</v>
      </c>
      <c r="W88" s="308">
        <f>Construction!E88</f>
        <v>1000</v>
      </c>
      <c r="X88" s="364"/>
      <c r="Y88" s="232">
        <f>IF(X88&lt;&gt;"",X88,Y87)</f>
        <v>0.4</v>
      </c>
      <c r="Z88" s="166">
        <f ca="1">Z87+Population!Z87 - IF(race="Lux",AF88,SUM(AF88:AK88)) - BE88 + SUM(BF88:BL88) - Explore!AI88</f>
        <v>3695</v>
      </c>
      <c r="AA88" s="164"/>
      <c r="AB88" s="251">
        <f>(Construction!$BA88+Construction!BY88)/(Construction!$E88-Explore!S88*20)</f>
        <v>0.2</v>
      </c>
      <c r="AC88" s="629"/>
      <c r="AD88" s="798">
        <f>Rezone!J88</f>
        <v>86</v>
      </c>
      <c r="AE88" s="589">
        <f>Explore!AA88</f>
        <v>43695.541666666461</v>
      </c>
      <c r="AF88" s="352"/>
      <c r="AG88" s="345"/>
      <c r="AH88" s="345"/>
      <c r="AI88" s="345"/>
      <c r="AJ88" s="345"/>
      <c r="AK88" s="345"/>
      <c r="AL88" s="353"/>
      <c r="AN88" s="152">
        <f ca="1">Production!$H88</f>
        <v>3852846</v>
      </c>
      <c r="AO88" s="164">
        <f ca="1">Production!$L88</f>
        <v>231000</v>
      </c>
      <c r="AP88" s="164">
        <f ca="1">Production!J88</f>
        <v>272298</v>
      </c>
      <c r="AQ88" s="164">
        <f ca="1">Production!M88</f>
        <v>20000</v>
      </c>
      <c r="AR88" s="164">
        <f ca="1">Production!K88</f>
        <v>54869</v>
      </c>
      <c r="AS88" s="164">
        <f ca="1">Production!I88</f>
        <v>286828</v>
      </c>
      <c r="AT88" s="164">
        <f ca="1">Production!N88</f>
        <v>200</v>
      </c>
      <c r="AU88" s="152">
        <f t="shared" ca="1" si="127"/>
        <v>0</v>
      </c>
      <c r="AV88" s="164">
        <f t="shared" ca="1" si="128"/>
        <v>0</v>
      </c>
      <c r="AW88" s="164">
        <f t="shared" ca="1" si="171"/>
        <v>0</v>
      </c>
      <c r="AX88" s="164">
        <f t="shared" ca="1" si="172"/>
        <v>0</v>
      </c>
      <c r="AY88" s="164">
        <f t="shared" ca="1" si="173"/>
        <v>0</v>
      </c>
      <c r="AZ88" s="164">
        <f t="shared" ca="1" si="174"/>
        <v>0</v>
      </c>
      <c r="BA88" s="166">
        <f t="shared" ca="1" si="175"/>
        <v>0</v>
      </c>
      <c r="BB88" s="170" t="s">
        <v>243</v>
      </c>
      <c r="BC88" s="532">
        <f t="shared" si="189"/>
        <v>43695.541666666461</v>
      </c>
      <c r="BD88" s="233">
        <f t="shared" ca="1" si="177"/>
        <v>3695</v>
      </c>
      <c r="BE88" s="352"/>
      <c r="BF88" s="345"/>
      <c r="BG88" s="345"/>
      <c r="BH88" s="345"/>
      <c r="BI88" s="345"/>
      <c r="BJ88" s="345"/>
      <c r="BK88" s="345"/>
      <c r="BL88" s="353"/>
      <c r="BN88" s="503">
        <f>Construction!BM88/Construction!E88</f>
        <v>0</v>
      </c>
      <c r="BO88" s="171">
        <f>Construction!BD88/Construction!E88</f>
        <v>0</v>
      </c>
      <c r="BP88" s="152">
        <f>ROUNDUP((1-MIN(AB88*smithy_bonus,smithy_bonus_cap))*(1+Techs!AO88*tech_master_of_frugality)*spec_op_plat,0)</f>
        <v>165</v>
      </c>
      <c r="BQ88" s="164">
        <f>ROUNDUP(IF(race="Gnome",1,(1-MIN(AB88*smithy_bonus,smithy_bonus_cap))*(1+Techs!AO88*tech_master_of_frugality))*spec_op_ore,0)</f>
        <v>15</v>
      </c>
      <c r="BR88" s="164">
        <f t="shared" si="129"/>
        <v>0</v>
      </c>
      <c r="BS88" s="164">
        <f t="shared" si="130"/>
        <v>0</v>
      </c>
      <c r="BT88" s="164">
        <f ca="1">ROUNDUP((1-MIN(AB88*smithy_bonus,smithy_bonus_cap))*(1+Techs!AO88*tech_master_of_frugality)*spec_dp_plat,0)</f>
        <v>165</v>
      </c>
      <c r="BU88" s="164">
        <f ca="1">ROUNDUP(IF(OR(race="Gnome",race="Imperial Gnome"),1,(1-MIN(AB88*smithy_bonus,smithy_bonus_cap))*(1+Techs!AO88*tech_master_of_frugality))*spec_dp_ore,0)</f>
        <v>6</v>
      </c>
      <c r="BV88" s="164">
        <f t="shared" ca="1" si="131"/>
        <v>0</v>
      </c>
      <c r="BW88" s="164">
        <f t="shared" ca="1" si="132"/>
        <v>0</v>
      </c>
      <c r="BX88" s="164">
        <f t="shared" ca="1" si="133"/>
        <v>0</v>
      </c>
      <c r="BY88" s="164">
        <f ca="1">ROUNDUP((1-MIN(AB88*smithy_bonus,smithy_bonus_cap))*(1+Techs!AO88*tech_master_of_frugality)*elite1_plat,0)</f>
        <v>600</v>
      </c>
      <c r="BZ88" s="164">
        <f ca="1">ROUNDUP(IF(race="Gnome",1,(1-MIN(AB88*smithy_bonus,smithy_bonus_cap))*(1+Techs!AO88*tech_master_of_frugality))*elite1_ore,0)</f>
        <v>45</v>
      </c>
      <c r="CA88" s="164">
        <f t="shared" ca="1" si="134"/>
        <v>0</v>
      </c>
      <c r="CB88" s="164">
        <f t="shared" ca="1" si="135"/>
        <v>0</v>
      </c>
      <c r="CC88" s="164">
        <f t="shared" ca="1" si="136"/>
        <v>0</v>
      </c>
      <c r="CD88" s="164">
        <f t="shared" ca="1" si="137"/>
        <v>0</v>
      </c>
      <c r="CE88" s="164">
        <f t="shared" ca="1" si="138"/>
        <v>0</v>
      </c>
      <c r="CF88" s="164">
        <f ca="1">ROUNDUP((1-MIN(AB88*smithy_bonus,smithy_bonus_cap))*(1+Techs!AO88*tech_master_of_frugality)*elite2_plat,0)</f>
        <v>750</v>
      </c>
      <c r="CG88" s="164">
        <f ca="1">ROUNDUP(IF(race="Gnome",1,(1-MIN(AB88*smithy_bonus,smithy_bonus_cap))*(1+Techs!AO88*tech_master_of_frugality))*elite2_ore,0)</f>
        <v>60</v>
      </c>
      <c r="CH88" s="164">
        <f t="shared" ca="1" si="139"/>
        <v>0</v>
      </c>
      <c r="CI88" s="164">
        <f t="shared" ca="1" si="140"/>
        <v>0</v>
      </c>
      <c r="CJ88" s="164">
        <f t="shared" ca="1" si="141"/>
        <v>0</v>
      </c>
      <c r="CK88" s="164">
        <f t="shared" ca="1" si="142"/>
        <v>0</v>
      </c>
      <c r="CL88" s="164">
        <f t="shared" ca="1" si="143"/>
        <v>0</v>
      </c>
      <c r="CM88" s="164">
        <f>ROUNDUP((1+tech_spy_cost*Techs!AJ88)*spy_plat,0)</f>
        <v>500</v>
      </c>
      <c r="CN88" s="164">
        <f>ROUNDUP((1+tech_wizard_cost*Techs!AM88-MIN(ROUND(wg_wiz_cost_bonus*BN88,4),wg_wiz_cost_cap))*wizard_plat,0)</f>
        <v>500</v>
      </c>
      <c r="CO88" s="166">
        <f>ROUNDUP((1+tech_wizard_cost*Techs!AM88-MIN(ROUND(wg_wiz_cost_bonus*BN88,4),wg_wiz_cost_cap))*archmage_plat,0)</f>
        <v>1000</v>
      </c>
      <c r="CQ88" s="461">
        <f ca="1">Construction!DF88/Construction!E88</f>
        <v>0.28000000000000003</v>
      </c>
      <c r="CR88" s="462">
        <f t="shared" si="190"/>
        <v>0</v>
      </c>
      <c r="CS88" s="462">
        <f>Construction!BK88/Construction!E88</f>
        <v>0.05</v>
      </c>
      <c r="CT88" s="462">
        <f>Construction!BJ88/Construction!E88</f>
        <v>0</v>
      </c>
      <c r="CU88" s="462">
        <f>Construction!AY88/Construction!E88</f>
        <v>0</v>
      </c>
      <c r="CV88" s="481">
        <f t="shared" ca="1" si="144"/>
        <v>1.4000000000000001</v>
      </c>
      <c r="CW88" s="482">
        <f t="shared" ca="1" si="145"/>
        <v>1.4000000000000001</v>
      </c>
      <c r="CX88" s="482">
        <f t="shared" ca="1" si="146"/>
        <v>1.4000000000000001</v>
      </c>
      <c r="CY88" s="483">
        <f t="shared" ca="1" si="147"/>
        <v>1.4000000000000001</v>
      </c>
      <c r="CZ88" s="483">
        <f t="shared" si="148"/>
        <v>0.1</v>
      </c>
      <c r="DA88" s="483">
        <f t="shared" ca="1" si="149"/>
        <v>3</v>
      </c>
      <c r="DB88" s="483">
        <f t="shared" ca="1" si="150"/>
        <v>1.4000000000000001</v>
      </c>
      <c r="DC88" s="482">
        <f t="shared" si="151"/>
        <v>0</v>
      </c>
      <c r="DD88" s="847">
        <f t="shared" si="152"/>
        <v>0</v>
      </c>
      <c r="DE88" s="440">
        <f t="shared" si="179"/>
        <v>800</v>
      </c>
      <c r="DF88" s="440">
        <f t="shared" si="180"/>
        <v>0</v>
      </c>
      <c r="DG88" s="481">
        <f t="shared" ca="1" si="153"/>
        <v>1.4000000000000001</v>
      </c>
      <c r="DH88" s="450">
        <f t="shared" si="154"/>
        <v>9.0000000000000011E-2</v>
      </c>
      <c r="DI88" s="450">
        <f>MIN(valkyrja_cap,Production!O88/valkyrja_bonus)</f>
        <v>1</v>
      </c>
      <c r="DJ88" s="847">
        <f>MIN(voodoo_magi_cap,Production!O88/voodoo_magi_bonus)</f>
        <v>0.83333333333333337</v>
      </c>
      <c r="DK88" s="847">
        <f>MIN(warlock_cap,Production!O88/warlock_bonus)</f>
        <v>1.25</v>
      </c>
      <c r="DL88" s="847">
        <f ca="1">MIN(nox_nightshade_cap,Construction!DF88/Construction!E88/nox_nightshade_swamp_bonus)</f>
        <v>2.8000000000000003</v>
      </c>
      <c r="DM88" s="482">
        <f t="shared" si="155"/>
        <v>0</v>
      </c>
      <c r="DN88" s="483">
        <f t="shared" ca="1" si="156"/>
        <v>2.8000000000000003</v>
      </c>
      <c r="DO88" s="483">
        <f t="shared" ca="1" si="157"/>
        <v>2.8000000000000003</v>
      </c>
      <c r="DP88" s="483">
        <f t="shared" si="158"/>
        <v>1</v>
      </c>
      <c r="DQ88" s="482">
        <f t="shared" si="159"/>
        <v>0</v>
      </c>
      <c r="DR88" s="483">
        <f t="shared" si="160"/>
        <v>0</v>
      </c>
      <c r="DS88" s="482">
        <f t="shared" si="161"/>
        <v>0</v>
      </c>
      <c r="DT88" s="483">
        <f t="shared" si="162"/>
        <v>0.1</v>
      </c>
      <c r="DX88" s="481">
        <f ca="1">MIN(6,CV88+Races!$F$19)*1.8 +  IF(CV88+Races!$F$19&gt;6,(CV88+Races!$F$19-6)*0.2,0) - Races!$N$19</f>
        <v>2.5200000000000005</v>
      </c>
      <c r="DY88" s="482">
        <f ca="1">1.8 * MIN(MAX(CW88+Races!$E$20,CX88+Races!$F$20),6)  +  0.45 * MIN(MIN(CW88+Races!$E$20,CX88+Races!$F$20),6)  +  0.2 * ( MAX(CW88+Races!$E$20-6,0) + MAX(CX88+Races!$F$20-6,0) )  -  Races!$N$20</f>
        <v>3.1500000000000012</v>
      </c>
      <c r="DZ88" s="166">
        <f t="shared" ca="1" si="163"/>
        <v>3780.0000000000009</v>
      </c>
      <c r="EA88" s="665">
        <f ca="1">MIN(6,CY88+Races!$F$35)*1.8 +  IF(CY88+Races!$F$35&gt;6,(CY88+Races!$F$35-6)*0.2,0) - Races!$N$19</f>
        <v>0.72000000000000064</v>
      </c>
      <c r="EB88" s="166">
        <f t="shared" ca="1" si="164"/>
        <v>0</v>
      </c>
      <c r="EC88" s="665">
        <f ca="1">1.8 * MIN(MAX(Races!$E$27,DB88+Races!$F$27),6)  +  0.45 * MIN(MIN(Races!$E$27,DB88+Races!$F$27),6)  +  0.2 * ( MAX(Races!$E$27-6,0) + MAX(DB88+Races!$F$27-6,0) )  -  Races!$N$20</f>
        <v>4.7700000000000005</v>
      </c>
      <c r="ED88" s="166">
        <f t="shared" ca="1" si="165"/>
        <v>0</v>
      </c>
      <c r="EE88" s="665">
        <f>1.8 * MIN(MAX(DC88+Races!$E$47,DD88+Races!$F$47),6)  +  0.45 * MIN(MIN(DC88+Races!$E$47,DD88+Races!$F$47),6)  +  0.2 * ( MAX(DC88+Races!$E$47-6,0) + MAX(DD88+Races!$F$47-6,0) )  -  Races!$N$47</f>
        <v>0</v>
      </c>
      <c r="EF88" s="166">
        <f t="shared" si="166"/>
        <v>0</v>
      </c>
      <c r="EG88" s="665">
        <f ca="1">1.8 * MIN(MAX(DG88+Races!$F$71,Races!$E$71),6)  +  0.45 * MIN(MIN(DG88+Races!$F$71,Races!$E$71),6)  +  0.2 * ( MAX(DG88+Races!$F$71-6,0) + MAX(Races!$E$71-6,0) )  -  Races!$N$71</f>
        <v>2.5200000000000014</v>
      </c>
      <c r="EH88" s="665">
        <f>1.8 * MIN(MAX(DH88+Races!$E$71,Races!$F$71),6)  +  0.45 * MIN(MIN(DH88+Races!$E$71,Races!$F$71),6)  +  0.2 * ( MAX(DH88+Races!$E$71-6,0) + MAX(Races!$F$71-6,0) )  -  Races!$N$71</f>
        <v>0.16200000000000081</v>
      </c>
      <c r="EI88" s="166">
        <f t="shared" ca="1" si="167"/>
        <v>2584.8000000000015</v>
      </c>
      <c r="EJ88" s="166"/>
      <c r="EK88" s="166"/>
      <c r="EL88" s="166"/>
      <c r="EM88" s="166">
        <f ca="1">Overview!$L$22*E88+Overview!$L$23*F88+Overview!$L$24*G88+Overview!$L$25*H88+Overview!$L$26*I88+Overview!$L$27*J88+Overview!$L$28*K88+Construction!E88*20+Construction!B88*5 + DZ88*$DV$4+EB88*$DV$5+ED88*$DV$6+EF88*$DV$7+EI88*$DV$9</f>
        <v>39460</v>
      </c>
      <c r="EO88" s="737">
        <f>(J88+2*K88)/Construction!E88</f>
        <v>0.1</v>
      </c>
      <c r="EP88" s="734">
        <f ca="1">EO88*(1+race_wizard_strength+tech_magical_weaponry_wiz*Techs!AV160)</f>
        <v>0.1</v>
      </c>
      <c r="EQ88" s="170">
        <f>(I88+halfer*H88/3)/Construction!E88</f>
        <v>0.1</v>
      </c>
    </row>
    <row r="89" spans="1:147" s="170" customFormat="1">
      <c r="A89" s="629">
        <f>Rezone!J89</f>
        <v>87</v>
      </c>
      <c r="B89" s="152">
        <f ca="1">SUM(E89:K89)+SUM(AF81:AG89)+SUM(AH78:AL89)+Z89+Explore!AL89</f>
        <v>5295</v>
      </c>
      <c r="C89" s="171">
        <f ca="1">Population!G89</f>
        <v>0.57305194805194803</v>
      </c>
      <c r="E89" s="156">
        <f t="shared" si="182"/>
        <v>0</v>
      </c>
      <c r="F89" s="170">
        <f t="shared" si="183"/>
        <v>0</v>
      </c>
      <c r="G89" s="170">
        <f t="shared" si="184"/>
        <v>1000</v>
      </c>
      <c r="H89" s="170">
        <f t="shared" si="185"/>
        <v>400</v>
      </c>
      <c r="I89" s="170">
        <f t="shared" si="186"/>
        <v>100</v>
      </c>
      <c r="J89" s="170">
        <f t="shared" si="187"/>
        <v>100</v>
      </c>
      <c r="K89" s="157">
        <f t="shared" si="188"/>
        <v>0</v>
      </c>
      <c r="M89" s="160">
        <f ca="1">Production!G89</f>
        <v>39460</v>
      </c>
      <c r="O89" s="234">
        <f t="shared" ca="1" si="125"/>
        <v>4400</v>
      </c>
      <c r="P89" s="455">
        <f ca="1">race_offense+Imps!AB89+ROUND(MIN(gn_bonus*Construction!BF89/Construction!$E89,gn_bonus_cap),4)+MAX(IF(Magic!$AN89&gt;0,warsong_bonus),IF(Magic!AP89&gt;0,howling_op_bonus),IF(Magic!AS89&gt;0,nightfall_bonus),IF(Magic!AT89&gt;0,crusade_bonus),IF(Magic!AU89&gt;0,killingrage_bonus),IF(Magic!AV89&gt;0,bloodrage_bonus)) + Production!O89/100*prestige_offense_bonus + MAX(tech_military_offense*Techs!AH89,tech_magical_weaponry_op*Techs!AV89)</f>
        <v>0.05</v>
      </c>
      <c r="Q89" s="235">
        <f t="shared" ca="1" si="168"/>
        <v>4620</v>
      </c>
      <c r="R89" s="234">
        <f ca="1">F89*(spec_dp+spirit*DR89)+G89*(elite1_dp+woodie*CV89+sylvan*CY89+gnome*DB89+dark_elf*DD89+icekin*DG89+orc*DJ89+nox*DL89+beast*DN89+sacred*DP89+spirit*DS89+blackorc*DK89)+H89*(elite2_dp+woodie*CX89+beast*DO89+sacred*DQ89) + fh_peas_dp*MIN(Population!C89,20*Construction!BD89)+kobold*DE89</f>
        <v>7200</v>
      </c>
      <c r="S89" s="235">
        <f t="shared" ca="1" si="126"/>
        <v>10895</v>
      </c>
      <c r="T89" s="1052">
        <f ca="1">race_defense+Imps!AC89+ROUND(MIN(gt_bonus*Construction!BH89/Construction!$E89,gt_bonus_cap),4)+MAX(IF(Magic!AM89&gt;0,frenzy_bonus,IF(Magic!AQ89&gt;0,blizzard_bonus,IF(Magic!AP89&gt;0,howling_dp_bonus,IF(Magic!AI89&gt;0,ares_call_bonus)))),IF(Magic!AX89&gt;0,MIN(Construction!DF89/Construction!E89,0.2),0))</f>
        <v>0</v>
      </c>
      <c r="U89" s="1046">
        <f t="shared" ca="1" si="169"/>
        <v>7200</v>
      </c>
      <c r="V89" s="308">
        <f t="shared" ca="1" si="170"/>
        <v>10895</v>
      </c>
      <c r="W89" s="308">
        <f>Construction!E89</f>
        <v>1000</v>
      </c>
      <c r="X89" s="364"/>
      <c r="Y89" s="232">
        <f t="shared" ref="Y89:Y135" si="191">IF(X89&lt;&gt;"",X89,Y88)</f>
        <v>0.4</v>
      </c>
      <c r="Z89" s="166">
        <f ca="1">Z88+Population!Z88 - IF(race="Lux",AF89,SUM(AF89:AK89)) - BE89 + SUM(BF89:BL89) - Explore!AI89</f>
        <v>3695</v>
      </c>
      <c r="AA89" s="164"/>
      <c r="AB89" s="251">
        <f>(Construction!$BA89+Construction!BY89)/(Construction!$E89-Explore!S89*20)</f>
        <v>0.2</v>
      </c>
      <c r="AC89" s="629"/>
      <c r="AD89" s="798">
        <f>Rezone!J89</f>
        <v>87</v>
      </c>
      <c r="AE89" s="589">
        <f>Explore!AA89</f>
        <v>43695.583333333125</v>
      </c>
      <c r="AF89" s="352"/>
      <c r="AG89" s="345"/>
      <c r="AH89" s="345"/>
      <c r="AI89" s="345"/>
      <c r="AJ89" s="345"/>
      <c r="AK89" s="345"/>
      <c r="AL89" s="353"/>
      <c r="AN89" s="152">
        <f ca="1">Production!$H89</f>
        <v>3863497</v>
      </c>
      <c r="AO89" s="164">
        <f ca="1">Production!$L89</f>
        <v>231000</v>
      </c>
      <c r="AP89" s="164">
        <f ca="1">Production!J89</f>
        <v>272075</v>
      </c>
      <c r="AQ89" s="164">
        <f ca="1">Production!M89</f>
        <v>20000</v>
      </c>
      <c r="AR89" s="164">
        <f ca="1">Production!K89</f>
        <v>55022</v>
      </c>
      <c r="AS89" s="164">
        <f ca="1">Production!I89</f>
        <v>288690</v>
      </c>
      <c r="AT89" s="164">
        <f ca="1">Production!N89</f>
        <v>200</v>
      </c>
      <c r="AU89" s="152">
        <f t="shared" ca="1" si="127"/>
        <v>0</v>
      </c>
      <c r="AV89" s="164">
        <f t="shared" ca="1" si="128"/>
        <v>0</v>
      </c>
      <c r="AW89" s="164">
        <f t="shared" ca="1" si="171"/>
        <v>0</v>
      </c>
      <c r="AX89" s="164">
        <f t="shared" ca="1" si="172"/>
        <v>0</v>
      </c>
      <c r="AY89" s="164">
        <f t="shared" ca="1" si="173"/>
        <v>0</v>
      </c>
      <c r="AZ89" s="164">
        <f t="shared" ca="1" si="174"/>
        <v>0</v>
      </c>
      <c r="BA89" s="166">
        <f t="shared" ca="1" si="175"/>
        <v>0</v>
      </c>
      <c r="BB89" s="170">
        <v>15</v>
      </c>
      <c r="BC89" s="532">
        <f t="shared" si="176"/>
        <v>43695.583333333125</v>
      </c>
      <c r="BD89" s="233">
        <f t="shared" ca="1" si="177"/>
        <v>3695</v>
      </c>
      <c r="BE89" s="352"/>
      <c r="BF89" s="345"/>
      <c r="BG89" s="345"/>
      <c r="BH89" s="345"/>
      <c r="BI89" s="345"/>
      <c r="BJ89" s="345"/>
      <c r="BK89" s="345"/>
      <c r="BL89" s="353"/>
      <c r="BN89" s="503">
        <f>Construction!BM89/Construction!E89</f>
        <v>0</v>
      </c>
      <c r="BO89" s="171">
        <f>Construction!BD89/Construction!E89</f>
        <v>0</v>
      </c>
      <c r="BP89" s="152">
        <f>ROUNDUP((1-MIN(AB89*smithy_bonus,smithy_bonus_cap))*(1+Techs!AO89*tech_master_of_frugality)*spec_op_plat,0)</f>
        <v>165</v>
      </c>
      <c r="BQ89" s="164">
        <f>ROUNDUP(IF(race="Gnome",1,(1-MIN(AB89*smithy_bonus,smithy_bonus_cap))*(1+Techs!AO89*tech_master_of_frugality))*spec_op_ore,0)</f>
        <v>15</v>
      </c>
      <c r="BR89" s="164">
        <f t="shared" si="129"/>
        <v>0</v>
      </c>
      <c r="BS89" s="164">
        <f t="shared" si="130"/>
        <v>0</v>
      </c>
      <c r="BT89" s="164">
        <f ca="1">ROUNDUP((1-MIN(AB89*smithy_bonus,smithy_bonus_cap))*(1+Techs!AO89*tech_master_of_frugality)*spec_dp_plat,0)</f>
        <v>165</v>
      </c>
      <c r="BU89" s="164">
        <f ca="1">ROUNDUP(IF(OR(race="Gnome",race="Imperial Gnome"),1,(1-MIN(AB89*smithy_bonus,smithy_bonus_cap))*(1+Techs!AO89*tech_master_of_frugality))*spec_dp_ore,0)</f>
        <v>6</v>
      </c>
      <c r="BV89" s="164">
        <f t="shared" ca="1" si="131"/>
        <v>0</v>
      </c>
      <c r="BW89" s="164">
        <f t="shared" ca="1" si="132"/>
        <v>0</v>
      </c>
      <c r="BX89" s="164">
        <f t="shared" ca="1" si="133"/>
        <v>0</v>
      </c>
      <c r="BY89" s="164">
        <f ca="1">ROUNDUP((1-MIN(AB89*smithy_bonus,smithy_bonus_cap))*(1+Techs!AO89*tech_master_of_frugality)*elite1_plat,0)</f>
        <v>600</v>
      </c>
      <c r="BZ89" s="164">
        <f ca="1">ROUNDUP(IF(race="Gnome",1,(1-MIN(AB89*smithy_bonus,smithy_bonus_cap))*(1+Techs!AO89*tech_master_of_frugality))*elite1_ore,0)</f>
        <v>45</v>
      </c>
      <c r="CA89" s="164">
        <f t="shared" ca="1" si="134"/>
        <v>0</v>
      </c>
      <c r="CB89" s="164">
        <f t="shared" ca="1" si="135"/>
        <v>0</v>
      </c>
      <c r="CC89" s="164">
        <f t="shared" ca="1" si="136"/>
        <v>0</v>
      </c>
      <c r="CD89" s="164">
        <f t="shared" ca="1" si="137"/>
        <v>0</v>
      </c>
      <c r="CE89" s="164">
        <f t="shared" ca="1" si="138"/>
        <v>0</v>
      </c>
      <c r="CF89" s="164">
        <f ca="1">ROUNDUP((1-MIN(AB89*smithy_bonus,smithy_bonus_cap))*(1+Techs!AO89*tech_master_of_frugality)*elite2_plat,0)</f>
        <v>750</v>
      </c>
      <c r="CG89" s="164">
        <f ca="1">ROUNDUP(IF(race="Gnome",1,(1-MIN(AB89*smithy_bonus,smithy_bonus_cap))*(1+Techs!AO89*tech_master_of_frugality))*elite2_ore,0)</f>
        <v>60</v>
      </c>
      <c r="CH89" s="164">
        <f t="shared" ca="1" si="139"/>
        <v>0</v>
      </c>
      <c r="CI89" s="164">
        <f t="shared" ca="1" si="140"/>
        <v>0</v>
      </c>
      <c r="CJ89" s="164">
        <f t="shared" ca="1" si="141"/>
        <v>0</v>
      </c>
      <c r="CK89" s="164">
        <f t="shared" ca="1" si="142"/>
        <v>0</v>
      </c>
      <c r="CL89" s="164">
        <f t="shared" ca="1" si="143"/>
        <v>0</v>
      </c>
      <c r="CM89" s="164">
        <f>ROUNDUP((1+tech_spy_cost*Techs!AJ89)*spy_plat,0)</f>
        <v>500</v>
      </c>
      <c r="CN89" s="164">
        <f>ROUNDUP((1+tech_wizard_cost*Techs!AM89-MIN(ROUND(wg_wiz_cost_bonus*BN89,4),wg_wiz_cost_cap))*wizard_plat,0)</f>
        <v>500</v>
      </c>
      <c r="CO89" s="166">
        <f>ROUNDUP((1+tech_wizard_cost*Techs!AM89-MIN(ROUND(wg_wiz_cost_bonus*BN89,4),wg_wiz_cost_cap))*archmage_plat,0)</f>
        <v>1000</v>
      </c>
      <c r="CQ89" s="461">
        <f ca="1">Construction!DF89/Construction!E89</f>
        <v>0.28000000000000003</v>
      </c>
      <c r="CR89" s="462">
        <f t="shared" si="178"/>
        <v>0</v>
      </c>
      <c r="CS89" s="462">
        <f>Construction!BK89/Construction!E89</f>
        <v>0.05</v>
      </c>
      <c r="CT89" s="462">
        <f>Construction!BJ89/Construction!E89</f>
        <v>0</v>
      </c>
      <c r="CU89" s="462">
        <f>Construction!AY89/Construction!E89</f>
        <v>0</v>
      </c>
      <c r="CV89" s="481">
        <f t="shared" ca="1" si="144"/>
        <v>1.4000000000000001</v>
      </c>
      <c r="CW89" s="482">
        <f t="shared" ca="1" si="145"/>
        <v>1.4000000000000001</v>
      </c>
      <c r="CX89" s="482">
        <f t="shared" ca="1" si="146"/>
        <v>1.4000000000000001</v>
      </c>
      <c r="CY89" s="483">
        <f t="shared" ca="1" si="147"/>
        <v>1.4000000000000001</v>
      </c>
      <c r="CZ89" s="483">
        <f t="shared" si="148"/>
        <v>0.1</v>
      </c>
      <c r="DA89" s="483">
        <f t="shared" ca="1" si="149"/>
        <v>3</v>
      </c>
      <c r="DB89" s="483">
        <f t="shared" ca="1" si="150"/>
        <v>1.4000000000000001</v>
      </c>
      <c r="DC89" s="482">
        <f t="shared" si="151"/>
        <v>0</v>
      </c>
      <c r="DD89" s="847">
        <f t="shared" si="152"/>
        <v>0</v>
      </c>
      <c r="DE89" s="440">
        <f t="shared" si="179"/>
        <v>800</v>
      </c>
      <c r="DF89" s="440">
        <f t="shared" si="180"/>
        <v>0</v>
      </c>
      <c r="DG89" s="481">
        <f t="shared" ca="1" si="153"/>
        <v>1.4000000000000001</v>
      </c>
      <c r="DH89" s="450">
        <f t="shared" si="154"/>
        <v>9.0000000000000011E-2</v>
      </c>
      <c r="DI89" s="450">
        <f>MIN(valkyrja_cap,Production!O89/valkyrja_bonus)</f>
        <v>1</v>
      </c>
      <c r="DJ89" s="847">
        <f>MIN(voodoo_magi_cap,Production!O89/voodoo_magi_bonus)</f>
        <v>0.83333333333333337</v>
      </c>
      <c r="DK89" s="847">
        <f>MIN(warlock_cap,Production!O89/warlock_bonus)</f>
        <v>1.25</v>
      </c>
      <c r="DL89" s="847">
        <f ca="1">MIN(nox_nightshade_cap,Construction!DF89/Construction!E89/nox_nightshade_swamp_bonus)</f>
        <v>2.8000000000000003</v>
      </c>
      <c r="DM89" s="482">
        <f t="shared" si="155"/>
        <v>0</v>
      </c>
      <c r="DN89" s="483">
        <f t="shared" ca="1" si="156"/>
        <v>2.8000000000000003</v>
      </c>
      <c r="DO89" s="483">
        <f t="shared" ca="1" si="157"/>
        <v>2.8000000000000003</v>
      </c>
      <c r="DP89" s="483">
        <f t="shared" si="158"/>
        <v>1</v>
      </c>
      <c r="DQ89" s="482">
        <f t="shared" si="159"/>
        <v>0</v>
      </c>
      <c r="DR89" s="483">
        <f t="shared" si="160"/>
        <v>0</v>
      </c>
      <c r="DS89" s="482">
        <f t="shared" si="161"/>
        <v>0</v>
      </c>
      <c r="DT89" s="483">
        <f t="shared" si="162"/>
        <v>0.1</v>
      </c>
      <c r="DX89" s="481">
        <f ca="1">MIN(6,CV89+Races!$F$19)*1.8 +  IF(CV89+Races!$F$19&gt;6,(CV89+Races!$F$19-6)*0.2,0) - Races!$N$19</f>
        <v>2.5200000000000005</v>
      </c>
      <c r="DY89" s="482">
        <f ca="1">1.8 * MIN(MAX(CW89+Races!$E$20,CX89+Races!$F$20),6)  +  0.45 * MIN(MIN(CW89+Races!$E$20,CX89+Races!$F$20),6)  +  0.2 * ( MAX(CW89+Races!$E$20-6,0) + MAX(CX89+Races!$F$20-6,0) )  -  Races!$N$20</f>
        <v>3.1500000000000012</v>
      </c>
      <c r="DZ89" s="166">
        <f t="shared" ca="1" si="163"/>
        <v>3780.0000000000009</v>
      </c>
      <c r="EA89" s="665">
        <f ca="1">MIN(6,CY89+Races!$F$35)*1.8 +  IF(CY89+Races!$F$35&gt;6,(CY89+Races!$F$35-6)*0.2,0) - Races!$N$19</f>
        <v>0.72000000000000064</v>
      </c>
      <c r="EB89" s="166">
        <f t="shared" ca="1" si="164"/>
        <v>0</v>
      </c>
      <c r="EC89" s="665">
        <f ca="1">1.8 * MIN(MAX(Races!$E$27,DB89+Races!$F$27),6)  +  0.45 * MIN(MIN(Races!$E$27,DB89+Races!$F$27),6)  +  0.2 * ( MAX(Races!$E$27-6,0) + MAX(DB89+Races!$F$27-6,0) )  -  Races!$N$20</f>
        <v>4.7700000000000005</v>
      </c>
      <c r="ED89" s="166">
        <f t="shared" ca="1" si="165"/>
        <v>0</v>
      </c>
      <c r="EE89" s="665">
        <f>1.8 * MIN(MAX(DC89+Races!$E$47,DD89+Races!$F$47),6)  +  0.45 * MIN(MIN(DC89+Races!$E$47,DD89+Races!$F$47),6)  +  0.2 * ( MAX(DC89+Races!$E$47-6,0) + MAX(DD89+Races!$F$47-6,0) )  -  Races!$N$47</f>
        <v>0</v>
      </c>
      <c r="EF89" s="166">
        <f t="shared" si="166"/>
        <v>0</v>
      </c>
      <c r="EG89" s="665">
        <f ca="1">1.8 * MIN(MAX(DG89+Races!$F$71,Races!$E$71),6)  +  0.45 * MIN(MIN(DG89+Races!$F$71,Races!$E$71),6)  +  0.2 * ( MAX(DG89+Races!$F$71-6,0) + MAX(Races!$E$71-6,0) )  -  Races!$N$71</f>
        <v>2.5200000000000014</v>
      </c>
      <c r="EH89" s="665">
        <f>1.8 * MIN(MAX(DH89+Races!$E$71,Races!$F$71),6)  +  0.45 * MIN(MIN(DH89+Races!$E$71,Races!$F$71),6)  +  0.2 * ( MAX(DH89+Races!$E$71-6,0) + MAX(Races!$F$71-6,0) )  -  Races!$N$71</f>
        <v>0.16200000000000081</v>
      </c>
      <c r="EI89" s="166">
        <f t="shared" ca="1" si="167"/>
        <v>2584.8000000000015</v>
      </c>
      <c r="EJ89" s="166"/>
      <c r="EK89" s="166"/>
      <c r="EL89" s="166"/>
      <c r="EM89" s="166">
        <f ca="1">Overview!$L$22*E89+Overview!$L$23*F89+Overview!$L$24*G89+Overview!$L$25*H89+Overview!$L$26*I89+Overview!$L$27*J89+Overview!$L$28*K89+Construction!E89*20+Construction!B89*5 + DZ89*$DV$4+EB89*$DV$5+ED89*$DV$6+EF89*$DV$7+EI89*$DV$9</f>
        <v>39460</v>
      </c>
      <c r="EO89" s="737">
        <f>(J89+2*K89)/Construction!E89</f>
        <v>0.1</v>
      </c>
      <c r="EP89" s="734">
        <f ca="1">EO89*(1+race_wizard_strength+tech_magical_weaponry_wiz*Techs!AV161)</f>
        <v>0.1</v>
      </c>
      <c r="EQ89" s="170">
        <f>(I89+halfer*H89/3)/Construction!E89</f>
        <v>0.1</v>
      </c>
    </row>
    <row r="90" spans="1:147" s="16" customFormat="1">
      <c r="A90" s="629">
        <f>Rezone!J90</f>
        <v>88</v>
      </c>
      <c r="B90" s="56">
        <f ca="1">SUM(E90:K90)+SUM(AF82:AG90)+SUM(AH79:AL90)+Z90+Explore!AL90</f>
        <v>5295</v>
      </c>
      <c r="C90" s="97">
        <f ca="1">Population!G90</f>
        <v>0.57305194805194803</v>
      </c>
      <c r="E90" s="52">
        <f t="shared" si="182"/>
        <v>0</v>
      </c>
      <c r="F90" s="16">
        <f t="shared" si="183"/>
        <v>0</v>
      </c>
      <c r="G90" s="16">
        <f t="shared" si="184"/>
        <v>1000</v>
      </c>
      <c r="H90" s="16">
        <f t="shared" si="185"/>
        <v>400</v>
      </c>
      <c r="I90" s="16">
        <f t="shared" si="186"/>
        <v>100</v>
      </c>
      <c r="J90" s="16">
        <f t="shared" si="187"/>
        <v>100</v>
      </c>
      <c r="K90" s="53">
        <f t="shared" si="188"/>
        <v>0</v>
      </c>
      <c r="M90" s="64">
        <f ca="1">Production!G90</f>
        <v>39460</v>
      </c>
      <c r="O90" s="234">
        <f t="shared" ca="1" si="125"/>
        <v>4400</v>
      </c>
      <c r="P90" s="455">
        <f ca="1">race_offense+Imps!AB90+ROUND(MIN(gn_bonus*Construction!BF90/Construction!$E90,gn_bonus_cap),4)+MAX(IF(Magic!$AN90&gt;0,warsong_bonus),IF(Magic!AP90&gt;0,howling_op_bonus),IF(Magic!AS90&gt;0,nightfall_bonus),IF(Magic!AT90&gt;0,crusade_bonus),IF(Magic!AU90&gt;0,killingrage_bonus),IF(Magic!AV90&gt;0,bloodrage_bonus)) + Production!O90/100*prestige_offense_bonus + MAX(tech_military_offense*Techs!AH90,tech_magical_weaponry_op*Techs!AV90)</f>
        <v>0.05</v>
      </c>
      <c r="Q90" s="235">
        <f t="shared" ca="1" si="168"/>
        <v>4620</v>
      </c>
      <c r="R90" s="234">
        <f ca="1">F90*(spec_dp+spirit*DR90)+G90*(elite1_dp+woodie*CV90+sylvan*CY90+gnome*DB90+dark_elf*DD90+icekin*DG90+orc*DJ90+nox*DL90+beast*DN90+sacred*DP90+spirit*DS90+blackorc*DK90)+H90*(elite2_dp+woodie*CX90+beast*DO90+sacred*DQ90) + fh_peas_dp*MIN(Population!C90,20*Construction!BD90)+kobold*DE90</f>
        <v>7200</v>
      </c>
      <c r="S90" s="235">
        <f t="shared" ca="1" si="126"/>
        <v>10895</v>
      </c>
      <c r="T90" s="1052">
        <f ca="1">race_defense+Imps!AC90+ROUND(MIN(gt_bonus*Construction!BH90/Construction!$E90,gt_bonus_cap),4)+MAX(IF(Magic!AM90&gt;0,frenzy_bonus,IF(Magic!AQ90&gt;0,blizzard_bonus,IF(Magic!AP90&gt;0,howling_dp_bonus,IF(Magic!AI90&gt;0,ares_call_bonus)))),IF(Magic!AX90&gt;0,MIN(Construction!DF90/Construction!E90,0.2),0))</f>
        <v>0</v>
      </c>
      <c r="U90" s="1046">
        <f t="shared" ca="1" si="169"/>
        <v>7200</v>
      </c>
      <c r="V90" s="308">
        <f t="shared" ca="1" si="170"/>
        <v>10895</v>
      </c>
      <c r="W90" s="310">
        <f>Construction!E90</f>
        <v>1000</v>
      </c>
      <c r="X90" s="367"/>
      <c r="Y90" s="146">
        <f t="shared" si="191"/>
        <v>0.4</v>
      </c>
      <c r="Z90" s="166">
        <f ca="1">Z89+Population!Z89 - IF(race="Lux",AF90,SUM(AF90:AK90)) - BE90 + SUM(BF90:BL90) - Explore!AI90</f>
        <v>3695</v>
      </c>
      <c r="AA90" s="164"/>
      <c r="AB90" s="91">
        <f>(Construction!$BA90+Construction!BY90)/(Construction!$E90-Explore!S90*20)</f>
        <v>0.2</v>
      </c>
      <c r="AC90" s="629"/>
      <c r="AD90" s="799">
        <f>Rezone!J90</f>
        <v>88</v>
      </c>
      <c r="AE90" s="589">
        <f>Explore!AA90</f>
        <v>43695.624999999789</v>
      </c>
      <c r="AF90" s="356"/>
      <c r="AG90" s="348"/>
      <c r="AH90" s="348"/>
      <c r="AI90" s="348"/>
      <c r="AJ90" s="348"/>
      <c r="AK90" s="348"/>
      <c r="AL90" s="357"/>
      <c r="AN90" s="56">
        <f ca="1">Production!$H90</f>
        <v>3874148</v>
      </c>
      <c r="AO90" s="26">
        <f ca="1">Production!$L90</f>
        <v>231000</v>
      </c>
      <c r="AP90" s="26">
        <f ca="1">Production!J90</f>
        <v>271854</v>
      </c>
      <c r="AQ90" s="26">
        <f ca="1">Production!M90</f>
        <v>20000</v>
      </c>
      <c r="AR90" s="26">
        <f ca="1">Production!K90</f>
        <v>55172</v>
      </c>
      <c r="AS90" s="26">
        <f ca="1">Production!I90</f>
        <v>290533</v>
      </c>
      <c r="AT90" s="26">
        <f ca="1">Production!N90</f>
        <v>200</v>
      </c>
      <c r="AU90" s="152">
        <f t="shared" ca="1" si="127"/>
        <v>0</v>
      </c>
      <c r="AV90" s="164">
        <f t="shared" ca="1" si="128"/>
        <v>0</v>
      </c>
      <c r="AW90" s="164">
        <f t="shared" ca="1" si="171"/>
        <v>0</v>
      </c>
      <c r="AX90" s="164">
        <f t="shared" ca="1" si="172"/>
        <v>0</v>
      </c>
      <c r="AY90" s="164">
        <f t="shared" ca="1" si="173"/>
        <v>0</v>
      </c>
      <c r="AZ90" s="164">
        <f t="shared" ca="1" si="174"/>
        <v>0</v>
      </c>
      <c r="BA90" s="166">
        <f t="shared" ca="1" si="175"/>
        <v>0</v>
      </c>
      <c r="BB90" s="16">
        <v>16</v>
      </c>
      <c r="BC90" s="574">
        <f t="shared" si="176"/>
        <v>43695.624999999789</v>
      </c>
      <c r="BD90" s="148">
        <f t="shared" ca="1" si="177"/>
        <v>3695</v>
      </c>
      <c r="BE90" s="356"/>
      <c r="BF90" s="348"/>
      <c r="BG90" s="348"/>
      <c r="BH90" s="348"/>
      <c r="BI90" s="348"/>
      <c r="BJ90" s="348"/>
      <c r="BK90" s="348"/>
      <c r="BL90" s="357"/>
      <c r="BN90" s="503">
        <f>Construction!BM90/Construction!E90</f>
        <v>0</v>
      </c>
      <c r="BO90" s="171">
        <f>Construction!BD90/Construction!E90</f>
        <v>0</v>
      </c>
      <c r="BP90" s="152">
        <f>ROUNDUP((1-MIN(AB90*smithy_bonus,smithy_bonus_cap))*(1+Techs!AO90*tech_master_of_frugality)*spec_op_plat,0)</f>
        <v>165</v>
      </c>
      <c r="BQ90" s="164">
        <f>ROUNDUP(IF(race="Gnome",1,(1-MIN(AB90*smithy_bonus,smithy_bonus_cap))*(1+Techs!AO90*tech_master_of_frugality))*spec_op_ore,0)</f>
        <v>15</v>
      </c>
      <c r="BR90" s="164">
        <f t="shared" si="129"/>
        <v>0</v>
      </c>
      <c r="BS90" s="164">
        <f t="shared" si="130"/>
        <v>0</v>
      </c>
      <c r="BT90" s="164">
        <f ca="1">ROUNDUP((1-MIN(AB90*smithy_bonus,smithy_bonus_cap))*(1+Techs!AO90*tech_master_of_frugality)*spec_dp_plat,0)</f>
        <v>165</v>
      </c>
      <c r="BU90" s="164">
        <f ca="1">ROUNDUP(IF(OR(race="Gnome",race="Imperial Gnome"),1,(1-MIN(AB90*smithy_bonus,smithy_bonus_cap))*(1+Techs!AO90*tech_master_of_frugality))*spec_dp_ore,0)</f>
        <v>6</v>
      </c>
      <c r="BV90" s="164">
        <f t="shared" ca="1" si="131"/>
        <v>0</v>
      </c>
      <c r="BW90" s="164">
        <f t="shared" ca="1" si="132"/>
        <v>0</v>
      </c>
      <c r="BX90" s="164">
        <f t="shared" ca="1" si="133"/>
        <v>0</v>
      </c>
      <c r="BY90" s="164">
        <f ca="1">ROUNDUP((1-MIN(AB90*smithy_bonus,smithy_bonus_cap))*(1+Techs!AO90*tech_master_of_frugality)*elite1_plat,0)</f>
        <v>600</v>
      </c>
      <c r="BZ90" s="164">
        <f ca="1">ROUNDUP(IF(race="Gnome",1,(1-MIN(AB90*smithy_bonus,smithy_bonus_cap))*(1+Techs!AO90*tech_master_of_frugality))*elite1_ore,0)</f>
        <v>45</v>
      </c>
      <c r="CA90" s="164">
        <f t="shared" ca="1" si="134"/>
        <v>0</v>
      </c>
      <c r="CB90" s="164">
        <f t="shared" ca="1" si="135"/>
        <v>0</v>
      </c>
      <c r="CC90" s="164">
        <f t="shared" ca="1" si="136"/>
        <v>0</v>
      </c>
      <c r="CD90" s="164">
        <f t="shared" ca="1" si="137"/>
        <v>0</v>
      </c>
      <c r="CE90" s="164">
        <f t="shared" ca="1" si="138"/>
        <v>0</v>
      </c>
      <c r="CF90" s="164">
        <f ca="1">ROUNDUP((1-MIN(AB90*smithy_bonus,smithy_bonus_cap))*(1+Techs!AO90*tech_master_of_frugality)*elite2_plat,0)</f>
        <v>750</v>
      </c>
      <c r="CG90" s="164">
        <f ca="1">ROUNDUP(IF(race="Gnome",1,(1-MIN(AB90*smithy_bonus,smithy_bonus_cap))*(1+Techs!AO90*tech_master_of_frugality))*elite2_ore,0)</f>
        <v>60</v>
      </c>
      <c r="CH90" s="164">
        <f t="shared" ca="1" si="139"/>
        <v>0</v>
      </c>
      <c r="CI90" s="164">
        <f t="shared" ca="1" si="140"/>
        <v>0</v>
      </c>
      <c r="CJ90" s="164">
        <f t="shared" ca="1" si="141"/>
        <v>0</v>
      </c>
      <c r="CK90" s="164">
        <f t="shared" ca="1" si="142"/>
        <v>0</v>
      </c>
      <c r="CL90" s="164">
        <f t="shared" ca="1" si="143"/>
        <v>0</v>
      </c>
      <c r="CM90" s="164">
        <f>ROUNDUP((1+tech_spy_cost*Techs!AJ90)*spy_plat,0)</f>
        <v>500</v>
      </c>
      <c r="CN90" s="164">
        <f>ROUNDUP((1+tech_wizard_cost*Techs!AM90-MIN(ROUND(wg_wiz_cost_bonus*BN90,4),wg_wiz_cost_cap))*wizard_plat,0)</f>
        <v>500</v>
      </c>
      <c r="CO90" s="166">
        <f>ROUNDUP((1+tech_wizard_cost*Techs!AM90-MIN(ROUND(wg_wiz_cost_bonus*BN90,4),wg_wiz_cost_cap))*archmage_plat,0)</f>
        <v>1000</v>
      </c>
      <c r="CQ90" s="465">
        <f ca="1">Construction!DF90/Construction!E90</f>
        <v>0.28000000000000003</v>
      </c>
      <c r="CR90" s="466">
        <f t="shared" si="178"/>
        <v>0</v>
      </c>
      <c r="CS90" s="466">
        <f>Construction!BK90/Construction!E90</f>
        <v>0.05</v>
      </c>
      <c r="CT90" s="466">
        <f>Construction!BJ90/Construction!E90</f>
        <v>0</v>
      </c>
      <c r="CU90" s="466">
        <f>Construction!AY90/Construction!E90</f>
        <v>0</v>
      </c>
      <c r="CV90" s="481">
        <f t="shared" ca="1" si="144"/>
        <v>1.4000000000000001</v>
      </c>
      <c r="CW90" s="482">
        <f t="shared" ca="1" si="145"/>
        <v>1.4000000000000001</v>
      </c>
      <c r="CX90" s="482">
        <f t="shared" ca="1" si="146"/>
        <v>1.4000000000000001</v>
      </c>
      <c r="CY90" s="483">
        <f t="shared" ca="1" si="147"/>
        <v>1.4000000000000001</v>
      </c>
      <c r="CZ90" s="483">
        <f t="shared" si="148"/>
        <v>0.1</v>
      </c>
      <c r="DA90" s="483">
        <f t="shared" ca="1" si="149"/>
        <v>3</v>
      </c>
      <c r="DB90" s="483">
        <f t="shared" ca="1" si="150"/>
        <v>1.4000000000000001</v>
      </c>
      <c r="DC90" s="482">
        <f t="shared" si="151"/>
        <v>0</v>
      </c>
      <c r="DD90" s="847">
        <f t="shared" si="152"/>
        <v>0</v>
      </c>
      <c r="DE90" s="440">
        <f t="shared" si="179"/>
        <v>800</v>
      </c>
      <c r="DF90" s="440">
        <f t="shared" si="180"/>
        <v>0</v>
      </c>
      <c r="DG90" s="481">
        <f t="shared" ca="1" si="153"/>
        <v>1.4000000000000001</v>
      </c>
      <c r="DH90" s="450">
        <f t="shared" si="154"/>
        <v>9.0000000000000011E-2</v>
      </c>
      <c r="DI90" s="450">
        <f>MIN(valkyrja_cap,Production!O90/valkyrja_bonus)</f>
        <v>1</v>
      </c>
      <c r="DJ90" s="847">
        <f>MIN(voodoo_magi_cap,Production!O90/voodoo_magi_bonus)</f>
        <v>0.83333333333333337</v>
      </c>
      <c r="DK90" s="847">
        <f>MIN(warlock_cap,Production!O90/warlock_bonus)</f>
        <v>1.25</v>
      </c>
      <c r="DL90" s="847">
        <f ca="1">MIN(nox_nightshade_cap,Construction!DF90/Construction!E90/nox_nightshade_swamp_bonus)</f>
        <v>2.8000000000000003</v>
      </c>
      <c r="DM90" s="482">
        <f t="shared" si="155"/>
        <v>0</v>
      </c>
      <c r="DN90" s="483">
        <f t="shared" ca="1" si="156"/>
        <v>2.8000000000000003</v>
      </c>
      <c r="DO90" s="483">
        <f t="shared" ca="1" si="157"/>
        <v>2.8000000000000003</v>
      </c>
      <c r="DP90" s="483">
        <f t="shared" si="158"/>
        <v>1</v>
      </c>
      <c r="DQ90" s="482">
        <f t="shared" si="159"/>
        <v>0</v>
      </c>
      <c r="DR90" s="483">
        <f t="shared" si="160"/>
        <v>0</v>
      </c>
      <c r="DS90" s="482">
        <f t="shared" si="161"/>
        <v>0</v>
      </c>
      <c r="DT90" s="483">
        <f t="shared" si="162"/>
        <v>0.1</v>
      </c>
      <c r="DX90" s="487">
        <f ca="1">MIN(6,CV90+Races!$F$19)*1.8 +  IF(CV90+Races!$F$19&gt;6,(CV90+Races!$F$19-6)*0.2,0) - Races!$N$19</f>
        <v>2.5200000000000005</v>
      </c>
      <c r="DY90" s="488">
        <f ca="1">1.8 * MIN(MAX(CW90+Races!$E$20,CX90+Races!$F$20),6)  +  0.45 * MIN(MIN(CW90+Races!$E$20,CX90+Races!$F$20),6)  +  0.2 * ( MAX(CW90+Races!$E$20-6,0) + MAX(CX90+Races!$F$20-6,0) )  -  Races!$N$20</f>
        <v>3.1500000000000012</v>
      </c>
      <c r="DZ90" s="57">
        <f t="shared" ca="1" si="163"/>
        <v>3780.0000000000009</v>
      </c>
      <c r="EA90" s="666">
        <f ca="1">MIN(6,CY90+Races!$F$35)*1.8 +  IF(CY90+Races!$F$35&gt;6,(CY90+Races!$F$35-6)*0.2,0) - Races!$N$19</f>
        <v>0.72000000000000064</v>
      </c>
      <c r="EB90" s="57">
        <f t="shared" ca="1" si="164"/>
        <v>0</v>
      </c>
      <c r="EC90" s="666">
        <f ca="1">1.8 * MIN(MAX(Races!$E$27,DB90+Races!$F$27),6)  +  0.45 * MIN(MIN(Races!$E$27,DB90+Races!$F$27),6)  +  0.2 * ( MAX(Races!$E$27-6,0) + MAX(DB90+Races!$F$27-6,0) )  -  Races!$N$20</f>
        <v>4.7700000000000005</v>
      </c>
      <c r="ED90" s="57">
        <f t="shared" ca="1" si="165"/>
        <v>0</v>
      </c>
      <c r="EE90" s="666">
        <f>1.8 * MIN(MAX(DC90+Races!$E$47,DD90+Races!$F$47),6)  +  0.45 * MIN(MIN(DC90+Races!$E$47,DD90+Races!$F$47),6)  +  0.2 * ( MAX(DC90+Races!$E$47-6,0) + MAX(DD90+Races!$F$47-6,0) )  -  Races!$N$47</f>
        <v>0</v>
      </c>
      <c r="EF90" s="57">
        <f t="shared" si="166"/>
        <v>0</v>
      </c>
      <c r="EG90" s="666">
        <f ca="1">1.8 * MIN(MAX(DG90+Races!$F$71,Races!$E$71),6)  +  0.45 * MIN(MIN(DG90+Races!$F$71,Races!$E$71),6)  +  0.2 * ( MAX(DG90+Races!$F$71-6,0) + MAX(Races!$E$71-6,0) )  -  Races!$N$71</f>
        <v>2.5200000000000014</v>
      </c>
      <c r="EH90" s="666">
        <f>1.8 * MIN(MAX(DH90+Races!$E$71,Races!$F$71),6)  +  0.45 * MIN(MIN(DH90+Races!$E$71,Races!$F$71),6)  +  0.2 * ( MAX(DH90+Races!$E$71-6,0) + MAX(Races!$F$71-6,0) )  -  Races!$N$71</f>
        <v>0.16200000000000081</v>
      </c>
      <c r="EI90" s="57">
        <f t="shared" ca="1" si="167"/>
        <v>2584.8000000000015</v>
      </c>
      <c r="EJ90" s="57"/>
      <c r="EK90" s="57"/>
      <c r="EL90" s="57"/>
      <c r="EM90" s="57">
        <f ca="1">Overview!$L$22*E90+Overview!$L$23*F90+Overview!$L$24*G90+Overview!$L$25*H90+Overview!$L$26*I90+Overview!$L$27*J90+Overview!$L$28*K90+Construction!E90*20+Construction!B90*5 + DZ90*$DV$4+EB90*$DV$5+ED90*$DV$6+EF90*$DV$7+EI90*$DV$9</f>
        <v>39460</v>
      </c>
      <c r="EO90" s="738">
        <f>(J90+2*K90)/Construction!E90</f>
        <v>0.1</v>
      </c>
      <c r="EP90" s="734">
        <f ca="1">EO90*(1+race_wizard_strength+tech_magical_weaponry_wiz*Techs!AV162)</f>
        <v>0.1</v>
      </c>
      <c r="EQ90" s="16">
        <f>(I90+halfer*H90/3)/Construction!E90</f>
        <v>0.1</v>
      </c>
    </row>
    <row r="91" spans="1:147" s="16" customFormat="1">
      <c r="A91" s="629">
        <f>Rezone!J91</f>
        <v>89</v>
      </c>
      <c r="B91" s="56">
        <f ca="1">SUM(E91:K91)+SUM(AF83:AG91)+SUM(AH80:AL91)+Z91+Explore!AL91</f>
        <v>5295</v>
      </c>
      <c r="C91" s="97">
        <f ca="1">Population!G91</f>
        <v>0.57305194805194803</v>
      </c>
      <c r="E91" s="52">
        <f t="shared" si="182"/>
        <v>0</v>
      </c>
      <c r="F91" s="16">
        <f t="shared" si="183"/>
        <v>0</v>
      </c>
      <c r="G91" s="16">
        <f t="shared" si="184"/>
        <v>1000</v>
      </c>
      <c r="H91" s="16">
        <f t="shared" si="185"/>
        <v>400</v>
      </c>
      <c r="I91" s="16">
        <f t="shared" si="186"/>
        <v>100</v>
      </c>
      <c r="J91" s="16">
        <f t="shared" si="187"/>
        <v>100</v>
      </c>
      <c r="K91" s="53">
        <f t="shared" si="188"/>
        <v>0</v>
      </c>
      <c r="M91" s="64">
        <f ca="1">Production!G91</f>
        <v>39460</v>
      </c>
      <c r="O91" s="234">
        <f t="shared" ca="1" si="125"/>
        <v>4400</v>
      </c>
      <c r="P91" s="455">
        <f ca="1">race_offense+Imps!AB91+ROUND(MIN(gn_bonus*Construction!BF91/Construction!$E91,gn_bonus_cap),4)+MAX(IF(Magic!$AN91&gt;0,warsong_bonus),IF(Magic!AP91&gt;0,howling_op_bonus),IF(Magic!AS91&gt;0,nightfall_bonus),IF(Magic!AT91&gt;0,crusade_bonus),IF(Magic!AU91&gt;0,killingrage_bonus),IF(Magic!AV91&gt;0,bloodrage_bonus)) + Production!O91/100*prestige_offense_bonus + MAX(tech_military_offense*Techs!AH91,tech_magical_weaponry_op*Techs!AV91)</f>
        <v>0.05</v>
      </c>
      <c r="Q91" s="235">
        <f t="shared" ca="1" si="168"/>
        <v>4620</v>
      </c>
      <c r="R91" s="234">
        <f ca="1">F91*(spec_dp+spirit*DR91)+G91*(elite1_dp+woodie*CV91+sylvan*CY91+gnome*DB91+dark_elf*DD91+icekin*DG91+orc*DJ91+nox*DL91+beast*DN91+sacred*DP91+spirit*DS91+blackorc*DK91)+H91*(elite2_dp+woodie*CX91+beast*DO91+sacred*DQ91) + fh_peas_dp*MIN(Population!C91,20*Construction!BD91)+kobold*DE91</f>
        <v>7200</v>
      </c>
      <c r="S91" s="235">
        <f t="shared" ca="1" si="126"/>
        <v>10895</v>
      </c>
      <c r="T91" s="1052">
        <f ca="1">race_defense+Imps!AC91+ROUND(MIN(gt_bonus*Construction!BH91/Construction!$E91,gt_bonus_cap),4)+MAX(IF(Magic!AM91&gt;0,frenzy_bonus,IF(Magic!AQ91&gt;0,blizzard_bonus,IF(Magic!AP91&gt;0,howling_dp_bonus,IF(Magic!AI91&gt;0,ares_call_bonus)))),IF(Magic!AX91&gt;0,MIN(Construction!DF91/Construction!E91,0.2),0))</f>
        <v>0</v>
      </c>
      <c r="U91" s="1046">
        <f t="shared" ca="1" si="169"/>
        <v>7200</v>
      </c>
      <c r="V91" s="308">
        <f t="shared" ca="1" si="170"/>
        <v>10895</v>
      </c>
      <c r="W91" s="310">
        <f>Construction!E91</f>
        <v>1000</v>
      </c>
      <c r="X91" s="367"/>
      <c r="Y91" s="146">
        <f t="shared" si="191"/>
        <v>0.4</v>
      </c>
      <c r="Z91" s="166">
        <f ca="1">Z90+Population!Z90 - IF(race="Lux",AF91,SUM(AF91:AK91)) - BE91 + SUM(BF91:BL91) - Explore!AI91</f>
        <v>3695</v>
      </c>
      <c r="AA91" s="164"/>
      <c r="AB91" s="91">
        <f>(Construction!$BA91+Construction!BY91)/(Construction!$E91-Explore!S91*20)</f>
        <v>0.2</v>
      </c>
      <c r="AC91" s="629"/>
      <c r="AD91" s="799">
        <f>Rezone!J91</f>
        <v>89</v>
      </c>
      <c r="AE91" s="589">
        <f>Explore!AA91</f>
        <v>43695.666666666453</v>
      </c>
      <c r="AF91" s="356"/>
      <c r="AG91" s="348"/>
      <c r="AH91" s="348"/>
      <c r="AI91" s="348"/>
      <c r="AJ91" s="348"/>
      <c r="AK91" s="348"/>
      <c r="AL91" s="357"/>
      <c r="AN91" s="56">
        <f ca="1">Production!$H91</f>
        <v>3884799</v>
      </c>
      <c r="AO91" s="26">
        <f ca="1">Production!$L91</f>
        <v>231000</v>
      </c>
      <c r="AP91" s="26">
        <f ca="1">Production!J91</f>
        <v>271635</v>
      </c>
      <c r="AQ91" s="26">
        <f ca="1">Production!M91</f>
        <v>20000</v>
      </c>
      <c r="AR91" s="26">
        <f ca="1">Production!K91</f>
        <v>55319</v>
      </c>
      <c r="AS91" s="26">
        <f ca="1">Production!I91</f>
        <v>292358</v>
      </c>
      <c r="AT91" s="26">
        <f ca="1">Production!N91</f>
        <v>200</v>
      </c>
      <c r="AU91" s="152">
        <f t="shared" ca="1" si="127"/>
        <v>0</v>
      </c>
      <c r="AV91" s="164">
        <f t="shared" ca="1" si="128"/>
        <v>0</v>
      </c>
      <c r="AW91" s="164">
        <f t="shared" ca="1" si="171"/>
        <v>0</v>
      </c>
      <c r="AX91" s="164">
        <f t="shared" ca="1" si="172"/>
        <v>0</v>
      </c>
      <c r="AY91" s="164">
        <f t="shared" ca="1" si="173"/>
        <v>0</v>
      </c>
      <c r="AZ91" s="164">
        <f t="shared" ca="1" si="174"/>
        <v>0</v>
      </c>
      <c r="BA91" s="166">
        <f t="shared" ca="1" si="175"/>
        <v>0</v>
      </c>
      <c r="BB91" s="16">
        <v>17</v>
      </c>
      <c r="BC91" s="574">
        <f t="shared" si="176"/>
        <v>43695.666666666453</v>
      </c>
      <c r="BD91" s="148">
        <f t="shared" ca="1" si="177"/>
        <v>3695</v>
      </c>
      <c r="BE91" s="356"/>
      <c r="BF91" s="348"/>
      <c r="BG91" s="348"/>
      <c r="BH91" s="348"/>
      <c r="BI91" s="348"/>
      <c r="BJ91" s="348"/>
      <c r="BK91" s="348"/>
      <c r="BL91" s="357"/>
      <c r="BN91" s="503">
        <f>Construction!BM91/Construction!E91</f>
        <v>0</v>
      </c>
      <c r="BO91" s="171">
        <f>Construction!BD91/Construction!E91</f>
        <v>0</v>
      </c>
      <c r="BP91" s="152">
        <f>ROUNDUP((1-MIN(AB91*smithy_bonus,smithy_bonus_cap))*(1+Techs!AO91*tech_master_of_frugality)*spec_op_plat,0)</f>
        <v>165</v>
      </c>
      <c r="BQ91" s="164">
        <f>ROUNDUP(IF(race="Gnome",1,(1-MIN(AB91*smithy_bonus,smithy_bonus_cap))*(1+Techs!AO91*tech_master_of_frugality))*spec_op_ore,0)</f>
        <v>15</v>
      </c>
      <c r="BR91" s="164">
        <f t="shared" si="129"/>
        <v>0</v>
      </c>
      <c r="BS91" s="164">
        <f t="shared" si="130"/>
        <v>0</v>
      </c>
      <c r="BT91" s="164">
        <f ca="1">ROUNDUP((1-MIN(AB91*smithy_bonus,smithy_bonus_cap))*(1+Techs!AO91*tech_master_of_frugality)*spec_dp_plat,0)</f>
        <v>165</v>
      </c>
      <c r="BU91" s="164">
        <f ca="1">ROUNDUP(IF(OR(race="Gnome",race="Imperial Gnome"),1,(1-MIN(AB91*smithy_bonus,smithy_bonus_cap))*(1+Techs!AO91*tech_master_of_frugality))*spec_dp_ore,0)</f>
        <v>6</v>
      </c>
      <c r="BV91" s="164">
        <f t="shared" ca="1" si="131"/>
        <v>0</v>
      </c>
      <c r="BW91" s="164">
        <f t="shared" ca="1" si="132"/>
        <v>0</v>
      </c>
      <c r="BX91" s="164">
        <f t="shared" ca="1" si="133"/>
        <v>0</v>
      </c>
      <c r="BY91" s="164">
        <f ca="1">ROUNDUP((1-MIN(AB91*smithy_bonus,smithy_bonus_cap))*(1+Techs!AO91*tech_master_of_frugality)*elite1_plat,0)</f>
        <v>600</v>
      </c>
      <c r="BZ91" s="164">
        <f ca="1">ROUNDUP(IF(race="Gnome",1,(1-MIN(AB91*smithy_bonus,smithy_bonus_cap))*(1+Techs!AO91*tech_master_of_frugality))*elite1_ore,0)</f>
        <v>45</v>
      </c>
      <c r="CA91" s="164">
        <f t="shared" ca="1" si="134"/>
        <v>0</v>
      </c>
      <c r="CB91" s="164">
        <f t="shared" ca="1" si="135"/>
        <v>0</v>
      </c>
      <c r="CC91" s="164">
        <f t="shared" ca="1" si="136"/>
        <v>0</v>
      </c>
      <c r="CD91" s="164">
        <f t="shared" ca="1" si="137"/>
        <v>0</v>
      </c>
      <c r="CE91" s="164">
        <f t="shared" ca="1" si="138"/>
        <v>0</v>
      </c>
      <c r="CF91" s="164">
        <f ca="1">ROUNDUP((1-MIN(AB91*smithy_bonus,smithy_bonus_cap))*(1+Techs!AO91*tech_master_of_frugality)*elite2_plat,0)</f>
        <v>750</v>
      </c>
      <c r="CG91" s="164">
        <f ca="1">ROUNDUP(IF(race="Gnome",1,(1-MIN(AB91*smithy_bonus,smithy_bonus_cap))*(1+Techs!AO91*tech_master_of_frugality))*elite2_ore,0)</f>
        <v>60</v>
      </c>
      <c r="CH91" s="164">
        <f t="shared" ca="1" si="139"/>
        <v>0</v>
      </c>
      <c r="CI91" s="164">
        <f t="shared" ca="1" si="140"/>
        <v>0</v>
      </c>
      <c r="CJ91" s="164">
        <f t="shared" ca="1" si="141"/>
        <v>0</v>
      </c>
      <c r="CK91" s="164">
        <f t="shared" ca="1" si="142"/>
        <v>0</v>
      </c>
      <c r="CL91" s="164">
        <f t="shared" ca="1" si="143"/>
        <v>0</v>
      </c>
      <c r="CM91" s="164">
        <f>ROUNDUP((1+tech_spy_cost*Techs!AJ91)*spy_plat,0)</f>
        <v>500</v>
      </c>
      <c r="CN91" s="164">
        <f>ROUNDUP((1+tech_wizard_cost*Techs!AM91-MIN(ROUND(wg_wiz_cost_bonus*BN91,4),wg_wiz_cost_cap))*wizard_plat,0)</f>
        <v>500</v>
      </c>
      <c r="CO91" s="166">
        <f>ROUNDUP((1+tech_wizard_cost*Techs!AM91-MIN(ROUND(wg_wiz_cost_bonus*BN91,4),wg_wiz_cost_cap))*archmage_plat,0)</f>
        <v>1000</v>
      </c>
      <c r="CQ91" s="465">
        <f ca="1">Construction!DF91/Construction!E91</f>
        <v>0.28000000000000003</v>
      </c>
      <c r="CR91" s="466">
        <f t="shared" si="178"/>
        <v>0</v>
      </c>
      <c r="CS91" s="466">
        <f>Construction!BK91/Construction!E91</f>
        <v>0.05</v>
      </c>
      <c r="CT91" s="466">
        <f>Construction!BJ91/Construction!E91</f>
        <v>0</v>
      </c>
      <c r="CU91" s="466">
        <f>Construction!AY91/Construction!E91</f>
        <v>0</v>
      </c>
      <c r="CV91" s="481">
        <f t="shared" ca="1" si="144"/>
        <v>1.4000000000000001</v>
      </c>
      <c r="CW91" s="482">
        <f t="shared" ca="1" si="145"/>
        <v>1.4000000000000001</v>
      </c>
      <c r="CX91" s="482">
        <f t="shared" ca="1" si="146"/>
        <v>1.4000000000000001</v>
      </c>
      <c r="CY91" s="483">
        <f t="shared" ca="1" si="147"/>
        <v>1.4000000000000001</v>
      </c>
      <c r="CZ91" s="483">
        <f t="shared" si="148"/>
        <v>0.1</v>
      </c>
      <c r="DA91" s="483">
        <f t="shared" ca="1" si="149"/>
        <v>3</v>
      </c>
      <c r="DB91" s="483">
        <f t="shared" ca="1" si="150"/>
        <v>1.4000000000000001</v>
      </c>
      <c r="DC91" s="482">
        <f t="shared" si="151"/>
        <v>0</v>
      </c>
      <c r="DD91" s="847">
        <f t="shared" si="152"/>
        <v>0</v>
      </c>
      <c r="DE91" s="440">
        <f t="shared" si="179"/>
        <v>800</v>
      </c>
      <c r="DF91" s="440">
        <f t="shared" si="180"/>
        <v>0</v>
      </c>
      <c r="DG91" s="481">
        <f t="shared" ca="1" si="153"/>
        <v>1.4000000000000001</v>
      </c>
      <c r="DH91" s="450">
        <f t="shared" si="154"/>
        <v>9.0000000000000011E-2</v>
      </c>
      <c r="DI91" s="450">
        <f>MIN(valkyrja_cap,Production!O91/valkyrja_bonus)</f>
        <v>1</v>
      </c>
      <c r="DJ91" s="847">
        <f>MIN(voodoo_magi_cap,Production!O91/voodoo_magi_bonus)</f>
        <v>0.83333333333333337</v>
      </c>
      <c r="DK91" s="847">
        <f>MIN(warlock_cap,Production!O91/warlock_bonus)</f>
        <v>1.25</v>
      </c>
      <c r="DL91" s="847">
        <f ca="1">MIN(nox_nightshade_cap,Construction!DF91/Construction!E91/nox_nightshade_swamp_bonus)</f>
        <v>2.8000000000000003</v>
      </c>
      <c r="DM91" s="482">
        <f t="shared" si="155"/>
        <v>0</v>
      </c>
      <c r="DN91" s="483">
        <f t="shared" ca="1" si="156"/>
        <v>2.8000000000000003</v>
      </c>
      <c r="DO91" s="483">
        <f t="shared" ca="1" si="157"/>
        <v>2.8000000000000003</v>
      </c>
      <c r="DP91" s="483">
        <f t="shared" si="158"/>
        <v>1</v>
      </c>
      <c r="DQ91" s="482">
        <f t="shared" si="159"/>
        <v>0</v>
      </c>
      <c r="DR91" s="483">
        <f t="shared" si="160"/>
        <v>0</v>
      </c>
      <c r="DS91" s="482">
        <f t="shared" si="161"/>
        <v>0</v>
      </c>
      <c r="DT91" s="483">
        <f t="shared" si="162"/>
        <v>0.1</v>
      </c>
      <c r="DX91" s="487">
        <f ca="1">MIN(6,CV91+Races!$F$19)*1.8 +  IF(CV91+Races!$F$19&gt;6,(CV91+Races!$F$19-6)*0.2,0) - Races!$N$19</f>
        <v>2.5200000000000005</v>
      </c>
      <c r="DY91" s="488">
        <f ca="1">1.8 * MIN(MAX(CW91+Races!$E$20,CX91+Races!$F$20),6)  +  0.45 * MIN(MIN(CW91+Races!$E$20,CX91+Races!$F$20),6)  +  0.2 * ( MAX(CW91+Races!$E$20-6,0) + MAX(CX91+Races!$F$20-6,0) )  -  Races!$N$20</f>
        <v>3.1500000000000012</v>
      </c>
      <c r="DZ91" s="57">
        <f t="shared" ca="1" si="163"/>
        <v>3780.0000000000009</v>
      </c>
      <c r="EA91" s="666">
        <f ca="1">MIN(6,CY91+Races!$F$35)*1.8 +  IF(CY91+Races!$F$35&gt;6,(CY91+Races!$F$35-6)*0.2,0) - Races!$N$19</f>
        <v>0.72000000000000064</v>
      </c>
      <c r="EB91" s="57">
        <f t="shared" ca="1" si="164"/>
        <v>0</v>
      </c>
      <c r="EC91" s="666">
        <f ca="1">1.8 * MIN(MAX(Races!$E$27,DB91+Races!$F$27),6)  +  0.45 * MIN(MIN(Races!$E$27,DB91+Races!$F$27),6)  +  0.2 * ( MAX(Races!$E$27-6,0) + MAX(DB91+Races!$F$27-6,0) )  -  Races!$N$20</f>
        <v>4.7700000000000005</v>
      </c>
      <c r="ED91" s="57">
        <f t="shared" ca="1" si="165"/>
        <v>0</v>
      </c>
      <c r="EE91" s="666">
        <f>1.8 * MIN(MAX(DC91+Races!$E$47,DD91+Races!$F$47),6)  +  0.45 * MIN(MIN(DC91+Races!$E$47,DD91+Races!$F$47),6)  +  0.2 * ( MAX(DC91+Races!$E$47-6,0) + MAX(DD91+Races!$F$47-6,0) )  -  Races!$N$47</f>
        <v>0</v>
      </c>
      <c r="EF91" s="57">
        <f t="shared" si="166"/>
        <v>0</v>
      </c>
      <c r="EG91" s="666">
        <f ca="1">1.8 * MIN(MAX(DG91+Races!$F$71,Races!$E$71),6)  +  0.45 * MIN(MIN(DG91+Races!$F$71,Races!$E$71),6)  +  0.2 * ( MAX(DG91+Races!$F$71-6,0) + MAX(Races!$E$71-6,0) )  -  Races!$N$71</f>
        <v>2.5200000000000014</v>
      </c>
      <c r="EH91" s="666">
        <f>1.8 * MIN(MAX(DH91+Races!$E$71,Races!$F$71),6)  +  0.45 * MIN(MIN(DH91+Races!$E$71,Races!$F$71),6)  +  0.2 * ( MAX(DH91+Races!$E$71-6,0) + MAX(Races!$F$71-6,0) )  -  Races!$N$71</f>
        <v>0.16200000000000081</v>
      </c>
      <c r="EI91" s="57">
        <f t="shared" ca="1" si="167"/>
        <v>2584.8000000000015</v>
      </c>
      <c r="EJ91" s="57"/>
      <c r="EK91" s="57"/>
      <c r="EL91" s="57"/>
      <c r="EM91" s="57">
        <f ca="1">Overview!$L$22*E91+Overview!$L$23*F91+Overview!$L$24*G91+Overview!$L$25*H91+Overview!$L$26*I91+Overview!$L$27*J91+Overview!$L$28*K91+Construction!E91*20+Construction!B91*5 + DZ91*$DV$4+EB91*$DV$5+ED91*$DV$6+EF91*$DV$7+EI91*$DV$9</f>
        <v>39460</v>
      </c>
      <c r="EO91" s="738">
        <f>(J91+2*K91)/Construction!E91</f>
        <v>0.1</v>
      </c>
      <c r="EP91" s="734">
        <f ca="1">EO91*(1+race_wizard_strength+tech_magical_weaponry_wiz*Techs!AV163)</f>
        <v>0.1</v>
      </c>
      <c r="EQ91" s="16">
        <f>(I91+halfer*H91/3)/Construction!E91</f>
        <v>0.1</v>
      </c>
    </row>
    <row r="92" spans="1:147" s="16" customFormat="1">
      <c r="A92" s="629">
        <f>Rezone!J92</f>
        <v>90</v>
      </c>
      <c r="B92" s="56">
        <f ca="1">SUM(E92:K92)+SUM(AF84:AG92)+SUM(AH81:AL92)+Z92+Explore!AL92</f>
        <v>5295</v>
      </c>
      <c r="C92" s="97">
        <f ca="1">Population!G92</f>
        <v>0.57305194805194803</v>
      </c>
      <c r="E92" s="52">
        <f t="shared" si="182"/>
        <v>0</v>
      </c>
      <c r="F92" s="16">
        <f t="shared" si="183"/>
        <v>0</v>
      </c>
      <c r="G92" s="16">
        <f t="shared" si="184"/>
        <v>1000</v>
      </c>
      <c r="H92" s="16">
        <f t="shared" si="185"/>
        <v>400</v>
      </c>
      <c r="I92" s="16">
        <f t="shared" si="186"/>
        <v>100</v>
      </c>
      <c r="J92" s="16">
        <f t="shared" si="187"/>
        <v>100</v>
      </c>
      <c r="K92" s="53">
        <f t="shared" si="188"/>
        <v>0</v>
      </c>
      <c r="M92" s="64">
        <f ca="1">Production!G92</f>
        <v>39460</v>
      </c>
      <c r="O92" s="234">
        <f t="shared" ca="1" si="125"/>
        <v>4400</v>
      </c>
      <c r="P92" s="455">
        <f ca="1">race_offense+Imps!AB92+ROUND(MIN(gn_bonus*Construction!BF92/Construction!$E92,gn_bonus_cap),4)+MAX(IF(Magic!$AN92&gt;0,warsong_bonus),IF(Magic!AP92&gt;0,howling_op_bonus),IF(Magic!AS92&gt;0,nightfall_bonus),IF(Magic!AT92&gt;0,crusade_bonus),IF(Magic!AU92&gt;0,killingrage_bonus),IF(Magic!AV92&gt;0,bloodrage_bonus)) + Production!O92/100*prestige_offense_bonus + MAX(tech_military_offense*Techs!AH92,tech_magical_weaponry_op*Techs!AV92)</f>
        <v>0.05</v>
      </c>
      <c r="Q92" s="235">
        <f t="shared" ca="1" si="168"/>
        <v>4620</v>
      </c>
      <c r="R92" s="234">
        <f ca="1">F92*(spec_dp+spirit*DR92)+G92*(elite1_dp+woodie*CV92+sylvan*CY92+gnome*DB92+dark_elf*DD92+icekin*DG92+orc*DJ92+nox*DL92+beast*DN92+sacred*DP92+spirit*DS92+blackorc*DK92)+H92*(elite2_dp+woodie*CX92+beast*DO92+sacred*DQ92) + fh_peas_dp*MIN(Population!C92,20*Construction!BD92)+kobold*DE92</f>
        <v>7200</v>
      </c>
      <c r="S92" s="235">
        <f t="shared" ca="1" si="126"/>
        <v>10895</v>
      </c>
      <c r="T92" s="1052">
        <f ca="1">race_defense+Imps!AC92+ROUND(MIN(gt_bonus*Construction!BH92/Construction!$E92,gt_bonus_cap),4)+MAX(IF(Magic!AM92&gt;0,frenzy_bonus,IF(Magic!AQ92&gt;0,blizzard_bonus,IF(Magic!AP92&gt;0,howling_dp_bonus,IF(Magic!AI92&gt;0,ares_call_bonus)))),IF(Magic!AX92&gt;0,MIN(Construction!DF92/Construction!E92,0.2),0))</f>
        <v>0</v>
      </c>
      <c r="U92" s="1046">
        <f t="shared" ca="1" si="169"/>
        <v>7200</v>
      </c>
      <c r="V92" s="308">
        <f t="shared" ca="1" si="170"/>
        <v>10895</v>
      </c>
      <c r="W92" s="310">
        <f>Construction!E92</f>
        <v>1000</v>
      </c>
      <c r="X92" s="367"/>
      <c r="Y92" s="146">
        <f t="shared" si="191"/>
        <v>0.4</v>
      </c>
      <c r="Z92" s="166">
        <f ca="1">Z91+Population!Z91 - IF(race="Lux",AF92,SUM(AF92:AK92)) - BE92 + SUM(BF92:BL92) - Explore!AI92</f>
        <v>3695</v>
      </c>
      <c r="AA92" s="164"/>
      <c r="AB92" s="91">
        <f>(Construction!$BA92+Construction!BY92)/(Construction!$E92-Explore!S92*20)</f>
        <v>0.2</v>
      </c>
      <c r="AC92" s="629"/>
      <c r="AD92" s="799">
        <f>Rezone!J92</f>
        <v>90</v>
      </c>
      <c r="AE92" s="589">
        <f>Explore!AA92</f>
        <v>43695.708333333117</v>
      </c>
      <c r="AF92" s="356"/>
      <c r="AG92" s="348"/>
      <c r="AH92" s="348"/>
      <c r="AI92" s="348"/>
      <c r="AJ92" s="348"/>
      <c r="AK92" s="348"/>
      <c r="AL92" s="357"/>
      <c r="AN92" s="56">
        <f ca="1">Production!$H92</f>
        <v>3895450</v>
      </c>
      <c r="AO92" s="26">
        <f ca="1">Production!$L92</f>
        <v>231000</v>
      </c>
      <c r="AP92" s="26">
        <f ca="1">Production!J92</f>
        <v>271419</v>
      </c>
      <c r="AQ92" s="26">
        <f ca="1">Production!M92</f>
        <v>20000</v>
      </c>
      <c r="AR92" s="26">
        <f ca="1">Production!K92</f>
        <v>55463</v>
      </c>
      <c r="AS92" s="26">
        <f ca="1">Production!I92</f>
        <v>294164</v>
      </c>
      <c r="AT92" s="26">
        <f ca="1">Production!N92</f>
        <v>200</v>
      </c>
      <c r="AU92" s="152">
        <f t="shared" ca="1" si="127"/>
        <v>0</v>
      </c>
      <c r="AV92" s="164">
        <f t="shared" ca="1" si="128"/>
        <v>0</v>
      </c>
      <c r="AW92" s="164">
        <f t="shared" ca="1" si="171"/>
        <v>0</v>
      </c>
      <c r="AX92" s="164">
        <f t="shared" ca="1" si="172"/>
        <v>0</v>
      </c>
      <c r="AY92" s="164">
        <f t="shared" ca="1" si="173"/>
        <v>0</v>
      </c>
      <c r="AZ92" s="164">
        <f t="shared" ca="1" si="174"/>
        <v>0</v>
      </c>
      <c r="BA92" s="166">
        <f t="shared" ca="1" si="175"/>
        <v>0</v>
      </c>
      <c r="BB92" s="16">
        <v>18</v>
      </c>
      <c r="BC92" s="574">
        <f t="shared" si="176"/>
        <v>43695.708333333117</v>
      </c>
      <c r="BD92" s="148">
        <f t="shared" ca="1" si="177"/>
        <v>3695</v>
      </c>
      <c r="BE92" s="356"/>
      <c r="BF92" s="348"/>
      <c r="BG92" s="348"/>
      <c r="BH92" s="348"/>
      <c r="BI92" s="348"/>
      <c r="BJ92" s="348"/>
      <c r="BK92" s="348"/>
      <c r="BL92" s="357"/>
      <c r="BN92" s="503">
        <f>Construction!BM92/Construction!E92</f>
        <v>0</v>
      </c>
      <c r="BO92" s="171">
        <f>Construction!BD92/Construction!E92</f>
        <v>0</v>
      </c>
      <c r="BP92" s="152">
        <f>ROUNDUP((1-MIN(AB92*smithy_bonus,smithy_bonus_cap))*(1+Techs!AO92*tech_master_of_frugality)*spec_op_plat,0)</f>
        <v>165</v>
      </c>
      <c r="BQ92" s="164">
        <f>ROUNDUP(IF(race="Gnome",1,(1-MIN(AB92*smithy_bonus,smithy_bonus_cap))*(1+Techs!AO92*tech_master_of_frugality))*spec_op_ore,0)</f>
        <v>15</v>
      </c>
      <c r="BR92" s="164">
        <f t="shared" si="129"/>
        <v>0</v>
      </c>
      <c r="BS92" s="164">
        <f t="shared" si="130"/>
        <v>0</v>
      </c>
      <c r="BT92" s="164">
        <f ca="1">ROUNDUP((1-MIN(AB92*smithy_bonus,smithy_bonus_cap))*(1+Techs!AO92*tech_master_of_frugality)*spec_dp_plat,0)</f>
        <v>165</v>
      </c>
      <c r="BU92" s="164">
        <f ca="1">ROUNDUP(IF(OR(race="Gnome",race="Imperial Gnome"),1,(1-MIN(AB92*smithy_bonus,smithy_bonus_cap))*(1+Techs!AO92*tech_master_of_frugality))*spec_dp_ore,0)</f>
        <v>6</v>
      </c>
      <c r="BV92" s="164">
        <f t="shared" ca="1" si="131"/>
        <v>0</v>
      </c>
      <c r="BW92" s="164">
        <f t="shared" ca="1" si="132"/>
        <v>0</v>
      </c>
      <c r="BX92" s="164">
        <f t="shared" ca="1" si="133"/>
        <v>0</v>
      </c>
      <c r="BY92" s="164">
        <f ca="1">ROUNDUP((1-MIN(AB92*smithy_bonus,smithy_bonus_cap))*(1+Techs!AO92*tech_master_of_frugality)*elite1_plat,0)</f>
        <v>600</v>
      </c>
      <c r="BZ92" s="164">
        <f ca="1">ROUNDUP(IF(race="Gnome",1,(1-MIN(AB92*smithy_bonus,smithy_bonus_cap))*(1+Techs!AO92*tech_master_of_frugality))*elite1_ore,0)</f>
        <v>45</v>
      </c>
      <c r="CA92" s="164">
        <f t="shared" ca="1" si="134"/>
        <v>0</v>
      </c>
      <c r="CB92" s="164">
        <f t="shared" ca="1" si="135"/>
        <v>0</v>
      </c>
      <c r="CC92" s="164">
        <f t="shared" ca="1" si="136"/>
        <v>0</v>
      </c>
      <c r="CD92" s="164">
        <f t="shared" ca="1" si="137"/>
        <v>0</v>
      </c>
      <c r="CE92" s="164">
        <f t="shared" ca="1" si="138"/>
        <v>0</v>
      </c>
      <c r="CF92" s="164">
        <f ca="1">ROUNDUP((1-MIN(AB92*smithy_bonus,smithy_bonus_cap))*(1+Techs!AO92*tech_master_of_frugality)*elite2_plat,0)</f>
        <v>750</v>
      </c>
      <c r="CG92" s="164">
        <f ca="1">ROUNDUP(IF(race="Gnome",1,(1-MIN(AB92*smithy_bonus,smithy_bonus_cap))*(1+Techs!AO92*tech_master_of_frugality))*elite2_ore,0)</f>
        <v>60</v>
      </c>
      <c r="CH92" s="164">
        <f t="shared" ca="1" si="139"/>
        <v>0</v>
      </c>
      <c r="CI92" s="164">
        <f t="shared" ca="1" si="140"/>
        <v>0</v>
      </c>
      <c r="CJ92" s="164">
        <f t="shared" ca="1" si="141"/>
        <v>0</v>
      </c>
      <c r="CK92" s="164">
        <f t="shared" ca="1" si="142"/>
        <v>0</v>
      </c>
      <c r="CL92" s="164">
        <f t="shared" ca="1" si="143"/>
        <v>0</v>
      </c>
      <c r="CM92" s="164">
        <f>ROUNDUP((1+tech_spy_cost*Techs!AJ92)*spy_plat,0)</f>
        <v>500</v>
      </c>
      <c r="CN92" s="164">
        <f>ROUNDUP((1+tech_wizard_cost*Techs!AM92-MIN(ROUND(wg_wiz_cost_bonus*BN92,4),wg_wiz_cost_cap))*wizard_plat,0)</f>
        <v>500</v>
      </c>
      <c r="CO92" s="166">
        <f>ROUNDUP((1+tech_wizard_cost*Techs!AM92-MIN(ROUND(wg_wiz_cost_bonus*BN92,4),wg_wiz_cost_cap))*archmage_plat,0)</f>
        <v>1000</v>
      </c>
      <c r="CQ92" s="465">
        <f ca="1">Construction!DF92/Construction!E92</f>
        <v>0.28000000000000003</v>
      </c>
      <c r="CR92" s="466">
        <f t="shared" si="178"/>
        <v>0</v>
      </c>
      <c r="CS92" s="466">
        <f>Construction!BK92/Construction!E92</f>
        <v>0.05</v>
      </c>
      <c r="CT92" s="466">
        <f>Construction!BJ92/Construction!E92</f>
        <v>0</v>
      </c>
      <c r="CU92" s="466">
        <f>Construction!AY92/Construction!E92</f>
        <v>0</v>
      </c>
      <c r="CV92" s="481">
        <f t="shared" ca="1" si="144"/>
        <v>1.4000000000000001</v>
      </c>
      <c r="CW92" s="482">
        <f t="shared" ca="1" si="145"/>
        <v>1.4000000000000001</v>
      </c>
      <c r="CX92" s="482">
        <f t="shared" ca="1" si="146"/>
        <v>1.4000000000000001</v>
      </c>
      <c r="CY92" s="483">
        <f t="shared" ca="1" si="147"/>
        <v>1.4000000000000001</v>
      </c>
      <c r="CZ92" s="483">
        <f t="shared" si="148"/>
        <v>0.1</v>
      </c>
      <c r="DA92" s="483">
        <f t="shared" ca="1" si="149"/>
        <v>3</v>
      </c>
      <c r="DB92" s="483">
        <f t="shared" ca="1" si="150"/>
        <v>1.4000000000000001</v>
      </c>
      <c r="DC92" s="482">
        <f t="shared" si="151"/>
        <v>0</v>
      </c>
      <c r="DD92" s="847">
        <f t="shared" si="152"/>
        <v>0</v>
      </c>
      <c r="DE92" s="440">
        <f t="shared" si="179"/>
        <v>800</v>
      </c>
      <c r="DF92" s="440">
        <f t="shared" si="180"/>
        <v>0</v>
      </c>
      <c r="DG92" s="481">
        <f t="shared" ca="1" si="153"/>
        <v>1.4000000000000001</v>
      </c>
      <c r="DH92" s="450">
        <f t="shared" si="154"/>
        <v>9.0000000000000011E-2</v>
      </c>
      <c r="DI92" s="450">
        <f>MIN(valkyrja_cap,Production!O92/valkyrja_bonus)</f>
        <v>1</v>
      </c>
      <c r="DJ92" s="847">
        <f>MIN(voodoo_magi_cap,Production!O92/voodoo_magi_bonus)</f>
        <v>0.83333333333333337</v>
      </c>
      <c r="DK92" s="847">
        <f>MIN(warlock_cap,Production!O92/warlock_bonus)</f>
        <v>1.25</v>
      </c>
      <c r="DL92" s="847">
        <f ca="1">MIN(nox_nightshade_cap,Construction!DF92/Construction!E92/nox_nightshade_swamp_bonus)</f>
        <v>2.8000000000000003</v>
      </c>
      <c r="DM92" s="482">
        <f t="shared" si="155"/>
        <v>0</v>
      </c>
      <c r="DN92" s="483">
        <f t="shared" ca="1" si="156"/>
        <v>2.8000000000000003</v>
      </c>
      <c r="DO92" s="483">
        <f t="shared" ca="1" si="157"/>
        <v>2.8000000000000003</v>
      </c>
      <c r="DP92" s="483">
        <f t="shared" si="158"/>
        <v>1</v>
      </c>
      <c r="DQ92" s="482">
        <f t="shared" si="159"/>
        <v>0</v>
      </c>
      <c r="DR92" s="483">
        <f t="shared" si="160"/>
        <v>0</v>
      </c>
      <c r="DS92" s="482">
        <f t="shared" si="161"/>
        <v>0</v>
      </c>
      <c r="DT92" s="483">
        <f t="shared" si="162"/>
        <v>0.1</v>
      </c>
      <c r="DX92" s="487">
        <f ca="1">MIN(6,CV92+Races!$F$19)*1.8 +  IF(CV92+Races!$F$19&gt;6,(CV92+Races!$F$19-6)*0.2,0) - Races!$N$19</f>
        <v>2.5200000000000005</v>
      </c>
      <c r="DY92" s="488">
        <f ca="1">1.8 * MIN(MAX(CW92+Races!$E$20,CX92+Races!$F$20),6)  +  0.45 * MIN(MIN(CW92+Races!$E$20,CX92+Races!$F$20),6)  +  0.2 * ( MAX(CW92+Races!$E$20-6,0) + MAX(CX92+Races!$F$20-6,0) )  -  Races!$N$20</f>
        <v>3.1500000000000012</v>
      </c>
      <c r="DZ92" s="57">
        <f t="shared" ca="1" si="163"/>
        <v>3780.0000000000009</v>
      </c>
      <c r="EA92" s="666">
        <f ca="1">MIN(6,CY92+Races!$F$35)*1.8 +  IF(CY92+Races!$F$35&gt;6,(CY92+Races!$F$35-6)*0.2,0) - Races!$N$19</f>
        <v>0.72000000000000064</v>
      </c>
      <c r="EB92" s="57">
        <f t="shared" ca="1" si="164"/>
        <v>0</v>
      </c>
      <c r="EC92" s="666">
        <f ca="1">1.8 * MIN(MAX(Races!$E$27,DB92+Races!$F$27),6)  +  0.45 * MIN(MIN(Races!$E$27,DB92+Races!$F$27),6)  +  0.2 * ( MAX(Races!$E$27-6,0) + MAX(DB92+Races!$F$27-6,0) )  -  Races!$N$20</f>
        <v>4.7700000000000005</v>
      </c>
      <c r="ED92" s="57">
        <f t="shared" ca="1" si="165"/>
        <v>0</v>
      </c>
      <c r="EE92" s="666">
        <f>1.8 * MIN(MAX(DC92+Races!$E$47,DD92+Races!$F$47),6)  +  0.45 * MIN(MIN(DC92+Races!$E$47,DD92+Races!$F$47),6)  +  0.2 * ( MAX(DC92+Races!$E$47-6,0) + MAX(DD92+Races!$F$47-6,0) )  -  Races!$N$47</f>
        <v>0</v>
      </c>
      <c r="EF92" s="57">
        <f t="shared" si="166"/>
        <v>0</v>
      </c>
      <c r="EG92" s="666">
        <f ca="1">1.8 * MIN(MAX(DG92+Races!$F$71,Races!$E$71),6)  +  0.45 * MIN(MIN(DG92+Races!$F$71,Races!$E$71),6)  +  0.2 * ( MAX(DG92+Races!$F$71-6,0) + MAX(Races!$E$71-6,0) )  -  Races!$N$71</f>
        <v>2.5200000000000014</v>
      </c>
      <c r="EH92" s="666">
        <f>1.8 * MIN(MAX(DH92+Races!$E$71,Races!$F$71),6)  +  0.45 * MIN(MIN(DH92+Races!$E$71,Races!$F$71),6)  +  0.2 * ( MAX(DH92+Races!$E$71-6,0) + MAX(Races!$F$71-6,0) )  -  Races!$N$71</f>
        <v>0.16200000000000081</v>
      </c>
      <c r="EI92" s="57">
        <f t="shared" ca="1" si="167"/>
        <v>2584.8000000000015</v>
      </c>
      <c r="EJ92" s="57"/>
      <c r="EK92" s="57"/>
      <c r="EL92" s="57"/>
      <c r="EM92" s="57">
        <f ca="1">Overview!$L$22*E92+Overview!$L$23*F92+Overview!$L$24*G92+Overview!$L$25*H92+Overview!$L$26*I92+Overview!$L$27*J92+Overview!$L$28*K92+Construction!E92*20+Construction!B92*5 + DZ92*$DV$4+EB92*$DV$5+ED92*$DV$6+EF92*$DV$7+EI92*$DV$9</f>
        <v>39460</v>
      </c>
      <c r="EO92" s="738">
        <f>(J92+2*K92)/Construction!E92</f>
        <v>0.1</v>
      </c>
      <c r="EP92" s="734">
        <f ca="1">EO92*(1+race_wizard_strength+tech_magical_weaponry_wiz*Techs!AV164)</f>
        <v>0.1</v>
      </c>
      <c r="EQ92" s="16">
        <f>(I92+halfer*H92/3)/Construction!E92</f>
        <v>0.1</v>
      </c>
    </row>
    <row r="93" spans="1:147" s="16" customFormat="1">
      <c r="A93" s="629">
        <f>Rezone!J93</f>
        <v>91</v>
      </c>
      <c r="B93" s="56">
        <f ca="1">SUM(E93:K93)+SUM(AF85:AG93)+SUM(AH82:AL93)+Z93+Explore!AL93</f>
        <v>5295</v>
      </c>
      <c r="C93" s="97">
        <f ca="1">Population!G93</f>
        <v>0.57305194805194803</v>
      </c>
      <c r="E93" s="52">
        <f t="shared" si="182"/>
        <v>0</v>
      </c>
      <c r="F93" s="16">
        <f t="shared" si="183"/>
        <v>0</v>
      </c>
      <c r="G93" s="16">
        <f t="shared" si="184"/>
        <v>1000</v>
      </c>
      <c r="H93" s="16">
        <f t="shared" si="185"/>
        <v>400</v>
      </c>
      <c r="I93" s="16">
        <f t="shared" si="186"/>
        <v>100</v>
      </c>
      <c r="J93" s="16">
        <f t="shared" si="187"/>
        <v>100</v>
      </c>
      <c r="K93" s="53">
        <f t="shared" si="188"/>
        <v>0</v>
      </c>
      <c r="M93" s="64">
        <f ca="1">Production!G93</f>
        <v>39460</v>
      </c>
      <c r="O93" s="234">
        <f t="shared" ca="1" si="125"/>
        <v>4400</v>
      </c>
      <c r="P93" s="455">
        <f ca="1">race_offense+Imps!AB93+ROUND(MIN(gn_bonus*Construction!BF93/Construction!$E93,gn_bonus_cap),4)+MAX(IF(Magic!$AN93&gt;0,warsong_bonus),IF(Magic!AP93&gt;0,howling_op_bonus),IF(Magic!AS93&gt;0,nightfall_bonus),IF(Magic!AT93&gt;0,crusade_bonus),IF(Magic!AU93&gt;0,killingrage_bonus),IF(Magic!AV93&gt;0,bloodrage_bonus)) + Production!O93/100*prestige_offense_bonus + MAX(tech_military_offense*Techs!AH93,tech_magical_weaponry_op*Techs!AV93)</f>
        <v>0.05</v>
      </c>
      <c r="Q93" s="235">
        <f t="shared" ca="1" si="168"/>
        <v>4620</v>
      </c>
      <c r="R93" s="234">
        <f ca="1">F93*(spec_dp+spirit*DR93)+G93*(elite1_dp+woodie*CV93+sylvan*CY93+gnome*DB93+dark_elf*DD93+icekin*DG93+orc*DJ93+nox*DL93+beast*DN93+sacred*DP93+spirit*DS93+blackorc*DK93)+H93*(elite2_dp+woodie*CX93+beast*DO93+sacred*DQ93) + fh_peas_dp*MIN(Population!C93,20*Construction!BD93)+kobold*DE93</f>
        <v>7200</v>
      </c>
      <c r="S93" s="235">
        <f t="shared" ca="1" si="126"/>
        <v>10895</v>
      </c>
      <c r="T93" s="1052">
        <f ca="1">race_defense+Imps!AC93+ROUND(MIN(gt_bonus*Construction!BH93/Construction!$E93,gt_bonus_cap),4)+MAX(IF(Magic!AM93&gt;0,frenzy_bonus,IF(Magic!AQ93&gt;0,blizzard_bonus,IF(Magic!AP93&gt;0,howling_dp_bonus,IF(Magic!AI93&gt;0,ares_call_bonus)))),IF(Magic!AX93&gt;0,MIN(Construction!DF93/Construction!E93,0.2),0))</f>
        <v>0</v>
      </c>
      <c r="U93" s="1046">
        <f t="shared" ca="1" si="169"/>
        <v>7200</v>
      </c>
      <c r="V93" s="308">
        <f t="shared" ca="1" si="170"/>
        <v>10895</v>
      </c>
      <c r="W93" s="310">
        <f>Construction!E93</f>
        <v>1000</v>
      </c>
      <c r="X93" s="367"/>
      <c r="Y93" s="146">
        <f t="shared" si="191"/>
        <v>0.4</v>
      </c>
      <c r="Z93" s="166">
        <f ca="1">Z92+Population!Z92 - IF(race="Lux",AF93,SUM(AF93:AK93)) - BE93 + SUM(BF93:BL93) - Explore!AI93</f>
        <v>3695</v>
      </c>
      <c r="AA93" s="164"/>
      <c r="AB93" s="91">
        <f>(Construction!$BA93+Construction!BY93)/(Construction!$E93-Explore!S93*20)</f>
        <v>0.2</v>
      </c>
      <c r="AC93" s="629"/>
      <c r="AD93" s="799">
        <f>Rezone!J93</f>
        <v>91</v>
      </c>
      <c r="AE93" s="589">
        <f>Explore!AA93</f>
        <v>43695.749999999782</v>
      </c>
      <c r="AF93" s="356"/>
      <c r="AG93" s="348"/>
      <c r="AH93" s="348"/>
      <c r="AI93" s="348"/>
      <c r="AJ93" s="348"/>
      <c r="AK93" s="348"/>
      <c r="AL93" s="357"/>
      <c r="AN93" s="56">
        <f ca="1">Production!$H93</f>
        <v>3906101</v>
      </c>
      <c r="AO93" s="26">
        <f ca="1">Production!$L93</f>
        <v>231000</v>
      </c>
      <c r="AP93" s="26">
        <f ca="1">Production!J93</f>
        <v>271205</v>
      </c>
      <c r="AQ93" s="26">
        <f ca="1">Production!M93</f>
        <v>20000</v>
      </c>
      <c r="AR93" s="26">
        <f ca="1">Production!K93</f>
        <v>55604</v>
      </c>
      <c r="AS93" s="26">
        <f ca="1">Production!I93</f>
        <v>295952</v>
      </c>
      <c r="AT93" s="26">
        <f ca="1">Production!N93</f>
        <v>200</v>
      </c>
      <c r="AU93" s="152">
        <f t="shared" ca="1" si="127"/>
        <v>0</v>
      </c>
      <c r="AV93" s="164">
        <f t="shared" ca="1" si="128"/>
        <v>0</v>
      </c>
      <c r="AW93" s="164">
        <f t="shared" ca="1" si="171"/>
        <v>0</v>
      </c>
      <c r="AX93" s="164">
        <f t="shared" ca="1" si="172"/>
        <v>0</v>
      </c>
      <c r="AY93" s="164">
        <f t="shared" ca="1" si="173"/>
        <v>0</v>
      </c>
      <c r="AZ93" s="164">
        <f t="shared" ca="1" si="174"/>
        <v>0</v>
      </c>
      <c r="BA93" s="166">
        <f t="shared" ca="1" si="175"/>
        <v>0</v>
      </c>
      <c r="BB93" s="16">
        <v>19</v>
      </c>
      <c r="BC93" s="574">
        <f t="shared" si="176"/>
        <v>43695.749999999782</v>
      </c>
      <c r="BD93" s="148">
        <f t="shared" ca="1" si="177"/>
        <v>3695</v>
      </c>
      <c r="BE93" s="356"/>
      <c r="BF93" s="348"/>
      <c r="BG93" s="348"/>
      <c r="BH93" s="348"/>
      <c r="BI93" s="348"/>
      <c r="BJ93" s="348"/>
      <c r="BK93" s="348"/>
      <c r="BL93" s="357"/>
      <c r="BN93" s="503">
        <f>Construction!BM93/Construction!E93</f>
        <v>0</v>
      </c>
      <c r="BO93" s="171">
        <f>Construction!BD93/Construction!E93</f>
        <v>0</v>
      </c>
      <c r="BP93" s="152">
        <f>ROUNDUP((1-MIN(AB93*smithy_bonus,smithy_bonus_cap))*(1+Techs!AO93*tech_master_of_frugality)*spec_op_plat,0)</f>
        <v>165</v>
      </c>
      <c r="BQ93" s="164">
        <f>ROUNDUP(IF(race="Gnome",1,(1-MIN(AB93*smithy_bonus,smithy_bonus_cap))*(1+Techs!AO93*tech_master_of_frugality))*spec_op_ore,0)</f>
        <v>15</v>
      </c>
      <c r="BR93" s="164">
        <f t="shared" si="129"/>
        <v>0</v>
      </c>
      <c r="BS93" s="164">
        <f t="shared" si="130"/>
        <v>0</v>
      </c>
      <c r="BT93" s="164">
        <f ca="1">ROUNDUP((1-MIN(AB93*smithy_bonus,smithy_bonus_cap))*(1+Techs!AO93*tech_master_of_frugality)*spec_dp_plat,0)</f>
        <v>165</v>
      </c>
      <c r="BU93" s="164">
        <f ca="1">ROUNDUP(IF(OR(race="Gnome",race="Imperial Gnome"),1,(1-MIN(AB93*smithy_bonus,smithy_bonus_cap))*(1+Techs!AO93*tech_master_of_frugality))*spec_dp_ore,0)</f>
        <v>6</v>
      </c>
      <c r="BV93" s="164">
        <f t="shared" ca="1" si="131"/>
        <v>0</v>
      </c>
      <c r="BW93" s="164">
        <f t="shared" ca="1" si="132"/>
        <v>0</v>
      </c>
      <c r="BX93" s="164">
        <f t="shared" ca="1" si="133"/>
        <v>0</v>
      </c>
      <c r="BY93" s="164">
        <f ca="1">ROUNDUP((1-MIN(AB93*smithy_bonus,smithy_bonus_cap))*(1+Techs!AO93*tech_master_of_frugality)*elite1_plat,0)</f>
        <v>600</v>
      </c>
      <c r="BZ93" s="164">
        <f ca="1">ROUNDUP(IF(race="Gnome",1,(1-MIN(AB93*smithy_bonus,smithy_bonus_cap))*(1+Techs!AO93*tech_master_of_frugality))*elite1_ore,0)</f>
        <v>45</v>
      </c>
      <c r="CA93" s="164">
        <f t="shared" ca="1" si="134"/>
        <v>0</v>
      </c>
      <c r="CB93" s="164">
        <f t="shared" ca="1" si="135"/>
        <v>0</v>
      </c>
      <c r="CC93" s="164">
        <f t="shared" ca="1" si="136"/>
        <v>0</v>
      </c>
      <c r="CD93" s="164">
        <f t="shared" ca="1" si="137"/>
        <v>0</v>
      </c>
      <c r="CE93" s="164">
        <f t="shared" ca="1" si="138"/>
        <v>0</v>
      </c>
      <c r="CF93" s="164">
        <f ca="1">ROUNDUP((1-MIN(AB93*smithy_bonus,smithy_bonus_cap))*(1+Techs!AO93*tech_master_of_frugality)*elite2_plat,0)</f>
        <v>750</v>
      </c>
      <c r="CG93" s="164">
        <f ca="1">ROUNDUP(IF(race="Gnome",1,(1-MIN(AB93*smithy_bonus,smithy_bonus_cap))*(1+Techs!AO93*tech_master_of_frugality))*elite2_ore,0)</f>
        <v>60</v>
      </c>
      <c r="CH93" s="164">
        <f t="shared" ca="1" si="139"/>
        <v>0</v>
      </c>
      <c r="CI93" s="164">
        <f t="shared" ca="1" si="140"/>
        <v>0</v>
      </c>
      <c r="CJ93" s="164">
        <f t="shared" ca="1" si="141"/>
        <v>0</v>
      </c>
      <c r="CK93" s="164">
        <f t="shared" ca="1" si="142"/>
        <v>0</v>
      </c>
      <c r="CL93" s="164">
        <f t="shared" ca="1" si="143"/>
        <v>0</v>
      </c>
      <c r="CM93" s="164">
        <f>ROUNDUP((1+tech_spy_cost*Techs!AJ93)*spy_plat,0)</f>
        <v>500</v>
      </c>
      <c r="CN93" s="164">
        <f>ROUNDUP((1+tech_wizard_cost*Techs!AM93-MIN(ROUND(wg_wiz_cost_bonus*BN93,4),wg_wiz_cost_cap))*wizard_plat,0)</f>
        <v>500</v>
      </c>
      <c r="CO93" s="166">
        <f>ROUNDUP((1+tech_wizard_cost*Techs!AM93-MIN(ROUND(wg_wiz_cost_bonus*BN93,4),wg_wiz_cost_cap))*archmage_plat,0)</f>
        <v>1000</v>
      </c>
      <c r="CQ93" s="465">
        <f ca="1">Construction!DF93/Construction!E93</f>
        <v>0.28000000000000003</v>
      </c>
      <c r="CR93" s="466">
        <f t="shared" si="178"/>
        <v>0</v>
      </c>
      <c r="CS93" s="466">
        <f>Construction!BK93/Construction!E93</f>
        <v>0.05</v>
      </c>
      <c r="CT93" s="466">
        <f>Construction!BJ93/Construction!E93</f>
        <v>0</v>
      </c>
      <c r="CU93" s="466">
        <f>Construction!AY93/Construction!E93</f>
        <v>0</v>
      </c>
      <c r="CV93" s="481">
        <f t="shared" ca="1" si="144"/>
        <v>1.4000000000000001</v>
      </c>
      <c r="CW93" s="482">
        <f t="shared" ca="1" si="145"/>
        <v>1.4000000000000001</v>
      </c>
      <c r="CX93" s="482">
        <f t="shared" ca="1" si="146"/>
        <v>1.4000000000000001</v>
      </c>
      <c r="CY93" s="483">
        <f t="shared" ca="1" si="147"/>
        <v>1.4000000000000001</v>
      </c>
      <c r="CZ93" s="483">
        <f t="shared" si="148"/>
        <v>0.1</v>
      </c>
      <c r="DA93" s="483">
        <f t="shared" ca="1" si="149"/>
        <v>3</v>
      </c>
      <c r="DB93" s="483">
        <f t="shared" ca="1" si="150"/>
        <v>1.4000000000000001</v>
      </c>
      <c r="DC93" s="482">
        <f t="shared" si="151"/>
        <v>0</v>
      </c>
      <c r="DD93" s="847">
        <f t="shared" si="152"/>
        <v>0</v>
      </c>
      <c r="DE93" s="440">
        <f t="shared" si="179"/>
        <v>800</v>
      </c>
      <c r="DF93" s="440">
        <f t="shared" si="180"/>
        <v>0</v>
      </c>
      <c r="DG93" s="481">
        <f t="shared" ca="1" si="153"/>
        <v>1.4000000000000001</v>
      </c>
      <c r="DH93" s="450">
        <f t="shared" si="154"/>
        <v>9.0000000000000011E-2</v>
      </c>
      <c r="DI93" s="450">
        <f>MIN(valkyrja_cap,Production!O93/valkyrja_bonus)</f>
        <v>1</v>
      </c>
      <c r="DJ93" s="847">
        <f>MIN(voodoo_magi_cap,Production!O93/voodoo_magi_bonus)</f>
        <v>0.83333333333333337</v>
      </c>
      <c r="DK93" s="847">
        <f>MIN(warlock_cap,Production!O93/warlock_bonus)</f>
        <v>1.25</v>
      </c>
      <c r="DL93" s="847">
        <f ca="1">MIN(nox_nightshade_cap,Construction!DF93/Construction!E93/nox_nightshade_swamp_bonus)</f>
        <v>2.8000000000000003</v>
      </c>
      <c r="DM93" s="482">
        <f t="shared" si="155"/>
        <v>0</v>
      </c>
      <c r="DN93" s="483">
        <f t="shared" ca="1" si="156"/>
        <v>2.8000000000000003</v>
      </c>
      <c r="DO93" s="483">
        <f t="shared" ca="1" si="157"/>
        <v>2.8000000000000003</v>
      </c>
      <c r="DP93" s="483">
        <f t="shared" si="158"/>
        <v>1</v>
      </c>
      <c r="DQ93" s="482">
        <f t="shared" si="159"/>
        <v>0</v>
      </c>
      <c r="DR93" s="483">
        <f t="shared" si="160"/>
        <v>0</v>
      </c>
      <c r="DS93" s="482">
        <f t="shared" si="161"/>
        <v>0</v>
      </c>
      <c r="DT93" s="483">
        <f t="shared" si="162"/>
        <v>0.1</v>
      </c>
      <c r="DX93" s="487">
        <f ca="1">MIN(6,CV93+Races!$F$19)*1.8 +  IF(CV93+Races!$F$19&gt;6,(CV93+Races!$F$19-6)*0.2,0) - Races!$N$19</f>
        <v>2.5200000000000005</v>
      </c>
      <c r="DY93" s="488">
        <f ca="1">1.8 * MIN(MAX(CW93+Races!$E$20,CX93+Races!$F$20),6)  +  0.45 * MIN(MIN(CW93+Races!$E$20,CX93+Races!$F$20),6)  +  0.2 * ( MAX(CW93+Races!$E$20-6,0) + MAX(CX93+Races!$F$20-6,0) )  -  Races!$N$20</f>
        <v>3.1500000000000012</v>
      </c>
      <c r="DZ93" s="57">
        <f t="shared" ca="1" si="163"/>
        <v>3780.0000000000009</v>
      </c>
      <c r="EA93" s="666">
        <f ca="1">MIN(6,CY93+Races!$F$35)*1.8 +  IF(CY93+Races!$F$35&gt;6,(CY93+Races!$F$35-6)*0.2,0) - Races!$N$19</f>
        <v>0.72000000000000064</v>
      </c>
      <c r="EB93" s="57">
        <f t="shared" ca="1" si="164"/>
        <v>0</v>
      </c>
      <c r="EC93" s="666">
        <f ca="1">1.8 * MIN(MAX(Races!$E$27,DB93+Races!$F$27),6)  +  0.45 * MIN(MIN(Races!$E$27,DB93+Races!$F$27),6)  +  0.2 * ( MAX(Races!$E$27-6,0) + MAX(DB93+Races!$F$27-6,0) )  -  Races!$N$20</f>
        <v>4.7700000000000005</v>
      </c>
      <c r="ED93" s="57">
        <f t="shared" ca="1" si="165"/>
        <v>0</v>
      </c>
      <c r="EE93" s="666">
        <f>1.8 * MIN(MAX(DC93+Races!$E$47,DD93+Races!$F$47),6)  +  0.45 * MIN(MIN(DC93+Races!$E$47,DD93+Races!$F$47),6)  +  0.2 * ( MAX(DC93+Races!$E$47-6,0) + MAX(DD93+Races!$F$47-6,0) )  -  Races!$N$47</f>
        <v>0</v>
      </c>
      <c r="EF93" s="57">
        <f t="shared" si="166"/>
        <v>0</v>
      </c>
      <c r="EG93" s="666">
        <f ca="1">1.8 * MIN(MAX(DG93+Races!$F$71,Races!$E$71),6)  +  0.45 * MIN(MIN(DG93+Races!$F$71,Races!$E$71),6)  +  0.2 * ( MAX(DG93+Races!$F$71-6,0) + MAX(Races!$E$71-6,0) )  -  Races!$N$71</f>
        <v>2.5200000000000014</v>
      </c>
      <c r="EH93" s="666">
        <f>1.8 * MIN(MAX(DH93+Races!$E$71,Races!$F$71),6)  +  0.45 * MIN(MIN(DH93+Races!$E$71,Races!$F$71),6)  +  0.2 * ( MAX(DH93+Races!$E$71-6,0) + MAX(Races!$F$71-6,0) )  -  Races!$N$71</f>
        <v>0.16200000000000081</v>
      </c>
      <c r="EI93" s="57">
        <f t="shared" ca="1" si="167"/>
        <v>2584.8000000000015</v>
      </c>
      <c r="EJ93" s="57"/>
      <c r="EK93" s="57"/>
      <c r="EL93" s="57"/>
      <c r="EM93" s="57">
        <f ca="1">Overview!$L$22*E93+Overview!$L$23*F93+Overview!$L$24*G93+Overview!$L$25*H93+Overview!$L$26*I93+Overview!$L$27*J93+Overview!$L$28*K93+Construction!E93*20+Construction!B93*5 + DZ93*$DV$4+EB93*$DV$5+ED93*$DV$6+EF93*$DV$7+EI93*$DV$9</f>
        <v>39460</v>
      </c>
      <c r="EO93" s="738">
        <f>(J93+2*K93)/Construction!E93</f>
        <v>0.1</v>
      </c>
      <c r="EP93" s="734">
        <f ca="1">EO93*(1+race_wizard_strength+tech_magical_weaponry_wiz*Techs!AV165)</f>
        <v>0.1</v>
      </c>
      <c r="EQ93" s="16">
        <f>(I93+halfer*H93/3)/Construction!E93</f>
        <v>0.1</v>
      </c>
    </row>
    <row r="94" spans="1:147" s="16" customFormat="1">
      <c r="A94" s="629">
        <f>Rezone!J94</f>
        <v>92</v>
      </c>
      <c r="B94" s="56">
        <f ca="1">SUM(E94:K94)+SUM(AF86:AG94)+SUM(AH83:AL94)+Z94+Explore!AL94</f>
        <v>5295</v>
      </c>
      <c r="C94" s="97">
        <f ca="1">Population!G94</f>
        <v>0.57305194805194803</v>
      </c>
      <c r="E94" s="52">
        <f t="shared" si="182"/>
        <v>0</v>
      </c>
      <c r="F94" s="16">
        <f t="shared" si="183"/>
        <v>0</v>
      </c>
      <c r="G94" s="16">
        <f t="shared" si="184"/>
        <v>1000</v>
      </c>
      <c r="H94" s="16">
        <f t="shared" si="185"/>
        <v>400</v>
      </c>
      <c r="I94" s="16">
        <f t="shared" si="186"/>
        <v>100</v>
      </c>
      <c r="J94" s="16">
        <f t="shared" si="187"/>
        <v>100</v>
      </c>
      <c r="K94" s="53">
        <f t="shared" si="188"/>
        <v>0</v>
      </c>
      <c r="M94" s="64">
        <f ca="1">Production!G94</f>
        <v>39460</v>
      </c>
      <c r="O94" s="234">
        <f t="shared" ca="1" si="125"/>
        <v>4400</v>
      </c>
      <c r="P94" s="455">
        <f ca="1">race_offense+Imps!AB94+ROUND(MIN(gn_bonus*Construction!BF94/Construction!$E94,gn_bonus_cap),4)+MAX(IF(Magic!$AN94&gt;0,warsong_bonus),IF(Magic!AP94&gt;0,howling_op_bonus),IF(Magic!AS94&gt;0,nightfall_bonus),IF(Magic!AT94&gt;0,crusade_bonus),IF(Magic!AU94&gt;0,killingrage_bonus),IF(Magic!AV94&gt;0,bloodrage_bonus)) + Production!O94/100*prestige_offense_bonus + MAX(tech_military_offense*Techs!AH94,tech_magical_weaponry_op*Techs!AV94)</f>
        <v>0.05</v>
      </c>
      <c r="Q94" s="235">
        <f t="shared" ca="1" si="168"/>
        <v>4620</v>
      </c>
      <c r="R94" s="234">
        <f ca="1">F94*(spec_dp+spirit*DR94)+G94*(elite1_dp+woodie*CV94+sylvan*CY94+gnome*DB94+dark_elf*DD94+icekin*DG94+orc*DJ94+nox*DL94+beast*DN94+sacred*DP94+spirit*DS94+blackorc*DK94)+H94*(elite2_dp+woodie*CX94+beast*DO94+sacred*DQ94) + fh_peas_dp*MIN(Population!C94,20*Construction!BD94)+kobold*DE94</f>
        <v>7200</v>
      </c>
      <c r="S94" s="235">
        <f t="shared" ca="1" si="126"/>
        <v>10895</v>
      </c>
      <c r="T94" s="1052">
        <f ca="1">race_defense+Imps!AC94+ROUND(MIN(gt_bonus*Construction!BH94/Construction!$E94,gt_bonus_cap),4)+MAX(IF(Magic!AM94&gt;0,frenzy_bonus,IF(Magic!AQ94&gt;0,blizzard_bonus,IF(Magic!AP94&gt;0,howling_dp_bonus,IF(Magic!AI94&gt;0,ares_call_bonus)))),IF(Magic!AX94&gt;0,MIN(Construction!DF94/Construction!E94,0.2),0))</f>
        <v>0</v>
      </c>
      <c r="U94" s="1046">
        <f t="shared" ca="1" si="169"/>
        <v>7200</v>
      </c>
      <c r="V94" s="308">
        <f t="shared" ca="1" si="170"/>
        <v>10895</v>
      </c>
      <c r="W94" s="310">
        <f>Construction!E94</f>
        <v>1000</v>
      </c>
      <c r="X94" s="367"/>
      <c r="Y94" s="146">
        <f t="shared" si="191"/>
        <v>0.4</v>
      </c>
      <c r="Z94" s="166">
        <f ca="1">Z93+Population!Z93 - IF(race="Lux",AF94,SUM(AF94:AK94)) - BE94 + SUM(BF94:BL94) - Explore!AI94</f>
        <v>3695</v>
      </c>
      <c r="AA94" s="164"/>
      <c r="AB94" s="91">
        <f>(Construction!$BA94+Construction!BY94)/(Construction!$E94-Explore!S94*20)</f>
        <v>0.2</v>
      </c>
      <c r="AC94" s="629"/>
      <c r="AD94" s="799">
        <f>Rezone!J94</f>
        <v>92</v>
      </c>
      <c r="AE94" s="589">
        <f>Explore!AA94</f>
        <v>43695.791666666446</v>
      </c>
      <c r="AF94" s="356"/>
      <c r="AG94" s="348"/>
      <c r="AH94" s="348"/>
      <c r="AI94" s="348"/>
      <c r="AJ94" s="348"/>
      <c r="AK94" s="348"/>
      <c r="AL94" s="357"/>
      <c r="AN94" s="56">
        <f ca="1">Production!$H94</f>
        <v>3916752</v>
      </c>
      <c r="AO94" s="26">
        <f ca="1">Production!$L94</f>
        <v>231000</v>
      </c>
      <c r="AP94" s="26">
        <f ca="1">Production!J94</f>
        <v>270993</v>
      </c>
      <c r="AQ94" s="26">
        <f ca="1">Production!M94</f>
        <v>20000</v>
      </c>
      <c r="AR94" s="26">
        <f ca="1">Production!K94</f>
        <v>55742</v>
      </c>
      <c r="AS94" s="26">
        <f ca="1">Production!I94</f>
        <v>297722</v>
      </c>
      <c r="AT94" s="26">
        <f ca="1">Production!N94</f>
        <v>200</v>
      </c>
      <c r="AU94" s="152">
        <f t="shared" ca="1" si="127"/>
        <v>0</v>
      </c>
      <c r="AV94" s="164">
        <f t="shared" ca="1" si="128"/>
        <v>0</v>
      </c>
      <c r="AW94" s="164">
        <f t="shared" ca="1" si="171"/>
        <v>0</v>
      </c>
      <c r="AX94" s="164">
        <f t="shared" ca="1" si="172"/>
        <v>0</v>
      </c>
      <c r="AY94" s="164">
        <f t="shared" ca="1" si="173"/>
        <v>0</v>
      </c>
      <c r="AZ94" s="164">
        <f t="shared" ca="1" si="174"/>
        <v>0</v>
      </c>
      <c r="BA94" s="166">
        <f t="shared" ca="1" si="175"/>
        <v>0</v>
      </c>
      <c r="BB94" s="16">
        <v>20</v>
      </c>
      <c r="BC94" s="574">
        <f t="shared" si="176"/>
        <v>43695.791666666446</v>
      </c>
      <c r="BD94" s="148">
        <f t="shared" ca="1" si="177"/>
        <v>3695</v>
      </c>
      <c r="BE94" s="356"/>
      <c r="BF94" s="348"/>
      <c r="BG94" s="348"/>
      <c r="BH94" s="348"/>
      <c r="BI94" s="348"/>
      <c r="BJ94" s="348"/>
      <c r="BK94" s="348"/>
      <c r="BL94" s="357"/>
      <c r="BN94" s="503">
        <f>Construction!BM94/Construction!E94</f>
        <v>0</v>
      </c>
      <c r="BO94" s="171">
        <f>Construction!BD94/Construction!E94</f>
        <v>0</v>
      </c>
      <c r="BP94" s="152">
        <f>ROUNDUP((1-MIN(AB94*smithy_bonus,smithy_bonus_cap))*(1+Techs!AO94*tech_master_of_frugality)*spec_op_plat,0)</f>
        <v>165</v>
      </c>
      <c r="BQ94" s="164">
        <f>ROUNDUP(IF(race="Gnome",1,(1-MIN(AB94*smithy_bonus,smithy_bonus_cap))*(1+Techs!AO94*tech_master_of_frugality))*spec_op_ore,0)</f>
        <v>15</v>
      </c>
      <c r="BR94" s="164">
        <f t="shared" si="129"/>
        <v>0</v>
      </c>
      <c r="BS94" s="164">
        <f t="shared" si="130"/>
        <v>0</v>
      </c>
      <c r="BT94" s="164">
        <f ca="1">ROUNDUP((1-MIN(AB94*smithy_bonus,smithy_bonus_cap))*(1+Techs!AO94*tech_master_of_frugality)*spec_dp_plat,0)</f>
        <v>165</v>
      </c>
      <c r="BU94" s="164">
        <f ca="1">ROUNDUP(IF(OR(race="Gnome",race="Imperial Gnome"),1,(1-MIN(AB94*smithy_bonus,smithy_bonus_cap))*(1+Techs!AO94*tech_master_of_frugality))*spec_dp_ore,0)</f>
        <v>6</v>
      </c>
      <c r="BV94" s="164">
        <f t="shared" ca="1" si="131"/>
        <v>0</v>
      </c>
      <c r="BW94" s="164">
        <f t="shared" ca="1" si="132"/>
        <v>0</v>
      </c>
      <c r="BX94" s="164">
        <f t="shared" ca="1" si="133"/>
        <v>0</v>
      </c>
      <c r="BY94" s="164">
        <f ca="1">ROUNDUP((1-MIN(AB94*smithy_bonus,smithy_bonus_cap))*(1+Techs!AO94*tech_master_of_frugality)*elite1_plat,0)</f>
        <v>600</v>
      </c>
      <c r="BZ94" s="164">
        <f ca="1">ROUNDUP(IF(race="Gnome",1,(1-MIN(AB94*smithy_bonus,smithy_bonus_cap))*(1+Techs!AO94*tech_master_of_frugality))*elite1_ore,0)</f>
        <v>45</v>
      </c>
      <c r="CA94" s="164">
        <f t="shared" ca="1" si="134"/>
        <v>0</v>
      </c>
      <c r="CB94" s="164">
        <f t="shared" ca="1" si="135"/>
        <v>0</v>
      </c>
      <c r="CC94" s="164">
        <f t="shared" ca="1" si="136"/>
        <v>0</v>
      </c>
      <c r="CD94" s="164">
        <f t="shared" ca="1" si="137"/>
        <v>0</v>
      </c>
      <c r="CE94" s="164">
        <f t="shared" ca="1" si="138"/>
        <v>0</v>
      </c>
      <c r="CF94" s="164">
        <f ca="1">ROUNDUP((1-MIN(AB94*smithy_bonus,smithy_bonus_cap))*(1+Techs!AO94*tech_master_of_frugality)*elite2_plat,0)</f>
        <v>750</v>
      </c>
      <c r="CG94" s="164">
        <f ca="1">ROUNDUP(IF(race="Gnome",1,(1-MIN(AB94*smithy_bonus,smithy_bonus_cap))*(1+Techs!AO94*tech_master_of_frugality))*elite2_ore,0)</f>
        <v>60</v>
      </c>
      <c r="CH94" s="164">
        <f t="shared" ca="1" si="139"/>
        <v>0</v>
      </c>
      <c r="CI94" s="164">
        <f t="shared" ca="1" si="140"/>
        <v>0</v>
      </c>
      <c r="CJ94" s="164">
        <f t="shared" ca="1" si="141"/>
        <v>0</v>
      </c>
      <c r="CK94" s="164">
        <f t="shared" ca="1" si="142"/>
        <v>0</v>
      </c>
      <c r="CL94" s="164">
        <f t="shared" ca="1" si="143"/>
        <v>0</v>
      </c>
      <c r="CM94" s="164">
        <f>ROUNDUP((1+tech_spy_cost*Techs!AJ94)*spy_plat,0)</f>
        <v>500</v>
      </c>
      <c r="CN94" s="164">
        <f>ROUNDUP((1+tech_wizard_cost*Techs!AM94-MIN(ROUND(wg_wiz_cost_bonus*BN94,4),wg_wiz_cost_cap))*wizard_plat,0)</f>
        <v>500</v>
      </c>
      <c r="CO94" s="166">
        <f>ROUNDUP((1+tech_wizard_cost*Techs!AM94-MIN(ROUND(wg_wiz_cost_bonus*BN94,4),wg_wiz_cost_cap))*archmage_plat,0)</f>
        <v>1000</v>
      </c>
      <c r="CQ94" s="465">
        <f ca="1">Construction!DF94/Construction!E94</f>
        <v>0.28000000000000003</v>
      </c>
      <c r="CR94" s="466">
        <f t="shared" si="178"/>
        <v>0</v>
      </c>
      <c r="CS94" s="466">
        <f>Construction!BK94/Construction!E94</f>
        <v>0.05</v>
      </c>
      <c r="CT94" s="466">
        <f>Construction!BJ94/Construction!E94</f>
        <v>0</v>
      </c>
      <c r="CU94" s="466">
        <f>Construction!AY94/Construction!E94</f>
        <v>0</v>
      </c>
      <c r="CV94" s="481">
        <f t="shared" ca="1" si="144"/>
        <v>1.4000000000000001</v>
      </c>
      <c r="CW94" s="482">
        <f t="shared" ca="1" si="145"/>
        <v>1.4000000000000001</v>
      </c>
      <c r="CX94" s="482">
        <f t="shared" ca="1" si="146"/>
        <v>1.4000000000000001</v>
      </c>
      <c r="CY94" s="483">
        <f t="shared" ca="1" si="147"/>
        <v>1.4000000000000001</v>
      </c>
      <c r="CZ94" s="483">
        <f t="shared" si="148"/>
        <v>0.1</v>
      </c>
      <c r="DA94" s="483">
        <f t="shared" ca="1" si="149"/>
        <v>3</v>
      </c>
      <c r="DB94" s="483">
        <f t="shared" ca="1" si="150"/>
        <v>1.4000000000000001</v>
      </c>
      <c r="DC94" s="482">
        <f t="shared" si="151"/>
        <v>0</v>
      </c>
      <c r="DD94" s="847">
        <f t="shared" si="152"/>
        <v>0</v>
      </c>
      <c r="DE94" s="440">
        <f t="shared" si="179"/>
        <v>800</v>
      </c>
      <c r="DF94" s="440">
        <f t="shared" si="180"/>
        <v>0</v>
      </c>
      <c r="DG94" s="481">
        <f t="shared" ca="1" si="153"/>
        <v>1.4000000000000001</v>
      </c>
      <c r="DH94" s="450">
        <f t="shared" si="154"/>
        <v>9.0000000000000011E-2</v>
      </c>
      <c r="DI94" s="450">
        <f>MIN(valkyrja_cap,Production!O94/valkyrja_bonus)</f>
        <v>1</v>
      </c>
      <c r="DJ94" s="847">
        <f>MIN(voodoo_magi_cap,Production!O94/voodoo_magi_bonus)</f>
        <v>0.83333333333333337</v>
      </c>
      <c r="DK94" s="847">
        <f>MIN(warlock_cap,Production!O94/warlock_bonus)</f>
        <v>1.25</v>
      </c>
      <c r="DL94" s="847">
        <f ca="1">MIN(nox_nightshade_cap,Construction!DF94/Construction!E94/nox_nightshade_swamp_bonus)</f>
        <v>2.8000000000000003</v>
      </c>
      <c r="DM94" s="482">
        <f t="shared" si="155"/>
        <v>0</v>
      </c>
      <c r="DN94" s="483">
        <f t="shared" ca="1" si="156"/>
        <v>2.8000000000000003</v>
      </c>
      <c r="DO94" s="483">
        <f t="shared" ca="1" si="157"/>
        <v>2.8000000000000003</v>
      </c>
      <c r="DP94" s="483">
        <f t="shared" si="158"/>
        <v>1</v>
      </c>
      <c r="DQ94" s="482">
        <f t="shared" si="159"/>
        <v>0</v>
      </c>
      <c r="DR94" s="483">
        <f t="shared" si="160"/>
        <v>0</v>
      </c>
      <c r="DS94" s="482">
        <f t="shared" si="161"/>
        <v>0</v>
      </c>
      <c r="DT94" s="483">
        <f t="shared" si="162"/>
        <v>0.1</v>
      </c>
      <c r="DX94" s="487">
        <f ca="1">MIN(6,CV94+Races!$F$19)*1.8 +  IF(CV94+Races!$F$19&gt;6,(CV94+Races!$F$19-6)*0.2,0) - Races!$N$19</f>
        <v>2.5200000000000005</v>
      </c>
      <c r="DY94" s="488">
        <f ca="1">1.8 * MIN(MAX(CW94+Races!$E$20,CX94+Races!$F$20),6)  +  0.45 * MIN(MIN(CW94+Races!$E$20,CX94+Races!$F$20),6)  +  0.2 * ( MAX(CW94+Races!$E$20-6,0) + MAX(CX94+Races!$F$20-6,0) )  -  Races!$N$20</f>
        <v>3.1500000000000012</v>
      </c>
      <c r="DZ94" s="57">
        <f t="shared" ca="1" si="163"/>
        <v>3780.0000000000009</v>
      </c>
      <c r="EA94" s="666">
        <f ca="1">MIN(6,CY94+Races!$F$35)*1.8 +  IF(CY94+Races!$F$35&gt;6,(CY94+Races!$F$35-6)*0.2,0) - Races!$N$19</f>
        <v>0.72000000000000064</v>
      </c>
      <c r="EB94" s="57">
        <f t="shared" ca="1" si="164"/>
        <v>0</v>
      </c>
      <c r="EC94" s="666">
        <f ca="1">1.8 * MIN(MAX(Races!$E$27,DB94+Races!$F$27),6)  +  0.45 * MIN(MIN(Races!$E$27,DB94+Races!$F$27),6)  +  0.2 * ( MAX(Races!$E$27-6,0) + MAX(DB94+Races!$F$27-6,0) )  -  Races!$N$20</f>
        <v>4.7700000000000005</v>
      </c>
      <c r="ED94" s="57">
        <f t="shared" ca="1" si="165"/>
        <v>0</v>
      </c>
      <c r="EE94" s="666">
        <f>1.8 * MIN(MAX(DC94+Races!$E$47,DD94+Races!$F$47),6)  +  0.45 * MIN(MIN(DC94+Races!$E$47,DD94+Races!$F$47),6)  +  0.2 * ( MAX(DC94+Races!$E$47-6,0) + MAX(DD94+Races!$F$47-6,0) )  -  Races!$N$47</f>
        <v>0</v>
      </c>
      <c r="EF94" s="57">
        <f t="shared" si="166"/>
        <v>0</v>
      </c>
      <c r="EG94" s="666">
        <f ca="1">1.8 * MIN(MAX(DG94+Races!$F$71,Races!$E$71),6)  +  0.45 * MIN(MIN(DG94+Races!$F$71,Races!$E$71),6)  +  0.2 * ( MAX(DG94+Races!$F$71-6,0) + MAX(Races!$E$71-6,0) )  -  Races!$N$71</f>
        <v>2.5200000000000014</v>
      </c>
      <c r="EH94" s="666">
        <f>1.8 * MIN(MAX(DH94+Races!$E$71,Races!$F$71),6)  +  0.45 * MIN(MIN(DH94+Races!$E$71,Races!$F$71),6)  +  0.2 * ( MAX(DH94+Races!$E$71-6,0) + MAX(Races!$F$71-6,0) )  -  Races!$N$71</f>
        <v>0.16200000000000081</v>
      </c>
      <c r="EI94" s="57">
        <f t="shared" ca="1" si="167"/>
        <v>2584.8000000000015</v>
      </c>
      <c r="EJ94" s="57"/>
      <c r="EK94" s="57"/>
      <c r="EL94" s="57"/>
      <c r="EM94" s="57">
        <f ca="1">Overview!$L$22*E94+Overview!$L$23*F94+Overview!$L$24*G94+Overview!$L$25*H94+Overview!$L$26*I94+Overview!$L$27*J94+Overview!$L$28*K94+Construction!E94*20+Construction!B94*5 + DZ94*$DV$4+EB94*$DV$5+ED94*$DV$6+EF94*$DV$7+EI94*$DV$9</f>
        <v>39460</v>
      </c>
      <c r="EO94" s="738">
        <f>(J94+2*K94)/Construction!E94</f>
        <v>0.1</v>
      </c>
      <c r="EP94" s="734">
        <f ca="1">EO94*(1+race_wizard_strength+tech_magical_weaponry_wiz*Techs!AV166)</f>
        <v>0.1</v>
      </c>
      <c r="EQ94" s="16">
        <f>(I94+halfer*H94/3)/Construction!E94</f>
        <v>0.1</v>
      </c>
    </row>
    <row r="95" spans="1:147" s="16" customFormat="1">
      <c r="A95" s="629">
        <f>Rezone!J95</f>
        <v>93</v>
      </c>
      <c r="B95" s="56">
        <f ca="1">SUM(E95:K95)+SUM(AF87:AG95)+SUM(AH84:AL95)+Z95+Explore!AL95</f>
        <v>5295</v>
      </c>
      <c r="C95" s="97">
        <f ca="1">Population!G95</f>
        <v>0.57305194805194803</v>
      </c>
      <c r="E95" s="52">
        <f t="shared" si="182"/>
        <v>0</v>
      </c>
      <c r="F95" s="16">
        <f t="shared" si="183"/>
        <v>0</v>
      </c>
      <c r="G95" s="16">
        <f t="shared" si="184"/>
        <v>1000</v>
      </c>
      <c r="H95" s="16">
        <f t="shared" si="185"/>
        <v>400</v>
      </c>
      <c r="I95" s="16">
        <f t="shared" si="186"/>
        <v>100</v>
      </c>
      <c r="J95" s="16">
        <f t="shared" si="187"/>
        <v>100</v>
      </c>
      <c r="K95" s="53">
        <f t="shared" si="188"/>
        <v>0</v>
      </c>
      <c r="M95" s="64">
        <f ca="1">Production!G95</f>
        <v>39460</v>
      </c>
      <c r="O95" s="234">
        <f t="shared" ca="1" si="125"/>
        <v>4400</v>
      </c>
      <c r="P95" s="455">
        <f ca="1">race_offense+Imps!AB95+ROUND(MIN(gn_bonus*Construction!BF95/Construction!$E95,gn_bonus_cap),4)+MAX(IF(Magic!$AN95&gt;0,warsong_bonus),IF(Magic!AP95&gt;0,howling_op_bonus),IF(Magic!AS95&gt;0,nightfall_bonus),IF(Magic!AT95&gt;0,crusade_bonus),IF(Magic!AU95&gt;0,killingrage_bonus),IF(Magic!AV95&gt;0,bloodrage_bonus)) + Production!O95/100*prestige_offense_bonus + MAX(tech_military_offense*Techs!AH95,tech_magical_weaponry_op*Techs!AV95)</f>
        <v>0.05</v>
      </c>
      <c r="Q95" s="235">
        <f t="shared" ca="1" si="168"/>
        <v>4620</v>
      </c>
      <c r="R95" s="234">
        <f ca="1">F95*(spec_dp+spirit*DR95)+G95*(elite1_dp+woodie*CV95+sylvan*CY95+gnome*DB95+dark_elf*DD95+icekin*DG95+orc*DJ95+nox*DL95+beast*DN95+sacred*DP95+spirit*DS95+blackorc*DK95)+H95*(elite2_dp+woodie*CX95+beast*DO95+sacred*DQ95) + fh_peas_dp*MIN(Population!C95,20*Construction!BD95)+kobold*DE95</f>
        <v>7200</v>
      </c>
      <c r="S95" s="235">
        <f t="shared" ca="1" si="126"/>
        <v>10895</v>
      </c>
      <c r="T95" s="1052">
        <f ca="1">race_defense+Imps!AC95+ROUND(MIN(gt_bonus*Construction!BH95/Construction!$E95,gt_bonus_cap),4)+MAX(IF(Magic!AM95&gt;0,frenzy_bonus,IF(Magic!AQ95&gt;0,blizzard_bonus,IF(Magic!AP95&gt;0,howling_dp_bonus,IF(Magic!AI95&gt;0,ares_call_bonus)))),IF(Magic!AX95&gt;0,MIN(Construction!DF95/Construction!E95,0.2),0))</f>
        <v>0</v>
      </c>
      <c r="U95" s="1046">
        <f t="shared" ca="1" si="169"/>
        <v>7200</v>
      </c>
      <c r="V95" s="308">
        <f t="shared" ca="1" si="170"/>
        <v>10895</v>
      </c>
      <c r="W95" s="310">
        <f>Construction!E95</f>
        <v>1000</v>
      </c>
      <c r="X95" s="367"/>
      <c r="Y95" s="146">
        <f t="shared" si="191"/>
        <v>0.4</v>
      </c>
      <c r="Z95" s="166">
        <f ca="1">Z94+Population!Z94 - IF(race="Lux",AF95,SUM(AF95:AK95)) - BE95 + SUM(BF95:BL95) - Explore!AI95</f>
        <v>3695</v>
      </c>
      <c r="AA95" s="164"/>
      <c r="AB95" s="91">
        <f>(Construction!$BA95+Construction!BY95)/(Construction!$E95-Explore!S95*20)</f>
        <v>0.2</v>
      </c>
      <c r="AC95" s="629"/>
      <c r="AD95" s="799">
        <f>Rezone!J95</f>
        <v>93</v>
      </c>
      <c r="AE95" s="589">
        <f>Explore!AA95</f>
        <v>43695.83333333311</v>
      </c>
      <c r="AF95" s="356"/>
      <c r="AG95" s="348"/>
      <c r="AH95" s="348"/>
      <c r="AI95" s="348"/>
      <c r="AJ95" s="348"/>
      <c r="AK95" s="348"/>
      <c r="AL95" s="357"/>
      <c r="AN95" s="56">
        <f ca="1">Production!$H95</f>
        <v>3927403</v>
      </c>
      <c r="AO95" s="26">
        <f ca="1">Production!$L95</f>
        <v>231000</v>
      </c>
      <c r="AP95" s="26">
        <f ca="1">Production!J95</f>
        <v>270783</v>
      </c>
      <c r="AQ95" s="26">
        <f ca="1">Production!M95</f>
        <v>20000</v>
      </c>
      <c r="AR95" s="26">
        <f ca="1">Production!K95</f>
        <v>55877</v>
      </c>
      <c r="AS95" s="26">
        <f ca="1">Production!I95</f>
        <v>299475</v>
      </c>
      <c r="AT95" s="26">
        <f ca="1">Production!N95</f>
        <v>200</v>
      </c>
      <c r="AU95" s="152">
        <f t="shared" ca="1" si="127"/>
        <v>0</v>
      </c>
      <c r="AV95" s="164">
        <f t="shared" ca="1" si="128"/>
        <v>0</v>
      </c>
      <c r="AW95" s="164">
        <f t="shared" ca="1" si="171"/>
        <v>0</v>
      </c>
      <c r="AX95" s="164">
        <f t="shared" ca="1" si="172"/>
        <v>0</v>
      </c>
      <c r="AY95" s="164">
        <f t="shared" ca="1" si="173"/>
        <v>0</v>
      </c>
      <c r="AZ95" s="164">
        <f t="shared" ca="1" si="174"/>
        <v>0</v>
      </c>
      <c r="BA95" s="166">
        <f t="shared" ca="1" si="175"/>
        <v>0</v>
      </c>
      <c r="BB95" s="16">
        <v>21</v>
      </c>
      <c r="BC95" s="574">
        <f t="shared" si="176"/>
        <v>43695.83333333311</v>
      </c>
      <c r="BD95" s="148">
        <f t="shared" ca="1" si="177"/>
        <v>3695</v>
      </c>
      <c r="BE95" s="356"/>
      <c r="BF95" s="348"/>
      <c r="BG95" s="348"/>
      <c r="BH95" s="348"/>
      <c r="BI95" s="348"/>
      <c r="BJ95" s="348"/>
      <c r="BK95" s="348"/>
      <c r="BL95" s="357"/>
      <c r="BN95" s="503">
        <f>Construction!BM95/Construction!E95</f>
        <v>0</v>
      </c>
      <c r="BO95" s="171">
        <f>Construction!BD95/Construction!E95</f>
        <v>0</v>
      </c>
      <c r="BP95" s="152">
        <f>ROUNDUP((1-MIN(AB95*smithy_bonus,smithy_bonus_cap))*(1+Techs!AO95*tech_master_of_frugality)*spec_op_plat,0)</f>
        <v>165</v>
      </c>
      <c r="BQ95" s="164">
        <f>ROUNDUP(IF(race="Gnome",1,(1-MIN(AB95*smithy_bonus,smithy_bonus_cap))*(1+Techs!AO95*tech_master_of_frugality))*spec_op_ore,0)</f>
        <v>15</v>
      </c>
      <c r="BR95" s="164">
        <f t="shared" si="129"/>
        <v>0</v>
      </c>
      <c r="BS95" s="164">
        <f t="shared" si="130"/>
        <v>0</v>
      </c>
      <c r="BT95" s="164">
        <f ca="1">ROUNDUP((1-MIN(AB95*smithy_bonus,smithy_bonus_cap))*(1+Techs!AO95*tech_master_of_frugality)*spec_dp_plat,0)</f>
        <v>165</v>
      </c>
      <c r="BU95" s="164">
        <f ca="1">ROUNDUP(IF(OR(race="Gnome",race="Imperial Gnome"),1,(1-MIN(AB95*smithy_bonus,smithy_bonus_cap))*(1+Techs!AO95*tech_master_of_frugality))*spec_dp_ore,0)</f>
        <v>6</v>
      </c>
      <c r="BV95" s="164">
        <f t="shared" ca="1" si="131"/>
        <v>0</v>
      </c>
      <c r="BW95" s="164">
        <f t="shared" ca="1" si="132"/>
        <v>0</v>
      </c>
      <c r="BX95" s="164">
        <f t="shared" ca="1" si="133"/>
        <v>0</v>
      </c>
      <c r="BY95" s="164">
        <f ca="1">ROUNDUP((1-MIN(AB95*smithy_bonus,smithy_bonus_cap))*(1+Techs!AO95*tech_master_of_frugality)*elite1_plat,0)</f>
        <v>600</v>
      </c>
      <c r="BZ95" s="164">
        <f ca="1">ROUNDUP(IF(race="Gnome",1,(1-MIN(AB95*smithy_bonus,smithy_bonus_cap))*(1+Techs!AO95*tech_master_of_frugality))*elite1_ore,0)</f>
        <v>45</v>
      </c>
      <c r="CA95" s="164">
        <f t="shared" ca="1" si="134"/>
        <v>0</v>
      </c>
      <c r="CB95" s="164">
        <f t="shared" ca="1" si="135"/>
        <v>0</v>
      </c>
      <c r="CC95" s="164">
        <f t="shared" ca="1" si="136"/>
        <v>0</v>
      </c>
      <c r="CD95" s="164">
        <f t="shared" ca="1" si="137"/>
        <v>0</v>
      </c>
      <c r="CE95" s="164">
        <f t="shared" ca="1" si="138"/>
        <v>0</v>
      </c>
      <c r="CF95" s="164">
        <f ca="1">ROUNDUP((1-MIN(AB95*smithy_bonus,smithy_bonus_cap))*(1+Techs!AO95*tech_master_of_frugality)*elite2_plat,0)</f>
        <v>750</v>
      </c>
      <c r="CG95" s="164">
        <f ca="1">ROUNDUP(IF(race="Gnome",1,(1-MIN(AB95*smithy_bonus,smithy_bonus_cap))*(1+Techs!AO95*tech_master_of_frugality))*elite2_ore,0)</f>
        <v>60</v>
      </c>
      <c r="CH95" s="164">
        <f t="shared" ca="1" si="139"/>
        <v>0</v>
      </c>
      <c r="CI95" s="164">
        <f t="shared" ca="1" si="140"/>
        <v>0</v>
      </c>
      <c r="CJ95" s="164">
        <f t="shared" ca="1" si="141"/>
        <v>0</v>
      </c>
      <c r="CK95" s="164">
        <f t="shared" ca="1" si="142"/>
        <v>0</v>
      </c>
      <c r="CL95" s="164">
        <f t="shared" ca="1" si="143"/>
        <v>0</v>
      </c>
      <c r="CM95" s="164">
        <f>ROUNDUP((1+tech_spy_cost*Techs!AJ95)*spy_plat,0)</f>
        <v>500</v>
      </c>
      <c r="CN95" s="164">
        <f>ROUNDUP((1+tech_wizard_cost*Techs!AM95-MIN(ROUND(wg_wiz_cost_bonus*BN95,4),wg_wiz_cost_cap))*wizard_plat,0)</f>
        <v>500</v>
      </c>
      <c r="CO95" s="166">
        <f>ROUNDUP((1+tech_wizard_cost*Techs!AM95-MIN(ROUND(wg_wiz_cost_bonus*BN95,4),wg_wiz_cost_cap))*archmage_plat,0)</f>
        <v>1000</v>
      </c>
      <c r="CQ95" s="465">
        <f ca="1">Construction!DF95/Construction!E95</f>
        <v>0.28000000000000003</v>
      </c>
      <c r="CR95" s="466">
        <f t="shared" si="178"/>
        <v>0</v>
      </c>
      <c r="CS95" s="466">
        <f>Construction!BK95/Construction!E95</f>
        <v>0.05</v>
      </c>
      <c r="CT95" s="466">
        <f>Construction!BJ95/Construction!E95</f>
        <v>0</v>
      </c>
      <c r="CU95" s="466">
        <f>Construction!AY95/Construction!E95</f>
        <v>0</v>
      </c>
      <c r="CV95" s="481">
        <f t="shared" ca="1" si="144"/>
        <v>1.4000000000000001</v>
      </c>
      <c r="CW95" s="482">
        <f t="shared" ca="1" si="145"/>
        <v>1.4000000000000001</v>
      </c>
      <c r="CX95" s="482">
        <f t="shared" ca="1" si="146"/>
        <v>1.4000000000000001</v>
      </c>
      <c r="CY95" s="483">
        <f t="shared" ca="1" si="147"/>
        <v>1.4000000000000001</v>
      </c>
      <c r="CZ95" s="483">
        <f t="shared" si="148"/>
        <v>0.1</v>
      </c>
      <c r="DA95" s="483">
        <f t="shared" ca="1" si="149"/>
        <v>3</v>
      </c>
      <c r="DB95" s="483">
        <f t="shared" ca="1" si="150"/>
        <v>1.4000000000000001</v>
      </c>
      <c r="DC95" s="482">
        <f t="shared" si="151"/>
        <v>0</v>
      </c>
      <c r="DD95" s="847">
        <f t="shared" si="152"/>
        <v>0</v>
      </c>
      <c r="DE95" s="440">
        <f t="shared" si="179"/>
        <v>800</v>
      </c>
      <c r="DF95" s="440">
        <f t="shared" si="180"/>
        <v>0</v>
      </c>
      <c r="DG95" s="481">
        <f t="shared" ca="1" si="153"/>
        <v>1.4000000000000001</v>
      </c>
      <c r="DH95" s="450">
        <f t="shared" si="154"/>
        <v>9.0000000000000011E-2</v>
      </c>
      <c r="DI95" s="450">
        <f>MIN(valkyrja_cap,Production!O95/valkyrja_bonus)</f>
        <v>1</v>
      </c>
      <c r="DJ95" s="847">
        <f>MIN(voodoo_magi_cap,Production!O95/voodoo_magi_bonus)</f>
        <v>0.83333333333333337</v>
      </c>
      <c r="DK95" s="847">
        <f>MIN(warlock_cap,Production!O95/warlock_bonus)</f>
        <v>1.25</v>
      </c>
      <c r="DL95" s="847">
        <f ca="1">MIN(nox_nightshade_cap,Construction!DF95/Construction!E95/nox_nightshade_swamp_bonus)</f>
        <v>2.8000000000000003</v>
      </c>
      <c r="DM95" s="482">
        <f t="shared" si="155"/>
        <v>0</v>
      </c>
      <c r="DN95" s="483">
        <f t="shared" ca="1" si="156"/>
        <v>2.8000000000000003</v>
      </c>
      <c r="DO95" s="483">
        <f t="shared" ca="1" si="157"/>
        <v>2.8000000000000003</v>
      </c>
      <c r="DP95" s="483">
        <f t="shared" si="158"/>
        <v>1</v>
      </c>
      <c r="DQ95" s="482">
        <f t="shared" si="159"/>
        <v>0</v>
      </c>
      <c r="DR95" s="483">
        <f t="shared" si="160"/>
        <v>0</v>
      </c>
      <c r="DS95" s="482">
        <f t="shared" si="161"/>
        <v>0</v>
      </c>
      <c r="DT95" s="483">
        <f t="shared" si="162"/>
        <v>0.1</v>
      </c>
      <c r="DX95" s="487">
        <f ca="1">MIN(6,CV95+Races!$F$19)*1.8 +  IF(CV95+Races!$F$19&gt;6,(CV95+Races!$F$19-6)*0.2,0) - Races!$N$19</f>
        <v>2.5200000000000005</v>
      </c>
      <c r="DY95" s="488">
        <f ca="1">1.8 * MIN(MAX(CW95+Races!$E$20,CX95+Races!$F$20),6)  +  0.45 * MIN(MIN(CW95+Races!$E$20,CX95+Races!$F$20),6)  +  0.2 * ( MAX(CW95+Races!$E$20-6,0) + MAX(CX95+Races!$F$20-6,0) )  -  Races!$N$20</f>
        <v>3.1500000000000012</v>
      </c>
      <c r="DZ95" s="57">
        <f t="shared" ca="1" si="163"/>
        <v>3780.0000000000009</v>
      </c>
      <c r="EA95" s="666">
        <f ca="1">MIN(6,CY95+Races!$F$35)*1.8 +  IF(CY95+Races!$F$35&gt;6,(CY95+Races!$F$35-6)*0.2,0) - Races!$N$19</f>
        <v>0.72000000000000064</v>
      </c>
      <c r="EB95" s="57">
        <f t="shared" ca="1" si="164"/>
        <v>0</v>
      </c>
      <c r="EC95" s="666">
        <f ca="1">1.8 * MIN(MAX(Races!$E$27,DB95+Races!$F$27),6)  +  0.45 * MIN(MIN(Races!$E$27,DB95+Races!$F$27),6)  +  0.2 * ( MAX(Races!$E$27-6,0) + MAX(DB95+Races!$F$27-6,0) )  -  Races!$N$20</f>
        <v>4.7700000000000005</v>
      </c>
      <c r="ED95" s="57">
        <f t="shared" ca="1" si="165"/>
        <v>0</v>
      </c>
      <c r="EE95" s="666">
        <f>1.8 * MIN(MAX(DC95+Races!$E$47,DD95+Races!$F$47),6)  +  0.45 * MIN(MIN(DC95+Races!$E$47,DD95+Races!$F$47),6)  +  0.2 * ( MAX(DC95+Races!$E$47-6,0) + MAX(DD95+Races!$F$47-6,0) )  -  Races!$N$47</f>
        <v>0</v>
      </c>
      <c r="EF95" s="57">
        <f t="shared" si="166"/>
        <v>0</v>
      </c>
      <c r="EG95" s="666">
        <f ca="1">1.8 * MIN(MAX(DG95+Races!$F$71,Races!$E$71),6)  +  0.45 * MIN(MIN(DG95+Races!$F$71,Races!$E$71),6)  +  0.2 * ( MAX(DG95+Races!$F$71-6,0) + MAX(Races!$E$71-6,0) )  -  Races!$N$71</f>
        <v>2.5200000000000014</v>
      </c>
      <c r="EH95" s="666">
        <f>1.8 * MIN(MAX(DH95+Races!$E$71,Races!$F$71),6)  +  0.45 * MIN(MIN(DH95+Races!$E$71,Races!$F$71),6)  +  0.2 * ( MAX(DH95+Races!$E$71-6,0) + MAX(Races!$F$71-6,0) )  -  Races!$N$71</f>
        <v>0.16200000000000081</v>
      </c>
      <c r="EI95" s="57">
        <f t="shared" ca="1" si="167"/>
        <v>2584.8000000000015</v>
      </c>
      <c r="EJ95" s="57"/>
      <c r="EK95" s="57"/>
      <c r="EL95" s="57"/>
      <c r="EM95" s="57">
        <f ca="1">Overview!$L$22*E95+Overview!$L$23*F95+Overview!$L$24*G95+Overview!$L$25*H95+Overview!$L$26*I95+Overview!$L$27*J95+Overview!$L$28*K95+Construction!E95*20+Construction!B95*5 + DZ95*$DV$4+EB95*$DV$5+ED95*$DV$6+EF95*$DV$7+EI95*$DV$9</f>
        <v>39460</v>
      </c>
      <c r="EO95" s="738">
        <f>(J95+2*K95)/Construction!E95</f>
        <v>0.1</v>
      </c>
      <c r="EP95" s="734">
        <f ca="1">EO95*(1+race_wizard_strength+tech_magical_weaponry_wiz*Techs!AV167)</f>
        <v>0.1</v>
      </c>
      <c r="EQ95" s="16">
        <f>(I95+halfer*H95/3)/Construction!E95</f>
        <v>0.1</v>
      </c>
    </row>
    <row r="96" spans="1:147" s="16" customFormat="1">
      <c r="A96" s="629">
        <f>Rezone!J96</f>
        <v>94</v>
      </c>
      <c r="B96" s="56">
        <f ca="1">SUM(E96:K96)+SUM(AF88:AG96)+SUM(AH85:AL96)+Z96+Explore!AL96</f>
        <v>5295</v>
      </c>
      <c r="C96" s="97">
        <f ca="1">Population!G96</f>
        <v>0.57305194805194803</v>
      </c>
      <c r="E96" s="52">
        <f t="shared" si="182"/>
        <v>0</v>
      </c>
      <c r="F96" s="16">
        <f t="shared" si="183"/>
        <v>0</v>
      </c>
      <c r="G96" s="16">
        <f t="shared" si="184"/>
        <v>1000</v>
      </c>
      <c r="H96" s="16">
        <f t="shared" si="185"/>
        <v>400</v>
      </c>
      <c r="I96" s="16">
        <f t="shared" si="186"/>
        <v>100</v>
      </c>
      <c r="J96" s="16">
        <f t="shared" si="187"/>
        <v>100</v>
      </c>
      <c r="K96" s="53">
        <f t="shared" si="188"/>
        <v>0</v>
      </c>
      <c r="M96" s="64">
        <f ca="1">Production!G96</f>
        <v>39460</v>
      </c>
      <c r="O96" s="234">
        <f t="shared" ca="1" si="125"/>
        <v>4400</v>
      </c>
      <c r="P96" s="455">
        <f ca="1">race_offense+Imps!AB96+ROUND(MIN(gn_bonus*Construction!BF96/Construction!$E96,gn_bonus_cap),4)+MAX(IF(Magic!$AN96&gt;0,warsong_bonus),IF(Magic!AP96&gt;0,howling_op_bonus),IF(Magic!AS96&gt;0,nightfall_bonus),IF(Magic!AT96&gt;0,crusade_bonus),IF(Magic!AU96&gt;0,killingrage_bonus),IF(Magic!AV96&gt;0,bloodrage_bonus)) + Production!O96/100*prestige_offense_bonus + MAX(tech_military_offense*Techs!AH96,tech_magical_weaponry_op*Techs!AV96)</f>
        <v>0.05</v>
      </c>
      <c r="Q96" s="235">
        <f t="shared" ca="1" si="168"/>
        <v>4620</v>
      </c>
      <c r="R96" s="234">
        <f ca="1">F96*(spec_dp+spirit*DR96)+G96*(elite1_dp+woodie*CV96+sylvan*CY96+gnome*DB96+dark_elf*DD96+icekin*DG96+orc*DJ96+nox*DL96+beast*DN96+sacred*DP96+spirit*DS96+blackorc*DK96)+H96*(elite2_dp+woodie*CX96+beast*DO96+sacred*DQ96) + fh_peas_dp*MIN(Population!C96,20*Construction!BD96)+kobold*DE96</f>
        <v>7200</v>
      </c>
      <c r="S96" s="235">
        <f t="shared" ca="1" si="126"/>
        <v>10895</v>
      </c>
      <c r="T96" s="1052">
        <f ca="1">race_defense+Imps!AC96+ROUND(MIN(gt_bonus*Construction!BH96/Construction!$E96,gt_bonus_cap),4)+MAX(IF(Magic!AM96&gt;0,frenzy_bonus,IF(Magic!AQ96&gt;0,blizzard_bonus,IF(Magic!AP96&gt;0,howling_dp_bonus,IF(Magic!AI96&gt;0,ares_call_bonus)))),IF(Magic!AX96&gt;0,MIN(Construction!DF96/Construction!E96,0.2),0))</f>
        <v>0</v>
      </c>
      <c r="U96" s="1046">
        <f t="shared" ca="1" si="169"/>
        <v>7200</v>
      </c>
      <c r="V96" s="308">
        <f t="shared" ca="1" si="170"/>
        <v>10895</v>
      </c>
      <c r="W96" s="310">
        <f>Construction!E96</f>
        <v>1000</v>
      </c>
      <c r="X96" s="367"/>
      <c r="Y96" s="146">
        <f t="shared" si="191"/>
        <v>0.4</v>
      </c>
      <c r="Z96" s="166">
        <f ca="1">Z95+Population!Z95 - IF(race="Lux",AF96,SUM(AF96:AK96)) - BE96 + SUM(BF96:BL96) - Explore!AI96</f>
        <v>3695</v>
      </c>
      <c r="AA96" s="164"/>
      <c r="AB96" s="91">
        <f>(Construction!$BA96+Construction!BY96)/(Construction!$E96-Explore!S96*20)</f>
        <v>0.2</v>
      </c>
      <c r="AC96" s="629"/>
      <c r="AD96" s="799">
        <f>Rezone!J96</f>
        <v>94</v>
      </c>
      <c r="AE96" s="589">
        <f>Explore!AA96</f>
        <v>43695.874999999774</v>
      </c>
      <c r="AF96" s="356"/>
      <c r="AG96" s="348"/>
      <c r="AH96" s="348"/>
      <c r="AI96" s="348"/>
      <c r="AJ96" s="348"/>
      <c r="AK96" s="348"/>
      <c r="AL96" s="357"/>
      <c r="AN96" s="56">
        <f ca="1">Production!$H96</f>
        <v>3938054</v>
      </c>
      <c r="AO96" s="26">
        <f ca="1">Production!$L96</f>
        <v>231000</v>
      </c>
      <c r="AP96" s="26">
        <f ca="1">Production!J96</f>
        <v>270575</v>
      </c>
      <c r="AQ96" s="26">
        <f ca="1">Production!M96</f>
        <v>20000</v>
      </c>
      <c r="AR96" s="26">
        <f ca="1">Production!K96</f>
        <v>56009</v>
      </c>
      <c r="AS96" s="26">
        <f ca="1">Production!I96</f>
        <v>301210</v>
      </c>
      <c r="AT96" s="26">
        <f ca="1">Production!N96</f>
        <v>200</v>
      </c>
      <c r="AU96" s="152">
        <f t="shared" ca="1" si="127"/>
        <v>0</v>
      </c>
      <c r="AV96" s="164">
        <f t="shared" ca="1" si="128"/>
        <v>0</v>
      </c>
      <c r="AW96" s="164">
        <f t="shared" ca="1" si="171"/>
        <v>0</v>
      </c>
      <c r="AX96" s="164">
        <f t="shared" ca="1" si="172"/>
        <v>0</v>
      </c>
      <c r="AY96" s="164">
        <f t="shared" ca="1" si="173"/>
        <v>0</v>
      </c>
      <c r="AZ96" s="164">
        <f t="shared" ca="1" si="174"/>
        <v>0</v>
      </c>
      <c r="BA96" s="166">
        <f t="shared" ca="1" si="175"/>
        <v>0</v>
      </c>
      <c r="BB96" s="16">
        <v>22</v>
      </c>
      <c r="BC96" s="574">
        <f t="shared" si="176"/>
        <v>43695.874999999774</v>
      </c>
      <c r="BD96" s="148">
        <f t="shared" ca="1" si="177"/>
        <v>3695</v>
      </c>
      <c r="BE96" s="356"/>
      <c r="BF96" s="348"/>
      <c r="BG96" s="348"/>
      <c r="BH96" s="348"/>
      <c r="BI96" s="348"/>
      <c r="BJ96" s="348"/>
      <c r="BK96" s="348"/>
      <c r="BL96" s="357"/>
      <c r="BN96" s="503">
        <f>Construction!BM96/Construction!E96</f>
        <v>0</v>
      </c>
      <c r="BO96" s="171">
        <f>Construction!BD96/Construction!E96</f>
        <v>0</v>
      </c>
      <c r="BP96" s="152">
        <f>ROUNDUP((1-MIN(AB96*smithy_bonus,smithy_bonus_cap))*(1+Techs!AO96*tech_master_of_frugality)*spec_op_plat,0)</f>
        <v>165</v>
      </c>
      <c r="BQ96" s="164">
        <f>ROUNDUP(IF(race="Gnome",1,(1-MIN(AB96*smithy_bonus,smithy_bonus_cap))*(1+Techs!AO96*tech_master_of_frugality))*spec_op_ore,0)</f>
        <v>15</v>
      </c>
      <c r="BR96" s="164">
        <f t="shared" si="129"/>
        <v>0</v>
      </c>
      <c r="BS96" s="164">
        <f t="shared" si="130"/>
        <v>0</v>
      </c>
      <c r="BT96" s="164">
        <f ca="1">ROUNDUP((1-MIN(AB96*smithy_bonus,smithy_bonus_cap))*(1+Techs!AO96*tech_master_of_frugality)*spec_dp_plat,0)</f>
        <v>165</v>
      </c>
      <c r="BU96" s="164">
        <f ca="1">ROUNDUP(IF(OR(race="Gnome",race="Imperial Gnome"),1,(1-MIN(AB96*smithy_bonus,smithy_bonus_cap))*(1+Techs!AO96*tech_master_of_frugality))*spec_dp_ore,0)</f>
        <v>6</v>
      </c>
      <c r="BV96" s="164">
        <f t="shared" ca="1" si="131"/>
        <v>0</v>
      </c>
      <c r="BW96" s="164">
        <f t="shared" ca="1" si="132"/>
        <v>0</v>
      </c>
      <c r="BX96" s="164">
        <f t="shared" ca="1" si="133"/>
        <v>0</v>
      </c>
      <c r="BY96" s="164">
        <f ca="1">ROUNDUP((1-MIN(AB96*smithy_bonus,smithy_bonus_cap))*(1+Techs!AO96*tech_master_of_frugality)*elite1_plat,0)</f>
        <v>600</v>
      </c>
      <c r="BZ96" s="164">
        <f ca="1">ROUNDUP(IF(race="Gnome",1,(1-MIN(AB96*smithy_bonus,smithy_bonus_cap))*(1+Techs!AO96*tech_master_of_frugality))*elite1_ore,0)</f>
        <v>45</v>
      </c>
      <c r="CA96" s="164">
        <f t="shared" ca="1" si="134"/>
        <v>0</v>
      </c>
      <c r="CB96" s="164">
        <f t="shared" ca="1" si="135"/>
        <v>0</v>
      </c>
      <c r="CC96" s="164">
        <f t="shared" ca="1" si="136"/>
        <v>0</v>
      </c>
      <c r="CD96" s="164">
        <f t="shared" ca="1" si="137"/>
        <v>0</v>
      </c>
      <c r="CE96" s="164">
        <f t="shared" ca="1" si="138"/>
        <v>0</v>
      </c>
      <c r="CF96" s="164">
        <f ca="1">ROUNDUP((1-MIN(AB96*smithy_bonus,smithy_bonus_cap))*(1+Techs!AO96*tech_master_of_frugality)*elite2_plat,0)</f>
        <v>750</v>
      </c>
      <c r="CG96" s="164">
        <f ca="1">ROUNDUP(IF(race="Gnome",1,(1-MIN(AB96*smithy_bonus,smithy_bonus_cap))*(1+Techs!AO96*tech_master_of_frugality))*elite2_ore,0)</f>
        <v>60</v>
      </c>
      <c r="CH96" s="164">
        <f t="shared" ca="1" si="139"/>
        <v>0</v>
      </c>
      <c r="CI96" s="164">
        <f t="shared" ca="1" si="140"/>
        <v>0</v>
      </c>
      <c r="CJ96" s="164">
        <f t="shared" ca="1" si="141"/>
        <v>0</v>
      </c>
      <c r="CK96" s="164">
        <f t="shared" ca="1" si="142"/>
        <v>0</v>
      </c>
      <c r="CL96" s="164">
        <f t="shared" ca="1" si="143"/>
        <v>0</v>
      </c>
      <c r="CM96" s="164">
        <f>ROUNDUP((1+tech_spy_cost*Techs!AJ96)*spy_plat,0)</f>
        <v>500</v>
      </c>
      <c r="CN96" s="164">
        <f>ROUNDUP((1+tech_wizard_cost*Techs!AM96-MIN(ROUND(wg_wiz_cost_bonus*BN96,4),wg_wiz_cost_cap))*wizard_plat,0)</f>
        <v>500</v>
      </c>
      <c r="CO96" s="166">
        <f>ROUNDUP((1+tech_wizard_cost*Techs!AM96-MIN(ROUND(wg_wiz_cost_bonus*BN96,4),wg_wiz_cost_cap))*archmage_plat,0)</f>
        <v>1000</v>
      </c>
      <c r="CQ96" s="465">
        <f ca="1">Construction!DF96/Construction!E96</f>
        <v>0.28000000000000003</v>
      </c>
      <c r="CR96" s="466">
        <f t="shared" si="178"/>
        <v>0</v>
      </c>
      <c r="CS96" s="466">
        <f>Construction!BK96/Construction!E96</f>
        <v>0.05</v>
      </c>
      <c r="CT96" s="466">
        <f>Construction!BJ96/Construction!E96</f>
        <v>0</v>
      </c>
      <c r="CU96" s="466">
        <f>Construction!AY96/Construction!E96</f>
        <v>0</v>
      </c>
      <c r="CV96" s="481">
        <f t="shared" ca="1" si="144"/>
        <v>1.4000000000000001</v>
      </c>
      <c r="CW96" s="482">
        <f t="shared" ca="1" si="145"/>
        <v>1.4000000000000001</v>
      </c>
      <c r="CX96" s="482">
        <f t="shared" ca="1" si="146"/>
        <v>1.4000000000000001</v>
      </c>
      <c r="CY96" s="483">
        <f t="shared" ca="1" si="147"/>
        <v>1.4000000000000001</v>
      </c>
      <c r="CZ96" s="483">
        <f t="shared" si="148"/>
        <v>0.1</v>
      </c>
      <c r="DA96" s="483">
        <f t="shared" ca="1" si="149"/>
        <v>3</v>
      </c>
      <c r="DB96" s="483">
        <f t="shared" ca="1" si="150"/>
        <v>1.4000000000000001</v>
      </c>
      <c r="DC96" s="482">
        <f t="shared" si="151"/>
        <v>0</v>
      </c>
      <c r="DD96" s="847">
        <f t="shared" si="152"/>
        <v>0</v>
      </c>
      <c r="DE96" s="440">
        <f t="shared" si="179"/>
        <v>800</v>
      </c>
      <c r="DF96" s="440">
        <f t="shared" si="180"/>
        <v>0</v>
      </c>
      <c r="DG96" s="481">
        <f t="shared" ca="1" si="153"/>
        <v>1.4000000000000001</v>
      </c>
      <c r="DH96" s="450">
        <f t="shared" si="154"/>
        <v>9.0000000000000011E-2</v>
      </c>
      <c r="DI96" s="450">
        <f>MIN(valkyrja_cap,Production!O96/valkyrja_bonus)</f>
        <v>1</v>
      </c>
      <c r="DJ96" s="847">
        <f>MIN(voodoo_magi_cap,Production!O96/voodoo_magi_bonus)</f>
        <v>0.83333333333333337</v>
      </c>
      <c r="DK96" s="847">
        <f>MIN(warlock_cap,Production!O96/warlock_bonus)</f>
        <v>1.25</v>
      </c>
      <c r="DL96" s="847">
        <f ca="1">MIN(nox_nightshade_cap,Construction!DF96/Construction!E96/nox_nightshade_swamp_bonus)</f>
        <v>2.8000000000000003</v>
      </c>
      <c r="DM96" s="482">
        <f t="shared" si="155"/>
        <v>0</v>
      </c>
      <c r="DN96" s="483">
        <f t="shared" ca="1" si="156"/>
        <v>2.8000000000000003</v>
      </c>
      <c r="DO96" s="483">
        <f t="shared" ca="1" si="157"/>
        <v>2.8000000000000003</v>
      </c>
      <c r="DP96" s="483">
        <f t="shared" si="158"/>
        <v>1</v>
      </c>
      <c r="DQ96" s="482">
        <f t="shared" si="159"/>
        <v>0</v>
      </c>
      <c r="DR96" s="483">
        <f t="shared" si="160"/>
        <v>0</v>
      </c>
      <c r="DS96" s="482">
        <f t="shared" si="161"/>
        <v>0</v>
      </c>
      <c r="DT96" s="483">
        <f t="shared" si="162"/>
        <v>0.1</v>
      </c>
      <c r="DX96" s="487">
        <f ca="1">MIN(6,CV96+Races!$F$19)*1.8 +  IF(CV96+Races!$F$19&gt;6,(CV96+Races!$F$19-6)*0.2,0) - Races!$N$19</f>
        <v>2.5200000000000005</v>
      </c>
      <c r="DY96" s="488">
        <f ca="1">1.8 * MIN(MAX(CW96+Races!$E$20,CX96+Races!$F$20),6)  +  0.45 * MIN(MIN(CW96+Races!$E$20,CX96+Races!$F$20),6)  +  0.2 * ( MAX(CW96+Races!$E$20-6,0) + MAX(CX96+Races!$F$20-6,0) )  -  Races!$N$20</f>
        <v>3.1500000000000012</v>
      </c>
      <c r="DZ96" s="57">
        <f t="shared" ca="1" si="163"/>
        <v>3780.0000000000009</v>
      </c>
      <c r="EA96" s="666">
        <f ca="1">MIN(6,CY96+Races!$F$35)*1.8 +  IF(CY96+Races!$F$35&gt;6,(CY96+Races!$F$35-6)*0.2,0) - Races!$N$19</f>
        <v>0.72000000000000064</v>
      </c>
      <c r="EB96" s="57">
        <f t="shared" ca="1" si="164"/>
        <v>0</v>
      </c>
      <c r="EC96" s="666">
        <f ca="1">1.8 * MIN(MAX(Races!$E$27,DB96+Races!$F$27),6)  +  0.45 * MIN(MIN(Races!$E$27,DB96+Races!$F$27),6)  +  0.2 * ( MAX(Races!$E$27-6,0) + MAX(DB96+Races!$F$27-6,0) )  -  Races!$N$20</f>
        <v>4.7700000000000005</v>
      </c>
      <c r="ED96" s="57">
        <f t="shared" ca="1" si="165"/>
        <v>0</v>
      </c>
      <c r="EE96" s="666">
        <f>1.8 * MIN(MAX(DC96+Races!$E$47,DD96+Races!$F$47),6)  +  0.45 * MIN(MIN(DC96+Races!$E$47,DD96+Races!$F$47),6)  +  0.2 * ( MAX(DC96+Races!$E$47-6,0) + MAX(DD96+Races!$F$47-6,0) )  -  Races!$N$47</f>
        <v>0</v>
      </c>
      <c r="EF96" s="57">
        <f t="shared" si="166"/>
        <v>0</v>
      </c>
      <c r="EG96" s="666">
        <f ca="1">1.8 * MIN(MAX(DG96+Races!$F$71,Races!$E$71),6)  +  0.45 * MIN(MIN(DG96+Races!$F$71,Races!$E$71),6)  +  0.2 * ( MAX(DG96+Races!$F$71-6,0) + MAX(Races!$E$71-6,0) )  -  Races!$N$71</f>
        <v>2.5200000000000014</v>
      </c>
      <c r="EH96" s="666">
        <f>1.8 * MIN(MAX(DH96+Races!$E$71,Races!$F$71),6)  +  0.45 * MIN(MIN(DH96+Races!$E$71,Races!$F$71),6)  +  0.2 * ( MAX(DH96+Races!$E$71-6,0) + MAX(Races!$F$71-6,0) )  -  Races!$N$71</f>
        <v>0.16200000000000081</v>
      </c>
      <c r="EI96" s="57">
        <f t="shared" ca="1" si="167"/>
        <v>2584.8000000000015</v>
      </c>
      <c r="EJ96" s="57"/>
      <c r="EK96" s="57"/>
      <c r="EL96" s="57"/>
      <c r="EM96" s="57">
        <f ca="1">Overview!$L$22*E96+Overview!$L$23*F96+Overview!$L$24*G96+Overview!$L$25*H96+Overview!$L$26*I96+Overview!$L$27*J96+Overview!$L$28*K96+Construction!E96*20+Construction!B96*5 + DZ96*$DV$4+EB96*$DV$5+ED96*$DV$6+EF96*$DV$7+EI96*$DV$9</f>
        <v>39460</v>
      </c>
      <c r="EO96" s="738">
        <f>(J96+2*K96)/Construction!E96</f>
        <v>0.1</v>
      </c>
      <c r="EP96" s="734">
        <f ca="1">EO96*(1+race_wizard_strength+tech_magical_weaponry_wiz*Techs!AV168)</f>
        <v>0.1</v>
      </c>
      <c r="EQ96" s="16">
        <f>(I96+halfer*H96/3)/Construction!E96</f>
        <v>0.1</v>
      </c>
    </row>
    <row r="97" spans="1:147" s="16" customFormat="1">
      <c r="A97" s="629">
        <f>Rezone!J97</f>
        <v>95</v>
      </c>
      <c r="B97" s="56">
        <f ca="1">SUM(E97:K97)+SUM(AF89:AG97)+SUM(AH86:AL97)+Z97+Explore!AL97</f>
        <v>5295</v>
      </c>
      <c r="C97" s="97">
        <f ca="1">Population!G97</f>
        <v>0.57305194805194803</v>
      </c>
      <c r="E97" s="52">
        <f t="shared" si="182"/>
        <v>0</v>
      </c>
      <c r="F97" s="16">
        <f t="shared" si="183"/>
        <v>0</v>
      </c>
      <c r="G97" s="16">
        <f t="shared" si="184"/>
        <v>1000</v>
      </c>
      <c r="H97" s="16">
        <f t="shared" si="185"/>
        <v>400</v>
      </c>
      <c r="I97" s="16">
        <f t="shared" si="186"/>
        <v>100</v>
      </c>
      <c r="J97" s="16">
        <f t="shared" si="187"/>
        <v>100</v>
      </c>
      <c r="K97" s="53">
        <f t="shared" si="188"/>
        <v>0</v>
      </c>
      <c r="M97" s="64">
        <f ca="1">Production!G97</f>
        <v>39460</v>
      </c>
      <c r="O97" s="234">
        <f t="shared" ca="1" si="125"/>
        <v>4400</v>
      </c>
      <c r="P97" s="455">
        <f ca="1">race_offense+Imps!AB97+ROUND(MIN(gn_bonus*Construction!BF97/Construction!$E97,gn_bonus_cap),4)+MAX(IF(Magic!$AN97&gt;0,warsong_bonus),IF(Magic!AP97&gt;0,howling_op_bonus),IF(Magic!AS97&gt;0,nightfall_bonus),IF(Magic!AT97&gt;0,crusade_bonus),IF(Magic!AU97&gt;0,killingrage_bonus),IF(Magic!AV97&gt;0,bloodrage_bonus)) + Production!O97/100*prestige_offense_bonus + MAX(tech_military_offense*Techs!AH97,tech_magical_weaponry_op*Techs!AV97)</f>
        <v>0.05</v>
      </c>
      <c r="Q97" s="235">
        <f t="shared" ca="1" si="168"/>
        <v>4620</v>
      </c>
      <c r="R97" s="234">
        <f ca="1">F97*(spec_dp+spirit*DR97)+G97*(elite1_dp+woodie*CV97+sylvan*CY97+gnome*DB97+dark_elf*DD97+icekin*DG97+orc*DJ97+nox*DL97+beast*DN97+sacred*DP97+spirit*DS97+blackorc*DK97)+H97*(elite2_dp+woodie*CX97+beast*DO97+sacred*DQ97) + fh_peas_dp*MIN(Population!C97,20*Construction!BD97)+kobold*DE97</f>
        <v>7200</v>
      </c>
      <c r="S97" s="235">
        <f t="shared" ca="1" si="126"/>
        <v>10895</v>
      </c>
      <c r="T97" s="1052">
        <f ca="1">race_defense+Imps!AC97+ROUND(MIN(gt_bonus*Construction!BH97/Construction!$E97,gt_bonus_cap),4)+MAX(IF(Magic!AM97&gt;0,frenzy_bonus,IF(Magic!AQ97&gt;0,blizzard_bonus,IF(Magic!AP97&gt;0,howling_dp_bonus,IF(Magic!AI97&gt;0,ares_call_bonus)))),IF(Magic!AX97&gt;0,MIN(Construction!DF97/Construction!E97,0.2),0))</f>
        <v>0</v>
      </c>
      <c r="U97" s="1046">
        <f t="shared" ca="1" si="169"/>
        <v>7200</v>
      </c>
      <c r="V97" s="308">
        <f t="shared" ca="1" si="170"/>
        <v>10895</v>
      </c>
      <c r="W97" s="310">
        <f>Construction!E97</f>
        <v>1000</v>
      </c>
      <c r="X97" s="367"/>
      <c r="Y97" s="146">
        <f t="shared" si="191"/>
        <v>0.4</v>
      </c>
      <c r="Z97" s="166">
        <f ca="1">Z96+Population!Z96 - IF(race="Lux",AF97,SUM(AF97:AK97)) - BE97 + SUM(BF97:BL97) - Explore!AI97</f>
        <v>3695</v>
      </c>
      <c r="AA97" s="164"/>
      <c r="AB97" s="91">
        <f>(Construction!$BA97+Construction!BY97)/(Construction!$E97-Explore!S97*20)</f>
        <v>0.2</v>
      </c>
      <c r="AC97" s="629"/>
      <c r="AD97" s="799">
        <f>Rezone!J97</f>
        <v>95</v>
      </c>
      <c r="AE97" s="589">
        <f>Explore!AA97</f>
        <v>43695.916666666439</v>
      </c>
      <c r="AF97" s="356"/>
      <c r="AG97" s="348"/>
      <c r="AH97" s="348"/>
      <c r="AI97" s="348"/>
      <c r="AJ97" s="348"/>
      <c r="AK97" s="348"/>
      <c r="AL97" s="357"/>
      <c r="AN97" s="56">
        <f ca="1">Production!$H97</f>
        <v>3948705</v>
      </c>
      <c r="AO97" s="26">
        <f ca="1">Production!$L97</f>
        <v>231000</v>
      </c>
      <c r="AP97" s="26">
        <f ca="1">Production!J97</f>
        <v>270369</v>
      </c>
      <c r="AQ97" s="26">
        <f ca="1">Production!M97</f>
        <v>20000</v>
      </c>
      <c r="AR97" s="26">
        <f ca="1">Production!K97</f>
        <v>56139</v>
      </c>
      <c r="AS97" s="26">
        <f ca="1">Production!I97</f>
        <v>302928</v>
      </c>
      <c r="AT97" s="26">
        <f ca="1">Production!N97</f>
        <v>200</v>
      </c>
      <c r="AU97" s="152">
        <f t="shared" ca="1" si="127"/>
        <v>0</v>
      </c>
      <c r="AV97" s="164">
        <f t="shared" ca="1" si="128"/>
        <v>0</v>
      </c>
      <c r="AW97" s="164">
        <f t="shared" ca="1" si="171"/>
        <v>0</v>
      </c>
      <c r="AX97" s="164">
        <f t="shared" ca="1" si="172"/>
        <v>0</v>
      </c>
      <c r="AY97" s="164">
        <f t="shared" ca="1" si="173"/>
        <v>0</v>
      </c>
      <c r="AZ97" s="164">
        <f t="shared" ca="1" si="174"/>
        <v>0</v>
      </c>
      <c r="BA97" s="166">
        <f t="shared" ca="1" si="175"/>
        <v>0</v>
      </c>
      <c r="BB97" s="16">
        <v>23</v>
      </c>
      <c r="BC97" s="574">
        <f t="shared" si="176"/>
        <v>43695.916666666439</v>
      </c>
      <c r="BD97" s="148">
        <f t="shared" ca="1" si="177"/>
        <v>3695</v>
      </c>
      <c r="BE97" s="356"/>
      <c r="BF97" s="348"/>
      <c r="BG97" s="348"/>
      <c r="BH97" s="348"/>
      <c r="BI97" s="348"/>
      <c r="BJ97" s="348"/>
      <c r="BK97" s="348"/>
      <c r="BL97" s="357"/>
      <c r="BN97" s="503">
        <f>Construction!BM97/Construction!E97</f>
        <v>0</v>
      </c>
      <c r="BO97" s="171">
        <f>Construction!BD97/Construction!E97</f>
        <v>0</v>
      </c>
      <c r="BP97" s="152">
        <f>ROUNDUP((1-MIN(AB97*smithy_bonus,smithy_bonus_cap))*(1+Techs!AO97*tech_master_of_frugality)*spec_op_plat,0)</f>
        <v>165</v>
      </c>
      <c r="BQ97" s="164">
        <f>ROUNDUP(IF(race="Gnome",1,(1-MIN(AB97*smithy_bonus,smithy_bonus_cap))*(1+Techs!AO97*tech_master_of_frugality))*spec_op_ore,0)</f>
        <v>15</v>
      </c>
      <c r="BR97" s="164">
        <f t="shared" si="129"/>
        <v>0</v>
      </c>
      <c r="BS97" s="164">
        <f t="shared" si="130"/>
        <v>0</v>
      </c>
      <c r="BT97" s="164">
        <f ca="1">ROUNDUP((1-MIN(AB97*smithy_bonus,smithy_bonus_cap))*(1+Techs!AO97*tech_master_of_frugality)*spec_dp_plat,0)</f>
        <v>165</v>
      </c>
      <c r="BU97" s="164">
        <f ca="1">ROUNDUP(IF(OR(race="Gnome",race="Imperial Gnome"),1,(1-MIN(AB97*smithy_bonus,smithy_bonus_cap))*(1+Techs!AO97*tech_master_of_frugality))*spec_dp_ore,0)</f>
        <v>6</v>
      </c>
      <c r="BV97" s="164">
        <f t="shared" ca="1" si="131"/>
        <v>0</v>
      </c>
      <c r="BW97" s="164">
        <f t="shared" ca="1" si="132"/>
        <v>0</v>
      </c>
      <c r="BX97" s="164">
        <f t="shared" ca="1" si="133"/>
        <v>0</v>
      </c>
      <c r="BY97" s="164">
        <f ca="1">ROUNDUP((1-MIN(AB97*smithy_bonus,smithy_bonus_cap))*(1+Techs!AO97*tech_master_of_frugality)*elite1_plat,0)</f>
        <v>600</v>
      </c>
      <c r="BZ97" s="164">
        <f ca="1">ROUNDUP(IF(race="Gnome",1,(1-MIN(AB97*smithy_bonus,smithy_bonus_cap))*(1+Techs!AO97*tech_master_of_frugality))*elite1_ore,0)</f>
        <v>45</v>
      </c>
      <c r="CA97" s="164">
        <f t="shared" ca="1" si="134"/>
        <v>0</v>
      </c>
      <c r="CB97" s="164">
        <f t="shared" ca="1" si="135"/>
        <v>0</v>
      </c>
      <c r="CC97" s="164">
        <f t="shared" ca="1" si="136"/>
        <v>0</v>
      </c>
      <c r="CD97" s="164">
        <f t="shared" ca="1" si="137"/>
        <v>0</v>
      </c>
      <c r="CE97" s="164">
        <f t="shared" ca="1" si="138"/>
        <v>0</v>
      </c>
      <c r="CF97" s="164">
        <f ca="1">ROUNDUP((1-MIN(AB97*smithy_bonus,smithy_bonus_cap))*(1+Techs!AO97*tech_master_of_frugality)*elite2_plat,0)</f>
        <v>750</v>
      </c>
      <c r="CG97" s="164">
        <f ca="1">ROUNDUP(IF(race="Gnome",1,(1-MIN(AB97*smithy_bonus,smithy_bonus_cap))*(1+Techs!AO97*tech_master_of_frugality))*elite2_ore,0)</f>
        <v>60</v>
      </c>
      <c r="CH97" s="164">
        <f t="shared" ca="1" si="139"/>
        <v>0</v>
      </c>
      <c r="CI97" s="164">
        <f t="shared" ca="1" si="140"/>
        <v>0</v>
      </c>
      <c r="CJ97" s="164">
        <f t="shared" ca="1" si="141"/>
        <v>0</v>
      </c>
      <c r="CK97" s="164">
        <f t="shared" ca="1" si="142"/>
        <v>0</v>
      </c>
      <c r="CL97" s="164">
        <f t="shared" ca="1" si="143"/>
        <v>0</v>
      </c>
      <c r="CM97" s="164">
        <f>ROUNDUP((1+tech_spy_cost*Techs!AJ97)*spy_plat,0)</f>
        <v>500</v>
      </c>
      <c r="CN97" s="164">
        <f>ROUNDUP((1+tech_wizard_cost*Techs!AM97-MIN(ROUND(wg_wiz_cost_bonus*BN97,4),wg_wiz_cost_cap))*wizard_plat,0)</f>
        <v>500</v>
      </c>
      <c r="CO97" s="166">
        <f>ROUNDUP((1+tech_wizard_cost*Techs!AM97-MIN(ROUND(wg_wiz_cost_bonus*BN97,4),wg_wiz_cost_cap))*archmage_plat,0)</f>
        <v>1000</v>
      </c>
      <c r="CQ97" s="465">
        <f ca="1">Construction!DF97/Construction!E97</f>
        <v>0.28000000000000003</v>
      </c>
      <c r="CR97" s="466">
        <f t="shared" si="178"/>
        <v>0</v>
      </c>
      <c r="CS97" s="466">
        <f>Construction!BK97/Construction!E97</f>
        <v>0.05</v>
      </c>
      <c r="CT97" s="466">
        <f>Construction!BJ97/Construction!E97</f>
        <v>0</v>
      </c>
      <c r="CU97" s="466">
        <f>Construction!AY97/Construction!E97</f>
        <v>0</v>
      </c>
      <c r="CV97" s="481">
        <f t="shared" ca="1" si="144"/>
        <v>1.4000000000000001</v>
      </c>
      <c r="CW97" s="482">
        <f t="shared" ca="1" si="145"/>
        <v>1.4000000000000001</v>
      </c>
      <c r="CX97" s="482">
        <f t="shared" ca="1" si="146"/>
        <v>1.4000000000000001</v>
      </c>
      <c r="CY97" s="483">
        <f t="shared" ca="1" si="147"/>
        <v>1.4000000000000001</v>
      </c>
      <c r="CZ97" s="483">
        <f t="shared" si="148"/>
        <v>0.1</v>
      </c>
      <c r="DA97" s="483">
        <f t="shared" ca="1" si="149"/>
        <v>3</v>
      </c>
      <c r="DB97" s="483">
        <f t="shared" ca="1" si="150"/>
        <v>1.4000000000000001</v>
      </c>
      <c r="DC97" s="482">
        <f t="shared" si="151"/>
        <v>0</v>
      </c>
      <c r="DD97" s="847">
        <f t="shared" si="152"/>
        <v>0</v>
      </c>
      <c r="DE97" s="440">
        <f t="shared" si="179"/>
        <v>800</v>
      </c>
      <c r="DF97" s="440">
        <f t="shared" si="180"/>
        <v>0</v>
      </c>
      <c r="DG97" s="481">
        <f t="shared" ca="1" si="153"/>
        <v>1.4000000000000001</v>
      </c>
      <c r="DH97" s="450">
        <f t="shared" si="154"/>
        <v>9.0000000000000011E-2</v>
      </c>
      <c r="DI97" s="450">
        <f>MIN(valkyrja_cap,Production!O97/valkyrja_bonus)</f>
        <v>1</v>
      </c>
      <c r="DJ97" s="847">
        <f>MIN(voodoo_magi_cap,Production!O97/voodoo_magi_bonus)</f>
        <v>0.83333333333333337</v>
      </c>
      <c r="DK97" s="847">
        <f>MIN(warlock_cap,Production!O97/warlock_bonus)</f>
        <v>1.25</v>
      </c>
      <c r="DL97" s="847">
        <f ca="1">MIN(nox_nightshade_cap,Construction!DF97/Construction!E97/nox_nightshade_swamp_bonus)</f>
        <v>2.8000000000000003</v>
      </c>
      <c r="DM97" s="482">
        <f t="shared" si="155"/>
        <v>0</v>
      </c>
      <c r="DN97" s="483">
        <f t="shared" ca="1" si="156"/>
        <v>2.8000000000000003</v>
      </c>
      <c r="DO97" s="483">
        <f t="shared" ca="1" si="157"/>
        <v>2.8000000000000003</v>
      </c>
      <c r="DP97" s="483">
        <f t="shared" si="158"/>
        <v>1</v>
      </c>
      <c r="DQ97" s="482">
        <f t="shared" si="159"/>
        <v>0</v>
      </c>
      <c r="DR97" s="483">
        <f t="shared" si="160"/>
        <v>0</v>
      </c>
      <c r="DS97" s="482">
        <f t="shared" si="161"/>
        <v>0</v>
      </c>
      <c r="DT97" s="483">
        <f t="shared" si="162"/>
        <v>0.1</v>
      </c>
      <c r="DX97" s="487">
        <f ca="1">MIN(6,CV97+Races!$F$19)*1.8 +  IF(CV97+Races!$F$19&gt;6,(CV97+Races!$F$19-6)*0.2,0) - Races!$N$19</f>
        <v>2.5200000000000005</v>
      </c>
      <c r="DY97" s="488">
        <f ca="1">1.8 * MIN(MAX(CW97+Races!$E$20,CX97+Races!$F$20),6)  +  0.45 * MIN(MIN(CW97+Races!$E$20,CX97+Races!$F$20),6)  +  0.2 * ( MAX(CW97+Races!$E$20-6,0) + MAX(CX97+Races!$F$20-6,0) )  -  Races!$N$20</f>
        <v>3.1500000000000012</v>
      </c>
      <c r="DZ97" s="57">
        <f t="shared" ca="1" si="163"/>
        <v>3780.0000000000009</v>
      </c>
      <c r="EA97" s="666">
        <f ca="1">MIN(6,CY97+Races!$F$35)*1.8 +  IF(CY97+Races!$F$35&gt;6,(CY97+Races!$F$35-6)*0.2,0) - Races!$N$19</f>
        <v>0.72000000000000064</v>
      </c>
      <c r="EB97" s="57">
        <f t="shared" ca="1" si="164"/>
        <v>0</v>
      </c>
      <c r="EC97" s="666">
        <f ca="1">1.8 * MIN(MAX(Races!$E$27,DB97+Races!$F$27),6)  +  0.45 * MIN(MIN(Races!$E$27,DB97+Races!$F$27),6)  +  0.2 * ( MAX(Races!$E$27-6,0) + MAX(DB97+Races!$F$27-6,0) )  -  Races!$N$20</f>
        <v>4.7700000000000005</v>
      </c>
      <c r="ED97" s="57">
        <f t="shared" ca="1" si="165"/>
        <v>0</v>
      </c>
      <c r="EE97" s="666">
        <f>1.8 * MIN(MAX(DC97+Races!$E$47,DD97+Races!$F$47),6)  +  0.45 * MIN(MIN(DC97+Races!$E$47,DD97+Races!$F$47),6)  +  0.2 * ( MAX(DC97+Races!$E$47-6,0) + MAX(DD97+Races!$F$47-6,0) )  -  Races!$N$47</f>
        <v>0</v>
      </c>
      <c r="EF97" s="57">
        <f t="shared" si="166"/>
        <v>0</v>
      </c>
      <c r="EG97" s="666">
        <f ca="1">1.8 * MIN(MAX(DG97+Races!$F$71,Races!$E$71),6)  +  0.45 * MIN(MIN(DG97+Races!$F$71,Races!$E$71),6)  +  0.2 * ( MAX(DG97+Races!$F$71-6,0) + MAX(Races!$E$71-6,0) )  -  Races!$N$71</f>
        <v>2.5200000000000014</v>
      </c>
      <c r="EH97" s="666">
        <f>1.8 * MIN(MAX(DH97+Races!$E$71,Races!$F$71),6)  +  0.45 * MIN(MIN(DH97+Races!$E$71,Races!$F$71),6)  +  0.2 * ( MAX(DH97+Races!$E$71-6,0) + MAX(Races!$F$71-6,0) )  -  Races!$N$71</f>
        <v>0.16200000000000081</v>
      </c>
      <c r="EI97" s="57">
        <f t="shared" ca="1" si="167"/>
        <v>2584.8000000000015</v>
      </c>
      <c r="EJ97" s="57"/>
      <c r="EK97" s="57"/>
      <c r="EL97" s="57"/>
      <c r="EM97" s="57">
        <f ca="1">Overview!$L$22*E97+Overview!$L$23*F97+Overview!$L$24*G97+Overview!$L$25*H97+Overview!$L$26*I97+Overview!$L$27*J97+Overview!$L$28*K97+Construction!E97*20+Construction!B97*5 + DZ97*$DV$4+EB97*$DV$5+ED97*$DV$6+EF97*$DV$7+EI97*$DV$9</f>
        <v>39460</v>
      </c>
      <c r="EO97" s="738">
        <f>(J97+2*K97)/Construction!E97</f>
        <v>0.1</v>
      </c>
      <c r="EP97" s="734">
        <f ca="1">EO97*(1+race_wizard_strength+tech_magical_weaponry_wiz*Techs!AV169)</f>
        <v>0.1</v>
      </c>
      <c r="EQ97" s="16">
        <f>(I97+halfer*H97/3)/Construction!E97</f>
        <v>0.1</v>
      </c>
    </row>
    <row r="98" spans="1:147" s="170" customFormat="1" ht="13.5" thickBot="1">
      <c r="A98" s="629">
        <f>Rezone!J98</f>
        <v>96</v>
      </c>
      <c r="B98" s="152">
        <f ca="1">SUM(E98:K98)+SUM(AF90:AG98)+SUM(AH87:AL98)+Z98+Explore!AL98</f>
        <v>5295</v>
      </c>
      <c r="C98" s="171">
        <f ca="1">Population!G98</f>
        <v>0.57305194805194803</v>
      </c>
      <c r="E98" s="156">
        <f t="shared" si="182"/>
        <v>0</v>
      </c>
      <c r="F98" s="170">
        <f t="shared" si="183"/>
        <v>0</v>
      </c>
      <c r="G98" s="170">
        <f t="shared" si="184"/>
        <v>1000</v>
      </c>
      <c r="H98" s="170">
        <f t="shared" si="185"/>
        <v>400</v>
      </c>
      <c r="I98" s="170">
        <f t="shared" si="186"/>
        <v>100</v>
      </c>
      <c r="J98" s="170">
        <f t="shared" si="187"/>
        <v>100</v>
      </c>
      <c r="K98" s="157">
        <f t="shared" si="188"/>
        <v>0</v>
      </c>
      <c r="M98" s="160">
        <f ca="1">Production!G98</f>
        <v>39460</v>
      </c>
      <c r="O98" s="234">
        <f t="shared" ca="1" si="125"/>
        <v>4400</v>
      </c>
      <c r="P98" s="455">
        <f ca="1">race_offense+Imps!AB98+ROUND(MIN(gn_bonus*Construction!BF98/Construction!$E98,gn_bonus_cap),4)+MAX(IF(Magic!$AN98&gt;0,warsong_bonus),IF(Magic!AP98&gt;0,howling_op_bonus),IF(Magic!AS98&gt;0,nightfall_bonus),IF(Magic!AT98&gt;0,crusade_bonus),IF(Magic!AU98&gt;0,killingrage_bonus),IF(Magic!AV98&gt;0,bloodrage_bonus)) + Production!O98/100*prestige_offense_bonus + MAX(tech_military_offense*Techs!AH98,tech_magical_weaponry_op*Techs!AV98)</f>
        <v>0.05</v>
      </c>
      <c r="Q98" s="235">
        <f t="shared" ca="1" si="168"/>
        <v>4620</v>
      </c>
      <c r="R98" s="234">
        <f ca="1">F98*(spec_dp+spirit*DR98)+G98*(elite1_dp+woodie*CV98+sylvan*CY98+gnome*DB98+dark_elf*DD98+icekin*DG98+orc*DJ98+nox*DL98+beast*DN98+sacred*DP98+spirit*DS98+blackorc*DK98)+H98*(elite2_dp+woodie*CX98+beast*DO98+sacred*DQ98) + fh_peas_dp*MIN(Population!C98,20*Construction!BD98)+kobold*DE98</f>
        <v>7200</v>
      </c>
      <c r="S98" s="235">
        <f t="shared" ca="1" si="126"/>
        <v>10895</v>
      </c>
      <c r="T98" s="1052">
        <f ca="1">race_defense+Imps!AC98+ROUND(MIN(gt_bonus*Construction!BH98/Construction!$E98,gt_bonus_cap),4)+MAX(IF(Magic!AM98&gt;0,frenzy_bonus,IF(Magic!AQ98&gt;0,blizzard_bonus,IF(Magic!AP98&gt;0,howling_dp_bonus,IF(Magic!AI98&gt;0,ares_call_bonus)))),IF(Magic!AX98&gt;0,MIN(Construction!DF98/Construction!E98,0.2),0))</f>
        <v>0</v>
      </c>
      <c r="U98" s="1046">
        <f t="shared" ca="1" si="169"/>
        <v>7200</v>
      </c>
      <c r="V98" s="308">
        <f t="shared" ca="1" si="170"/>
        <v>10895</v>
      </c>
      <c r="W98" s="308">
        <f>Construction!E98</f>
        <v>1000</v>
      </c>
      <c r="X98" s="364"/>
      <c r="Y98" s="232">
        <f t="shared" si="191"/>
        <v>0.4</v>
      </c>
      <c r="Z98" s="166">
        <f ca="1">Z97+Population!Z97 - IF(race="Lux",AF98,SUM(AF98:AK98)) - BE98 + SUM(BF98:BL98) - Explore!AI98</f>
        <v>3695</v>
      </c>
      <c r="AA98" s="164"/>
      <c r="AB98" s="251">
        <f>(Construction!$BA98+Construction!BY98)/(Construction!$E98-Explore!S98*20)</f>
        <v>0.2</v>
      </c>
      <c r="AC98" s="629"/>
      <c r="AD98" s="798">
        <f>Rezone!J98</f>
        <v>96</v>
      </c>
      <c r="AE98" s="589">
        <f>Explore!AA98</f>
        <v>43695.958333333103</v>
      </c>
      <c r="AF98" s="352"/>
      <c r="AG98" s="345"/>
      <c r="AH98" s="345"/>
      <c r="AI98" s="345"/>
      <c r="AJ98" s="345"/>
      <c r="AK98" s="345"/>
      <c r="AL98" s="353"/>
      <c r="AN98" s="152">
        <f ca="1">Production!$H98</f>
        <v>3959356</v>
      </c>
      <c r="AO98" s="164">
        <f ca="1">Production!$L98</f>
        <v>231000</v>
      </c>
      <c r="AP98" s="164">
        <f ca="1">Production!J98</f>
        <v>270165</v>
      </c>
      <c r="AQ98" s="164">
        <f ca="1">Production!M98</f>
        <v>20000</v>
      </c>
      <c r="AR98" s="164">
        <f ca="1">Production!K98</f>
        <v>56266</v>
      </c>
      <c r="AS98" s="164">
        <f ca="1">Production!I98</f>
        <v>304629</v>
      </c>
      <c r="AT98" s="164">
        <f ca="1">Production!N98</f>
        <v>200</v>
      </c>
      <c r="AU98" s="152">
        <f t="shared" ca="1" si="127"/>
        <v>0</v>
      </c>
      <c r="AV98" s="164">
        <f t="shared" ca="1" si="128"/>
        <v>0</v>
      </c>
      <c r="AW98" s="164">
        <f t="shared" ca="1" si="171"/>
        <v>0</v>
      </c>
      <c r="AX98" s="164">
        <f t="shared" ca="1" si="172"/>
        <v>0</v>
      </c>
      <c r="AY98" s="164">
        <f t="shared" ca="1" si="173"/>
        <v>0</v>
      </c>
      <c r="AZ98" s="164">
        <f t="shared" ca="1" si="174"/>
        <v>0</v>
      </c>
      <c r="BA98" s="166">
        <f t="shared" ca="1" si="175"/>
        <v>0</v>
      </c>
      <c r="BB98" s="170">
        <v>24</v>
      </c>
      <c r="BC98" s="532">
        <f t="shared" si="176"/>
        <v>43695.958333333103</v>
      </c>
      <c r="BD98" s="233">
        <f t="shared" ca="1" si="177"/>
        <v>3695</v>
      </c>
      <c r="BE98" s="352"/>
      <c r="BF98" s="345"/>
      <c r="BG98" s="345"/>
      <c r="BH98" s="345"/>
      <c r="BI98" s="345"/>
      <c r="BJ98" s="345"/>
      <c r="BK98" s="345"/>
      <c r="BL98" s="353"/>
      <c r="BN98" s="503">
        <f>Construction!BM98/Construction!E98</f>
        <v>0</v>
      </c>
      <c r="BO98" s="171">
        <f>Construction!BD98/Construction!E98</f>
        <v>0</v>
      </c>
      <c r="BP98" s="152">
        <f>ROUNDUP((1-MIN(AB98*smithy_bonus,smithy_bonus_cap))*(1+Techs!AO98*tech_master_of_frugality)*spec_op_plat,0)</f>
        <v>165</v>
      </c>
      <c r="BQ98" s="164">
        <f>ROUNDUP(IF(race="Gnome",1,(1-MIN(AB98*smithy_bonus,smithy_bonus_cap))*(1+Techs!AO98*tech_master_of_frugality))*spec_op_ore,0)</f>
        <v>15</v>
      </c>
      <c r="BR98" s="164">
        <f t="shared" si="129"/>
        <v>0</v>
      </c>
      <c r="BS98" s="164">
        <f t="shared" si="130"/>
        <v>0</v>
      </c>
      <c r="BT98" s="164">
        <f ca="1">ROUNDUP((1-MIN(AB98*smithy_bonus,smithy_bonus_cap))*(1+Techs!AO98*tech_master_of_frugality)*spec_dp_plat,0)</f>
        <v>165</v>
      </c>
      <c r="BU98" s="164">
        <f ca="1">ROUNDUP(IF(OR(race="Gnome",race="Imperial Gnome"),1,(1-MIN(AB98*smithy_bonus,smithy_bonus_cap))*(1+Techs!AO98*tech_master_of_frugality))*spec_dp_ore,0)</f>
        <v>6</v>
      </c>
      <c r="BV98" s="164">
        <f t="shared" ca="1" si="131"/>
        <v>0</v>
      </c>
      <c r="BW98" s="164">
        <f t="shared" ca="1" si="132"/>
        <v>0</v>
      </c>
      <c r="BX98" s="164">
        <f t="shared" ca="1" si="133"/>
        <v>0</v>
      </c>
      <c r="BY98" s="164">
        <f ca="1">ROUNDUP((1-MIN(AB98*smithy_bonus,smithy_bonus_cap))*(1+Techs!AO98*tech_master_of_frugality)*elite1_plat,0)</f>
        <v>600</v>
      </c>
      <c r="BZ98" s="164">
        <f ca="1">ROUNDUP(IF(race="Gnome",1,(1-MIN(AB98*smithy_bonus,smithy_bonus_cap))*(1+Techs!AO98*tech_master_of_frugality))*elite1_ore,0)</f>
        <v>45</v>
      </c>
      <c r="CA98" s="164">
        <f t="shared" ca="1" si="134"/>
        <v>0</v>
      </c>
      <c r="CB98" s="164">
        <f t="shared" ca="1" si="135"/>
        <v>0</v>
      </c>
      <c r="CC98" s="164">
        <f t="shared" ca="1" si="136"/>
        <v>0</v>
      </c>
      <c r="CD98" s="164">
        <f t="shared" ca="1" si="137"/>
        <v>0</v>
      </c>
      <c r="CE98" s="164">
        <f t="shared" ca="1" si="138"/>
        <v>0</v>
      </c>
      <c r="CF98" s="164">
        <f ca="1">ROUNDUP((1-MIN(AB98*smithy_bonus,smithy_bonus_cap))*(1+Techs!AO98*tech_master_of_frugality)*elite2_plat,0)</f>
        <v>750</v>
      </c>
      <c r="CG98" s="164">
        <f ca="1">ROUNDUP(IF(race="Gnome",1,(1-MIN(AB98*smithy_bonus,smithy_bonus_cap))*(1+Techs!AO98*tech_master_of_frugality))*elite2_ore,0)</f>
        <v>60</v>
      </c>
      <c r="CH98" s="164">
        <f t="shared" ca="1" si="139"/>
        <v>0</v>
      </c>
      <c r="CI98" s="164">
        <f t="shared" ca="1" si="140"/>
        <v>0</v>
      </c>
      <c r="CJ98" s="164">
        <f t="shared" ca="1" si="141"/>
        <v>0</v>
      </c>
      <c r="CK98" s="164">
        <f t="shared" ca="1" si="142"/>
        <v>0</v>
      </c>
      <c r="CL98" s="164">
        <f t="shared" ca="1" si="143"/>
        <v>0</v>
      </c>
      <c r="CM98" s="164">
        <f>ROUNDUP((1+tech_spy_cost*Techs!AJ98)*spy_plat,0)</f>
        <v>500</v>
      </c>
      <c r="CN98" s="164">
        <f>ROUNDUP((1+tech_wizard_cost*Techs!AM98-MIN(ROUND(wg_wiz_cost_bonus*BN98,4),wg_wiz_cost_cap))*wizard_plat,0)</f>
        <v>500</v>
      </c>
      <c r="CO98" s="166">
        <f>ROUNDUP((1+tech_wizard_cost*Techs!AM98-MIN(ROUND(wg_wiz_cost_bonus*BN98,4),wg_wiz_cost_cap))*archmage_plat,0)</f>
        <v>1000</v>
      </c>
      <c r="CQ98" s="461">
        <f ca="1">Construction!DF98/Construction!E98</f>
        <v>0.28000000000000003</v>
      </c>
      <c r="CR98" s="462">
        <f t="shared" si="178"/>
        <v>0</v>
      </c>
      <c r="CS98" s="462">
        <f>Construction!BK98/Construction!E98</f>
        <v>0.05</v>
      </c>
      <c r="CT98" s="462">
        <f>Construction!BJ98/Construction!E98</f>
        <v>0</v>
      </c>
      <c r="CU98" s="462">
        <f>Construction!AY98/Construction!E98</f>
        <v>0</v>
      </c>
      <c r="CV98" s="481">
        <f t="shared" ca="1" si="144"/>
        <v>1.4000000000000001</v>
      </c>
      <c r="CW98" s="482">
        <f t="shared" ca="1" si="145"/>
        <v>1.4000000000000001</v>
      </c>
      <c r="CX98" s="482">
        <f t="shared" ca="1" si="146"/>
        <v>1.4000000000000001</v>
      </c>
      <c r="CY98" s="483">
        <f t="shared" ca="1" si="147"/>
        <v>1.4000000000000001</v>
      </c>
      <c r="CZ98" s="483">
        <f t="shared" si="148"/>
        <v>0.1</v>
      </c>
      <c r="DA98" s="483">
        <f t="shared" ca="1" si="149"/>
        <v>3</v>
      </c>
      <c r="DB98" s="483">
        <f t="shared" ca="1" si="150"/>
        <v>1.4000000000000001</v>
      </c>
      <c r="DC98" s="482">
        <f t="shared" si="151"/>
        <v>0</v>
      </c>
      <c r="DD98" s="847">
        <f t="shared" si="152"/>
        <v>0</v>
      </c>
      <c r="DE98" s="440">
        <f t="shared" si="179"/>
        <v>800</v>
      </c>
      <c r="DF98" s="440">
        <f t="shared" si="180"/>
        <v>0</v>
      </c>
      <c r="DG98" s="481">
        <f t="shared" ca="1" si="153"/>
        <v>1.4000000000000001</v>
      </c>
      <c r="DH98" s="450">
        <f t="shared" si="154"/>
        <v>9.0000000000000011E-2</v>
      </c>
      <c r="DI98" s="450">
        <f>MIN(valkyrja_cap,Production!O98/valkyrja_bonus)</f>
        <v>1</v>
      </c>
      <c r="DJ98" s="847">
        <f>MIN(voodoo_magi_cap,Production!O98/voodoo_magi_bonus)</f>
        <v>0.83333333333333337</v>
      </c>
      <c r="DK98" s="847">
        <f>MIN(warlock_cap,Production!O98/warlock_bonus)</f>
        <v>1.25</v>
      </c>
      <c r="DL98" s="847">
        <f ca="1">MIN(nox_nightshade_cap,Construction!DF98/Construction!E98/nox_nightshade_swamp_bonus)</f>
        <v>2.8000000000000003</v>
      </c>
      <c r="DM98" s="482">
        <f t="shared" si="155"/>
        <v>0</v>
      </c>
      <c r="DN98" s="483">
        <f t="shared" ca="1" si="156"/>
        <v>2.8000000000000003</v>
      </c>
      <c r="DO98" s="483">
        <f t="shared" ca="1" si="157"/>
        <v>2.8000000000000003</v>
      </c>
      <c r="DP98" s="483">
        <f t="shared" si="158"/>
        <v>1</v>
      </c>
      <c r="DQ98" s="482">
        <f t="shared" si="159"/>
        <v>0</v>
      </c>
      <c r="DR98" s="483">
        <f t="shared" si="160"/>
        <v>0</v>
      </c>
      <c r="DS98" s="482">
        <f t="shared" si="161"/>
        <v>0</v>
      </c>
      <c r="DT98" s="483">
        <f t="shared" si="162"/>
        <v>0.1</v>
      </c>
      <c r="DX98" s="481">
        <f ca="1">MIN(6,CV98+Races!$F$19)*1.8 +  IF(CV98+Races!$F$19&gt;6,(CV98+Races!$F$19-6)*0.2,0) - Races!$N$19</f>
        <v>2.5200000000000005</v>
      </c>
      <c r="DY98" s="482">
        <f ca="1">1.8 * MIN(MAX(CW98+Races!$E$20,CX98+Races!$F$20),6)  +  0.45 * MIN(MIN(CW98+Races!$E$20,CX98+Races!$F$20),6)  +  0.2 * ( MAX(CW98+Races!$E$20-6,0) + MAX(CX98+Races!$F$20-6,0) )  -  Races!$N$20</f>
        <v>3.1500000000000012</v>
      </c>
      <c r="DZ98" s="166">
        <f t="shared" ca="1" si="163"/>
        <v>3780.0000000000009</v>
      </c>
      <c r="EA98" s="665">
        <f ca="1">MIN(6,CY98+Races!$F$35)*1.8 +  IF(CY98+Races!$F$35&gt;6,(CY98+Races!$F$35-6)*0.2,0) - Races!$N$19</f>
        <v>0.72000000000000064</v>
      </c>
      <c r="EB98" s="166">
        <f t="shared" ca="1" si="164"/>
        <v>0</v>
      </c>
      <c r="EC98" s="665">
        <f ca="1">1.8 * MIN(MAX(Races!$E$27,DB98+Races!$F$27),6)  +  0.45 * MIN(MIN(Races!$E$27,DB98+Races!$F$27),6)  +  0.2 * ( MAX(Races!$E$27-6,0) + MAX(DB98+Races!$F$27-6,0) )  -  Races!$N$20</f>
        <v>4.7700000000000005</v>
      </c>
      <c r="ED98" s="166">
        <f t="shared" ca="1" si="165"/>
        <v>0</v>
      </c>
      <c r="EE98" s="665">
        <f>1.8 * MIN(MAX(DC98+Races!$E$47,DD98+Races!$F$47),6)  +  0.45 * MIN(MIN(DC98+Races!$E$47,DD98+Races!$F$47),6)  +  0.2 * ( MAX(DC98+Races!$E$47-6,0) + MAX(DD98+Races!$F$47-6,0) )  -  Races!$N$47</f>
        <v>0</v>
      </c>
      <c r="EF98" s="166">
        <f t="shared" si="166"/>
        <v>0</v>
      </c>
      <c r="EG98" s="665">
        <f ca="1">1.8 * MIN(MAX(DG98+Races!$F$71,Races!$E$71),6)  +  0.45 * MIN(MIN(DG98+Races!$F$71,Races!$E$71),6)  +  0.2 * ( MAX(DG98+Races!$F$71-6,0) + MAX(Races!$E$71-6,0) )  -  Races!$N$71</f>
        <v>2.5200000000000014</v>
      </c>
      <c r="EH98" s="665">
        <f>1.8 * MIN(MAX(DH98+Races!$E$71,Races!$F$71),6)  +  0.45 * MIN(MIN(DH98+Races!$E$71,Races!$F$71),6)  +  0.2 * ( MAX(DH98+Races!$E$71-6,0) + MAX(Races!$F$71-6,0) )  -  Races!$N$71</f>
        <v>0.16200000000000081</v>
      </c>
      <c r="EI98" s="166">
        <f t="shared" ca="1" si="167"/>
        <v>2584.8000000000015</v>
      </c>
      <c r="EJ98" s="166"/>
      <c r="EK98" s="166"/>
      <c r="EL98" s="166"/>
      <c r="EM98" s="166">
        <f ca="1">Overview!$L$22*E98+Overview!$L$23*F98+Overview!$L$24*G98+Overview!$L$25*H98+Overview!$L$26*I98+Overview!$L$27*J98+Overview!$L$28*K98+Construction!E98*20+Construction!B98*5 + DZ98*$DV$4+EB98*$DV$5+ED98*$DV$6+EF98*$DV$7+EI98*$DV$9</f>
        <v>39460</v>
      </c>
      <c r="EO98" s="737">
        <f>(J98+2*K98)/Construction!E98</f>
        <v>0.1</v>
      </c>
      <c r="EP98" s="734">
        <f ca="1">EO98*(1+race_wizard_strength+tech_magical_weaponry_wiz*Techs!AV170)</f>
        <v>0.1</v>
      </c>
      <c r="EQ98" s="170">
        <f>(I98+halfer*H98/3)/Construction!E98</f>
        <v>0.1</v>
      </c>
    </row>
    <row r="99" spans="1:147" s="173" customFormat="1" ht="13.5" thickBot="1">
      <c r="A99" s="550">
        <f>Rezone!J99</f>
        <v>97</v>
      </c>
      <c r="B99" s="175">
        <f ca="1">SUM(E99:K99)+SUM(AF91:AG99)+SUM(AH88:AL99)+Z99+Explore!AL99</f>
        <v>5295</v>
      </c>
      <c r="C99" s="183">
        <f ca="1">Population!G99</f>
        <v>0.57305194805194803</v>
      </c>
      <c r="E99" s="177">
        <f t="shared" si="182"/>
        <v>0</v>
      </c>
      <c r="F99" s="173">
        <f t="shared" si="183"/>
        <v>0</v>
      </c>
      <c r="G99" s="173">
        <f t="shared" si="184"/>
        <v>1000</v>
      </c>
      <c r="H99" s="173">
        <f t="shared" si="185"/>
        <v>400</v>
      </c>
      <c r="I99" s="173">
        <f t="shared" si="186"/>
        <v>100</v>
      </c>
      <c r="J99" s="173">
        <f t="shared" si="187"/>
        <v>100</v>
      </c>
      <c r="K99" s="178">
        <f t="shared" si="188"/>
        <v>0</v>
      </c>
      <c r="M99" s="181">
        <f ca="1">Production!G99</f>
        <v>39460</v>
      </c>
      <c r="O99" s="237">
        <f t="shared" ref="O99:O135" ca="1" si="192">E99*(spec_op+spirit*DR99)+G99*(elite1_op+dark_elf*DC99+beast*DN99+sacred*DP99+spirit*DS99+halfer*CZ99+norse*DI99)+H99*(elite2_op+icekin*DH99+woodie*CW99+ants*DM99+beast*DO99+sacred*DQ99+undead*DT99+lizzie*DA99)+kobold*DF99</f>
        <v>4400</v>
      </c>
      <c r="P99" s="456">
        <f ca="1">race_offense+Imps!AB99+ROUND(MIN(gn_bonus*Construction!BF99/Construction!$E99,gn_bonus_cap),4)+MAX(IF(Magic!$AN99&gt;0,warsong_bonus),IF(Magic!AP99&gt;0,howling_op_bonus),IF(Magic!AS99&gt;0,nightfall_bonus),IF(Magic!AT99&gt;0,crusade_bonus),IF(Magic!AU99&gt;0,killingrage_bonus),IF(Magic!AV99&gt;0,bloodrage_bonus)) + Production!O99/100*prestige_offense_bonus + MAX(tech_military_offense*Techs!AH99,tech_magical_weaponry_op*Techs!AV99)</f>
        <v>0.05</v>
      </c>
      <c r="Q99" s="238">
        <f t="shared" ca="1" si="168"/>
        <v>4620</v>
      </c>
      <c r="R99" s="237">
        <f ca="1">F99*(spec_dp+spirit*DR99)+G99*(elite1_dp+woodie*CV99+sylvan*CY99+gnome*DB99+dark_elf*DD99+icekin*DG99+orc*DJ99+nox*DL99+beast*DN99+sacred*DP99+spirit*DS99+blackorc*DK99)+H99*(elite2_dp+woodie*CX99+beast*DO99+sacred*DQ99) + fh_peas_dp*MIN(Population!C99,20*Construction!BD99)+kobold*DE99</f>
        <v>7200</v>
      </c>
      <c r="S99" s="238">
        <f t="shared" ref="S99:S130" ca="1" si="193">R99+Z99*IF(race="Ants",0.1,IF(race="Growth",0.01,1))</f>
        <v>10895</v>
      </c>
      <c r="T99" s="1179">
        <f ca="1">race_defense+Imps!AC99+ROUND(MIN(gt_bonus*Construction!BH99/Construction!$E99,gt_bonus_cap),4)+MAX(IF(Magic!AM99&gt;0,frenzy_bonus,IF(Magic!AQ99&gt;0,blizzard_bonus,IF(Magic!AP99&gt;0,howling_dp_bonus,IF(Magic!AI99&gt;0,ares_call_bonus)))),IF(Magic!AX99&gt;0,MIN(Construction!DF99/Construction!E99,0.2),0))</f>
        <v>0</v>
      </c>
      <c r="U99" s="1048">
        <f t="shared" ca="1" si="169"/>
        <v>7200</v>
      </c>
      <c r="V99" s="309">
        <f t="shared" ca="1" si="170"/>
        <v>10895</v>
      </c>
      <c r="W99" s="309">
        <f>Construction!E99</f>
        <v>1000</v>
      </c>
      <c r="X99" s="366"/>
      <c r="Y99" s="239">
        <f t="shared" si="191"/>
        <v>0.4</v>
      </c>
      <c r="Z99" s="179">
        <f ca="1">Z98+Population!Z98 - IF(race="Lux",AF99,SUM(AF99:AK99)) - BE99 + SUM(BF99:BL99) - Explore!AI99</f>
        <v>3695</v>
      </c>
      <c r="AA99" s="174"/>
      <c r="AB99" s="261">
        <f>(Construction!$BA99+Construction!BY99)/(Construction!$E99-Explore!S99*20)</f>
        <v>0.2</v>
      </c>
      <c r="AC99" s="630"/>
      <c r="AD99" s="801">
        <f>Rezone!J99</f>
        <v>97</v>
      </c>
      <c r="AE99" s="590">
        <f>Explore!AA99</f>
        <v>43695.999999999767</v>
      </c>
      <c r="AF99" s="354"/>
      <c r="AG99" s="347"/>
      <c r="AH99" s="347"/>
      <c r="AI99" s="347"/>
      <c r="AJ99" s="347"/>
      <c r="AK99" s="347"/>
      <c r="AL99" s="355"/>
      <c r="AN99" s="175">
        <f ca="1">Production!$H99</f>
        <v>3970007</v>
      </c>
      <c r="AO99" s="174">
        <f ca="1">Production!$L99</f>
        <v>231000</v>
      </c>
      <c r="AP99" s="174">
        <f ca="1">Production!J99</f>
        <v>269963</v>
      </c>
      <c r="AQ99" s="174">
        <f ca="1">Production!M99</f>
        <v>20000</v>
      </c>
      <c r="AR99" s="174">
        <f ca="1">Production!K99</f>
        <v>56391</v>
      </c>
      <c r="AS99" s="174">
        <f ca="1">Production!I99</f>
        <v>306313</v>
      </c>
      <c r="AT99" s="174">
        <f ca="1">Production!N99</f>
        <v>200</v>
      </c>
      <c r="AU99" s="175">
        <f t="shared" ref="AU99:AU135" ca="1" si="194">$AF99*BP99+$AG99*BT99+$AH99*BY99+$AI99*CF99+AJ99*CM99+AK99*CN99+AL99*CO99</f>
        <v>0</v>
      </c>
      <c r="AV99" s="174">
        <f t="shared" ref="AV99:AV135" ca="1" si="195">$AF99*BQ99+$AG99*BU99+$AH99*BZ99+$AI99*CG99</f>
        <v>0</v>
      </c>
      <c r="AW99" s="174">
        <f t="shared" ca="1" si="171"/>
        <v>0</v>
      </c>
      <c r="AX99" s="174">
        <f t="shared" ca="1" si="172"/>
        <v>0</v>
      </c>
      <c r="AY99" s="174">
        <f t="shared" ca="1" si="173"/>
        <v>0</v>
      </c>
      <c r="AZ99" s="174">
        <f t="shared" ca="1" si="174"/>
        <v>0</v>
      </c>
      <c r="BA99" s="179">
        <f t="shared" ca="1" si="175"/>
        <v>0</v>
      </c>
      <c r="BB99" s="173">
        <v>25</v>
      </c>
      <c r="BC99" s="573">
        <f t="shared" si="176"/>
        <v>43695.999999999767</v>
      </c>
      <c r="BD99" s="240">
        <f t="shared" ca="1" si="177"/>
        <v>3695</v>
      </c>
      <c r="BE99" s="354"/>
      <c r="BF99" s="347"/>
      <c r="BG99" s="347"/>
      <c r="BH99" s="347"/>
      <c r="BI99" s="347"/>
      <c r="BJ99" s="347"/>
      <c r="BK99" s="347"/>
      <c r="BL99" s="355"/>
      <c r="BN99" s="504">
        <f>Construction!BM99/Construction!E99</f>
        <v>0</v>
      </c>
      <c r="BO99" s="183">
        <f>Construction!BD99/Construction!E99</f>
        <v>0</v>
      </c>
      <c r="BP99" s="175">
        <f>ROUNDUP((1-MIN(AB99*smithy_bonus,smithy_bonus_cap))*(1+Techs!AO99*tech_master_of_frugality)*spec_op_plat,0)</f>
        <v>165</v>
      </c>
      <c r="BQ99" s="174">
        <f>ROUNDUP(IF(race="Gnome",1,(1-MIN(AB99*smithy_bonus,smithy_bonus_cap))*(1+Techs!AO99*tech_master_of_frugality))*spec_op_ore,0)</f>
        <v>15</v>
      </c>
      <c r="BR99" s="174">
        <f t="shared" ref="BR99:BR135" si="196">spec1_mana</f>
        <v>0</v>
      </c>
      <c r="BS99" s="174">
        <f t="shared" ref="BS99:BS135" si="197">spec1_food</f>
        <v>0</v>
      </c>
      <c r="BT99" s="174">
        <f ca="1">ROUNDUP((1-MIN(AB99*smithy_bonus,smithy_bonus_cap))*(1+Techs!AO99*tech_master_of_frugality)*spec_dp_plat,0)</f>
        <v>165</v>
      </c>
      <c r="BU99" s="174">
        <f ca="1">ROUNDUP(IF(OR(race="Gnome",race="Imperial Gnome"),1,(1-MIN(AB99*smithy_bonus,smithy_bonus_cap))*(1+Techs!AO99*tech_master_of_frugality))*spec_dp_ore,0)</f>
        <v>6</v>
      </c>
      <c r="BV99" s="174">
        <f t="shared" ref="BV99:BV135" ca="1" si="198">spec2_mana</f>
        <v>0</v>
      </c>
      <c r="BW99" s="174">
        <f t="shared" ref="BW99:BW135" ca="1" si="199">spec2_gems</f>
        <v>0</v>
      </c>
      <c r="BX99" s="174">
        <f t="shared" ref="BX99:BX135" ca="1" si="200">spec2_food</f>
        <v>0</v>
      </c>
      <c r="BY99" s="174">
        <f ca="1">ROUNDUP((1-MIN(AB99*smithy_bonus,smithy_bonus_cap))*(1+Techs!AO99*tech_master_of_frugality)*elite1_plat,0)</f>
        <v>600</v>
      </c>
      <c r="BZ99" s="174">
        <f ca="1">ROUNDUP(IF(race="Gnome",1,(1-MIN(AB99*smithy_bonus,smithy_bonus_cap))*(1+Techs!AO99*tech_master_of_frugality))*elite1_ore,0)</f>
        <v>45</v>
      </c>
      <c r="CA99" s="174">
        <f t="shared" ref="CA99:CA135" ca="1" si="201">ROUNDUP((1-MIN(AB99*smithy_bonus,smithy_bonus_cap))*elite1_lumber,0)</f>
        <v>0</v>
      </c>
      <c r="CB99" s="174">
        <f t="shared" ref="CB99:CB135" ca="1" si="202">elite1_gems</f>
        <v>0</v>
      </c>
      <c r="CC99" s="174">
        <f t="shared" ref="CC99:CC135" ca="1" si="203">elite1_mana</f>
        <v>0</v>
      </c>
      <c r="CD99" s="174">
        <f t="shared" ref="CD99:CD135" ca="1" si="204">elite1_food</f>
        <v>0</v>
      </c>
      <c r="CE99" s="174">
        <f t="shared" ref="CE99:CE135" ca="1" si="205">elite1_boats</f>
        <v>0</v>
      </c>
      <c r="CF99" s="174">
        <f ca="1">ROUNDUP((1-MIN(AB99*smithy_bonus,smithy_bonus_cap))*(1+Techs!AO99*tech_master_of_frugality)*elite2_plat,0)</f>
        <v>750</v>
      </c>
      <c r="CG99" s="174">
        <f ca="1">ROUNDUP(IF(race="Gnome",1,(1-MIN(AB99*smithy_bonus,smithy_bonus_cap))*(1+Techs!AO99*tech_master_of_frugality))*elite2_ore,0)</f>
        <v>60</v>
      </c>
      <c r="CH99" s="174">
        <f t="shared" ref="CH99:CH135" ca="1" si="206">ROUNDUP((1-MIN(AB99*smithy_bonus,smithy_bonus_cap))*elite2_lumber,0)</f>
        <v>0</v>
      </c>
      <c r="CI99" s="174">
        <f t="shared" ref="CI99:CI135" ca="1" si="207">elite2_gems</f>
        <v>0</v>
      </c>
      <c r="CJ99" s="174">
        <f t="shared" ref="CJ99:CJ135" ca="1" si="208">elite2_mana</f>
        <v>0</v>
      </c>
      <c r="CK99" s="174">
        <f t="shared" ref="CK99:CK135" ca="1" si="209">elite2_food</f>
        <v>0</v>
      </c>
      <c r="CL99" s="174">
        <f t="shared" ref="CL99:CL135" ca="1" si="210">elite2_boats</f>
        <v>0</v>
      </c>
      <c r="CM99" s="174">
        <f>ROUNDUP((1+tech_spy_cost*Techs!AJ99)*spy_plat,0)</f>
        <v>500</v>
      </c>
      <c r="CN99" s="174">
        <f>ROUNDUP((1+tech_wizard_cost*Techs!AM99-MIN(ROUND(wg_wiz_cost_bonus*BN99,4),wg_wiz_cost_cap))*wizard_plat,0)</f>
        <v>500</v>
      </c>
      <c r="CO99" s="179">
        <f>ROUNDUP((1+tech_wizard_cost*Techs!AM99-MIN(ROUND(wg_wiz_cost_bonus*BN99,4),wg_wiz_cost_cap))*archmage_plat,0)</f>
        <v>1000</v>
      </c>
      <c r="CP99" s="180"/>
      <c r="CQ99" s="463">
        <f ca="1">Construction!DF99/Construction!E99</f>
        <v>0.28000000000000003</v>
      </c>
      <c r="CR99" s="464">
        <f t="shared" si="178"/>
        <v>0</v>
      </c>
      <c r="CS99" s="464">
        <f>Construction!BK99/Construction!E99</f>
        <v>0.05</v>
      </c>
      <c r="CT99" s="464">
        <f>Construction!BJ99/Construction!E99</f>
        <v>0</v>
      </c>
      <c r="CU99" s="464">
        <f>Construction!AY99/Construction!E99</f>
        <v>0</v>
      </c>
      <c r="CV99" s="484">
        <f t="shared" ref="CV99:CV135" ca="1" si="211">IF(mystic_cap="none",CQ99/mystic_bonus,MIN(mystic_cap,CQ99/mystic_bonus))</f>
        <v>1.4000000000000001</v>
      </c>
      <c r="CW99" s="485">
        <f t="shared" ref="CW99:CW135" ca="1" si="212">IF(druid_op_cap="none",CQ99/druid_op_bonus,MIN(druid_op_cap,CQ99/druid_op_bonus))</f>
        <v>1.4000000000000001</v>
      </c>
      <c r="CX99" s="485">
        <f t="shared" ref="CX99:CX135" ca="1" si="213">IF(druid_dp_cap="none",CQ99/druid_dp_bonus,MIN(druid_dp_cap,CQ99/druid_dp_bonus))</f>
        <v>1.4000000000000001</v>
      </c>
      <c r="CY99" s="486">
        <f t="shared" ref="CY99:CY135" ca="1" si="214">MIN(dryad_cap,CQ99/dryad_bonus)</f>
        <v>1.4000000000000001</v>
      </c>
      <c r="CZ99" s="486">
        <f t="shared" ref="CZ99:CZ135" si="215">MIN(staff_cap,EQ99*staff_bonus)</f>
        <v>0.1</v>
      </c>
      <c r="DA99" s="486">
        <f t="shared" ref="DA99:DA135" ca="1" si="216">MIN(lizardman_cap,CQ99/lizardman_bonus)</f>
        <v>3</v>
      </c>
      <c r="DB99" s="486">
        <f t="shared" ref="DB99:DB135" ca="1" si="217">MIN(rocka_cap,CQ99/rocka_bonus)</f>
        <v>1.4000000000000001</v>
      </c>
      <c r="DC99" s="485">
        <f t="shared" ref="DC99:DC135" si="218">MIN(adept_op_cap,CR99/adept_op_bonus)</f>
        <v>0</v>
      </c>
      <c r="DD99" s="850">
        <f t="shared" ref="DD99:DD135" si="219">MIN(adept_dp_cap,CR99/adept_dp_bonus)</f>
        <v>0</v>
      </c>
      <c r="DE99" s="441">
        <f t="shared" si="179"/>
        <v>800</v>
      </c>
      <c r="DF99" s="441">
        <f t="shared" si="180"/>
        <v>0</v>
      </c>
      <c r="DG99" s="484">
        <f t="shared" ref="DG99:DG135" ca="1" si="220">MIN(frost_mage_cap,CQ99/frost_mage_bonus)</f>
        <v>1.4000000000000001</v>
      </c>
      <c r="DH99" s="451">
        <f t="shared" ref="DH99:DH135" si="221">MIN(ice_elem_cap,EO99*ice_elem_bonus)</f>
        <v>9.0000000000000011E-2</v>
      </c>
      <c r="DI99" s="451">
        <f>MIN(valkyrja_cap,Production!O99/valkyrja_bonus)</f>
        <v>1</v>
      </c>
      <c r="DJ99" s="850">
        <f>MIN(voodoo_magi_cap,Production!O99/voodoo_magi_bonus)</f>
        <v>0.83333333333333337</v>
      </c>
      <c r="DK99" s="850">
        <f>MIN(warlock_cap,Production!O99/warlock_bonus)</f>
        <v>1.25</v>
      </c>
      <c r="DL99" s="850">
        <f ca="1">MIN(nox_nightshade_cap,Construction!DF99/Construction!E99/nox_nightshade_swamp_bonus)</f>
        <v>2.8000000000000003</v>
      </c>
      <c r="DM99" s="485">
        <f t="shared" ref="DM99:DM135" si="222">MIN(flying_ant_cap,BO99/flying_ant_bonus)</f>
        <v>0</v>
      </c>
      <c r="DN99" s="486">
        <f t="shared" ref="DN99:DN135" ca="1" si="223">MIN(goat_witch_cap,CQ99/goat_witch_bonus)</f>
        <v>2.8000000000000003</v>
      </c>
      <c r="DO99" s="486">
        <f t="shared" ref="DO99:DO135" ca="1" si="224">MIN(minotaur_cap,CQ99/minotaur_bonus)</f>
        <v>2.8000000000000003</v>
      </c>
      <c r="DP99" s="486">
        <f t="shared" ref="DP99:DP135" si="225">MIN(fanatic_cap,CS99/fanatic_bonus)</f>
        <v>1</v>
      </c>
      <c r="DQ99" s="485">
        <f t="shared" ref="DQ99:DQ135" si="226">MIN(holy_warrior_cap,CT99/holy_warrior_bonus)</f>
        <v>0</v>
      </c>
      <c r="DR99" s="486">
        <f t="shared" ref="DR99:DR135" si="227">MIN(banshee_cap,CU99/banshee_bonus)</f>
        <v>0</v>
      </c>
      <c r="DS99" s="485">
        <f t="shared" ref="DS99:DS135" si="228">MIN(phantom_cap,CU99/phantom_bonus)</f>
        <v>0</v>
      </c>
      <c r="DT99" s="486">
        <f t="shared" ref="DT99:DT135" si="229">MIN(wraith_cap,EO99*wraith_bonus)</f>
        <v>0.1</v>
      </c>
      <c r="DX99" s="484">
        <f ca="1">MIN(6,CV99+Races!$F$19)*1.8 +  IF(CV99+Races!$F$19&gt;6,(CV99+Races!$F$19-6)*0.2,0) - Races!$N$19</f>
        <v>2.5200000000000005</v>
      </c>
      <c r="DY99" s="485">
        <f ca="1">1.8 * MIN(MAX(CW99+Races!$E$20,CX99+Races!$F$20),6)  +  0.45 * MIN(MIN(CW99+Races!$E$20,CX99+Races!$F$20),6)  +  0.2 * ( MAX(CW99+Races!$E$20-6,0) + MAX(CX99+Races!$F$20-6,0) )  -  Races!$N$20</f>
        <v>3.1500000000000012</v>
      </c>
      <c r="DZ99" s="179">
        <f t="shared" ref="DZ99:DZ130" ca="1" si="230">DX99*G99+DY99*H99</f>
        <v>3780.0000000000009</v>
      </c>
      <c r="EA99" s="667">
        <f ca="1">MIN(6,CY99+Races!$F$35)*1.8 +  IF(CY99+Races!$F$35&gt;6,(CY99+Races!$F$35-6)*0.2,0) - Races!$N$19</f>
        <v>0.72000000000000064</v>
      </c>
      <c r="EB99" s="179">
        <f t="shared" ref="EB99:EB135" ca="1" si="231">$DV$5*(DX99*G99)</f>
        <v>0</v>
      </c>
      <c r="EC99" s="667">
        <f ca="1">1.8 * MIN(MAX(Races!$E$27,DB99+Races!$F$27),6)  +  0.45 * MIN(MIN(Races!$E$27,DB99+Races!$F$27),6)  +  0.2 * ( MAX(Races!$E$27-6,0) + MAX(DB99+Races!$F$27-6,0) )  -  Races!$N$20</f>
        <v>4.7700000000000005</v>
      </c>
      <c r="ED99" s="179">
        <f t="shared" ref="ED99:ED130" ca="1" si="232">$DV$6*(EC99*G99)</f>
        <v>0</v>
      </c>
      <c r="EE99" s="667">
        <f>1.8 * MIN(MAX(DC99+Races!$E$47,DD99+Races!$F$47),6)  +  0.45 * MIN(MIN(DC99+Races!$E$47,DD99+Races!$F$47),6)  +  0.2 * ( MAX(DC99+Races!$E$47-6,0) + MAX(DD99+Races!$F$47-6,0) )  -  Races!$N$47</f>
        <v>0</v>
      </c>
      <c r="EF99" s="179">
        <f t="shared" ref="EF99:EF130" si="233">$DV$7*(EE99*G99)</f>
        <v>0</v>
      </c>
      <c r="EG99" s="667">
        <f ca="1">1.8 * MIN(MAX(DG99+Races!$F$71,Races!$E$71),6)  +  0.45 * MIN(MIN(DG99+Races!$F$71,Races!$E$71),6)  +  0.2 * ( MAX(DG99+Races!$F$71-6,0) + MAX(Races!$E$71-6,0) )  -  Races!$N$71</f>
        <v>2.5200000000000014</v>
      </c>
      <c r="EH99" s="667">
        <f>1.8 * MIN(MAX(DH99+Races!$E$71,Races!$F$71),6)  +  0.45 * MIN(MIN(DH99+Races!$E$71,Races!$F$71),6)  +  0.2 * ( MAX(DH99+Races!$E$71-6,0) + MAX(Races!$F$71-6,0) )  -  Races!$N$71</f>
        <v>0.16200000000000081</v>
      </c>
      <c r="EI99" s="179">
        <f t="shared" ref="EI99:EI130" ca="1" si="234">EG99*G99+EH99*H99</f>
        <v>2584.8000000000015</v>
      </c>
      <c r="EJ99" s="179"/>
      <c r="EK99" s="179"/>
      <c r="EL99" s="179"/>
      <c r="EM99" s="179">
        <f ca="1">Overview!$L$22*E99+Overview!$L$23*F99+Overview!$L$24*G99+Overview!$L$25*H99+Overview!$L$26*I99+Overview!$L$27*J99+Overview!$L$28*K99+Construction!E99*20+Construction!B99*5 + DZ99*$DV$4+EB99*$DV$5+ED99*$DV$6+EF99*$DV$7+EI99*$DV$9</f>
        <v>39460</v>
      </c>
      <c r="EO99" s="740">
        <f>(J99+2*K99)/Construction!E99</f>
        <v>0.1</v>
      </c>
      <c r="EP99" s="736">
        <f ca="1">EO99*(1+race_wizard_strength+tech_magical_weaponry_wiz*Techs!AV171)</f>
        <v>0.1</v>
      </c>
      <c r="EQ99" s="173">
        <f>(I99+halfer*H99/3)/Construction!E99</f>
        <v>0.1</v>
      </c>
    </row>
    <row r="100" spans="1:147" s="170" customFormat="1">
      <c r="A100" s="629">
        <f>Rezone!J100</f>
        <v>98</v>
      </c>
      <c r="B100" s="152">
        <f ca="1">SUM(E100:K100)+SUM(AF92:AG100)+SUM(AH89:AL100)+Z100+Explore!AL100</f>
        <v>5295</v>
      </c>
      <c r="C100" s="171">
        <f ca="1">Population!G100</f>
        <v>0.57305194805194803</v>
      </c>
      <c r="E100" s="156">
        <f t="shared" si="182"/>
        <v>0</v>
      </c>
      <c r="F100" s="170">
        <f t="shared" si="183"/>
        <v>0</v>
      </c>
      <c r="G100" s="170">
        <f t="shared" si="184"/>
        <v>1000</v>
      </c>
      <c r="H100" s="170">
        <f t="shared" si="185"/>
        <v>400</v>
      </c>
      <c r="I100" s="170">
        <f t="shared" si="186"/>
        <v>100</v>
      </c>
      <c r="J100" s="170">
        <f t="shared" si="187"/>
        <v>100</v>
      </c>
      <c r="K100" s="157">
        <f t="shared" si="188"/>
        <v>0</v>
      </c>
      <c r="M100" s="160">
        <f ca="1">Production!G100</f>
        <v>39460</v>
      </c>
      <c r="O100" s="234">
        <f t="shared" ca="1" si="192"/>
        <v>4400</v>
      </c>
      <c r="P100" s="455">
        <f ca="1">race_offense+Imps!AB100+ROUND(MIN(gn_bonus*Construction!BF100/Construction!$E100,gn_bonus_cap),4)+MAX(IF(Magic!$AN100&gt;0,warsong_bonus),IF(Magic!AP100&gt;0,howling_op_bonus),IF(Magic!AS100&gt;0,nightfall_bonus),IF(Magic!AT100&gt;0,crusade_bonus),IF(Magic!AU100&gt;0,killingrage_bonus),IF(Magic!AV100&gt;0,bloodrage_bonus)) + Production!O100/100*prestige_offense_bonus + MAX(tech_military_offense*Techs!AH100,tech_magical_weaponry_op*Techs!AV100)</f>
        <v>0.05</v>
      </c>
      <c r="Q100" s="235">
        <f t="shared" ca="1" si="168"/>
        <v>4620</v>
      </c>
      <c r="R100" s="234">
        <f ca="1">F100*(spec_dp+spirit*DR100)+G100*(elite1_dp+woodie*CV100+sylvan*CY100+gnome*DB100+dark_elf*DD100+icekin*DG100+orc*DJ100+nox*DL100+beast*DN100+sacred*DP100+spirit*DS100+blackorc*DK100)+H100*(elite2_dp+woodie*CX100+beast*DO100+sacred*DQ100) + fh_peas_dp*MIN(Population!C100,20*Construction!BD100)+kobold*DE100</f>
        <v>7200</v>
      </c>
      <c r="S100" s="235">
        <f t="shared" ca="1" si="193"/>
        <v>10895</v>
      </c>
      <c r="T100" s="1052">
        <f ca="1">race_defense+Imps!AC100+ROUND(MIN(gt_bonus*Construction!BH100/Construction!$E100,gt_bonus_cap),4)+MAX(IF(Magic!AM100&gt;0,frenzy_bonus,IF(Magic!AQ100&gt;0,blizzard_bonus,IF(Magic!AP100&gt;0,howling_dp_bonus,IF(Magic!AI100&gt;0,ares_call_bonus)))),IF(Magic!AX100&gt;0,MIN(Construction!DF100/Construction!E100,0.2),0))</f>
        <v>0</v>
      </c>
      <c r="U100" s="1046">
        <f t="shared" ca="1" si="169"/>
        <v>7200</v>
      </c>
      <c r="V100" s="308">
        <f t="shared" ca="1" si="170"/>
        <v>10895</v>
      </c>
      <c r="W100" s="308">
        <f>Construction!E100</f>
        <v>1000</v>
      </c>
      <c r="X100" s="364"/>
      <c r="Y100" s="232">
        <f t="shared" si="191"/>
        <v>0.4</v>
      </c>
      <c r="Z100" s="166">
        <f ca="1">Z99+Population!Z99 - IF(race="Lux",AF100,SUM(AF100:AK100)) - BE100 + SUM(BF100:BL100) - Explore!AI100</f>
        <v>3695</v>
      </c>
      <c r="AA100" s="164"/>
      <c r="AB100" s="251">
        <f>(Construction!$BA100+Construction!BY100)/(Construction!$E100-Explore!S100*20)</f>
        <v>0.2</v>
      </c>
      <c r="AC100" s="629"/>
      <c r="AD100" s="798">
        <f>Rezone!J100</f>
        <v>98</v>
      </c>
      <c r="AE100" s="589">
        <f>Explore!AA100</f>
        <v>43696.041666666431</v>
      </c>
      <c r="AF100" s="352"/>
      <c r="AG100" s="345"/>
      <c r="AH100" s="345"/>
      <c r="AI100" s="345"/>
      <c r="AJ100" s="345"/>
      <c r="AK100" s="345"/>
      <c r="AL100" s="353"/>
      <c r="AN100" s="152">
        <f ca="1">Production!$H100</f>
        <v>3980658</v>
      </c>
      <c r="AO100" s="164">
        <f ca="1">Production!$L100</f>
        <v>231000</v>
      </c>
      <c r="AP100" s="164">
        <f ca="1">Production!J100</f>
        <v>269763</v>
      </c>
      <c r="AQ100" s="164">
        <f ca="1">Production!M100</f>
        <v>20000</v>
      </c>
      <c r="AR100" s="164">
        <f ca="1">Production!K100</f>
        <v>56513</v>
      </c>
      <c r="AS100" s="164">
        <f ca="1">Production!I100</f>
        <v>307980</v>
      </c>
      <c r="AT100" s="164">
        <f ca="1">Production!N100</f>
        <v>200</v>
      </c>
      <c r="AU100" s="152">
        <f t="shared" ca="1" si="194"/>
        <v>0</v>
      </c>
      <c r="AV100" s="164">
        <f t="shared" ca="1" si="195"/>
        <v>0</v>
      </c>
      <c r="AW100" s="164">
        <f t="shared" ca="1" si="171"/>
        <v>0</v>
      </c>
      <c r="AX100" s="164">
        <f t="shared" ca="1" si="172"/>
        <v>0</v>
      </c>
      <c r="AY100" s="164">
        <f t="shared" ca="1" si="173"/>
        <v>0</v>
      </c>
      <c r="AZ100" s="164">
        <f t="shared" ca="1" si="174"/>
        <v>0</v>
      </c>
      <c r="BA100" s="166">
        <f t="shared" ca="1" si="175"/>
        <v>0</v>
      </c>
      <c r="BB100" s="170">
        <v>26</v>
      </c>
      <c r="BC100" s="532">
        <f t="shared" si="176"/>
        <v>43696.041666666431</v>
      </c>
      <c r="BD100" s="233">
        <f t="shared" ca="1" si="177"/>
        <v>3695</v>
      </c>
      <c r="BE100" s="352"/>
      <c r="BF100" s="345"/>
      <c r="BG100" s="345"/>
      <c r="BH100" s="345"/>
      <c r="BI100" s="345"/>
      <c r="BJ100" s="345"/>
      <c r="BK100" s="345"/>
      <c r="BL100" s="353"/>
      <c r="BN100" s="503">
        <f>Construction!BM100/Construction!E100</f>
        <v>0</v>
      </c>
      <c r="BO100" s="171">
        <f>Construction!BD100/Construction!E100</f>
        <v>0</v>
      </c>
      <c r="BP100" s="152">
        <f>ROUNDUP((1-MIN(AB100*smithy_bonus,smithy_bonus_cap))*(1+Techs!AO100*tech_master_of_frugality)*spec_op_plat,0)</f>
        <v>165</v>
      </c>
      <c r="BQ100" s="164">
        <f>ROUNDUP(IF(race="Gnome",1,(1-MIN(AB100*smithy_bonus,smithy_bonus_cap))*(1+Techs!AO100*tech_master_of_frugality))*spec_op_ore,0)</f>
        <v>15</v>
      </c>
      <c r="BR100" s="164">
        <f t="shared" si="196"/>
        <v>0</v>
      </c>
      <c r="BS100" s="164">
        <f t="shared" si="197"/>
        <v>0</v>
      </c>
      <c r="BT100" s="164">
        <f ca="1">ROUNDUP((1-MIN(AB100*smithy_bonus,smithy_bonus_cap))*(1+Techs!AO100*tech_master_of_frugality)*spec_dp_plat,0)</f>
        <v>165</v>
      </c>
      <c r="BU100" s="164">
        <f ca="1">ROUNDUP(IF(OR(race="Gnome",race="Imperial Gnome"),1,(1-MIN(AB100*smithy_bonus,smithy_bonus_cap))*(1+Techs!AO100*tech_master_of_frugality))*spec_dp_ore,0)</f>
        <v>6</v>
      </c>
      <c r="BV100" s="164">
        <f t="shared" ca="1" si="198"/>
        <v>0</v>
      </c>
      <c r="BW100" s="164">
        <f t="shared" ca="1" si="199"/>
        <v>0</v>
      </c>
      <c r="BX100" s="164">
        <f t="shared" ca="1" si="200"/>
        <v>0</v>
      </c>
      <c r="BY100" s="164">
        <f ca="1">ROUNDUP((1-MIN(AB100*smithy_bonus,smithy_bonus_cap))*(1+Techs!AO100*tech_master_of_frugality)*elite1_plat,0)</f>
        <v>600</v>
      </c>
      <c r="BZ100" s="164">
        <f ca="1">ROUNDUP(IF(race="Gnome",1,(1-MIN(AB100*smithy_bonus,smithy_bonus_cap))*(1+Techs!AO100*tech_master_of_frugality))*elite1_ore,0)</f>
        <v>45</v>
      </c>
      <c r="CA100" s="164">
        <f t="shared" ca="1" si="201"/>
        <v>0</v>
      </c>
      <c r="CB100" s="164">
        <f t="shared" ca="1" si="202"/>
        <v>0</v>
      </c>
      <c r="CC100" s="164">
        <f t="shared" ca="1" si="203"/>
        <v>0</v>
      </c>
      <c r="CD100" s="164">
        <f t="shared" ca="1" si="204"/>
        <v>0</v>
      </c>
      <c r="CE100" s="164">
        <f t="shared" ca="1" si="205"/>
        <v>0</v>
      </c>
      <c r="CF100" s="164">
        <f ca="1">ROUNDUP((1-MIN(AB100*smithy_bonus,smithy_bonus_cap))*(1+Techs!AO100*tech_master_of_frugality)*elite2_plat,0)</f>
        <v>750</v>
      </c>
      <c r="CG100" s="164">
        <f ca="1">ROUNDUP(IF(race="Gnome",1,(1-MIN(AB100*smithy_bonus,smithy_bonus_cap))*(1+Techs!AO100*tech_master_of_frugality))*elite2_ore,0)</f>
        <v>60</v>
      </c>
      <c r="CH100" s="164">
        <f t="shared" ca="1" si="206"/>
        <v>0</v>
      </c>
      <c r="CI100" s="164">
        <f t="shared" ca="1" si="207"/>
        <v>0</v>
      </c>
      <c r="CJ100" s="164">
        <f t="shared" ca="1" si="208"/>
        <v>0</v>
      </c>
      <c r="CK100" s="164">
        <f t="shared" ca="1" si="209"/>
        <v>0</v>
      </c>
      <c r="CL100" s="164">
        <f t="shared" ca="1" si="210"/>
        <v>0</v>
      </c>
      <c r="CM100" s="164">
        <f>ROUNDUP((1+tech_spy_cost*Techs!AJ100)*spy_plat,0)</f>
        <v>500</v>
      </c>
      <c r="CN100" s="164">
        <f>ROUNDUP((1+tech_wizard_cost*Techs!AM100-MIN(ROUND(wg_wiz_cost_bonus*BN100,4),wg_wiz_cost_cap))*wizard_plat,0)</f>
        <v>500</v>
      </c>
      <c r="CO100" s="166">
        <f>ROUNDUP((1+tech_wizard_cost*Techs!AM100-MIN(ROUND(wg_wiz_cost_bonus*BN100,4),wg_wiz_cost_cap))*archmage_plat,0)</f>
        <v>1000</v>
      </c>
      <c r="CQ100" s="461">
        <f ca="1">Construction!DF100/Construction!E100</f>
        <v>0.28000000000000003</v>
      </c>
      <c r="CR100" s="462">
        <f t="shared" si="178"/>
        <v>0</v>
      </c>
      <c r="CS100" s="462">
        <f>Construction!BK100/Construction!E100</f>
        <v>0.05</v>
      </c>
      <c r="CT100" s="462">
        <f>Construction!BJ100/Construction!E100</f>
        <v>0</v>
      </c>
      <c r="CU100" s="462">
        <f>Construction!AY100/Construction!E100</f>
        <v>0</v>
      </c>
      <c r="CV100" s="481">
        <f t="shared" ca="1" si="211"/>
        <v>1.4000000000000001</v>
      </c>
      <c r="CW100" s="482">
        <f t="shared" ca="1" si="212"/>
        <v>1.4000000000000001</v>
      </c>
      <c r="CX100" s="482">
        <f t="shared" ca="1" si="213"/>
        <v>1.4000000000000001</v>
      </c>
      <c r="CY100" s="483">
        <f t="shared" ca="1" si="214"/>
        <v>1.4000000000000001</v>
      </c>
      <c r="CZ100" s="483">
        <f t="shared" si="215"/>
        <v>0.1</v>
      </c>
      <c r="DA100" s="483">
        <f t="shared" ca="1" si="216"/>
        <v>3</v>
      </c>
      <c r="DB100" s="483">
        <f t="shared" ca="1" si="217"/>
        <v>1.4000000000000001</v>
      </c>
      <c r="DC100" s="482">
        <f t="shared" si="218"/>
        <v>0</v>
      </c>
      <c r="DD100" s="847">
        <f t="shared" si="219"/>
        <v>0</v>
      </c>
      <c r="DE100" s="440">
        <f t="shared" si="179"/>
        <v>800</v>
      </c>
      <c r="DF100" s="440">
        <f t="shared" si="180"/>
        <v>0</v>
      </c>
      <c r="DG100" s="481">
        <f t="shared" ca="1" si="220"/>
        <v>1.4000000000000001</v>
      </c>
      <c r="DH100" s="450">
        <f t="shared" si="221"/>
        <v>9.0000000000000011E-2</v>
      </c>
      <c r="DI100" s="450">
        <f>MIN(valkyrja_cap,Production!O100/valkyrja_bonus)</f>
        <v>1</v>
      </c>
      <c r="DJ100" s="847">
        <f>MIN(voodoo_magi_cap,Production!O100/voodoo_magi_bonus)</f>
        <v>0.83333333333333337</v>
      </c>
      <c r="DK100" s="847">
        <f>MIN(warlock_cap,Production!O100/warlock_bonus)</f>
        <v>1.25</v>
      </c>
      <c r="DL100" s="847">
        <f ca="1">MIN(nox_nightshade_cap,Construction!DF100/Construction!E100/nox_nightshade_swamp_bonus)</f>
        <v>2.8000000000000003</v>
      </c>
      <c r="DM100" s="482">
        <f t="shared" si="222"/>
        <v>0</v>
      </c>
      <c r="DN100" s="483">
        <f t="shared" ca="1" si="223"/>
        <v>2.8000000000000003</v>
      </c>
      <c r="DO100" s="483">
        <f t="shared" ca="1" si="224"/>
        <v>2.8000000000000003</v>
      </c>
      <c r="DP100" s="483">
        <f t="shared" si="225"/>
        <v>1</v>
      </c>
      <c r="DQ100" s="482">
        <f t="shared" si="226"/>
        <v>0</v>
      </c>
      <c r="DR100" s="483">
        <f t="shared" si="227"/>
        <v>0</v>
      </c>
      <c r="DS100" s="482">
        <f t="shared" si="228"/>
        <v>0</v>
      </c>
      <c r="DT100" s="483">
        <f t="shared" si="229"/>
        <v>0.1</v>
      </c>
      <c r="DX100" s="481">
        <f ca="1">MIN(6,CV100+Races!$F$19)*1.8 +  IF(CV100+Races!$F$19&gt;6,(CV100+Races!$F$19-6)*0.2,0) - Races!$N$19</f>
        <v>2.5200000000000005</v>
      </c>
      <c r="DY100" s="482">
        <f ca="1">1.8 * MIN(MAX(CW100+Races!$E$20,CX100+Races!$F$20),6)  +  0.45 * MIN(MIN(CW100+Races!$E$20,CX100+Races!$F$20),6)  +  0.2 * ( MAX(CW100+Races!$E$20-6,0) + MAX(CX100+Races!$F$20-6,0) )  -  Races!$N$20</f>
        <v>3.1500000000000012</v>
      </c>
      <c r="DZ100" s="166">
        <f t="shared" ca="1" si="230"/>
        <v>3780.0000000000009</v>
      </c>
      <c r="EA100" s="665">
        <f ca="1">MIN(6,CY100+Races!$F$35)*1.8 +  IF(CY100+Races!$F$35&gt;6,(CY100+Races!$F$35-6)*0.2,0) - Races!$N$19</f>
        <v>0.72000000000000064</v>
      </c>
      <c r="EB100" s="166">
        <f t="shared" ca="1" si="231"/>
        <v>0</v>
      </c>
      <c r="EC100" s="665">
        <f ca="1">1.8 * MIN(MAX(Races!$E$27,DB100+Races!$F$27),6)  +  0.45 * MIN(MIN(Races!$E$27,DB100+Races!$F$27),6)  +  0.2 * ( MAX(Races!$E$27-6,0) + MAX(DB100+Races!$F$27-6,0) )  -  Races!$N$20</f>
        <v>4.7700000000000005</v>
      </c>
      <c r="ED100" s="166">
        <f t="shared" ca="1" si="232"/>
        <v>0</v>
      </c>
      <c r="EE100" s="665">
        <f>1.8 * MIN(MAX(DC100+Races!$E$47,DD100+Races!$F$47),6)  +  0.45 * MIN(MIN(DC100+Races!$E$47,DD100+Races!$F$47),6)  +  0.2 * ( MAX(DC100+Races!$E$47-6,0) + MAX(DD100+Races!$F$47-6,0) )  -  Races!$N$47</f>
        <v>0</v>
      </c>
      <c r="EF100" s="166">
        <f t="shared" si="233"/>
        <v>0</v>
      </c>
      <c r="EG100" s="665">
        <f ca="1">1.8 * MIN(MAX(DG100+Races!$F$71,Races!$E$71),6)  +  0.45 * MIN(MIN(DG100+Races!$F$71,Races!$E$71),6)  +  0.2 * ( MAX(DG100+Races!$F$71-6,0) + MAX(Races!$E$71-6,0) )  -  Races!$N$71</f>
        <v>2.5200000000000014</v>
      </c>
      <c r="EH100" s="665">
        <f>1.8 * MIN(MAX(DH100+Races!$E$71,Races!$F$71),6)  +  0.45 * MIN(MIN(DH100+Races!$E$71,Races!$F$71),6)  +  0.2 * ( MAX(DH100+Races!$E$71-6,0) + MAX(Races!$F$71-6,0) )  -  Races!$N$71</f>
        <v>0.16200000000000081</v>
      </c>
      <c r="EI100" s="166">
        <f t="shared" ca="1" si="234"/>
        <v>2584.8000000000015</v>
      </c>
      <c r="EJ100" s="166"/>
      <c r="EK100" s="166"/>
      <c r="EL100" s="166"/>
      <c r="EM100" s="166">
        <f ca="1">Overview!$L$22*E100+Overview!$L$23*F100+Overview!$L$24*G100+Overview!$L$25*H100+Overview!$L$26*I100+Overview!$L$27*J100+Overview!$L$28*K100+Construction!E100*20+Construction!B100*5 + DZ100*$DV$4+EB100*$DV$5+ED100*$DV$6+EF100*$DV$7+EI100*$DV$9</f>
        <v>39460</v>
      </c>
      <c r="EO100" s="737">
        <f>(J100+2*K100)/Construction!E100</f>
        <v>0.1</v>
      </c>
      <c r="EP100" s="734">
        <f ca="1">EO100*(1+race_wizard_strength+tech_magical_weaponry_wiz*Techs!AV172)</f>
        <v>0.1</v>
      </c>
      <c r="EQ100" s="170">
        <f>(I100+halfer*H100/3)/Construction!E100</f>
        <v>0.1</v>
      </c>
    </row>
    <row r="101" spans="1:147" s="170" customFormat="1">
      <c r="A101" s="629">
        <f>Rezone!J101</f>
        <v>99</v>
      </c>
      <c r="B101" s="152">
        <f ca="1">SUM(E101:K101)+SUM(AF93:AG101)+SUM(AH90:AL101)+Z101+Explore!AL101</f>
        <v>5295</v>
      </c>
      <c r="C101" s="171">
        <f ca="1">Population!G101</f>
        <v>0.57305194805194803</v>
      </c>
      <c r="E101" s="156">
        <f t="shared" si="182"/>
        <v>0</v>
      </c>
      <c r="F101" s="170">
        <f t="shared" si="183"/>
        <v>0</v>
      </c>
      <c r="G101" s="170">
        <f t="shared" si="184"/>
        <v>1000</v>
      </c>
      <c r="H101" s="170">
        <f t="shared" si="185"/>
        <v>400</v>
      </c>
      <c r="I101" s="170">
        <f t="shared" si="186"/>
        <v>100</v>
      </c>
      <c r="J101" s="170">
        <f t="shared" si="187"/>
        <v>100</v>
      </c>
      <c r="K101" s="157">
        <f t="shared" si="188"/>
        <v>0</v>
      </c>
      <c r="M101" s="160">
        <f ca="1">Production!G101</f>
        <v>39460</v>
      </c>
      <c r="O101" s="234">
        <f t="shared" ca="1" si="192"/>
        <v>4400</v>
      </c>
      <c r="P101" s="455">
        <f ca="1">race_offense+Imps!AB101+ROUND(MIN(gn_bonus*Construction!BF101/Construction!$E101,gn_bonus_cap),4)+MAX(IF(Magic!$AN101&gt;0,warsong_bonus),IF(Magic!AP101&gt;0,howling_op_bonus),IF(Magic!AS101&gt;0,nightfall_bonus),IF(Magic!AT101&gt;0,crusade_bonus),IF(Magic!AU101&gt;0,killingrage_bonus),IF(Magic!AV101&gt;0,bloodrage_bonus)) + Production!O101/100*prestige_offense_bonus + MAX(tech_military_offense*Techs!AH101,tech_magical_weaponry_op*Techs!AV101)</f>
        <v>0.05</v>
      </c>
      <c r="Q101" s="235">
        <f t="shared" ca="1" si="168"/>
        <v>4620</v>
      </c>
      <c r="R101" s="234">
        <f ca="1">F101*(spec_dp+spirit*DR101)+G101*(elite1_dp+woodie*CV101+sylvan*CY101+gnome*DB101+dark_elf*DD101+icekin*DG101+orc*DJ101+nox*DL101+beast*DN101+sacred*DP101+spirit*DS101+blackorc*DK101)+H101*(elite2_dp+woodie*CX101+beast*DO101+sacred*DQ101) + fh_peas_dp*MIN(Population!C101,20*Construction!BD101)+kobold*DE101</f>
        <v>7200</v>
      </c>
      <c r="S101" s="235">
        <f t="shared" ca="1" si="193"/>
        <v>10895</v>
      </c>
      <c r="T101" s="1052">
        <f ca="1">race_defense+Imps!AC101+ROUND(MIN(gt_bonus*Construction!BH101/Construction!$E101,gt_bonus_cap),4)+MAX(IF(Magic!AM101&gt;0,frenzy_bonus,IF(Magic!AQ101&gt;0,blizzard_bonus,IF(Magic!AP101&gt;0,howling_dp_bonus,IF(Magic!AI101&gt;0,ares_call_bonus)))),IF(Magic!AX101&gt;0,MIN(Construction!DF101/Construction!E101,0.2),0))</f>
        <v>0</v>
      </c>
      <c r="U101" s="1046">
        <f t="shared" ca="1" si="169"/>
        <v>7200</v>
      </c>
      <c r="V101" s="308">
        <f t="shared" ca="1" si="170"/>
        <v>10895</v>
      </c>
      <c r="W101" s="308">
        <f>Construction!E101</f>
        <v>1000</v>
      </c>
      <c r="X101" s="364"/>
      <c r="Y101" s="232">
        <f t="shared" si="191"/>
        <v>0.4</v>
      </c>
      <c r="Z101" s="166">
        <f ca="1">Z100+Population!Z100 - IF(race="Lux",AF101,SUM(AF101:AK101)) - BE101 + SUM(BF101:BL101) - Explore!AI101</f>
        <v>3695</v>
      </c>
      <c r="AA101" s="164"/>
      <c r="AB101" s="251">
        <f>(Construction!$BA101+Construction!BY101)/(Construction!$E101-Explore!S101*20)</f>
        <v>0.2</v>
      </c>
      <c r="AC101" s="629"/>
      <c r="AD101" s="798">
        <f>Rezone!J101</f>
        <v>99</v>
      </c>
      <c r="AE101" s="589">
        <f>Explore!AA101</f>
        <v>43696.083333333096</v>
      </c>
      <c r="AF101" s="352"/>
      <c r="AG101" s="345"/>
      <c r="AH101" s="345"/>
      <c r="AI101" s="345"/>
      <c r="AJ101" s="345"/>
      <c r="AK101" s="345"/>
      <c r="AL101" s="353"/>
      <c r="AN101" s="152">
        <f ca="1">Production!$H101</f>
        <v>3991309</v>
      </c>
      <c r="AO101" s="164">
        <f ca="1">Production!$L101</f>
        <v>231000</v>
      </c>
      <c r="AP101" s="164">
        <f ca="1">Production!J101</f>
        <v>269565</v>
      </c>
      <c r="AQ101" s="164">
        <f ca="1">Production!M101</f>
        <v>20000</v>
      </c>
      <c r="AR101" s="164">
        <f ca="1">Production!K101</f>
        <v>56633</v>
      </c>
      <c r="AS101" s="164">
        <f ca="1">Production!I101</f>
        <v>309630</v>
      </c>
      <c r="AT101" s="164">
        <f ca="1">Production!N101</f>
        <v>200</v>
      </c>
      <c r="AU101" s="152">
        <f t="shared" ca="1" si="194"/>
        <v>0</v>
      </c>
      <c r="AV101" s="164">
        <f t="shared" ca="1" si="195"/>
        <v>0</v>
      </c>
      <c r="AW101" s="164">
        <f t="shared" ca="1" si="171"/>
        <v>0</v>
      </c>
      <c r="AX101" s="164">
        <f t="shared" ca="1" si="172"/>
        <v>0</v>
      </c>
      <c r="AY101" s="164">
        <f t="shared" ca="1" si="173"/>
        <v>0</v>
      </c>
      <c r="AZ101" s="164">
        <f t="shared" ca="1" si="174"/>
        <v>0</v>
      </c>
      <c r="BA101" s="166">
        <f t="shared" ca="1" si="175"/>
        <v>0</v>
      </c>
      <c r="BB101" s="170">
        <v>27</v>
      </c>
      <c r="BC101" s="532">
        <f t="shared" si="176"/>
        <v>43696.083333333096</v>
      </c>
      <c r="BD101" s="233">
        <f t="shared" ca="1" si="177"/>
        <v>3695</v>
      </c>
      <c r="BE101" s="352"/>
      <c r="BF101" s="345"/>
      <c r="BG101" s="345"/>
      <c r="BH101" s="345"/>
      <c r="BI101" s="345"/>
      <c r="BJ101" s="345"/>
      <c r="BK101" s="345"/>
      <c r="BL101" s="353"/>
      <c r="BN101" s="503">
        <f>Construction!BM101/Construction!E101</f>
        <v>0</v>
      </c>
      <c r="BO101" s="171">
        <f>Construction!BD101/Construction!E101</f>
        <v>0</v>
      </c>
      <c r="BP101" s="152">
        <f>ROUNDUP((1-MIN(AB101*smithy_bonus,smithy_bonus_cap))*(1+Techs!AO101*tech_master_of_frugality)*spec_op_plat,0)</f>
        <v>165</v>
      </c>
      <c r="BQ101" s="164">
        <f>ROUNDUP(IF(race="Gnome",1,(1-MIN(AB101*smithy_bonus,smithy_bonus_cap))*(1+Techs!AO101*tech_master_of_frugality))*spec_op_ore,0)</f>
        <v>15</v>
      </c>
      <c r="BR101" s="164">
        <f t="shared" si="196"/>
        <v>0</v>
      </c>
      <c r="BS101" s="164">
        <f t="shared" si="197"/>
        <v>0</v>
      </c>
      <c r="BT101" s="164">
        <f ca="1">ROUNDUP((1-MIN(AB101*smithy_bonus,smithy_bonus_cap))*(1+Techs!AO101*tech_master_of_frugality)*spec_dp_plat,0)</f>
        <v>165</v>
      </c>
      <c r="BU101" s="164">
        <f ca="1">ROUNDUP(IF(OR(race="Gnome",race="Imperial Gnome"),1,(1-MIN(AB101*smithy_bonus,smithy_bonus_cap))*(1+Techs!AO101*tech_master_of_frugality))*spec_dp_ore,0)</f>
        <v>6</v>
      </c>
      <c r="BV101" s="164">
        <f t="shared" ca="1" si="198"/>
        <v>0</v>
      </c>
      <c r="BW101" s="164">
        <f t="shared" ca="1" si="199"/>
        <v>0</v>
      </c>
      <c r="BX101" s="164">
        <f t="shared" ca="1" si="200"/>
        <v>0</v>
      </c>
      <c r="BY101" s="164">
        <f ca="1">ROUNDUP((1-MIN(AB101*smithy_bonus,smithy_bonus_cap))*(1+Techs!AO101*tech_master_of_frugality)*elite1_plat,0)</f>
        <v>600</v>
      </c>
      <c r="BZ101" s="164">
        <f ca="1">ROUNDUP(IF(race="Gnome",1,(1-MIN(AB101*smithy_bonus,smithy_bonus_cap))*(1+Techs!AO101*tech_master_of_frugality))*elite1_ore,0)</f>
        <v>45</v>
      </c>
      <c r="CA101" s="164">
        <f t="shared" ca="1" si="201"/>
        <v>0</v>
      </c>
      <c r="CB101" s="164">
        <f t="shared" ca="1" si="202"/>
        <v>0</v>
      </c>
      <c r="CC101" s="164">
        <f t="shared" ca="1" si="203"/>
        <v>0</v>
      </c>
      <c r="CD101" s="164">
        <f t="shared" ca="1" si="204"/>
        <v>0</v>
      </c>
      <c r="CE101" s="164">
        <f t="shared" ca="1" si="205"/>
        <v>0</v>
      </c>
      <c r="CF101" s="164">
        <f ca="1">ROUNDUP((1-MIN(AB101*smithy_bonus,smithy_bonus_cap))*(1+Techs!AO101*tech_master_of_frugality)*elite2_plat,0)</f>
        <v>750</v>
      </c>
      <c r="CG101" s="164">
        <f ca="1">ROUNDUP(IF(race="Gnome",1,(1-MIN(AB101*smithy_bonus,smithy_bonus_cap))*(1+Techs!AO101*tech_master_of_frugality))*elite2_ore,0)</f>
        <v>60</v>
      </c>
      <c r="CH101" s="164">
        <f t="shared" ca="1" si="206"/>
        <v>0</v>
      </c>
      <c r="CI101" s="164">
        <f t="shared" ca="1" si="207"/>
        <v>0</v>
      </c>
      <c r="CJ101" s="164">
        <f t="shared" ca="1" si="208"/>
        <v>0</v>
      </c>
      <c r="CK101" s="164">
        <f t="shared" ca="1" si="209"/>
        <v>0</v>
      </c>
      <c r="CL101" s="164">
        <f t="shared" ca="1" si="210"/>
        <v>0</v>
      </c>
      <c r="CM101" s="164">
        <f>ROUNDUP((1+tech_spy_cost*Techs!AJ101)*spy_plat,0)</f>
        <v>500</v>
      </c>
      <c r="CN101" s="164">
        <f>ROUNDUP((1+tech_wizard_cost*Techs!AM101-MIN(ROUND(wg_wiz_cost_bonus*BN101,4),wg_wiz_cost_cap))*wizard_plat,0)</f>
        <v>500</v>
      </c>
      <c r="CO101" s="166">
        <f>ROUNDUP((1+tech_wizard_cost*Techs!AM101-MIN(ROUND(wg_wiz_cost_bonus*BN101,4),wg_wiz_cost_cap))*archmage_plat,0)</f>
        <v>1000</v>
      </c>
      <c r="CQ101" s="461">
        <f ca="1">Construction!DF101/Construction!E101</f>
        <v>0.28000000000000003</v>
      </c>
      <c r="CR101" s="462">
        <f t="shared" si="178"/>
        <v>0</v>
      </c>
      <c r="CS101" s="462">
        <f>Construction!BK101/Construction!E101</f>
        <v>0.05</v>
      </c>
      <c r="CT101" s="462">
        <f>Construction!BJ101/Construction!E101</f>
        <v>0</v>
      </c>
      <c r="CU101" s="462">
        <f>Construction!AY101/Construction!E101</f>
        <v>0</v>
      </c>
      <c r="CV101" s="481">
        <f t="shared" ca="1" si="211"/>
        <v>1.4000000000000001</v>
      </c>
      <c r="CW101" s="482">
        <f t="shared" ca="1" si="212"/>
        <v>1.4000000000000001</v>
      </c>
      <c r="CX101" s="482">
        <f t="shared" ca="1" si="213"/>
        <v>1.4000000000000001</v>
      </c>
      <c r="CY101" s="483">
        <f t="shared" ca="1" si="214"/>
        <v>1.4000000000000001</v>
      </c>
      <c r="CZ101" s="483">
        <f t="shared" si="215"/>
        <v>0.1</v>
      </c>
      <c r="DA101" s="483">
        <f t="shared" ca="1" si="216"/>
        <v>3</v>
      </c>
      <c r="DB101" s="483">
        <f t="shared" ca="1" si="217"/>
        <v>1.4000000000000001</v>
      </c>
      <c r="DC101" s="482">
        <f t="shared" si="218"/>
        <v>0</v>
      </c>
      <c r="DD101" s="847">
        <f t="shared" si="219"/>
        <v>0</v>
      </c>
      <c r="DE101" s="440">
        <f t="shared" si="179"/>
        <v>800</v>
      </c>
      <c r="DF101" s="440">
        <f t="shared" si="180"/>
        <v>0</v>
      </c>
      <c r="DG101" s="481">
        <f t="shared" ca="1" si="220"/>
        <v>1.4000000000000001</v>
      </c>
      <c r="DH101" s="450">
        <f t="shared" si="221"/>
        <v>9.0000000000000011E-2</v>
      </c>
      <c r="DI101" s="450">
        <f>MIN(valkyrja_cap,Production!O101/valkyrja_bonus)</f>
        <v>1</v>
      </c>
      <c r="DJ101" s="847">
        <f>MIN(voodoo_magi_cap,Production!O101/voodoo_magi_bonus)</f>
        <v>0.83333333333333337</v>
      </c>
      <c r="DK101" s="847">
        <f>MIN(warlock_cap,Production!O101/warlock_bonus)</f>
        <v>1.25</v>
      </c>
      <c r="DL101" s="847">
        <f ca="1">MIN(nox_nightshade_cap,Construction!DF101/Construction!E101/nox_nightshade_swamp_bonus)</f>
        <v>2.8000000000000003</v>
      </c>
      <c r="DM101" s="482">
        <f t="shared" si="222"/>
        <v>0</v>
      </c>
      <c r="DN101" s="483">
        <f t="shared" ca="1" si="223"/>
        <v>2.8000000000000003</v>
      </c>
      <c r="DO101" s="483">
        <f t="shared" ca="1" si="224"/>
        <v>2.8000000000000003</v>
      </c>
      <c r="DP101" s="483">
        <f t="shared" si="225"/>
        <v>1</v>
      </c>
      <c r="DQ101" s="482">
        <f t="shared" si="226"/>
        <v>0</v>
      </c>
      <c r="DR101" s="483">
        <f t="shared" si="227"/>
        <v>0</v>
      </c>
      <c r="DS101" s="482">
        <f t="shared" si="228"/>
        <v>0</v>
      </c>
      <c r="DT101" s="483">
        <f t="shared" si="229"/>
        <v>0.1</v>
      </c>
      <c r="DX101" s="481">
        <f ca="1">MIN(6,CV101+Races!$F$19)*1.8 +  IF(CV101+Races!$F$19&gt;6,(CV101+Races!$F$19-6)*0.2,0) - Races!$N$19</f>
        <v>2.5200000000000005</v>
      </c>
      <c r="DY101" s="482">
        <f ca="1">1.8 * MIN(MAX(CW101+Races!$E$20,CX101+Races!$F$20),6)  +  0.45 * MIN(MIN(CW101+Races!$E$20,CX101+Races!$F$20),6)  +  0.2 * ( MAX(CW101+Races!$E$20-6,0) + MAX(CX101+Races!$F$20-6,0) )  -  Races!$N$20</f>
        <v>3.1500000000000012</v>
      </c>
      <c r="DZ101" s="166">
        <f t="shared" ca="1" si="230"/>
        <v>3780.0000000000009</v>
      </c>
      <c r="EA101" s="665">
        <f ca="1">MIN(6,CY101+Races!$F$35)*1.8 +  IF(CY101+Races!$F$35&gt;6,(CY101+Races!$F$35-6)*0.2,0) - Races!$N$19</f>
        <v>0.72000000000000064</v>
      </c>
      <c r="EB101" s="166">
        <f t="shared" ca="1" si="231"/>
        <v>0</v>
      </c>
      <c r="EC101" s="665">
        <f ca="1">1.8 * MIN(MAX(Races!$E$27,DB101+Races!$F$27),6)  +  0.45 * MIN(MIN(Races!$E$27,DB101+Races!$F$27),6)  +  0.2 * ( MAX(Races!$E$27-6,0) + MAX(DB101+Races!$F$27-6,0) )  -  Races!$N$20</f>
        <v>4.7700000000000005</v>
      </c>
      <c r="ED101" s="166">
        <f t="shared" ca="1" si="232"/>
        <v>0</v>
      </c>
      <c r="EE101" s="665">
        <f>1.8 * MIN(MAX(DC101+Races!$E$47,DD101+Races!$F$47),6)  +  0.45 * MIN(MIN(DC101+Races!$E$47,DD101+Races!$F$47),6)  +  0.2 * ( MAX(DC101+Races!$E$47-6,0) + MAX(DD101+Races!$F$47-6,0) )  -  Races!$N$47</f>
        <v>0</v>
      </c>
      <c r="EF101" s="166">
        <f t="shared" si="233"/>
        <v>0</v>
      </c>
      <c r="EG101" s="665">
        <f ca="1">1.8 * MIN(MAX(DG101+Races!$F$71,Races!$E$71),6)  +  0.45 * MIN(MIN(DG101+Races!$F$71,Races!$E$71),6)  +  0.2 * ( MAX(DG101+Races!$F$71-6,0) + MAX(Races!$E$71-6,0) )  -  Races!$N$71</f>
        <v>2.5200000000000014</v>
      </c>
      <c r="EH101" s="665">
        <f>1.8 * MIN(MAX(DH101+Races!$E$71,Races!$F$71),6)  +  0.45 * MIN(MIN(DH101+Races!$E$71,Races!$F$71),6)  +  0.2 * ( MAX(DH101+Races!$E$71-6,0) + MAX(Races!$F$71-6,0) )  -  Races!$N$71</f>
        <v>0.16200000000000081</v>
      </c>
      <c r="EI101" s="166">
        <f t="shared" ca="1" si="234"/>
        <v>2584.8000000000015</v>
      </c>
      <c r="EJ101" s="166"/>
      <c r="EK101" s="166"/>
      <c r="EL101" s="166"/>
      <c r="EM101" s="166">
        <f ca="1">Overview!$L$22*E101+Overview!$L$23*F101+Overview!$L$24*G101+Overview!$L$25*H101+Overview!$L$26*I101+Overview!$L$27*J101+Overview!$L$28*K101+Construction!E101*20+Construction!B101*5 + DZ101*$DV$4+EB101*$DV$5+ED101*$DV$6+EF101*$DV$7+EI101*$DV$9</f>
        <v>39460</v>
      </c>
      <c r="EO101" s="737">
        <f>(J101+2*K101)/Construction!E101</f>
        <v>0.1</v>
      </c>
      <c r="EP101" s="734">
        <f ca="1">EO101*(1+race_wizard_strength+tech_magical_weaponry_wiz*Techs!AV173)</f>
        <v>0.1</v>
      </c>
      <c r="EQ101" s="170">
        <f>(I101+halfer*H101/3)/Construction!E101</f>
        <v>0.1</v>
      </c>
    </row>
    <row r="102" spans="1:147" s="16" customFormat="1">
      <c r="A102" s="629">
        <f>Rezone!J102</f>
        <v>100</v>
      </c>
      <c r="B102" s="56">
        <f ca="1">SUM(E102:K102)+SUM(AF94:AG102)+SUM(AH91:AL102)+Z102+Explore!AL102</f>
        <v>5295</v>
      </c>
      <c r="C102" s="97">
        <f ca="1">Population!G102</f>
        <v>0.57305194805194803</v>
      </c>
      <c r="E102" s="52">
        <f t="shared" si="182"/>
        <v>0</v>
      </c>
      <c r="F102" s="16">
        <f t="shared" si="183"/>
        <v>0</v>
      </c>
      <c r="G102" s="16">
        <f t="shared" si="184"/>
        <v>1000</v>
      </c>
      <c r="H102" s="16">
        <f t="shared" si="185"/>
        <v>400</v>
      </c>
      <c r="I102" s="16">
        <f t="shared" si="186"/>
        <v>100</v>
      </c>
      <c r="J102" s="16">
        <f t="shared" si="187"/>
        <v>100</v>
      </c>
      <c r="K102" s="53">
        <f t="shared" si="188"/>
        <v>0</v>
      </c>
      <c r="M102" s="64">
        <f ca="1">Production!G102</f>
        <v>39460</v>
      </c>
      <c r="O102" s="234">
        <f t="shared" ca="1" si="192"/>
        <v>4400</v>
      </c>
      <c r="P102" s="455">
        <f ca="1">race_offense+Imps!AB102+ROUND(MIN(gn_bonus*Construction!BF102/Construction!$E102,gn_bonus_cap),4)+MAX(IF(Magic!$AN102&gt;0,warsong_bonus),IF(Magic!AP102&gt;0,howling_op_bonus),IF(Magic!AS102&gt;0,nightfall_bonus),IF(Magic!AT102&gt;0,crusade_bonus),IF(Magic!AU102&gt;0,killingrage_bonus),IF(Magic!AV102&gt;0,bloodrage_bonus)) + Production!O102/100*prestige_offense_bonus + MAX(tech_military_offense*Techs!AH102,tech_magical_weaponry_op*Techs!AV102)</f>
        <v>0.05</v>
      </c>
      <c r="Q102" s="235">
        <f t="shared" ca="1" si="168"/>
        <v>4620</v>
      </c>
      <c r="R102" s="234">
        <f ca="1">F102*(spec_dp+spirit*DR102)+G102*(elite1_dp+woodie*CV102+sylvan*CY102+gnome*DB102+dark_elf*DD102+icekin*DG102+orc*DJ102+nox*DL102+beast*DN102+sacred*DP102+spirit*DS102+blackorc*DK102)+H102*(elite2_dp+woodie*CX102+beast*DO102+sacred*DQ102) + fh_peas_dp*MIN(Population!C102,20*Construction!BD102)+kobold*DE102</f>
        <v>7200</v>
      </c>
      <c r="S102" s="235">
        <f t="shared" ca="1" si="193"/>
        <v>10895</v>
      </c>
      <c r="T102" s="1052">
        <f ca="1">race_defense+Imps!AC102+ROUND(MIN(gt_bonus*Construction!BH102/Construction!$E102,gt_bonus_cap),4)+MAX(IF(Magic!AM102&gt;0,frenzy_bonus,IF(Magic!AQ102&gt;0,blizzard_bonus,IF(Magic!AP102&gt;0,howling_dp_bonus,IF(Magic!AI102&gt;0,ares_call_bonus)))),IF(Magic!AX102&gt;0,MIN(Construction!DF102/Construction!E102,0.2),0))</f>
        <v>0</v>
      </c>
      <c r="U102" s="1046">
        <f t="shared" ca="1" si="169"/>
        <v>7200</v>
      </c>
      <c r="V102" s="308">
        <f t="shared" ca="1" si="170"/>
        <v>10895</v>
      </c>
      <c r="W102" s="310">
        <f>Construction!E102</f>
        <v>1000</v>
      </c>
      <c r="X102" s="367"/>
      <c r="Y102" s="146">
        <f t="shared" si="191"/>
        <v>0.4</v>
      </c>
      <c r="Z102" s="166">
        <f ca="1">Z101+Population!Z101 - IF(race="Lux",AF102,SUM(AF102:AK102)) - BE102 + SUM(BF102:BL102) - Explore!AI102</f>
        <v>3695</v>
      </c>
      <c r="AA102" s="164"/>
      <c r="AB102" s="91">
        <f>(Construction!$BA102+Construction!BY102)/(Construction!$E102-Explore!S102*20)</f>
        <v>0.2</v>
      </c>
      <c r="AC102" s="529"/>
      <c r="AD102" s="799">
        <f>Rezone!J102</f>
        <v>100</v>
      </c>
      <c r="AE102" s="589">
        <f>Explore!AA102</f>
        <v>43696.12499999976</v>
      </c>
      <c r="AF102" s="356"/>
      <c r="AG102" s="348"/>
      <c r="AH102" s="348"/>
      <c r="AI102" s="348"/>
      <c r="AJ102" s="348"/>
      <c r="AK102" s="348"/>
      <c r="AL102" s="357"/>
      <c r="AN102" s="56">
        <f ca="1">Production!$H102</f>
        <v>4001960</v>
      </c>
      <c r="AO102" s="26">
        <f ca="1">Production!$L102</f>
        <v>231000</v>
      </c>
      <c r="AP102" s="26">
        <f ca="1">Production!J102</f>
        <v>269369</v>
      </c>
      <c r="AQ102" s="26">
        <f ca="1">Production!M102</f>
        <v>20000</v>
      </c>
      <c r="AR102" s="26">
        <f ca="1">Production!K102</f>
        <v>56750</v>
      </c>
      <c r="AS102" s="26">
        <f ca="1">Production!I102</f>
        <v>311264</v>
      </c>
      <c r="AT102" s="26">
        <f ca="1">Production!N102</f>
        <v>200</v>
      </c>
      <c r="AU102" s="152">
        <f t="shared" ca="1" si="194"/>
        <v>0</v>
      </c>
      <c r="AV102" s="164">
        <f t="shared" ca="1" si="195"/>
        <v>0</v>
      </c>
      <c r="AW102" s="164">
        <f t="shared" ca="1" si="171"/>
        <v>0</v>
      </c>
      <c r="AX102" s="164">
        <f t="shared" ca="1" si="172"/>
        <v>0</v>
      </c>
      <c r="AY102" s="164">
        <f t="shared" ca="1" si="173"/>
        <v>0</v>
      </c>
      <c r="AZ102" s="164">
        <f t="shared" ca="1" si="174"/>
        <v>0</v>
      </c>
      <c r="BA102" s="166">
        <f t="shared" ca="1" si="175"/>
        <v>0</v>
      </c>
      <c r="BB102" s="16">
        <v>28</v>
      </c>
      <c r="BC102" s="574">
        <f t="shared" si="176"/>
        <v>43696.12499999976</v>
      </c>
      <c r="BD102" s="148">
        <f t="shared" ca="1" si="177"/>
        <v>3695</v>
      </c>
      <c r="BE102" s="356"/>
      <c r="BF102" s="348"/>
      <c r="BG102" s="348"/>
      <c r="BH102" s="348"/>
      <c r="BI102" s="348"/>
      <c r="BJ102" s="348"/>
      <c r="BK102" s="348"/>
      <c r="BL102" s="357"/>
      <c r="BN102" s="503">
        <f>Construction!BM102/Construction!E102</f>
        <v>0</v>
      </c>
      <c r="BO102" s="171">
        <f>Construction!BD102/Construction!E102</f>
        <v>0</v>
      </c>
      <c r="BP102" s="152">
        <f>ROUNDUP((1-MIN(AB102*smithy_bonus,smithy_bonus_cap))*(1+Techs!AO102*tech_master_of_frugality)*spec_op_plat,0)</f>
        <v>165</v>
      </c>
      <c r="BQ102" s="164">
        <f>ROUNDUP(IF(race="Gnome",1,(1-MIN(AB102*smithy_bonus,smithy_bonus_cap))*(1+Techs!AO102*tech_master_of_frugality))*spec_op_ore,0)</f>
        <v>15</v>
      </c>
      <c r="BR102" s="164">
        <f t="shared" si="196"/>
        <v>0</v>
      </c>
      <c r="BS102" s="164">
        <f t="shared" si="197"/>
        <v>0</v>
      </c>
      <c r="BT102" s="164">
        <f ca="1">ROUNDUP((1-MIN(AB102*smithy_bonus,smithy_bonus_cap))*(1+Techs!AO102*tech_master_of_frugality)*spec_dp_plat,0)</f>
        <v>165</v>
      </c>
      <c r="BU102" s="164">
        <f ca="1">ROUNDUP(IF(OR(race="Gnome",race="Imperial Gnome"),1,(1-MIN(AB102*smithy_bonus,smithy_bonus_cap))*(1+Techs!AO102*tech_master_of_frugality))*spec_dp_ore,0)</f>
        <v>6</v>
      </c>
      <c r="BV102" s="164">
        <f t="shared" ca="1" si="198"/>
        <v>0</v>
      </c>
      <c r="BW102" s="164">
        <f t="shared" ca="1" si="199"/>
        <v>0</v>
      </c>
      <c r="BX102" s="164">
        <f t="shared" ca="1" si="200"/>
        <v>0</v>
      </c>
      <c r="BY102" s="164">
        <f ca="1">ROUNDUP((1-MIN(AB102*smithy_bonus,smithy_bonus_cap))*(1+Techs!AO102*tech_master_of_frugality)*elite1_plat,0)</f>
        <v>600</v>
      </c>
      <c r="BZ102" s="164">
        <f ca="1">ROUNDUP(IF(race="Gnome",1,(1-MIN(AB102*smithy_bonus,smithy_bonus_cap))*(1+Techs!AO102*tech_master_of_frugality))*elite1_ore,0)</f>
        <v>45</v>
      </c>
      <c r="CA102" s="164">
        <f t="shared" ca="1" si="201"/>
        <v>0</v>
      </c>
      <c r="CB102" s="164">
        <f t="shared" ca="1" si="202"/>
        <v>0</v>
      </c>
      <c r="CC102" s="164">
        <f t="shared" ca="1" si="203"/>
        <v>0</v>
      </c>
      <c r="CD102" s="164">
        <f t="shared" ca="1" si="204"/>
        <v>0</v>
      </c>
      <c r="CE102" s="164">
        <f t="shared" ca="1" si="205"/>
        <v>0</v>
      </c>
      <c r="CF102" s="164">
        <f ca="1">ROUNDUP((1-MIN(AB102*smithy_bonus,smithy_bonus_cap))*(1+Techs!AO102*tech_master_of_frugality)*elite2_plat,0)</f>
        <v>750</v>
      </c>
      <c r="CG102" s="164">
        <f ca="1">ROUNDUP(IF(race="Gnome",1,(1-MIN(AB102*smithy_bonus,smithy_bonus_cap))*(1+Techs!AO102*tech_master_of_frugality))*elite2_ore,0)</f>
        <v>60</v>
      </c>
      <c r="CH102" s="164">
        <f t="shared" ca="1" si="206"/>
        <v>0</v>
      </c>
      <c r="CI102" s="164">
        <f t="shared" ca="1" si="207"/>
        <v>0</v>
      </c>
      <c r="CJ102" s="164">
        <f t="shared" ca="1" si="208"/>
        <v>0</v>
      </c>
      <c r="CK102" s="164">
        <f t="shared" ca="1" si="209"/>
        <v>0</v>
      </c>
      <c r="CL102" s="164">
        <f t="shared" ca="1" si="210"/>
        <v>0</v>
      </c>
      <c r="CM102" s="164">
        <f>ROUNDUP((1+tech_spy_cost*Techs!AJ102)*spy_plat,0)</f>
        <v>500</v>
      </c>
      <c r="CN102" s="164">
        <f>ROUNDUP((1+tech_wizard_cost*Techs!AM102-MIN(ROUND(wg_wiz_cost_bonus*BN102,4),wg_wiz_cost_cap))*wizard_plat,0)</f>
        <v>500</v>
      </c>
      <c r="CO102" s="166">
        <f>ROUNDUP((1+tech_wizard_cost*Techs!AM102-MIN(ROUND(wg_wiz_cost_bonus*BN102,4),wg_wiz_cost_cap))*archmage_plat,0)</f>
        <v>1000</v>
      </c>
      <c r="CQ102" s="465">
        <f ca="1">Construction!DF102/Construction!E102</f>
        <v>0.28000000000000003</v>
      </c>
      <c r="CR102" s="466">
        <f t="shared" si="178"/>
        <v>0</v>
      </c>
      <c r="CS102" s="466">
        <f>Construction!BK102/Construction!E102</f>
        <v>0.05</v>
      </c>
      <c r="CT102" s="466">
        <f>Construction!BJ102/Construction!E102</f>
        <v>0</v>
      </c>
      <c r="CU102" s="466">
        <f>Construction!AY102/Construction!E102</f>
        <v>0</v>
      </c>
      <c r="CV102" s="481">
        <f t="shared" ca="1" si="211"/>
        <v>1.4000000000000001</v>
      </c>
      <c r="CW102" s="482">
        <f t="shared" ca="1" si="212"/>
        <v>1.4000000000000001</v>
      </c>
      <c r="CX102" s="482">
        <f t="shared" ca="1" si="213"/>
        <v>1.4000000000000001</v>
      </c>
      <c r="CY102" s="483">
        <f t="shared" ca="1" si="214"/>
        <v>1.4000000000000001</v>
      </c>
      <c r="CZ102" s="483">
        <f t="shared" si="215"/>
        <v>0.1</v>
      </c>
      <c r="DA102" s="483">
        <f t="shared" ca="1" si="216"/>
        <v>3</v>
      </c>
      <c r="DB102" s="483">
        <f t="shared" ca="1" si="217"/>
        <v>1.4000000000000001</v>
      </c>
      <c r="DC102" s="482">
        <f t="shared" si="218"/>
        <v>0</v>
      </c>
      <c r="DD102" s="847">
        <f t="shared" si="219"/>
        <v>0</v>
      </c>
      <c r="DE102" s="440">
        <f t="shared" si="179"/>
        <v>800</v>
      </c>
      <c r="DF102" s="440">
        <f t="shared" si="180"/>
        <v>0</v>
      </c>
      <c r="DG102" s="481">
        <f t="shared" ca="1" si="220"/>
        <v>1.4000000000000001</v>
      </c>
      <c r="DH102" s="450">
        <f t="shared" si="221"/>
        <v>9.0000000000000011E-2</v>
      </c>
      <c r="DI102" s="450">
        <f>MIN(valkyrja_cap,Production!O102/valkyrja_bonus)</f>
        <v>1</v>
      </c>
      <c r="DJ102" s="847">
        <f>MIN(voodoo_magi_cap,Production!O102/voodoo_magi_bonus)</f>
        <v>0.83333333333333337</v>
      </c>
      <c r="DK102" s="847">
        <f>MIN(warlock_cap,Production!O102/warlock_bonus)</f>
        <v>1.25</v>
      </c>
      <c r="DL102" s="847">
        <f ca="1">MIN(nox_nightshade_cap,Construction!DF102/Construction!E102/nox_nightshade_swamp_bonus)</f>
        <v>2.8000000000000003</v>
      </c>
      <c r="DM102" s="482">
        <f t="shared" si="222"/>
        <v>0</v>
      </c>
      <c r="DN102" s="483">
        <f t="shared" ca="1" si="223"/>
        <v>2.8000000000000003</v>
      </c>
      <c r="DO102" s="483">
        <f t="shared" ca="1" si="224"/>
        <v>2.8000000000000003</v>
      </c>
      <c r="DP102" s="483">
        <f t="shared" si="225"/>
        <v>1</v>
      </c>
      <c r="DQ102" s="482">
        <f t="shared" si="226"/>
        <v>0</v>
      </c>
      <c r="DR102" s="483">
        <f t="shared" si="227"/>
        <v>0</v>
      </c>
      <c r="DS102" s="482">
        <f t="shared" si="228"/>
        <v>0</v>
      </c>
      <c r="DT102" s="483">
        <f t="shared" si="229"/>
        <v>0.1</v>
      </c>
      <c r="DX102" s="487">
        <f ca="1">MIN(6,CV102+Races!$F$19)*1.8 +  IF(CV102+Races!$F$19&gt;6,(CV102+Races!$F$19-6)*0.2,0) - Races!$N$19</f>
        <v>2.5200000000000005</v>
      </c>
      <c r="DY102" s="488">
        <f ca="1">1.8 * MIN(MAX(CW102+Races!$E$20,CX102+Races!$F$20),6)  +  0.45 * MIN(MIN(CW102+Races!$E$20,CX102+Races!$F$20),6)  +  0.2 * ( MAX(CW102+Races!$E$20-6,0) + MAX(CX102+Races!$F$20-6,0) )  -  Races!$N$20</f>
        <v>3.1500000000000012</v>
      </c>
      <c r="DZ102" s="57">
        <f t="shared" ca="1" si="230"/>
        <v>3780.0000000000009</v>
      </c>
      <c r="EA102" s="666">
        <f ca="1">MIN(6,CY102+Races!$F$35)*1.8 +  IF(CY102+Races!$F$35&gt;6,(CY102+Races!$F$35-6)*0.2,0) - Races!$N$19</f>
        <v>0.72000000000000064</v>
      </c>
      <c r="EB102" s="57">
        <f t="shared" ca="1" si="231"/>
        <v>0</v>
      </c>
      <c r="EC102" s="666">
        <f ca="1">1.8 * MIN(MAX(Races!$E$27,DB102+Races!$F$27),6)  +  0.45 * MIN(MIN(Races!$E$27,DB102+Races!$F$27),6)  +  0.2 * ( MAX(Races!$E$27-6,0) + MAX(DB102+Races!$F$27-6,0) )  -  Races!$N$20</f>
        <v>4.7700000000000005</v>
      </c>
      <c r="ED102" s="57">
        <f t="shared" ca="1" si="232"/>
        <v>0</v>
      </c>
      <c r="EE102" s="666">
        <f>1.8 * MIN(MAX(DC102+Races!$E$47,DD102+Races!$F$47),6)  +  0.45 * MIN(MIN(DC102+Races!$E$47,DD102+Races!$F$47),6)  +  0.2 * ( MAX(DC102+Races!$E$47-6,0) + MAX(DD102+Races!$F$47-6,0) )  -  Races!$N$47</f>
        <v>0</v>
      </c>
      <c r="EF102" s="57">
        <f t="shared" si="233"/>
        <v>0</v>
      </c>
      <c r="EG102" s="666">
        <f ca="1">1.8 * MIN(MAX(DG102+Races!$F$71,Races!$E$71),6)  +  0.45 * MIN(MIN(DG102+Races!$F$71,Races!$E$71),6)  +  0.2 * ( MAX(DG102+Races!$F$71-6,0) + MAX(Races!$E$71-6,0) )  -  Races!$N$71</f>
        <v>2.5200000000000014</v>
      </c>
      <c r="EH102" s="666">
        <f>1.8 * MIN(MAX(DH102+Races!$E$71,Races!$F$71),6)  +  0.45 * MIN(MIN(DH102+Races!$E$71,Races!$F$71),6)  +  0.2 * ( MAX(DH102+Races!$E$71-6,0) + MAX(Races!$F$71-6,0) )  -  Races!$N$71</f>
        <v>0.16200000000000081</v>
      </c>
      <c r="EI102" s="57">
        <f t="shared" ca="1" si="234"/>
        <v>2584.8000000000015</v>
      </c>
      <c r="EJ102" s="57"/>
      <c r="EK102" s="57"/>
      <c r="EL102" s="57"/>
      <c r="EM102" s="57">
        <f ca="1">Overview!$L$22*E102+Overview!$L$23*F102+Overview!$L$24*G102+Overview!$L$25*H102+Overview!$L$26*I102+Overview!$L$27*J102+Overview!$L$28*K102+Construction!E102*20+Construction!B102*5 + DZ102*$DV$4+EB102*$DV$5+ED102*$DV$6+EF102*$DV$7+EI102*$DV$9</f>
        <v>39460</v>
      </c>
      <c r="EO102" s="738">
        <f>(J102+2*K102)/Construction!E102</f>
        <v>0.1</v>
      </c>
      <c r="EP102" s="734">
        <f ca="1">EO102*(1+race_wizard_strength+tech_magical_weaponry_wiz*Techs!AV174)</f>
        <v>0.1</v>
      </c>
      <c r="EQ102" s="16">
        <f>(I102+halfer*H102/3)/Construction!E102</f>
        <v>0.1</v>
      </c>
    </row>
    <row r="103" spans="1:147" s="16" customFormat="1">
      <c r="A103" s="629">
        <f>Rezone!J103</f>
        <v>101</v>
      </c>
      <c r="B103" s="56">
        <f ca="1">SUM(E103:K103)+SUM(AF95:AG103)+SUM(AH92:AL103)+Z103+Explore!AL103</f>
        <v>5295</v>
      </c>
      <c r="C103" s="97">
        <f ca="1">Population!G103</f>
        <v>0.57305194805194803</v>
      </c>
      <c r="E103" s="52">
        <f t="shared" si="182"/>
        <v>0</v>
      </c>
      <c r="F103" s="16">
        <f t="shared" si="183"/>
        <v>0</v>
      </c>
      <c r="G103" s="16">
        <f t="shared" si="184"/>
        <v>1000</v>
      </c>
      <c r="H103" s="16">
        <f t="shared" si="185"/>
        <v>400</v>
      </c>
      <c r="I103" s="16">
        <f t="shared" si="186"/>
        <v>100</v>
      </c>
      <c r="J103" s="16">
        <f t="shared" si="187"/>
        <v>100</v>
      </c>
      <c r="K103" s="53">
        <f t="shared" si="188"/>
        <v>0</v>
      </c>
      <c r="M103" s="64">
        <f ca="1">Production!G103</f>
        <v>39460</v>
      </c>
      <c r="O103" s="234">
        <f t="shared" ca="1" si="192"/>
        <v>4400</v>
      </c>
      <c r="P103" s="455">
        <f ca="1">race_offense+Imps!AB103+ROUND(MIN(gn_bonus*Construction!BF103/Construction!$E103,gn_bonus_cap),4)+MAX(IF(Magic!$AN103&gt;0,warsong_bonus),IF(Magic!AP103&gt;0,howling_op_bonus),IF(Magic!AS103&gt;0,nightfall_bonus),IF(Magic!AT103&gt;0,crusade_bonus),IF(Magic!AU103&gt;0,killingrage_bonus),IF(Magic!AV103&gt;0,bloodrage_bonus)) + Production!O103/100*prestige_offense_bonus + MAX(tech_military_offense*Techs!AH103,tech_magical_weaponry_op*Techs!AV103)</f>
        <v>0.05</v>
      </c>
      <c r="Q103" s="235">
        <f t="shared" ca="1" si="168"/>
        <v>4620</v>
      </c>
      <c r="R103" s="234">
        <f ca="1">F103*(spec_dp+spirit*DR103)+G103*(elite1_dp+woodie*CV103+sylvan*CY103+gnome*DB103+dark_elf*DD103+icekin*DG103+orc*DJ103+nox*DL103+beast*DN103+sacred*DP103+spirit*DS103+blackorc*DK103)+H103*(elite2_dp+woodie*CX103+beast*DO103+sacred*DQ103) + fh_peas_dp*MIN(Population!C103,20*Construction!BD103)+kobold*DE103</f>
        <v>7200</v>
      </c>
      <c r="S103" s="235">
        <f t="shared" ca="1" si="193"/>
        <v>10895</v>
      </c>
      <c r="T103" s="1052">
        <f ca="1">race_defense+Imps!AC103+ROUND(MIN(gt_bonus*Construction!BH103/Construction!$E103,gt_bonus_cap),4)+MAX(IF(Magic!AM103&gt;0,frenzy_bonus,IF(Magic!AQ103&gt;0,blizzard_bonus,IF(Magic!AP103&gt;0,howling_dp_bonus,IF(Magic!AI103&gt;0,ares_call_bonus)))),IF(Magic!AX103&gt;0,MIN(Construction!DF103/Construction!E103,0.2),0))</f>
        <v>0</v>
      </c>
      <c r="U103" s="1046">
        <f t="shared" ca="1" si="169"/>
        <v>7200</v>
      </c>
      <c r="V103" s="308">
        <f t="shared" ca="1" si="170"/>
        <v>10895</v>
      </c>
      <c r="W103" s="310">
        <f>Construction!E103</f>
        <v>1000</v>
      </c>
      <c r="X103" s="367"/>
      <c r="Y103" s="146">
        <f t="shared" si="191"/>
        <v>0.4</v>
      </c>
      <c r="Z103" s="166">
        <f ca="1">Z102+Population!Z102 - IF(race="Lux",AF103,SUM(AF103:AK103)) - BE103 + SUM(BF103:BL103) - Explore!AI103</f>
        <v>3695</v>
      </c>
      <c r="AA103" s="164"/>
      <c r="AB103" s="91">
        <f>(Construction!$BA103+Construction!BY103)/(Construction!$E103-Explore!S103*20)</f>
        <v>0.2</v>
      </c>
      <c r="AC103" s="529"/>
      <c r="AD103" s="799">
        <f>Rezone!J103</f>
        <v>101</v>
      </c>
      <c r="AE103" s="589">
        <f>Explore!AA103</f>
        <v>43696.166666666424</v>
      </c>
      <c r="AF103" s="356"/>
      <c r="AG103" s="348"/>
      <c r="AH103" s="348"/>
      <c r="AI103" s="348"/>
      <c r="AJ103" s="348"/>
      <c r="AK103" s="348"/>
      <c r="AL103" s="357"/>
      <c r="AN103" s="56">
        <f ca="1">Production!$H103</f>
        <v>4012611</v>
      </c>
      <c r="AO103" s="26">
        <f ca="1">Production!$L103</f>
        <v>231000</v>
      </c>
      <c r="AP103" s="26">
        <f ca="1">Production!J103</f>
        <v>269175</v>
      </c>
      <c r="AQ103" s="26">
        <f ca="1">Production!M103</f>
        <v>20000</v>
      </c>
      <c r="AR103" s="26">
        <f ca="1">Production!K103</f>
        <v>56865</v>
      </c>
      <c r="AS103" s="26">
        <f ca="1">Production!I103</f>
        <v>312881</v>
      </c>
      <c r="AT103" s="26">
        <f ca="1">Production!N103</f>
        <v>200</v>
      </c>
      <c r="AU103" s="152">
        <f t="shared" ca="1" si="194"/>
        <v>0</v>
      </c>
      <c r="AV103" s="164">
        <f t="shared" ca="1" si="195"/>
        <v>0</v>
      </c>
      <c r="AW103" s="164">
        <f t="shared" ca="1" si="171"/>
        <v>0</v>
      </c>
      <c r="AX103" s="164">
        <f t="shared" ca="1" si="172"/>
        <v>0</v>
      </c>
      <c r="AY103" s="164">
        <f t="shared" ca="1" si="173"/>
        <v>0</v>
      </c>
      <c r="AZ103" s="164">
        <f t="shared" ca="1" si="174"/>
        <v>0</v>
      </c>
      <c r="BA103" s="166">
        <f t="shared" ca="1" si="175"/>
        <v>0</v>
      </c>
      <c r="BB103" s="16">
        <v>29</v>
      </c>
      <c r="BC103" s="574">
        <f t="shared" si="176"/>
        <v>43696.166666666424</v>
      </c>
      <c r="BD103" s="148">
        <f t="shared" ca="1" si="177"/>
        <v>3695</v>
      </c>
      <c r="BE103" s="356"/>
      <c r="BF103" s="348"/>
      <c r="BG103" s="348"/>
      <c r="BH103" s="348"/>
      <c r="BI103" s="348"/>
      <c r="BJ103" s="348"/>
      <c r="BK103" s="348"/>
      <c r="BL103" s="357"/>
      <c r="BN103" s="503">
        <f>Construction!BM103/Construction!E103</f>
        <v>0</v>
      </c>
      <c r="BO103" s="171">
        <f>Construction!BD103/Construction!E103</f>
        <v>0</v>
      </c>
      <c r="BP103" s="152">
        <f>ROUNDUP((1-MIN(AB103*smithy_bonus,smithy_bonus_cap))*(1+Techs!AO103*tech_master_of_frugality)*spec_op_plat,0)</f>
        <v>165</v>
      </c>
      <c r="BQ103" s="164">
        <f>ROUNDUP(IF(race="Gnome",1,(1-MIN(AB103*smithy_bonus,smithy_bonus_cap))*(1+Techs!AO103*tech_master_of_frugality))*spec_op_ore,0)</f>
        <v>15</v>
      </c>
      <c r="BR103" s="164">
        <f t="shared" si="196"/>
        <v>0</v>
      </c>
      <c r="BS103" s="164">
        <f t="shared" si="197"/>
        <v>0</v>
      </c>
      <c r="BT103" s="164">
        <f ca="1">ROUNDUP((1-MIN(AB103*smithy_bonus,smithy_bonus_cap))*(1+Techs!AO103*tech_master_of_frugality)*spec_dp_plat,0)</f>
        <v>165</v>
      </c>
      <c r="BU103" s="164">
        <f ca="1">ROUNDUP(IF(OR(race="Gnome",race="Imperial Gnome"),1,(1-MIN(AB103*smithy_bonus,smithy_bonus_cap))*(1+Techs!AO103*tech_master_of_frugality))*spec_dp_ore,0)</f>
        <v>6</v>
      </c>
      <c r="BV103" s="164">
        <f t="shared" ca="1" si="198"/>
        <v>0</v>
      </c>
      <c r="BW103" s="164">
        <f t="shared" ca="1" si="199"/>
        <v>0</v>
      </c>
      <c r="BX103" s="164">
        <f t="shared" ca="1" si="200"/>
        <v>0</v>
      </c>
      <c r="BY103" s="164">
        <f ca="1">ROUNDUP((1-MIN(AB103*smithy_bonus,smithy_bonus_cap))*(1+Techs!AO103*tech_master_of_frugality)*elite1_plat,0)</f>
        <v>600</v>
      </c>
      <c r="BZ103" s="164">
        <f ca="1">ROUNDUP(IF(race="Gnome",1,(1-MIN(AB103*smithy_bonus,smithy_bonus_cap))*(1+Techs!AO103*tech_master_of_frugality))*elite1_ore,0)</f>
        <v>45</v>
      </c>
      <c r="CA103" s="164">
        <f t="shared" ca="1" si="201"/>
        <v>0</v>
      </c>
      <c r="CB103" s="164">
        <f t="shared" ca="1" si="202"/>
        <v>0</v>
      </c>
      <c r="CC103" s="164">
        <f t="shared" ca="1" si="203"/>
        <v>0</v>
      </c>
      <c r="CD103" s="164">
        <f t="shared" ca="1" si="204"/>
        <v>0</v>
      </c>
      <c r="CE103" s="164">
        <f t="shared" ca="1" si="205"/>
        <v>0</v>
      </c>
      <c r="CF103" s="164">
        <f ca="1">ROUNDUP((1-MIN(AB103*smithy_bonus,smithy_bonus_cap))*(1+Techs!AO103*tech_master_of_frugality)*elite2_plat,0)</f>
        <v>750</v>
      </c>
      <c r="CG103" s="164">
        <f ca="1">ROUNDUP(IF(race="Gnome",1,(1-MIN(AB103*smithy_bonus,smithy_bonus_cap))*(1+Techs!AO103*tech_master_of_frugality))*elite2_ore,0)</f>
        <v>60</v>
      </c>
      <c r="CH103" s="164">
        <f t="shared" ca="1" si="206"/>
        <v>0</v>
      </c>
      <c r="CI103" s="164">
        <f t="shared" ca="1" si="207"/>
        <v>0</v>
      </c>
      <c r="CJ103" s="164">
        <f t="shared" ca="1" si="208"/>
        <v>0</v>
      </c>
      <c r="CK103" s="164">
        <f t="shared" ca="1" si="209"/>
        <v>0</v>
      </c>
      <c r="CL103" s="164">
        <f t="shared" ca="1" si="210"/>
        <v>0</v>
      </c>
      <c r="CM103" s="164">
        <f>ROUNDUP((1+tech_spy_cost*Techs!AJ103)*spy_plat,0)</f>
        <v>500</v>
      </c>
      <c r="CN103" s="164">
        <f>ROUNDUP((1+tech_wizard_cost*Techs!AM103-MIN(ROUND(wg_wiz_cost_bonus*BN103,4),wg_wiz_cost_cap))*wizard_plat,0)</f>
        <v>500</v>
      </c>
      <c r="CO103" s="166">
        <f>ROUNDUP((1+tech_wizard_cost*Techs!AM103-MIN(ROUND(wg_wiz_cost_bonus*BN103,4),wg_wiz_cost_cap))*archmage_plat,0)</f>
        <v>1000</v>
      </c>
      <c r="CQ103" s="465">
        <f ca="1">Construction!DF103/Construction!E103</f>
        <v>0.28000000000000003</v>
      </c>
      <c r="CR103" s="466">
        <f t="shared" si="178"/>
        <v>0</v>
      </c>
      <c r="CS103" s="466">
        <f>Construction!BK103/Construction!E103</f>
        <v>0.05</v>
      </c>
      <c r="CT103" s="466">
        <f>Construction!BJ103/Construction!E103</f>
        <v>0</v>
      </c>
      <c r="CU103" s="466">
        <f>Construction!AY103/Construction!E103</f>
        <v>0</v>
      </c>
      <c r="CV103" s="481">
        <f t="shared" ca="1" si="211"/>
        <v>1.4000000000000001</v>
      </c>
      <c r="CW103" s="482">
        <f t="shared" ca="1" si="212"/>
        <v>1.4000000000000001</v>
      </c>
      <c r="CX103" s="482">
        <f t="shared" ca="1" si="213"/>
        <v>1.4000000000000001</v>
      </c>
      <c r="CY103" s="483">
        <f t="shared" ca="1" si="214"/>
        <v>1.4000000000000001</v>
      </c>
      <c r="CZ103" s="483">
        <f t="shared" si="215"/>
        <v>0.1</v>
      </c>
      <c r="DA103" s="483">
        <f t="shared" ca="1" si="216"/>
        <v>3</v>
      </c>
      <c r="DB103" s="483">
        <f t="shared" ca="1" si="217"/>
        <v>1.4000000000000001</v>
      </c>
      <c r="DC103" s="482">
        <f t="shared" si="218"/>
        <v>0</v>
      </c>
      <c r="DD103" s="847">
        <f t="shared" si="219"/>
        <v>0</v>
      </c>
      <c r="DE103" s="440">
        <f t="shared" si="179"/>
        <v>800</v>
      </c>
      <c r="DF103" s="440">
        <f t="shared" si="180"/>
        <v>0</v>
      </c>
      <c r="DG103" s="481">
        <f t="shared" ca="1" si="220"/>
        <v>1.4000000000000001</v>
      </c>
      <c r="DH103" s="450">
        <f t="shared" si="221"/>
        <v>9.0000000000000011E-2</v>
      </c>
      <c r="DI103" s="450">
        <f>MIN(valkyrja_cap,Production!O103/valkyrja_bonus)</f>
        <v>1</v>
      </c>
      <c r="DJ103" s="847">
        <f>MIN(voodoo_magi_cap,Production!O103/voodoo_magi_bonus)</f>
        <v>0.83333333333333337</v>
      </c>
      <c r="DK103" s="847">
        <f>MIN(warlock_cap,Production!O103/warlock_bonus)</f>
        <v>1.25</v>
      </c>
      <c r="DL103" s="847">
        <f ca="1">MIN(nox_nightshade_cap,Construction!DF103/Construction!E103/nox_nightshade_swamp_bonus)</f>
        <v>2.8000000000000003</v>
      </c>
      <c r="DM103" s="482">
        <f t="shared" si="222"/>
        <v>0</v>
      </c>
      <c r="DN103" s="483">
        <f t="shared" ca="1" si="223"/>
        <v>2.8000000000000003</v>
      </c>
      <c r="DO103" s="483">
        <f t="shared" ca="1" si="224"/>
        <v>2.8000000000000003</v>
      </c>
      <c r="DP103" s="483">
        <f t="shared" si="225"/>
        <v>1</v>
      </c>
      <c r="DQ103" s="482">
        <f t="shared" si="226"/>
        <v>0</v>
      </c>
      <c r="DR103" s="483">
        <f t="shared" si="227"/>
        <v>0</v>
      </c>
      <c r="DS103" s="482">
        <f t="shared" si="228"/>
        <v>0</v>
      </c>
      <c r="DT103" s="483">
        <f t="shared" si="229"/>
        <v>0.1</v>
      </c>
      <c r="DX103" s="487">
        <f ca="1">MIN(6,CV103+Races!$F$19)*1.8 +  IF(CV103+Races!$F$19&gt;6,(CV103+Races!$F$19-6)*0.2,0) - Races!$N$19</f>
        <v>2.5200000000000005</v>
      </c>
      <c r="DY103" s="488">
        <f ca="1">1.8 * MIN(MAX(CW103+Races!$E$20,CX103+Races!$F$20),6)  +  0.45 * MIN(MIN(CW103+Races!$E$20,CX103+Races!$F$20),6)  +  0.2 * ( MAX(CW103+Races!$E$20-6,0) + MAX(CX103+Races!$F$20-6,0) )  -  Races!$N$20</f>
        <v>3.1500000000000012</v>
      </c>
      <c r="DZ103" s="57">
        <f t="shared" ca="1" si="230"/>
        <v>3780.0000000000009</v>
      </c>
      <c r="EA103" s="666">
        <f ca="1">MIN(6,CY103+Races!$F$35)*1.8 +  IF(CY103+Races!$F$35&gt;6,(CY103+Races!$F$35-6)*0.2,0) - Races!$N$19</f>
        <v>0.72000000000000064</v>
      </c>
      <c r="EB103" s="57">
        <f t="shared" ca="1" si="231"/>
        <v>0</v>
      </c>
      <c r="EC103" s="666">
        <f ca="1">1.8 * MIN(MAX(Races!$E$27,DB103+Races!$F$27),6)  +  0.45 * MIN(MIN(Races!$E$27,DB103+Races!$F$27),6)  +  0.2 * ( MAX(Races!$E$27-6,0) + MAX(DB103+Races!$F$27-6,0) )  -  Races!$N$20</f>
        <v>4.7700000000000005</v>
      </c>
      <c r="ED103" s="57">
        <f t="shared" ca="1" si="232"/>
        <v>0</v>
      </c>
      <c r="EE103" s="666">
        <f>1.8 * MIN(MAX(DC103+Races!$E$47,DD103+Races!$F$47),6)  +  0.45 * MIN(MIN(DC103+Races!$E$47,DD103+Races!$F$47),6)  +  0.2 * ( MAX(DC103+Races!$E$47-6,0) + MAX(DD103+Races!$F$47-6,0) )  -  Races!$N$47</f>
        <v>0</v>
      </c>
      <c r="EF103" s="57">
        <f t="shared" si="233"/>
        <v>0</v>
      </c>
      <c r="EG103" s="666">
        <f ca="1">1.8 * MIN(MAX(DG103+Races!$F$71,Races!$E$71),6)  +  0.45 * MIN(MIN(DG103+Races!$F$71,Races!$E$71),6)  +  0.2 * ( MAX(DG103+Races!$F$71-6,0) + MAX(Races!$E$71-6,0) )  -  Races!$N$71</f>
        <v>2.5200000000000014</v>
      </c>
      <c r="EH103" s="666">
        <f>1.8 * MIN(MAX(DH103+Races!$E$71,Races!$F$71),6)  +  0.45 * MIN(MIN(DH103+Races!$E$71,Races!$F$71),6)  +  0.2 * ( MAX(DH103+Races!$E$71-6,0) + MAX(Races!$F$71-6,0) )  -  Races!$N$71</f>
        <v>0.16200000000000081</v>
      </c>
      <c r="EI103" s="57">
        <f t="shared" ca="1" si="234"/>
        <v>2584.8000000000015</v>
      </c>
      <c r="EJ103" s="57"/>
      <c r="EK103" s="57"/>
      <c r="EL103" s="57"/>
      <c r="EM103" s="57">
        <f ca="1">Overview!$L$22*E103+Overview!$L$23*F103+Overview!$L$24*G103+Overview!$L$25*H103+Overview!$L$26*I103+Overview!$L$27*J103+Overview!$L$28*K103+Construction!E103*20+Construction!B103*5 + DZ103*$DV$4+EB103*$DV$5+ED103*$DV$6+EF103*$DV$7+EI103*$DV$9</f>
        <v>39460</v>
      </c>
      <c r="EO103" s="738">
        <f>(J103+2*K103)/Construction!E103</f>
        <v>0.1</v>
      </c>
      <c r="EP103" s="734">
        <f ca="1">EO103*(1+race_wizard_strength+tech_magical_weaponry_wiz*Techs!AV175)</f>
        <v>0.1</v>
      </c>
      <c r="EQ103" s="16">
        <f>(I103+halfer*H103/3)/Construction!E103</f>
        <v>0.1</v>
      </c>
    </row>
    <row r="104" spans="1:147" s="16" customFormat="1">
      <c r="A104" s="629">
        <f>Rezone!J104</f>
        <v>102</v>
      </c>
      <c r="B104" s="56">
        <f ca="1">SUM(E104:K104)+SUM(AF96:AG104)+SUM(AH93:AL104)+Z104+Explore!AL104</f>
        <v>5295</v>
      </c>
      <c r="C104" s="97">
        <f ca="1">Population!G104</f>
        <v>0.57305194805194803</v>
      </c>
      <c r="E104" s="52">
        <f t="shared" si="182"/>
        <v>0</v>
      </c>
      <c r="F104" s="16">
        <f t="shared" si="183"/>
        <v>0</v>
      </c>
      <c r="G104" s="16">
        <f t="shared" si="184"/>
        <v>1000</v>
      </c>
      <c r="H104" s="16">
        <f t="shared" si="185"/>
        <v>400</v>
      </c>
      <c r="I104" s="16">
        <f t="shared" si="186"/>
        <v>100</v>
      </c>
      <c r="J104" s="16">
        <f t="shared" si="187"/>
        <v>100</v>
      </c>
      <c r="K104" s="53">
        <f t="shared" si="188"/>
        <v>0</v>
      </c>
      <c r="M104" s="64">
        <f ca="1">Production!G104</f>
        <v>39460</v>
      </c>
      <c r="O104" s="234">
        <f t="shared" ca="1" si="192"/>
        <v>4400</v>
      </c>
      <c r="P104" s="455">
        <f ca="1">race_offense+Imps!AB104+ROUND(MIN(gn_bonus*Construction!BF104/Construction!$E104,gn_bonus_cap),4)+MAX(IF(Magic!$AN104&gt;0,warsong_bonus),IF(Magic!AP104&gt;0,howling_op_bonus),IF(Magic!AS104&gt;0,nightfall_bonus),IF(Magic!AT104&gt;0,crusade_bonus),IF(Magic!AU104&gt;0,killingrage_bonus),IF(Magic!AV104&gt;0,bloodrage_bonus)) + Production!O104/100*prestige_offense_bonus + MAX(tech_military_offense*Techs!AH104,tech_magical_weaponry_op*Techs!AV104)</f>
        <v>0.05</v>
      </c>
      <c r="Q104" s="235">
        <f t="shared" ca="1" si="168"/>
        <v>4620</v>
      </c>
      <c r="R104" s="234">
        <f ca="1">F104*(spec_dp+spirit*DR104)+G104*(elite1_dp+woodie*CV104+sylvan*CY104+gnome*DB104+dark_elf*DD104+icekin*DG104+orc*DJ104+nox*DL104+beast*DN104+sacred*DP104+spirit*DS104+blackorc*DK104)+H104*(elite2_dp+woodie*CX104+beast*DO104+sacred*DQ104) + fh_peas_dp*MIN(Population!C104,20*Construction!BD104)+kobold*DE104</f>
        <v>7200</v>
      </c>
      <c r="S104" s="235">
        <f t="shared" ca="1" si="193"/>
        <v>10895</v>
      </c>
      <c r="T104" s="1052">
        <f ca="1">race_defense+Imps!AC104+ROUND(MIN(gt_bonus*Construction!BH104/Construction!$E104,gt_bonus_cap),4)+MAX(IF(Magic!AM104&gt;0,frenzy_bonus,IF(Magic!AQ104&gt;0,blizzard_bonus,IF(Magic!AP104&gt;0,howling_dp_bonus,IF(Magic!AI104&gt;0,ares_call_bonus)))),IF(Magic!AX104&gt;0,MIN(Construction!DF104/Construction!E104,0.2),0))</f>
        <v>0</v>
      </c>
      <c r="U104" s="1046">
        <f t="shared" ca="1" si="169"/>
        <v>7200</v>
      </c>
      <c r="V104" s="308">
        <f t="shared" ca="1" si="170"/>
        <v>10895</v>
      </c>
      <c r="W104" s="310">
        <f>Construction!E104</f>
        <v>1000</v>
      </c>
      <c r="X104" s="367"/>
      <c r="Y104" s="146">
        <f t="shared" si="191"/>
        <v>0.4</v>
      </c>
      <c r="Z104" s="166">
        <f ca="1">Z103+Population!Z103 - IF(race="Lux",AF104,SUM(AF104:AK104)) - BE104 + SUM(BF104:BL104) - Explore!AI104</f>
        <v>3695</v>
      </c>
      <c r="AA104" s="164"/>
      <c r="AB104" s="91">
        <f>(Construction!$BA104+Construction!BY104)/(Construction!$E104-Explore!S104*20)</f>
        <v>0.2</v>
      </c>
      <c r="AC104" s="529"/>
      <c r="AD104" s="799">
        <f>Rezone!J104</f>
        <v>102</v>
      </c>
      <c r="AE104" s="589">
        <f>Explore!AA104</f>
        <v>43696.208333333088</v>
      </c>
      <c r="AF104" s="356"/>
      <c r="AG104" s="348"/>
      <c r="AH104" s="348"/>
      <c r="AI104" s="348"/>
      <c r="AJ104" s="348"/>
      <c r="AK104" s="348"/>
      <c r="AL104" s="357"/>
      <c r="AN104" s="56">
        <f ca="1">Production!$H104</f>
        <v>4023262</v>
      </c>
      <c r="AO104" s="26">
        <f ca="1">Production!$L104</f>
        <v>231000</v>
      </c>
      <c r="AP104" s="26">
        <f ca="1">Production!J104</f>
        <v>268983</v>
      </c>
      <c r="AQ104" s="26">
        <f ca="1">Production!M104</f>
        <v>20000</v>
      </c>
      <c r="AR104" s="26">
        <f ca="1">Production!K104</f>
        <v>56978</v>
      </c>
      <c r="AS104" s="26">
        <f ca="1">Production!I104</f>
        <v>314482</v>
      </c>
      <c r="AT104" s="26">
        <f ca="1">Production!N104</f>
        <v>200</v>
      </c>
      <c r="AU104" s="152">
        <f t="shared" ca="1" si="194"/>
        <v>0</v>
      </c>
      <c r="AV104" s="164">
        <f t="shared" ca="1" si="195"/>
        <v>0</v>
      </c>
      <c r="AW104" s="164">
        <f t="shared" ca="1" si="171"/>
        <v>0</v>
      </c>
      <c r="AX104" s="164">
        <f t="shared" ca="1" si="172"/>
        <v>0</v>
      </c>
      <c r="AY104" s="164">
        <f t="shared" ca="1" si="173"/>
        <v>0</v>
      </c>
      <c r="AZ104" s="164">
        <f t="shared" ca="1" si="174"/>
        <v>0</v>
      </c>
      <c r="BA104" s="166">
        <f t="shared" ca="1" si="175"/>
        <v>0</v>
      </c>
      <c r="BB104" s="16">
        <v>30</v>
      </c>
      <c r="BC104" s="574">
        <f t="shared" si="176"/>
        <v>43696.208333333088</v>
      </c>
      <c r="BD104" s="148">
        <f t="shared" ca="1" si="177"/>
        <v>3695</v>
      </c>
      <c r="BE104" s="356"/>
      <c r="BF104" s="348"/>
      <c r="BG104" s="348"/>
      <c r="BH104" s="348"/>
      <c r="BI104" s="348"/>
      <c r="BJ104" s="348"/>
      <c r="BK104" s="348"/>
      <c r="BL104" s="357"/>
      <c r="BN104" s="503">
        <f>Construction!BM104/Construction!E104</f>
        <v>0</v>
      </c>
      <c r="BO104" s="171">
        <f>Construction!BD104/Construction!E104</f>
        <v>0</v>
      </c>
      <c r="BP104" s="152">
        <f>ROUNDUP((1-MIN(AB104*smithy_bonus,smithy_bonus_cap))*(1+Techs!AO104*tech_master_of_frugality)*spec_op_plat,0)</f>
        <v>165</v>
      </c>
      <c r="BQ104" s="164">
        <f>ROUNDUP(IF(race="Gnome",1,(1-MIN(AB104*smithy_bonus,smithy_bonus_cap))*(1+Techs!AO104*tech_master_of_frugality))*spec_op_ore,0)</f>
        <v>15</v>
      </c>
      <c r="BR104" s="164">
        <f t="shared" si="196"/>
        <v>0</v>
      </c>
      <c r="BS104" s="164">
        <f t="shared" si="197"/>
        <v>0</v>
      </c>
      <c r="BT104" s="164">
        <f ca="1">ROUNDUP((1-MIN(AB104*smithy_bonus,smithy_bonus_cap))*(1+Techs!AO104*tech_master_of_frugality)*spec_dp_plat,0)</f>
        <v>165</v>
      </c>
      <c r="BU104" s="164">
        <f ca="1">ROUNDUP(IF(OR(race="Gnome",race="Imperial Gnome"),1,(1-MIN(AB104*smithy_bonus,smithy_bonus_cap))*(1+Techs!AO104*tech_master_of_frugality))*spec_dp_ore,0)</f>
        <v>6</v>
      </c>
      <c r="BV104" s="164">
        <f t="shared" ca="1" si="198"/>
        <v>0</v>
      </c>
      <c r="BW104" s="164">
        <f t="shared" ca="1" si="199"/>
        <v>0</v>
      </c>
      <c r="BX104" s="164">
        <f t="shared" ca="1" si="200"/>
        <v>0</v>
      </c>
      <c r="BY104" s="164">
        <f ca="1">ROUNDUP((1-MIN(AB104*smithy_bonus,smithy_bonus_cap))*(1+Techs!AO104*tech_master_of_frugality)*elite1_plat,0)</f>
        <v>600</v>
      </c>
      <c r="BZ104" s="164">
        <f ca="1">ROUNDUP(IF(race="Gnome",1,(1-MIN(AB104*smithy_bonus,smithy_bonus_cap))*(1+Techs!AO104*tech_master_of_frugality))*elite1_ore,0)</f>
        <v>45</v>
      </c>
      <c r="CA104" s="164">
        <f t="shared" ca="1" si="201"/>
        <v>0</v>
      </c>
      <c r="CB104" s="164">
        <f t="shared" ca="1" si="202"/>
        <v>0</v>
      </c>
      <c r="CC104" s="164">
        <f t="shared" ca="1" si="203"/>
        <v>0</v>
      </c>
      <c r="CD104" s="164">
        <f t="shared" ca="1" si="204"/>
        <v>0</v>
      </c>
      <c r="CE104" s="164">
        <f t="shared" ca="1" si="205"/>
        <v>0</v>
      </c>
      <c r="CF104" s="164">
        <f ca="1">ROUNDUP((1-MIN(AB104*smithy_bonus,smithy_bonus_cap))*(1+Techs!AO104*tech_master_of_frugality)*elite2_plat,0)</f>
        <v>750</v>
      </c>
      <c r="CG104" s="164">
        <f ca="1">ROUNDUP(IF(race="Gnome",1,(1-MIN(AB104*smithy_bonus,smithy_bonus_cap))*(1+Techs!AO104*tech_master_of_frugality))*elite2_ore,0)</f>
        <v>60</v>
      </c>
      <c r="CH104" s="164">
        <f t="shared" ca="1" si="206"/>
        <v>0</v>
      </c>
      <c r="CI104" s="164">
        <f t="shared" ca="1" si="207"/>
        <v>0</v>
      </c>
      <c r="CJ104" s="164">
        <f t="shared" ca="1" si="208"/>
        <v>0</v>
      </c>
      <c r="CK104" s="164">
        <f t="shared" ca="1" si="209"/>
        <v>0</v>
      </c>
      <c r="CL104" s="164">
        <f t="shared" ca="1" si="210"/>
        <v>0</v>
      </c>
      <c r="CM104" s="164">
        <f>ROUNDUP((1+tech_spy_cost*Techs!AJ104)*spy_plat,0)</f>
        <v>500</v>
      </c>
      <c r="CN104" s="164">
        <f>ROUNDUP((1+tech_wizard_cost*Techs!AM104-MIN(ROUND(wg_wiz_cost_bonus*BN104,4),wg_wiz_cost_cap))*wizard_plat,0)</f>
        <v>500</v>
      </c>
      <c r="CO104" s="166">
        <f>ROUNDUP((1+tech_wizard_cost*Techs!AM104-MIN(ROUND(wg_wiz_cost_bonus*BN104,4),wg_wiz_cost_cap))*archmage_plat,0)</f>
        <v>1000</v>
      </c>
      <c r="CQ104" s="465">
        <f ca="1">Construction!DF104/Construction!E104</f>
        <v>0.28000000000000003</v>
      </c>
      <c r="CR104" s="466">
        <f t="shared" si="178"/>
        <v>0</v>
      </c>
      <c r="CS104" s="466">
        <f>Construction!BK104/Construction!E104</f>
        <v>0.05</v>
      </c>
      <c r="CT104" s="466">
        <f>Construction!BJ104/Construction!E104</f>
        <v>0</v>
      </c>
      <c r="CU104" s="466">
        <f>Construction!AY104/Construction!E104</f>
        <v>0</v>
      </c>
      <c r="CV104" s="481">
        <f t="shared" ca="1" si="211"/>
        <v>1.4000000000000001</v>
      </c>
      <c r="CW104" s="482">
        <f t="shared" ca="1" si="212"/>
        <v>1.4000000000000001</v>
      </c>
      <c r="CX104" s="482">
        <f t="shared" ca="1" si="213"/>
        <v>1.4000000000000001</v>
      </c>
      <c r="CY104" s="483">
        <f t="shared" ca="1" si="214"/>
        <v>1.4000000000000001</v>
      </c>
      <c r="CZ104" s="483">
        <f t="shared" si="215"/>
        <v>0.1</v>
      </c>
      <c r="DA104" s="483">
        <f t="shared" ca="1" si="216"/>
        <v>3</v>
      </c>
      <c r="DB104" s="483">
        <f t="shared" ca="1" si="217"/>
        <v>1.4000000000000001</v>
      </c>
      <c r="DC104" s="482">
        <f t="shared" si="218"/>
        <v>0</v>
      </c>
      <c r="DD104" s="847">
        <f t="shared" si="219"/>
        <v>0</v>
      </c>
      <c r="DE104" s="440">
        <f t="shared" si="179"/>
        <v>800</v>
      </c>
      <c r="DF104" s="440">
        <f t="shared" si="180"/>
        <v>0</v>
      </c>
      <c r="DG104" s="481">
        <f t="shared" ca="1" si="220"/>
        <v>1.4000000000000001</v>
      </c>
      <c r="DH104" s="450">
        <f t="shared" si="221"/>
        <v>9.0000000000000011E-2</v>
      </c>
      <c r="DI104" s="450">
        <f>MIN(valkyrja_cap,Production!O104/valkyrja_bonus)</f>
        <v>1</v>
      </c>
      <c r="DJ104" s="847">
        <f>MIN(voodoo_magi_cap,Production!O104/voodoo_magi_bonus)</f>
        <v>0.83333333333333337</v>
      </c>
      <c r="DK104" s="847">
        <f>MIN(warlock_cap,Production!O104/warlock_bonus)</f>
        <v>1.25</v>
      </c>
      <c r="DL104" s="847">
        <f ca="1">MIN(nox_nightshade_cap,Construction!DF104/Construction!E104/nox_nightshade_swamp_bonus)</f>
        <v>2.8000000000000003</v>
      </c>
      <c r="DM104" s="482">
        <f t="shared" si="222"/>
        <v>0</v>
      </c>
      <c r="DN104" s="483">
        <f t="shared" ca="1" si="223"/>
        <v>2.8000000000000003</v>
      </c>
      <c r="DO104" s="483">
        <f t="shared" ca="1" si="224"/>
        <v>2.8000000000000003</v>
      </c>
      <c r="DP104" s="483">
        <f t="shared" si="225"/>
        <v>1</v>
      </c>
      <c r="DQ104" s="482">
        <f t="shared" si="226"/>
        <v>0</v>
      </c>
      <c r="DR104" s="483">
        <f t="shared" si="227"/>
        <v>0</v>
      </c>
      <c r="DS104" s="482">
        <f t="shared" si="228"/>
        <v>0</v>
      </c>
      <c r="DT104" s="483">
        <f t="shared" si="229"/>
        <v>0.1</v>
      </c>
      <c r="DX104" s="487">
        <f ca="1">MIN(6,CV104+Races!$F$19)*1.8 +  IF(CV104+Races!$F$19&gt;6,(CV104+Races!$F$19-6)*0.2,0) - Races!$N$19</f>
        <v>2.5200000000000005</v>
      </c>
      <c r="DY104" s="488">
        <f ca="1">1.8 * MIN(MAX(CW104+Races!$E$20,CX104+Races!$F$20),6)  +  0.45 * MIN(MIN(CW104+Races!$E$20,CX104+Races!$F$20),6)  +  0.2 * ( MAX(CW104+Races!$E$20-6,0) + MAX(CX104+Races!$F$20-6,0) )  -  Races!$N$20</f>
        <v>3.1500000000000012</v>
      </c>
      <c r="DZ104" s="57">
        <f t="shared" ca="1" si="230"/>
        <v>3780.0000000000009</v>
      </c>
      <c r="EA104" s="666">
        <f ca="1">MIN(6,CY104+Races!$F$35)*1.8 +  IF(CY104+Races!$F$35&gt;6,(CY104+Races!$F$35-6)*0.2,0) - Races!$N$19</f>
        <v>0.72000000000000064</v>
      </c>
      <c r="EB104" s="57">
        <f t="shared" ca="1" si="231"/>
        <v>0</v>
      </c>
      <c r="EC104" s="666">
        <f ca="1">1.8 * MIN(MAX(Races!$E$27,DB104+Races!$F$27),6)  +  0.45 * MIN(MIN(Races!$E$27,DB104+Races!$F$27),6)  +  0.2 * ( MAX(Races!$E$27-6,0) + MAX(DB104+Races!$F$27-6,0) )  -  Races!$N$20</f>
        <v>4.7700000000000005</v>
      </c>
      <c r="ED104" s="57">
        <f t="shared" ca="1" si="232"/>
        <v>0</v>
      </c>
      <c r="EE104" s="666">
        <f>1.8 * MIN(MAX(DC104+Races!$E$47,DD104+Races!$F$47),6)  +  0.45 * MIN(MIN(DC104+Races!$E$47,DD104+Races!$F$47),6)  +  0.2 * ( MAX(DC104+Races!$E$47-6,0) + MAX(DD104+Races!$F$47-6,0) )  -  Races!$N$47</f>
        <v>0</v>
      </c>
      <c r="EF104" s="57">
        <f t="shared" si="233"/>
        <v>0</v>
      </c>
      <c r="EG104" s="666">
        <f ca="1">1.8 * MIN(MAX(DG104+Races!$F$71,Races!$E$71),6)  +  0.45 * MIN(MIN(DG104+Races!$F$71,Races!$E$71),6)  +  0.2 * ( MAX(DG104+Races!$F$71-6,0) + MAX(Races!$E$71-6,0) )  -  Races!$N$71</f>
        <v>2.5200000000000014</v>
      </c>
      <c r="EH104" s="666">
        <f>1.8 * MIN(MAX(DH104+Races!$E$71,Races!$F$71),6)  +  0.45 * MIN(MIN(DH104+Races!$E$71,Races!$F$71),6)  +  0.2 * ( MAX(DH104+Races!$E$71-6,0) + MAX(Races!$F$71-6,0) )  -  Races!$N$71</f>
        <v>0.16200000000000081</v>
      </c>
      <c r="EI104" s="57">
        <f t="shared" ca="1" si="234"/>
        <v>2584.8000000000015</v>
      </c>
      <c r="EJ104" s="57"/>
      <c r="EK104" s="57"/>
      <c r="EL104" s="57"/>
      <c r="EM104" s="57">
        <f ca="1">Overview!$L$22*E104+Overview!$L$23*F104+Overview!$L$24*G104+Overview!$L$25*H104+Overview!$L$26*I104+Overview!$L$27*J104+Overview!$L$28*K104+Construction!E104*20+Construction!B104*5 + DZ104*$DV$4+EB104*$DV$5+ED104*$DV$6+EF104*$DV$7+EI104*$DV$9</f>
        <v>39460</v>
      </c>
      <c r="EO104" s="738">
        <f>(J104+2*K104)/Construction!E104</f>
        <v>0.1</v>
      </c>
      <c r="EP104" s="734">
        <f ca="1">EO104*(1+race_wizard_strength+tech_magical_weaponry_wiz*Techs!AV176)</f>
        <v>0.1</v>
      </c>
      <c r="EQ104" s="16">
        <f>(I104+halfer*H104/3)/Construction!E104</f>
        <v>0.1</v>
      </c>
    </row>
    <row r="105" spans="1:147" s="16" customFormat="1">
      <c r="A105" s="629">
        <f>Rezone!J105</f>
        <v>103</v>
      </c>
      <c r="B105" s="56">
        <f ca="1">SUM(E105:K105)+SUM(AF97:AG105)+SUM(AH94:AL105)+Z105+Explore!AL105</f>
        <v>5295</v>
      </c>
      <c r="C105" s="97">
        <f ca="1">Population!G105</f>
        <v>0.57305194805194803</v>
      </c>
      <c r="E105" s="52">
        <f t="shared" si="182"/>
        <v>0</v>
      </c>
      <c r="F105" s="16">
        <f t="shared" si="183"/>
        <v>0</v>
      </c>
      <c r="G105" s="16">
        <f t="shared" si="184"/>
        <v>1000</v>
      </c>
      <c r="H105" s="16">
        <f t="shared" si="185"/>
        <v>400</v>
      </c>
      <c r="I105" s="16">
        <f t="shared" si="186"/>
        <v>100</v>
      </c>
      <c r="J105" s="16">
        <f t="shared" si="187"/>
        <v>100</v>
      </c>
      <c r="K105" s="53">
        <f t="shared" si="188"/>
        <v>0</v>
      </c>
      <c r="M105" s="64">
        <f ca="1">Production!G105</f>
        <v>39460</v>
      </c>
      <c r="O105" s="234">
        <f t="shared" ca="1" si="192"/>
        <v>4400</v>
      </c>
      <c r="P105" s="455">
        <f ca="1">race_offense+Imps!AB105+ROUND(MIN(gn_bonus*Construction!BF105/Construction!$E105,gn_bonus_cap),4)+MAX(IF(Magic!$AN105&gt;0,warsong_bonus),IF(Magic!AP105&gt;0,howling_op_bonus),IF(Magic!AS105&gt;0,nightfall_bonus),IF(Magic!AT105&gt;0,crusade_bonus),IF(Magic!AU105&gt;0,killingrage_bonus),IF(Magic!AV105&gt;0,bloodrage_bonus)) + Production!O105/100*prestige_offense_bonus + MAX(tech_military_offense*Techs!AH105,tech_magical_weaponry_op*Techs!AV105)</f>
        <v>0.05</v>
      </c>
      <c r="Q105" s="235">
        <f t="shared" ca="1" si="168"/>
        <v>4620</v>
      </c>
      <c r="R105" s="234">
        <f ca="1">F105*(spec_dp+spirit*DR105)+G105*(elite1_dp+woodie*CV105+sylvan*CY105+gnome*DB105+dark_elf*DD105+icekin*DG105+orc*DJ105+nox*DL105+beast*DN105+sacred*DP105+spirit*DS105+blackorc*DK105)+H105*(elite2_dp+woodie*CX105+beast*DO105+sacred*DQ105) + fh_peas_dp*MIN(Population!C105,20*Construction!BD105)+kobold*DE105</f>
        <v>7200</v>
      </c>
      <c r="S105" s="235">
        <f t="shared" ca="1" si="193"/>
        <v>10895</v>
      </c>
      <c r="T105" s="1052">
        <f ca="1">race_defense+Imps!AC105+ROUND(MIN(gt_bonus*Construction!BH105/Construction!$E105,gt_bonus_cap),4)+MAX(IF(Magic!AM105&gt;0,frenzy_bonus,IF(Magic!AQ105&gt;0,blizzard_bonus,IF(Magic!AP105&gt;0,howling_dp_bonus,IF(Magic!AI105&gt;0,ares_call_bonus)))),IF(Magic!AX105&gt;0,MIN(Construction!DF105/Construction!E105,0.2),0))</f>
        <v>0</v>
      </c>
      <c r="U105" s="1046">
        <f t="shared" ca="1" si="169"/>
        <v>7200</v>
      </c>
      <c r="V105" s="308">
        <f t="shared" ca="1" si="170"/>
        <v>10895</v>
      </c>
      <c r="W105" s="310">
        <f>Construction!E105</f>
        <v>1000</v>
      </c>
      <c r="X105" s="367"/>
      <c r="Y105" s="146">
        <f t="shared" si="191"/>
        <v>0.4</v>
      </c>
      <c r="Z105" s="166">
        <f ca="1">Z104+Population!Z104 - IF(race="Lux",AF105,SUM(AF105:AK105)) - BE105 + SUM(BF105:BL105) - Explore!AI105</f>
        <v>3695</v>
      </c>
      <c r="AA105" s="164"/>
      <c r="AB105" s="91">
        <f>(Construction!$BA105+Construction!BY105)/(Construction!$E105-Explore!S105*20)</f>
        <v>0.2</v>
      </c>
      <c r="AC105" s="529"/>
      <c r="AD105" s="799">
        <f>Rezone!J105</f>
        <v>103</v>
      </c>
      <c r="AE105" s="589">
        <f>Explore!AA105</f>
        <v>43696.249999999753</v>
      </c>
      <c r="AF105" s="356"/>
      <c r="AG105" s="348"/>
      <c r="AH105" s="348"/>
      <c r="AI105" s="348"/>
      <c r="AJ105" s="348"/>
      <c r="AK105" s="348"/>
      <c r="AL105" s="357"/>
      <c r="AN105" s="56">
        <f ca="1">Production!$H105</f>
        <v>4033913</v>
      </c>
      <c r="AO105" s="26">
        <f ca="1">Production!$L105</f>
        <v>231000</v>
      </c>
      <c r="AP105" s="26">
        <f ca="1">Production!J105</f>
        <v>268793</v>
      </c>
      <c r="AQ105" s="26">
        <f ca="1">Production!M105</f>
        <v>20000</v>
      </c>
      <c r="AR105" s="26">
        <f ca="1">Production!K105</f>
        <v>57088</v>
      </c>
      <c r="AS105" s="26">
        <f ca="1">Production!I105</f>
        <v>316067</v>
      </c>
      <c r="AT105" s="26">
        <f ca="1">Production!N105</f>
        <v>200</v>
      </c>
      <c r="AU105" s="152">
        <f t="shared" ca="1" si="194"/>
        <v>0</v>
      </c>
      <c r="AV105" s="164">
        <f t="shared" ca="1" si="195"/>
        <v>0</v>
      </c>
      <c r="AW105" s="164">
        <f t="shared" ca="1" si="171"/>
        <v>0</v>
      </c>
      <c r="AX105" s="164">
        <f t="shared" ca="1" si="172"/>
        <v>0</v>
      </c>
      <c r="AY105" s="164">
        <f t="shared" ca="1" si="173"/>
        <v>0</v>
      </c>
      <c r="AZ105" s="164">
        <f t="shared" ca="1" si="174"/>
        <v>0</v>
      </c>
      <c r="BA105" s="166">
        <f t="shared" ca="1" si="175"/>
        <v>0</v>
      </c>
      <c r="BB105" s="16">
        <v>31</v>
      </c>
      <c r="BC105" s="574">
        <f t="shared" si="176"/>
        <v>43696.249999999753</v>
      </c>
      <c r="BD105" s="148">
        <f t="shared" ca="1" si="177"/>
        <v>3695</v>
      </c>
      <c r="BE105" s="356"/>
      <c r="BF105" s="348"/>
      <c r="BG105" s="348"/>
      <c r="BH105" s="348"/>
      <c r="BI105" s="348"/>
      <c r="BJ105" s="348"/>
      <c r="BK105" s="348"/>
      <c r="BL105" s="357"/>
      <c r="BN105" s="503">
        <f>Construction!BM105/Construction!E105</f>
        <v>0</v>
      </c>
      <c r="BO105" s="171">
        <f>Construction!BD105/Construction!E105</f>
        <v>0</v>
      </c>
      <c r="BP105" s="152">
        <f>ROUNDUP((1-MIN(AB105*smithy_bonus,smithy_bonus_cap))*(1+Techs!AO105*tech_master_of_frugality)*spec_op_plat,0)</f>
        <v>165</v>
      </c>
      <c r="BQ105" s="164">
        <f>ROUNDUP(IF(race="Gnome",1,(1-MIN(AB105*smithy_bonus,smithy_bonus_cap))*(1+Techs!AO105*tech_master_of_frugality))*spec_op_ore,0)</f>
        <v>15</v>
      </c>
      <c r="BR105" s="164">
        <f t="shared" si="196"/>
        <v>0</v>
      </c>
      <c r="BS105" s="164">
        <f t="shared" si="197"/>
        <v>0</v>
      </c>
      <c r="BT105" s="164">
        <f ca="1">ROUNDUP((1-MIN(AB105*smithy_bonus,smithy_bonus_cap))*(1+Techs!AO105*tech_master_of_frugality)*spec_dp_plat,0)</f>
        <v>165</v>
      </c>
      <c r="BU105" s="164">
        <f ca="1">ROUNDUP(IF(OR(race="Gnome",race="Imperial Gnome"),1,(1-MIN(AB105*smithy_bonus,smithy_bonus_cap))*(1+Techs!AO105*tech_master_of_frugality))*spec_dp_ore,0)</f>
        <v>6</v>
      </c>
      <c r="BV105" s="164">
        <f t="shared" ca="1" si="198"/>
        <v>0</v>
      </c>
      <c r="BW105" s="164">
        <f t="shared" ca="1" si="199"/>
        <v>0</v>
      </c>
      <c r="BX105" s="164">
        <f t="shared" ca="1" si="200"/>
        <v>0</v>
      </c>
      <c r="BY105" s="164">
        <f ca="1">ROUNDUP((1-MIN(AB105*smithy_bonus,smithy_bonus_cap))*(1+Techs!AO105*tech_master_of_frugality)*elite1_plat,0)</f>
        <v>600</v>
      </c>
      <c r="BZ105" s="164">
        <f ca="1">ROUNDUP(IF(race="Gnome",1,(1-MIN(AB105*smithy_bonus,smithy_bonus_cap))*(1+Techs!AO105*tech_master_of_frugality))*elite1_ore,0)</f>
        <v>45</v>
      </c>
      <c r="CA105" s="164">
        <f t="shared" ca="1" si="201"/>
        <v>0</v>
      </c>
      <c r="CB105" s="164">
        <f t="shared" ca="1" si="202"/>
        <v>0</v>
      </c>
      <c r="CC105" s="164">
        <f t="shared" ca="1" si="203"/>
        <v>0</v>
      </c>
      <c r="CD105" s="164">
        <f t="shared" ca="1" si="204"/>
        <v>0</v>
      </c>
      <c r="CE105" s="164">
        <f t="shared" ca="1" si="205"/>
        <v>0</v>
      </c>
      <c r="CF105" s="164">
        <f ca="1">ROUNDUP((1-MIN(AB105*smithy_bonus,smithy_bonus_cap))*(1+Techs!AO105*tech_master_of_frugality)*elite2_plat,0)</f>
        <v>750</v>
      </c>
      <c r="CG105" s="164">
        <f ca="1">ROUNDUP(IF(race="Gnome",1,(1-MIN(AB105*smithy_bonus,smithy_bonus_cap))*(1+Techs!AO105*tech_master_of_frugality))*elite2_ore,0)</f>
        <v>60</v>
      </c>
      <c r="CH105" s="164">
        <f t="shared" ca="1" si="206"/>
        <v>0</v>
      </c>
      <c r="CI105" s="164">
        <f t="shared" ca="1" si="207"/>
        <v>0</v>
      </c>
      <c r="CJ105" s="164">
        <f t="shared" ca="1" si="208"/>
        <v>0</v>
      </c>
      <c r="CK105" s="164">
        <f t="shared" ca="1" si="209"/>
        <v>0</v>
      </c>
      <c r="CL105" s="164">
        <f t="shared" ca="1" si="210"/>
        <v>0</v>
      </c>
      <c r="CM105" s="164">
        <f>ROUNDUP((1+tech_spy_cost*Techs!AJ105)*spy_plat,0)</f>
        <v>500</v>
      </c>
      <c r="CN105" s="164">
        <f>ROUNDUP((1+tech_wizard_cost*Techs!AM105-MIN(ROUND(wg_wiz_cost_bonus*BN105,4),wg_wiz_cost_cap))*wizard_plat,0)</f>
        <v>500</v>
      </c>
      <c r="CO105" s="166">
        <f>ROUNDUP((1+tech_wizard_cost*Techs!AM105-MIN(ROUND(wg_wiz_cost_bonus*BN105,4),wg_wiz_cost_cap))*archmage_plat,0)</f>
        <v>1000</v>
      </c>
      <c r="CQ105" s="465">
        <f ca="1">Construction!DF105/Construction!E105</f>
        <v>0.28000000000000003</v>
      </c>
      <c r="CR105" s="466">
        <f t="shared" si="178"/>
        <v>0</v>
      </c>
      <c r="CS105" s="466">
        <f>Construction!BK105/Construction!E105</f>
        <v>0.05</v>
      </c>
      <c r="CT105" s="466">
        <f>Construction!BJ105/Construction!E105</f>
        <v>0</v>
      </c>
      <c r="CU105" s="466">
        <f>Construction!AY105/Construction!E105</f>
        <v>0</v>
      </c>
      <c r="CV105" s="481">
        <f t="shared" ca="1" si="211"/>
        <v>1.4000000000000001</v>
      </c>
      <c r="CW105" s="482">
        <f t="shared" ca="1" si="212"/>
        <v>1.4000000000000001</v>
      </c>
      <c r="CX105" s="482">
        <f t="shared" ca="1" si="213"/>
        <v>1.4000000000000001</v>
      </c>
      <c r="CY105" s="483">
        <f t="shared" ca="1" si="214"/>
        <v>1.4000000000000001</v>
      </c>
      <c r="CZ105" s="483">
        <f t="shared" si="215"/>
        <v>0.1</v>
      </c>
      <c r="DA105" s="483">
        <f t="shared" ca="1" si="216"/>
        <v>3</v>
      </c>
      <c r="DB105" s="483">
        <f t="shared" ca="1" si="217"/>
        <v>1.4000000000000001</v>
      </c>
      <c r="DC105" s="482">
        <f t="shared" si="218"/>
        <v>0</v>
      </c>
      <c r="DD105" s="847">
        <f t="shared" si="219"/>
        <v>0</v>
      </c>
      <c r="DE105" s="440">
        <f t="shared" si="179"/>
        <v>800</v>
      </c>
      <c r="DF105" s="440">
        <f t="shared" si="180"/>
        <v>0</v>
      </c>
      <c r="DG105" s="481">
        <f t="shared" ca="1" si="220"/>
        <v>1.4000000000000001</v>
      </c>
      <c r="DH105" s="450">
        <f t="shared" si="221"/>
        <v>9.0000000000000011E-2</v>
      </c>
      <c r="DI105" s="450">
        <f>MIN(valkyrja_cap,Production!O105/valkyrja_bonus)</f>
        <v>1</v>
      </c>
      <c r="DJ105" s="847">
        <f>MIN(voodoo_magi_cap,Production!O105/voodoo_magi_bonus)</f>
        <v>0.83333333333333337</v>
      </c>
      <c r="DK105" s="847">
        <f>MIN(warlock_cap,Production!O105/warlock_bonus)</f>
        <v>1.25</v>
      </c>
      <c r="DL105" s="847">
        <f ca="1">MIN(nox_nightshade_cap,Construction!DF105/Construction!E105/nox_nightshade_swamp_bonus)</f>
        <v>2.8000000000000003</v>
      </c>
      <c r="DM105" s="482">
        <f t="shared" si="222"/>
        <v>0</v>
      </c>
      <c r="DN105" s="483">
        <f t="shared" ca="1" si="223"/>
        <v>2.8000000000000003</v>
      </c>
      <c r="DO105" s="483">
        <f t="shared" ca="1" si="224"/>
        <v>2.8000000000000003</v>
      </c>
      <c r="DP105" s="483">
        <f t="shared" si="225"/>
        <v>1</v>
      </c>
      <c r="DQ105" s="482">
        <f t="shared" si="226"/>
        <v>0</v>
      </c>
      <c r="DR105" s="483">
        <f t="shared" si="227"/>
        <v>0</v>
      </c>
      <c r="DS105" s="482">
        <f t="shared" si="228"/>
        <v>0</v>
      </c>
      <c r="DT105" s="483">
        <f t="shared" si="229"/>
        <v>0.1</v>
      </c>
      <c r="DX105" s="487">
        <f ca="1">MIN(6,CV105+Races!$F$19)*1.8 +  IF(CV105+Races!$F$19&gt;6,(CV105+Races!$F$19-6)*0.2,0) - Races!$N$19</f>
        <v>2.5200000000000005</v>
      </c>
      <c r="DY105" s="488">
        <f ca="1">1.8 * MIN(MAX(CW105+Races!$E$20,CX105+Races!$F$20),6)  +  0.45 * MIN(MIN(CW105+Races!$E$20,CX105+Races!$F$20),6)  +  0.2 * ( MAX(CW105+Races!$E$20-6,0) + MAX(CX105+Races!$F$20-6,0) )  -  Races!$N$20</f>
        <v>3.1500000000000012</v>
      </c>
      <c r="DZ105" s="57">
        <f t="shared" ca="1" si="230"/>
        <v>3780.0000000000009</v>
      </c>
      <c r="EA105" s="666">
        <f ca="1">MIN(6,CY105+Races!$F$35)*1.8 +  IF(CY105+Races!$F$35&gt;6,(CY105+Races!$F$35-6)*0.2,0) - Races!$N$19</f>
        <v>0.72000000000000064</v>
      </c>
      <c r="EB105" s="57">
        <f t="shared" ca="1" si="231"/>
        <v>0</v>
      </c>
      <c r="EC105" s="666">
        <f ca="1">1.8 * MIN(MAX(Races!$E$27,DB105+Races!$F$27),6)  +  0.45 * MIN(MIN(Races!$E$27,DB105+Races!$F$27),6)  +  0.2 * ( MAX(Races!$E$27-6,0) + MAX(DB105+Races!$F$27-6,0) )  -  Races!$N$20</f>
        <v>4.7700000000000005</v>
      </c>
      <c r="ED105" s="57">
        <f t="shared" ca="1" si="232"/>
        <v>0</v>
      </c>
      <c r="EE105" s="666">
        <f>1.8 * MIN(MAX(DC105+Races!$E$47,DD105+Races!$F$47),6)  +  0.45 * MIN(MIN(DC105+Races!$E$47,DD105+Races!$F$47),6)  +  0.2 * ( MAX(DC105+Races!$E$47-6,0) + MAX(DD105+Races!$F$47-6,0) )  -  Races!$N$47</f>
        <v>0</v>
      </c>
      <c r="EF105" s="57">
        <f t="shared" si="233"/>
        <v>0</v>
      </c>
      <c r="EG105" s="666">
        <f ca="1">1.8 * MIN(MAX(DG105+Races!$F$71,Races!$E$71),6)  +  0.45 * MIN(MIN(DG105+Races!$F$71,Races!$E$71),6)  +  0.2 * ( MAX(DG105+Races!$F$71-6,0) + MAX(Races!$E$71-6,0) )  -  Races!$N$71</f>
        <v>2.5200000000000014</v>
      </c>
      <c r="EH105" s="666">
        <f>1.8 * MIN(MAX(DH105+Races!$E$71,Races!$F$71),6)  +  0.45 * MIN(MIN(DH105+Races!$E$71,Races!$F$71),6)  +  0.2 * ( MAX(DH105+Races!$E$71-6,0) + MAX(Races!$F$71-6,0) )  -  Races!$N$71</f>
        <v>0.16200000000000081</v>
      </c>
      <c r="EI105" s="57">
        <f t="shared" ca="1" si="234"/>
        <v>2584.8000000000015</v>
      </c>
      <c r="EJ105" s="57"/>
      <c r="EK105" s="57"/>
      <c r="EL105" s="57"/>
      <c r="EM105" s="57">
        <f ca="1">Overview!$L$22*E105+Overview!$L$23*F105+Overview!$L$24*G105+Overview!$L$25*H105+Overview!$L$26*I105+Overview!$L$27*J105+Overview!$L$28*K105+Construction!E105*20+Construction!B105*5 + DZ105*$DV$4+EB105*$DV$5+ED105*$DV$6+EF105*$DV$7+EI105*$DV$9</f>
        <v>39460</v>
      </c>
      <c r="EO105" s="738">
        <f>(J105+2*K105)/Construction!E105</f>
        <v>0.1</v>
      </c>
      <c r="EP105" s="734">
        <f ca="1">EO105*(1+race_wizard_strength+tech_magical_weaponry_wiz*Techs!AV177)</f>
        <v>0.1</v>
      </c>
      <c r="EQ105" s="16">
        <f>(I105+halfer*H105/3)/Construction!E105</f>
        <v>0.1</v>
      </c>
    </row>
    <row r="106" spans="1:147" s="16" customFormat="1">
      <c r="A106" s="629">
        <f>Rezone!J106</f>
        <v>104</v>
      </c>
      <c r="B106" s="56">
        <f ca="1">SUM(E106:K106)+SUM(AF98:AG106)+SUM(AH95:AL106)+Z106+Explore!AL106</f>
        <v>5295</v>
      </c>
      <c r="C106" s="97">
        <f ca="1">Population!G106</f>
        <v>0.57305194805194803</v>
      </c>
      <c r="E106" s="52">
        <f t="shared" si="182"/>
        <v>0</v>
      </c>
      <c r="F106" s="16">
        <f t="shared" si="183"/>
        <v>0</v>
      </c>
      <c r="G106" s="16">
        <f t="shared" si="184"/>
        <v>1000</v>
      </c>
      <c r="H106" s="16">
        <f t="shared" si="185"/>
        <v>400</v>
      </c>
      <c r="I106" s="16">
        <f t="shared" si="186"/>
        <v>100</v>
      </c>
      <c r="J106" s="16">
        <f t="shared" si="187"/>
        <v>100</v>
      </c>
      <c r="K106" s="53">
        <f t="shared" si="188"/>
        <v>0</v>
      </c>
      <c r="M106" s="64">
        <f ca="1">Production!G106</f>
        <v>39460</v>
      </c>
      <c r="O106" s="234">
        <f t="shared" ca="1" si="192"/>
        <v>4400</v>
      </c>
      <c r="P106" s="455">
        <f ca="1">race_offense+Imps!AB106+ROUND(MIN(gn_bonus*Construction!BF106/Construction!$E106,gn_bonus_cap),4)+MAX(IF(Magic!$AN106&gt;0,warsong_bonus),IF(Magic!AP106&gt;0,howling_op_bonus),IF(Magic!AS106&gt;0,nightfall_bonus),IF(Magic!AT106&gt;0,crusade_bonus),IF(Magic!AU106&gt;0,killingrage_bonus),IF(Magic!AV106&gt;0,bloodrage_bonus)) + Production!O106/100*prestige_offense_bonus + MAX(tech_military_offense*Techs!AH106,tech_magical_weaponry_op*Techs!AV106)</f>
        <v>0.05</v>
      </c>
      <c r="Q106" s="235">
        <f t="shared" ca="1" si="168"/>
        <v>4620</v>
      </c>
      <c r="R106" s="234">
        <f ca="1">F106*(spec_dp+spirit*DR106)+G106*(elite1_dp+woodie*CV106+sylvan*CY106+gnome*DB106+dark_elf*DD106+icekin*DG106+orc*DJ106+nox*DL106+beast*DN106+sacred*DP106+spirit*DS106+blackorc*DK106)+H106*(elite2_dp+woodie*CX106+beast*DO106+sacred*DQ106) + fh_peas_dp*MIN(Population!C106,20*Construction!BD106)+kobold*DE106</f>
        <v>7200</v>
      </c>
      <c r="S106" s="235">
        <f t="shared" ca="1" si="193"/>
        <v>10895</v>
      </c>
      <c r="T106" s="1052">
        <f ca="1">race_defense+Imps!AC106+ROUND(MIN(gt_bonus*Construction!BH106/Construction!$E106,gt_bonus_cap),4)+MAX(IF(Magic!AM106&gt;0,frenzy_bonus,IF(Magic!AQ106&gt;0,blizzard_bonus,IF(Magic!AP106&gt;0,howling_dp_bonus,IF(Magic!AI106&gt;0,ares_call_bonus)))),IF(Magic!AX106&gt;0,MIN(Construction!DF106/Construction!E106,0.2),0))</f>
        <v>0</v>
      </c>
      <c r="U106" s="1046">
        <f t="shared" ca="1" si="169"/>
        <v>7200</v>
      </c>
      <c r="V106" s="308">
        <f t="shared" ca="1" si="170"/>
        <v>10895</v>
      </c>
      <c r="W106" s="310">
        <f>Construction!E106</f>
        <v>1000</v>
      </c>
      <c r="X106" s="367"/>
      <c r="Y106" s="146">
        <f t="shared" si="191"/>
        <v>0.4</v>
      </c>
      <c r="Z106" s="166">
        <f ca="1">Z105+Population!Z105 - IF(race="Lux",AF106,SUM(AF106:AK106)) - BE106 + SUM(BF106:BL106) - Explore!AI106</f>
        <v>3695</v>
      </c>
      <c r="AA106" s="164"/>
      <c r="AB106" s="91">
        <f>(Construction!$BA106+Construction!BY106)/(Construction!$E106-Explore!S106*20)</f>
        <v>0.2</v>
      </c>
      <c r="AC106" s="529"/>
      <c r="AD106" s="799">
        <f>Rezone!J106</f>
        <v>104</v>
      </c>
      <c r="AE106" s="589">
        <f>Explore!AA106</f>
        <v>43696.291666666417</v>
      </c>
      <c r="AF106" s="356"/>
      <c r="AG106" s="348"/>
      <c r="AH106" s="348"/>
      <c r="AI106" s="348"/>
      <c r="AJ106" s="348"/>
      <c r="AK106" s="348"/>
      <c r="AL106" s="357"/>
      <c r="AN106" s="56">
        <f ca="1">Production!$H106</f>
        <v>4044564</v>
      </c>
      <c r="AO106" s="26">
        <f ca="1">Production!$L106</f>
        <v>231000</v>
      </c>
      <c r="AP106" s="26">
        <f ca="1">Production!J106</f>
        <v>268605</v>
      </c>
      <c r="AQ106" s="26">
        <f ca="1">Production!M106</f>
        <v>20000</v>
      </c>
      <c r="AR106" s="26">
        <f ca="1">Production!K106</f>
        <v>57196</v>
      </c>
      <c r="AS106" s="26">
        <f ca="1">Production!I106</f>
        <v>317636</v>
      </c>
      <c r="AT106" s="26">
        <f ca="1">Production!N106</f>
        <v>200</v>
      </c>
      <c r="AU106" s="152">
        <f t="shared" ca="1" si="194"/>
        <v>0</v>
      </c>
      <c r="AV106" s="164">
        <f t="shared" ca="1" si="195"/>
        <v>0</v>
      </c>
      <c r="AW106" s="164">
        <f t="shared" ca="1" si="171"/>
        <v>0</v>
      </c>
      <c r="AX106" s="164">
        <f t="shared" ca="1" si="172"/>
        <v>0</v>
      </c>
      <c r="AY106" s="164">
        <f t="shared" ca="1" si="173"/>
        <v>0</v>
      </c>
      <c r="AZ106" s="164">
        <f t="shared" ca="1" si="174"/>
        <v>0</v>
      </c>
      <c r="BA106" s="166">
        <f t="shared" ca="1" si="175"/>
        <v>0</v>
      </c>
      <c r="BB106" s="16">
        <v>32</v>
      </c>
      <c r="BC106" s="574">
        <f t="shared" si="176"/>
        <v>43696.291666666417</v>
      </c>
      <c r="BD106" s="148">
        <f t="shared" ca="1" si="177"/>
        <v>3695</v>
      </c>
      <c r="BE106" s="356"/>
      <c r="BF106" s="348"/>
      <c r="BG106" s="348"/>
      <c r="BH106" s="348"/>
      <c r="BI106" s="348"/>
      <c r="BJ106" s="348"/>
      <c r="BK106" s="348"/>
      <c r="BL106" s="357"/>
      <c r="BN106" s="503">
        <f>Construction!BM106/Construction!E106</f>
        <v>0</v>
      </c>
      <c r="BO106" s="171">
        <f>Construction!BD106/Construction!E106</f>
        <v>0</v>
      </c>
      <c r="BP106" s="152">
        <f>ROUNDUP((1-MIN(AB106*smithy_bonus,smithy_bonus_cap))*(1+Techs!AO106*tech_master_of_frugality)*spec_op_plat,0)</f>
        <v>165</v>
      </c>
      <c r="BQ106" s="164">
        <f>ROUNDUP(IF(race="Gnome",1,(1-MIN(AB106*smithy_bonus,smithy_bonus_cap))*(1+Techs!AO106*tech_master_of_frugality))*spec_op_ore,0)</f>
        <v>15</v>
      </c>
      <c r="BR106" s="164">
        <f t="shared" si="196"/>
        <v>0</v>
      </c>
      <c r="BS106" s="164">
        <f t="shared" si="197"/>
        <v>0</v>
      </c>
      <c r="BT106" s="164">
        <f ca="1">ROUNDUP((1-MIN(AB106*smithy_bonus,smithy_bonus_cap))*(1+Techs!AO106*tech_master_of_frugality)*spec_dp_plat,0)</f>
        <v>165</v>
      </c>
      <c r="BU106" s="164">
        <f ca="1">ROUNDUP(IF(OR(race="Gnome",race="Imperial Gnome"),1,(1-MIN(AB106*smithy_bonus,smithy_bonus_cap))*(1+Techs!AO106*tech_master_of_frugality))*spec_dp_ore,0)</f>
        <v>6</v>
      </c>
      <c r="BV106" s="164">
        <f t="shared" ca="1" si="198"/>
        <v>0</v>
      </c>
      <c r="BW106" s="164">
        <f t="shared" ca="1" si="199"/>
        <v>0</v>
      </c>
      <c r="BX106" s="164">
        <f t="shared" ca="1" si="200"/>
        <v>0</v>
      </c>
      <c r="BY106" s="164">
        <f ca="1">ROUNDUP((1-MIN(AB106*smithy_bonus,smithy_bonus_cap))*(1+Techs!AO106*tech_master_of_frugality)*elite1_plat,0)</f>
        <v>600</v>
      </c>
      <c r="BZ106" s="164">
        <f ca="1">ROUNDUP(IF(race="Gnome",1,(1-MIN(AB106*smithy_bonus,smithy_bonus_cap))*(1+Techs!AO106*tech_master_of_frugality))*elite1_ore,0)</f>
        <v>45</v>
      </c>
      <c r="CA106" s="164">
        <f t="shared" ca="1" si="201"/>
        <v>0</v>
      </c>
      <c r="CB106" s="164">
        <f t="shared" ca="1" si="202"/>
        <v>0</v>
      </c>
      <c r="CC106" s="164">
        <f t="shared" ca="1" si="203"/>
        <v>0</v>
      </c>
      <c r="CD106" s="164">
        <f t="shared" ca="1" si="204"/>
        <v>0</v>
      </c>
      <c r="CE106" s="164">
        <f t="shared" ca="1" si="205"/>
        <v>0</v>
      </c>
      <c r="CF106" s="164">
        <f ca="1">ROUNDUP((1-MIN(AB106*smithy_bonus,smithy_bonus_cap))*(1+Techs!AO106*tech_master_of_frugality)*elite2_plat,0)</f>
        <v>750</v>
      </c>
      <c r="CG106" s="164">
        <f ca="1">ROUNDUP(IF(race="Gnome",1,(1-MIN(AB106*smithy_bonus,smithy_bonus_cap))*(1+Techs!AO106*tech_master_of_frugality))*elite2_ore,0)</f>
        <v>60</v>
      </c>
      <c r="CH106" s="164">
        <f t="shared" ca="1" si="206"/>
        <v>0</v>
      </c>
      <c r="CI106" s="164">
        <f t="shared" ca="1" si="207"/>
        <v>0</v>
      </c>
      <c r="CJ106" s="164">
        <f t="shared" ca="1" si="208"/>
        <v>0</v>
      </c>
      <c r="CK106" s="164">
        <f t="shared" ca="1" si="209"/>
        <v>0</v>
      </c>
      <c r="CL106" s="164">
        <f t="shared" ca="1" si="210"/>
        <v>0</v>
      </c>
      <c r="CM106" s="164">
        <f>ROUNDUP((1+tech_spy_cost*Techs!AJ106)*spy_plat,0)</f>
        <v>500</v>
      </c>
      <c r="CN106" s="164">
        <f>ROUNDUP((1+tech_wizard_cost*Techs!AM106-MIN(ROUND(wg_wiz_cost_bonus*BN106,4),wg_wiz_cost_cap))*wizard_plat,0)</f>
        <v>500</v>
      </c>
      <c r="CO106" s="166">
        <f>ROUNDUP((1+tech_wizard_cost*Techs!AM106-MIN(ROUND(wg_wiz_cost_bonus*BN106,4),wg_wiz_cost_cap))*archmage_plat,0)</f>
        <v>1000</v>
      </c>
      <c r="CQ106" s="465">
        <f ca="1">Construction!DF106/Construction!E106</f>
        <v>0.28000000000000003</v>
      </c>
      <c r="CR106" s="466">
        <f t="shared" si="178"/>
        <v>0</v>
      </c>
      <c r="CS106" s="466">
        <f>Construction!BK106/Construction!E106</f>
        <v>0.05</v>
      </c>
      <c r="CT106" s="466">
        <f>Construction!BJ106/Construction!E106</f>
        <v>0</v>
      </c>
      <c r="CU106" s="466">
        <f>Construction!AY106/Construction!E106</f>
        <v>0</v>
      </c>
      <c r="CV106" s="481">
        <f t="shared" ca="1" si="211"/>
        <v>1.4000000000000001</v>
      </c>
      <c r="CW106" s="482">
        <f t="shared" ca="1" si="212"/>
        <v>1.4000000000000001</v>
      </c>
      <c r="CX106" s="482">
        <f t="shared" ca="1" si="213"/>
        <v>1.4000000000000001</v>
      </c>
      <c r="CY106" s="483">
        <f t="shared" ca="1" si="214"/>
        <v>1.4000000000000001</v>
      </c>
      <c r="CZ106" s="483">
        <f t="shared" si="215"/>
        <v>0.1</v>
      </c>
      <c r="DA106" s="483">
        <f t="shared" ca="1" si="216"/>
        <v>3</v>
      </c>
      <c r="DB106" s="483">
        <f t="shared" ca="1" si="217"/>
        <v>1.4000000000000001</v>
      </c>
      <c r="DC106" s="482">
        <f t="shared" si="218"/>
        <v>0</v>
      </c>
      <c r="DD106" s="847">
        <f t="shared" si="219"/>
        <v>0</v>
      </c>
      <c r="DE106" s="440">
        <f t="shared" si="179"/>
        <v>800</v>
      </c>
      <c r="DF106" s="440">
        <f t="shared" si="180"/>
        <v>0</v>
      </c>
      <c r="DG106" s="481">
        <f t="shared" ca="1" si="220"/>
        <v>1.4000000000000001</v>
      </c>
      <c r="DH106" s="450">
        <f t="shared" si="221"/>
        <v>9.0000000000000011E-2</v>
      </c>
      <c r="DI106" s="450">
        <f>MIN(valkyrja_cap,Production!O106/valkyrja_bonus)</f>
        <v>1</v>
      </c>
      <c r="DJ106" s="847">
        <f>MIN(voodoo_magi_cap,Production!O106/voodoo_magi_bonus)</f>
        <v>0.83333333333333337</v>
      </c>
      <c r="DK106" s="847">
        <f>MIN(warlock_cap,Production!O106/warlock_bonus)</f>
        <v>1.25</v>
      </c>
      <c r="DL106" s="847">
        <f ca="1">MIN(nox_nightshade_cap,Construction!DF106/Construction!E106/nox_nightshade_swamp_bonus)</f>
        <v>2.8000000000000003</v>
      </c>
      <c r="DM106" s="482">
        <f t="shared" si="222"/>
        <v>0</v>
      </c>
      <c r="DN106" s="483">
        <f t="shared" ca="1" si="223"/>
        <v>2.8000000000000003</v>
      </c>
      <c r="DO106" s="483">
        <f t="shared" ca="1" si="224"/>
        <v>2.8000000000000003</v>
      </c>
      <c r="DP106" s="483">
        <f t="shared" si="225"/>
        <v>1</v>
      </c>
      <c r="DQ106" s="482">
        <f t="shared" si="226"/>
        <v>0</v>
      </c>
      <c r="DR106" s="483">
        <f t="shared" si="227"/>
        <v>0</v>
      </c>
      <c r="DS106" s="482">
        <f t="shared" si="228"/>
        <v>0</v>
      </c>
      <c r="DT106" s="483">
        <f t="shared" si="229"/>
        <v>0.1</v>
      </c>
      <c r="DX106" s="487">
        <f ca="1">MIN(6,CV106+Races!$F$19)*1.8 +  IF(CV106+Races!$F$19&gt;6,(CV106+Races!$F$19-6)*0.2,0) - Races!$N$19</f>
        <v>2.5200000000000005</v>
      </c>
      <c r="DY106" s="488">
        <f ca="1">1.8 * MIN(MAX(CW106+Races!$E$20,CX106+Races!$F$20),6)  +  0.45 * MIN(MIN(CW106+Races!$E$20,CX106+Races!$F$20),6)  +  0.2 * ( MAX(CW106+Races!$E$20-6,0) + MAX(CX106+Races!$F$20-6,0) )  -  Races!$N$20</f>
        <v>3.1500000000000012</v>
      </c>
      <c r="DZ106" s="57">
        <f t="shared" ca="1" si="230"/>
        <v>3780.0000000000009</v>
      </c>
      <c r="EA106" s="666">
        <f ca="1">MIN(6,CY106+Races!$F$35)*1.8 +  IF(CY106+Races!$F$35&gt;6,(CY106+Races!$F$35-6)*0.2,0) - Races!$N$19</f>
        <v>0.72000000000000064</v>
      </c>
      <c r="EB106" s="57">
        <f t="shared" ca="1" si="231"/>
        <v>0</v>
      </c>
      <c r="EC106" s="666">
        <f ca="1">1.8 * MIN(MAX(Races!$E$27,DB106+Races!$F$27),6)  +  0.45 * MIN(MIN(Races!$E$27,DB106+Races!$F$27),6)  +  0.2 * ( MAX(Races!$E$27-6,0) + MAX(DB106+Races!$F$27-6,0) )  -  Races!$N$20</f>
        <v>4.7700000000000005</v>
      </c>
      <c r="ED106" s="57">
        <f t="shared" ca="1" si="232"/>
        <v>0</v>
      </c>
      <c r="EE106" s="666">
        <f>1.8 * MIN(MAX(DC106+Races!$E$47,DD106+Races!$F$47),6)  +  0.45 * MIN(MIN(DC106+Races!$E$47,DD106+Races!$F$47),6)  +  0.2 * ( MAX(DC106+Races!$E$47-6,0) + MAX(DD106+Races!$F$47-6,0) )  -  Races!$N$47</f>
        <v>0</v>
      </c>
      <c r="EF106" s="57">
        <f t="shared" si="233"/>
        <v>0</v>
      </c>
      <c r="EG106" s="666">
        <f ca="1">1.8 * MIN(MAX(DG106+Races!$F$71,Races!$E$71),6)  +  0.45 * MIN(MIN(DG106+Races!$F$71,Races!$E$71),6)  +  0.2 * ( MAX(DG106+Races!$F$71-6,0) + MAX(Races!$E$71-6,0) )  -  Races!$N$71</f>
        <v>2.5200000000000014</v>
      </c>
      <c r="EH106" s="666">
        <f>1.8 * MIN(MAX(DH106+Races!$E$71,Races!$F$71),6)  +  0.45 * MIN(MIN(DH106+Races!$E$71,Races!$F$71),6)  +  0.2 * ( MAX(DH106+Races!$E$71-6,0) + MAX(Races!$F$71-6,0) )  -  Races!$N$71</f>
        <v>0.16200000000000081</v>
      </c>
      <c r="EI106" s="57">
        <f t="shared" ca="1" si="234"/>
        <v>2584.8000000000015</v>
      </c>
      <c r="EJ106" s="57"/>
      <c r="EK106" s="57"/>
      <c r="EL106" s="57"/>
      <c r="EM106" s="57">
        <f ca="1">Overview!$L$22*E106+Overview!$L$23*F106+Overview!$L$24*G106+Overview!$L$25*H106+Overview!$L$26*I106+Overview!$L$27*J106+Overview!$L$28*K106+Construction!E106*20+Construction!B106*5 + DZ106*$DV$4+EB106*$DV$5+ED106*$DV$6+EF106*$DV$7+EI106*$DV$9</f>
        <v>39460</v>
      </c>
      <c r="EO106" s="738">
        <f>(J106+2*K106)/Construction!E106</f>
        <v>0.1</v>
      </c>
      <c r="EP106" s="734">
        <f ca="1">EO106*(1+race_wizard_strength+tech_magical_weaponry_wiz*Techs!AV178)</f>
        <v>0.1</v>
      </c>
      <c r="EQ106" s="16">
        <f>(I106+halfer*H106/3)/Construction!E106</f>
        <v>0.1</v>
      </c>
    </row>
    <row r="107" spans="1:147" s="16" customFormat="1">
      <c r="A107" s="629">
        <f>Rezone!J107</f>
        <v>105</v>
      </c>
      <c r="B107" s="56">
        <f ca="1">SUM(E107:K107)+SUM(AF99:AG107)+SUM(AH96:AL107)+Z107+Explore!AL107</f>
        <v>5295</v>
      </c>
      <c r="C107" s="97">
        <f ca="1">Population!G107</f>
        <v>0.57305194805194803</v>
      </c>
      <c r="E107" s="52">
        <f t="shared" si="182"/>
        <v>0</v>
      </c>
      <c r="F107" s="16">
        <f t="shared" si="183"/>
        <v>0</v>
      </c>
      <c r="G107" s="16">
        <f t="shared" si="184"/>
        <v>1000</v>
      </c>
      <c r="H107" s="16">
        <f t="shared" si="185"/>
        <v>400</v>
      </c>
      <c r="I107" s="16">
        <f t="shared" si="186"/>
        <v>100</v>
      </c>
      <c r="J107" s="16">
        <f t="shared" si="187"/>
        <v>100</v>
      </c>
      <c r="K107" s="53">
        <f t="shared" si="188"/>
        <v>0</v>
      </c>
      <c r="M107" s="64">
        <f ca="1">Production!G107</f>
        <v>39460</v>
      </c>
      <c r="O107" s="234">
        <f t="shared" ca="1" si="192"/>
        <v>4400</v>
      </c>
      <c r="P107" s="455">
        <f ca="1">race_offense+Imps!AB107+ROUND(MIN(gn_bonus*Construction!BF107/Construction!$E107,gn_bonus_cap),4)+MAX(IF(Magic!$AN107&gt;0,warsong_bonus),IF(Magic!AP107&gt;0,howling_op_bonus),IF(Magic!AS107&gt;0,nightfall_bonus),IF(Magic!AT107&gt;0,crusade_bonus),IF(Magic!AU107&gt;0,killingrage_bonus),IF(Magic!AV107&gt;0,bloodrage_bonus)) + Production!O107/100*prestige_offense_bonus + MAX(tech_military_offense*Techs!AH107,tech_magical_weaponry_op*Techs!AV107)</f>
        <v>0.05</v>
      </c>
      <c r="Q107" s="235">
        <f t="shared" ca="1" si="168"/>
        <v>4620</v>
      </c>
      <c r="R107" s="234">
        <f ca="1">F107*(spec_dp+spirit*DR107)+G107*(elite1_dp+woodie*CV107+sylvan*CY107+gnome*DB107+dark_elf*DD107+icekin*DG107+orc*DJ107+nox*DL107+beast*DN107+sacred*DP107+spirit*DS107+blackorc*DK107)+H107*(elite2_dp+woodie*CX107+beast*DO107+sacred*DQ107) + fh_peas_dp*MIN(Population!C107,20*Construction!BD107)+kobold*DE107</f>
        <v>7200</v>
      </c>
      <c r="S107" s="235">
        <f t="shared" ca="1" si="193"/>
        <v>10895</v>
      </c>
      <c r="T107" s="1052">
        <f ca="1">race_defense+Imps!AC107+ROUND(MIN(gt_bonus*Construction!BH107/Construction!$E107,gt_bonus_cap),4)+MAX(IF(Magic!AM107&gt;0,frenzy_bonus,IF(Magic!AQ107&gt;0,blizzard_bonus,IF(Magic!AP107&gt;0,howling_dp_bonus,IF(Magic!AI107&gt;0,ares_call_bonus)))),IF(Magic!AX107&gt;0,MIN(Construction!DF107/Construction!E107,0.2),0))</f>
        <v>0</v>
      </c>
      <c r="U107" s="1046">
        <f t="shared" ca="1" si="169"/>
        <v>7200</v>
      </c>
      <c r="V107" s="308">
        <f t="shared" ca="1" si="170"/>
        <v>10895</v>
      </c>
      <c r="W107" s="310">
        <f>Construction!E107</f>
        <v>1000</v>
      </c>
      <c r="X107" s="367"/>
      <c r="Y107" s="146">
        <f t="shared" si="191"/>
        <v>0.4</v>
      </c>
      <c r="Z107" s="166">
        <f ca="1">Z106+Population!Z106 - IF(race="Lux",AF107,SUM(AF107:AK107)) - BE107 + SUM(BF107:BL107) - Explore!AI107</f>
        <v>3695</v>
      </c>
      <c r="AA107" s="164"/>
      <c r="AB107" s="91">
        <f>(Construction!$BA107+Construction!BY107)/(Construction!$E107-Explore!S107*20)</f>
        <v>0.2</v>
      </c>
      <c r="AC107" s="529"/>
      <c r="AD107" s="799">
        <f>Rezone!J107</f>
        <v>105</v>
      </c>
      <c r="AE107" s="589">
        <f>Explore!AA107</f>
        <v>43696.333333333081</v>
      </c>
      <c r="AF107" s="356"/>
      <c r="AG107" s="348"/>
      <c r="AH107" s="348"/>
      <c r="AI107" s="348"/>
      <c r="AJ107" s="348"/>
      <c r="AK107" s="348"/>
      <c r="AL107" s="357"/>
      <c r="AN107" s="56">
        <f ca="1">Production!$H107</f>
        <v>4055215</v>
      </c>
      <c r="AO107" s="26">
        <f ca="1">Production!$L107</f>
        <v>231000</v>
      </c>
      <c r="AP107" s="26">
        <f ca="1">Production!J107</f>
        <v>268419</v>
      </c>
      <c r="AQ107" s="26">
        <f ca="1">Production!M107</f>
        <v>20000</v>
      </c>
      <c r="AR107" s="26">
        <f ca="1">Production!K107</f>
        <v>57302</v>
      </c>
      <c r="AS107" s="26">
        <f ca="1">Production!I107</f>
        <v>319190</v>
      </c>
      <c r="AT107" s="26">
        <f ca="1">Production!N107</f>
        <v>200</v>
      </c>
      <c r="AU107" s="152">
        <f t="shared" ca="1" si="194"/>
        <v>0</v>
      </c>
      <c r="AV107" s="164">
        <f t="shared" ca="1" si="195"/>
        <v>0</v>
      </c>
      <c r="AW107" s="164">
        <f t="shared" ca="1" si="171"/>
        <v>0</v>
      </c>
      <c r="AX107" s="164">
        <f t="shared" ca="1" si="172"/>
        <v>0</v>
      </c>
      <c r="AY107" s="164">
        <f t="shared" ca="1" si="173"/>
        <v>0</v>
      </c>
      <c r="AZ107" s="164">
        <f t="shared" ca="1" si="174"/>
        <v>0</v>
      </c>
      <c r="BA107" s="166">
        <f t="shared" ca="1" si="175"/>
        <v>0</v>
      </c>
      <c r="BB107" s="16">
        <v>33</v>
      </c>
      <c r="BC107" s="574">
        <f t="shared" si="176"/>
        <v>43696.333333333081</v>
      </c>
      <c r="BD107" s="148">
        <f t="shared" ca="1" si="177"/>
        <v>3695</v>
      </c>
      <c r="BE107" s="356"/>
      <c r="BF107" s="348"/>
      <c r="BG107" s="348"/>
      <c r="BH107" s="348"/>
      <c r="BI107" s="348"/>
      <c r="BJ107" s="348"/>
      <c r="BK107" s="348"/>
      <c r="BL107" s="357"/>
      <c r="BN107" s="503">
        <f>Construction!BM107/Construction!E107</f>
        <v>0</v>
      </c>
      <c r="BO107" s="171">
        <f>Construction!BD107/Construction!E107</f>
        <v>0</v>
      </c>
      <c r="BP107" s="152">
        <f>ROUNDUP((1-MIN(AB107*smithy_bonus,smithy_bonus_cap))*(1+Techs!AO107*tech_master_of_frugality)*spec_op_plat,0)</f>
        <v>165</v>
      </c>
      <c r="BQ107" s="164">
        <f>ROUNDUP(IF(race="Gnome",1,(1-MIN(AB107*smithy_bonus,smithy_bonus_cap))*(1+Techs!AO107*tech_master_of_frugality))*spec_op_ore,0)</f>
        <v>15</v>
      </c>
      <c r="BR107" s="164">
        <f t="shared" si="196"/>
        <v>0</v>
      </c>
      <c r="BS107" s="164">
        <f t="shared" si="197"/>
        <v>0</v>
      </c>
      <c r="BT107" s="164">
        <f ca="1">ROUNDUP((1-MIN(AB107*smithy_bonus,smithy_bonus_cap))*(1+Techs!AO107*tech_master_of_frugality)*spec_dp_plat,0)</f>
        <v>165</v>
      </c>
      <c r="BU107" s="164">
        <f ca="1">ROUNDUP(IF(OR(race="Gnome",race="Imperial Gnome"),1,(1-MIN(AB107*smithy_bonus,smithy_bonus_cap))*(1+Techs!AO107*tech_master_of_frugality))*spec_dp_ore,0)</f>
        <v>6</v>
      </c>
      <c r="BV107" s="164">
        <f t="shared" ca="1" si="198"/>
        <v>0</v>
      </c>
      <c r="BW107" s="164">
        <f t="shared" ca="1" si="199"/>
        <v>0</v>
      </c>
      <c r="BX107" s="164">
        <f t="shared" ca="1" si="200"/>
        <v>0</v>
      </c>
      <c r="BY107" s="164">
        <f ca="1">ROUNDUP((1-MIN(AB107*smithy_bonus,smithy_bonus_cap))*(1+Techs!AO107*tech_master_of_frugality)*elite1_plat,0)</f>
        <v>600</v>
      </c>
      <c r="BZ107" s="164">
        <f ca="1">ROUNDUP(IF(race="Gnome",1,(1-MIN(AB107*smithy_bonus,smithy_bonus_cap))*(1+Techs!AO107*tech_master_of_frugality))*elite1_ore,0)</f>
        <v>45</v>
      </c>
      <c r="CA107" s="164">
        <f t="shared" ca="1" si="201"/>
        <v>0</v>
      </c>
      <c r="CB107" s="164">
        <f t="shared" ca="1" si="202"/>
        <v>0</v>
      </c>
      <c r="CC107" s="164">
        <f t="shared" ca="1" si="203"/>
        <v>0</v>
      </c>
      <c r="CD107" s="164">
        <f t="shared" ca="1" si="204"/>
        <v>0</v>
      </c>
      <c r="CE107" s="164">
        <f t="shared" ca="1" si="205"/>
        <v>0</v>
      </c>
      <c r="CF107" s="164">
        <f ca="1">ROUNDUP((1-MIN(AB107*smithy_bonus,smithy_bonus_cap))*(1+Techs!AO107*tech_master_of_frugality)*elite2_plat,0)</f>
        <v>750</v>
      </c>
      <c r="CG107" s="164">
        <f ca="1">ROUNDUP(IF(race="Gnome",1,(1-MIN(AB107*smithy_bonus,smithy_bonus_cap))*(1+Techs!AO107*tech_master_of_frugality))*elite2_ore,0)</f>
        <v>60</v>
      </c>
      <c r="CH107" s="164">
        <f t="shared" ca="1" si="206"/>
        <v>0</v>
      </c>
      <c r="CI107" s="164">
        <f t="shared" ca="1" si="207"/>
        <v>0</v>
      </c>
      <c r="CJ107" s="164">
        <f t="shared" ca="1" si="208"/>
        <v>0</v>
      </c>
      <c r="CK107" s="164">
        <f t="shared" ca="1" si="209"/>
        <v>0</v>
      </c>
      <c r="CL107" s="164">
        <f t="shared" ca="1" si="210"/>
        <v>0</v>
      </c>
      <c r="CM107" s="164">
        <f>ROUNDUP((1+tech_spy_cost*Techs!AJ107)*spy_plat,0)</f>
        <v>500</v>
      </c>
      <c r="CN107" s="164">
        <f>ROUNDUP((1+tech_wizard_cost*Techs!AM107-MIN(ROUND(wg_wiz_cost_bonus*BN107,4),wg_wiz_cost_cap))*wizard_plat,0)</f>
        <v>500</v>
      </c>
      <c r="CO107" s="166">
        <f>ROUNDUP((1+tech_wizard_cost*Techs!AM107-MIN(ROUND(wg_wiz_cost_bonus*BN107,4),wg_wiz_cost_cap))*archmage_plat,0)</f>
        <v>1000</v>
      </c>
      <c r="CQ107" s="465">
        <f ca="1">Construction!DF107/Construction!E107</f>
        <v>0.28000000000000003</v>
      </c>
      <c r="CR107" s="466">
        <f t="shared" si="178"/>
        <v>0</v>
      </c>
      <c r="CS107" s="466">
        <f>Construction!BK107/Construction!E107</f>
        <v>0.05</v>
      </c>
      <c r="CT107" s="466">
        <f>Construction!BJ107/Construction!E107</f>
        <v>0</v>
      </c>
      <c r="CU107" s="466">
        <f>Construction!AY107/Construction!E107</f>
        <v>0</v>
      </c>
      <c r="CV107" s="481">
        <f t="shared" ca="1" si="211"/>
        <v>1.4000000000000001</v>
      </c>
      <c r="CW107" s="482">
        <f t="shared" ca="1" si="212"/>
        <v>1.4000000000000001</v>
      </c>
      <c r="CX107" s="482">
        <f t="shared" ca="1" si="213"/>
        <v>1.4000000000000001</v>
      </c>
      <c r="CY107" s="483">
        <f t="shared" ca="1" si="214"/>
        <v>1.4000000000000001</v>
      </c>
      <c r="CZ107" s="483">
        <f t="shared" si="215"/>
        <v>0.1</v>
      </c>
      <c r="DA107" s="483">
        <f t="shared" ca="1" si="216"/>
        <v>3</v>
      </c>
      <c r="DB107" s="483">
        <f t="shared" ca="1" si="217"/>
        <v>1.4000000000000001</v>
      </c>
      <c r="DC107" s="482">
        <f t="shared" si="218"/>
        <v>0</v>
      </c>
      <c r="DD107" s="847">
        <f t="shared" si="219"/>
        <v>0</v>
      </c>
      <c r="DE107" s="440">
        <f t="shared" si="179"/>
        <v>800</v>
      </c>
      <c r="DF107" s="440">
        <f t="shared" si="180"/>
        <v>0</v>
      </c>
      <c r="DG107" s="481">
        <f t="shared" ca="1" si="220"/>
        <v>1.4000000000000001</v>
      </c>
      <c r="DH107" s="450">
        <f t="shared" si="221"/>
        <v>9.0000000000000011E-2</v>
      </c>
      <c r="DI107" s="450">
        <f>MIN(valkyrja_cap,Production!O107/valkyrja_bonus)</f>
        <v>1</v>
      </c>
      <c r="DJ107" s="847">
        <f>MIN(voodoo_magi_cap,Production!O107/voodoo_magi_bonus)</f>
        <v>0.83333333333333337</v>
      </c>
      <c r="DK107" s="847">
        <f>MIN(warlock_cap,Production!O107/warlock_bonus)</f>
        <v>1.25</v>
      </c>
      <c r="DL107" s="847">
        <f ca="1">MIN(nox_nightshade_cap,Construction!DF107/Construction!E107/nox_nightshade_swamp_bonus)</f>
        <v>2.8000000000000003</v>
      </c>
      <c r="DM107" s="482">
        <f t="shared" si="222"/>
        <v>0</v>
      </c>
      <c r="DN107" s="483">
        <f t="shared" ca="1" si="223"/>
        <v>2.8000000000000003</v>
      </c>
      <c r="DO107" s="483">
        <f t="shared" ca="1" si="224"/>
        <v>2.8000000000000003</v>
      </c>
      <c r="DP107" s="483">
        <f t="shared" si="225"/>
        <v>1</v>
      </c>
      <c r="DQ107" s="482">
        <f t="shared" si="226"/>
        <v>0</v>
      </c>
      <c r="DR107" s="483">
        <f t="shared" si="227"/>
        <v>0</v>
      </c>
      <c r="DS107" s="482">
        <f t="shared" si="228"/>
        <v>0</v>
      </c>
      <c r="DT107" s="483">
        <f t="shared" si="229"/>
        <v>0.1</v>
      </c>
      <c r="DX107" s="487">
        <f ca="1">MIN(6,CV107+Races!$F$19)*1.8 +  IF(CV107+Races!$F$19&gt;6,(CV107+Races!$F$19-6)*0.2,0) - Races!$N$19</f>
        <v>2.5200000000000005</v>
      </c>
      <c r="DY107" s="488">
        <f ca="1">1.8 * MIN(MAX(CW107+Races!$E$20,CX107+Races!$F$20),6)  +  0.45 * MIN(MIN(CW107+Races!$E$20,CX107+Races!$F$20),6)  +  0.2 * ( MAX(CW107+Races!$E$20-6,0) + MAX(CX107+Races!$F$20-6,0) )  -  Races!$N$20</f>
        <v>3.1500000000000012</v>
      </c>
      <c r="DZ107" s="57">
        <f t="shared" ca="1" si="230"/>
        <v>3780.0000000000009</v>
      </c>
      <c r="EA107" s="666">
        <f ca="1">MIN(6,CY107+Races!$F$35)*1.8 +  IF(CY107+Races!$F$35&gt;6,(CY107+Races!$F$35-6)*0.2,0) - Races!$N$19</f>
        <v>0.72000000000000064</v>
      </c>
      <c r="EB107" s="57">
        <f t="shared" ca="1" si="231"/>
        <v>0</v>
      </c>
      <c r="EC107" s="666">
        <f ca="1">1.8 * MIN(MAX(Races!$E$27,DB107+Races!$F$27),6)  +  0.45 * MIN(MIN(Races!$E$27,DB107+Races!$F$27),6)  +  0.2 * ( MAX(Races!$E$27-6,0) + MAX(DB107+Races!$F$27-6,0) )  -  Races!$N$20</f>
        <v>4.7700000000000005</v>
      </c>
      <c r="ED107" s="57">
        <f t="shared" ca="1" si="232"/>
        <v>0</v>
      </c>
      <c r="EE107" s="666">
        <f>1.8 * MIN(MAX(DC107+Races!$E$47,DD107+Races!$F$47),6)  +  0.45 * MIN(MIN(DC107+Races!$E$47,DD107+Races!$F$47),6)  +  0.2 * ( MAX(DC107+Races!$E$47-6,0) + MAX(DD107+Races!$F$47-6,0) )  -  Races!$N$47</f>
        <v>0</v>
      </c>
      <c r="EF107" s="57">
        <f t="shared" si="233"/>
        <v>0</v>
      </c>
      <c r="EG107" s="666">
        <f ca="1">1.8 * MIN(MAX(DG107+Races!$F$71,Races!$E$71),6)  +  0.45 * MIN(MIN(DG107+Races!$F$71,Races!$E$71),6)  +  0.2 * ( MAX(DG107+Races!$F$71-6,0) + MAX(Races!$E$71-6,0) )  -  Races!$N$71</f>
        <v>2.5200000000000014</v>
      </c>
      <c r="EH107" s="666">
        <f>1.8 * MIN(MAX(DH107+Races!$E$71,Races!$F$71),6)  +  0.45 * MIN(MIN(DH107+Races!$E$71,Races!$F$71),6)  +  0.2 * ( MAX(DH107+Races!$E$71-6,0) + MAX(Races!$F$71-6,0) )  -  Races!$N$71</f>
        <v>0.16200000000000081</v>
      </c>
      <c r="EI107" s="57">
        <f t="shared" ca="1" si="234"/>
        <v>2584.8000000000015</v>
      </c>
      <c r="EJ107" s="57"/>
      <c r="EK107" s="57"/>
      <c r="EL107" s="57"/>
      <c r="EM107" s="57">
        <f ca="1">Overview!$L$22*E107+Overview!$L$23*F107+Overview!$L$24*G107+Overview!$L$25*H107+Overview!$L$26*I107+Overview!$L$27*J107+Overview!$L$28*K107+Construction!E107*20+Construction!B107*5 + DZ107*$DV$4+EB107*$DV$5+ED107*$DV$6+EF107*$DV$7+EI107*$DV$9</f>
        <v>39460</v>
      </c>
      <c r="EO107" s="738">
        <f>(J107+2*K107)/Construction!E107</f>
        <v>0.1</v>
      </c>
      <c r="EP107" s="734">
        <f ca="1">EO107*(1+race_wizard_strength+tech_magical_weaponry_wiz*Techs!AV179)</f>
        <v>0.1</v>
      </c>
      <c r="EQ107" s="16">
        <f>(I107+halfer*H107/3)/Construction!E107</f>
        <v>0.1</v>
      </c>
    </row>
    <row r="108" spans="1:147" s="16" customFormat="1">
      <c r="A108" s="629">
        <f>Rezone!J108</f>
        <v>106</v>
      </c>
      <c r="B108" s="56">
        <f ca="1">SUM(E108:K108)+SUM(AF100:AG108)+SUM(AH97:AL108)+Z108+Explore!AL108</f>
        <v>5295</v>
      </c>
      <c r="C108" s="97">
        <f ca="1">Population!G108</f>
        <v>0.57305194805194803</v>
      </c>
      <c r="E108" s="52">
        <f t="shared" si="182"/>
        <v>0</v>
      </c>
      <c r="F108" s="16">
        <f t="shared" si="183"/>
        <v>0</v>
      </c>
      <c r="G108" s="16">
        <f t="shared" si="184"/>
        <v>1000</v>
      </c>
      <c r="H108" s="16">
        <f t="shared" si="185"/>
        <v>400</v>
      </c>
      <c r="I108" s="16">
        <f t="shared" si="186"/>
        <v>100</v>
      </c>
      <c r="J108" s="16">
        <f t="shared" si="187"/>
        <v>100</v>
      </c>
      <c r="K108" s="53">
        <f t="shared" si="188"/>
        <v>0</v>
      </c>
      <c r="M108" s="64">
        <f ca="1">Production!G108</f>
        <v>39460</v>
      </c>
      <c r="O108" s="234">
        <f t="shared" ca="1" si="192"/>
        <v>4400</v>
      </c>
      <c r="P108" s="455">
        <f ca="1">race_offense+Imps!AB108+ROUND(MIN(gn_bonus*Construction!BF108/Construction!$E108,gn_bonus_cap),4)+MAX(IF(Magic!$AN108&gt;0,warsong_bonus),IF(Magic!AP108&gt;0,howling_op_bonus),IF(Magic!AS108&gt;0,nightfall_bonus),IF(Magic!AT108&gt;0,crusade_bonus),IF(Magic!AU108&gt;0,killingrage_bonus),IF(Magic!AV108&gt;0,bloodrage_bonus)) + Production!O108/100*prestige_offense_bonus + MAX(tech_military_offense*Techs!AH108,tech_magical_weaponry_op*Techs!AV108)</f>
        <v>0.05</v>
      </c>
      <c r="Q108" s="235">
        <f t="shared" ca="1" si="168"/>
        <v>4620</v>
      </c>
      <c r="R108" s="234">
        <f ca="1">F108*(spec_dp+spirit*DR108)+G108*(elite1_dp+woodie*CV108+sylvan*CY108+gnome*DB108+dark_elf*DD108+icekin*DG108+orc*DJ108+nox*DL108+beast*DN108+sacred*DP108+spirit*DS108+blackorc*DK108)+H108*(elite2_dp+woodie*CX108+beast*DO108+sacred*DQ108) + fh_peas_dp*MIN(Population!C108,20*Construction!BD108)+kobold*DE108</f>
        <v>7200</v>
      </c>
      <c r="S108" s="235">
        <f t="shared" ca="1" si="193"/>
        <v>10895</v>
      </c>
      <c r="T108" s="1052">
        <f ca="1">race_defense+Imps!AC108+ROUND(MIN(gt_bonus*Construction!BH108/Construction!$E108,gt_bonus_cap),4)+MAX(IF(Magic!AM108&gt;0,frenzy_bonus,IF(Magic!AQ108&gt;0,blizzard_bonus,IF(Magic!AP108&gt;0,howling_dp_bonus,IF(Magic!AI108&gt;0,ares_call_bonus)))),IF(Magic!AX108&gt;0,MIN(Construction!DF108/Construction!E108,0.2),0))</f>
        <v>0</v>
      </c>
      <c r="U108" s="1046">
        <f t="shared" ca="1" si="169"/>
        <v>7200</v>
      </c>
      <c r="V108" s="308">
        <f t="shared" ca="1" si="170"/>
        <v>10895</v>
      </c>
      <c r="W108" s="310">
        <f>Construction!E108</f>
        <v>1000</v>
      </c>
      <c r="X108" s="367"/>
      <c r="Y108" s="146">
        <f t="shared" si="191"/>
        <v>0.4</v>
      </c>
      <c r="Z108" s="166">
        <f ca="1">Z107+Population!Z107 - IF(race="Lux",AF108,SUM(AF108:AK108)) - BE108 + SUM(BF108:BL108) - Explore!AI108</f>
        <v>3695</v>
      </c>
      <c r="AA108" s="164"/>
      <c r="AB108" s="91">
        <f>(Construction!$BA108+Construction!BY108)/(Construction!$E108-Explore!S108*20)</f>
        <v>0.2</v>
      </c>
      <c r="AC108" s="529"/>
      <c r="AD108" s="799">
        <f>Rezone!J108</f>
        <v>106</v>
      </c>
      <c r="AE108" s="589">
        <f>Explore!AA108</f>
        <v>43696.374999999745</v>
      </c>
      <c r="AF108" s="356"/>
      <c r="AG108" s="348"/>
      <c r="AH108" s="348"/>
      <c r="AI108" s="348"/>
      <c r="AJ108" s="348"/>
      <c r="AK108" s="348"/>
      <c r="AL108" s="357"/>
      <c r="AN108" s="56">
        <f ca="1">Production!$H108</f>
        <v>4065866</v>
      </c>
      <c r="AO108" s="26">
        <f ca="1">Production!$L108</f>
        <v>231000</v>
      </c>
      <c r="AP108" s="26">
        <f ca="1">Production!J108</f>
        <v>268235</v>
      </c>
      <c r="AQ108" s="26">
        <f ca="1">Production!M108</f>
        <v>20000</v>
      </c>
      <c r="AR108" s="26">
        <f ca="1">Production!K108</f>
        <v>57406</v>
      </c>
      <c r="AS108" s="26">
        <f ca="1">Production!I108</f>
        <v>320728</v>
      </c>
      <c r="AT108" s="26">
        <f ca="1">Production!N108</f>
        <v>200</v>
      </c>
      <c r="AU108" s="152">
        <f t="shared" ca="1" si="194"/>
        <v>0</v>
      </c>
      <c r="AV108" s="164">
        <f t="shared" ca="1" si="195"/>
        <v>0</v>
      </c>
      <c r="AW108" s="164">
        <f t="shared" ca="1" si="171"/>
        <v>0</v>
      </c>
      <c r="AX108" s="164">
        <f t="shared" ca="1" si="172"/>
        <v>0</v>
      </c>
      <c r="AY108" s="164">
        <f t="shared" ca="1" si="173"/>
        <v>0</v>
      </c>
      <c r="AZ108" s="164">
        <f t="shared" ca="1" si="174"/>
        <v>0</v>
      </c>
      <c r="BA108" s="166">
        <f t="shared" ca="1" si="175"/>
        <v>0</v>
      </c>
      <c r="BB108" s="16">
        <v>34</v>
      </c>
      <c r="BC108" s="574">
        <f t="shared" si="176"/>
        <v>43696.374999999745</v>
      </c>
      <c r="BD108" s="148">
        <f t="shared" ca="1" si="177"/>
        <v>3695</v>
      </c>
      <c r="BE108" s="356"/>
      <c r="BF108" s="348"/>
      <c r="BG108" s="348"/>
      <c r="BH108" s="348"/>
      <c r="BI108" s="348"/>
      <c r="BJ108" s="348"/>
      <c r="BK108" s="348"/>
      <c r="BL108" s="357"/>
      <c r="BN108" s="503">
        <f>Construction!BM108/Construction!E108</f>
        <v>0</v>
      </c>
      <c r="BO108" s="171">
        <f>Construction!BD108/Construction!E108</f>
        <v>0</v>
      </c>
      <c r="BP108" s="152">
        <f>ROUNDUP((1-MIN(AB108*smithy_bonus,smithy_bonus_cap))*(1+Techs!AO108*tech_master_of_frugality)*spec_op_plat,0)</f>
        <v>165</v>
      </c>
      <c r="BQ108" s="164">
        <f>ROUNDUP(IF(race="Gnome",1,(1-MIN(AB108*smithy_bonus,smithy_bonus_cap))*(1+Techs!AO108*tech_master_of_frugality))*spec_op_ore,0)</f>
        <v>15</v>
      </c>
      <c r="BR108" s="164">
        <f t="shared" si="196"/>
        <v>0</v>
      </c>
      <c r="BS108" s="164">
        <f t="shared" si="197"/>
        <v>0</v>
      </c>
      <c r="BT108" s="164">
        <f ca="1">ROUNDUP((1-MIN(AB108*smithy_bonus,smithy_bonus_cap))*(1+Techs!AO108*tech_master_of_frugality)*spec_dp_plat,0)</f>
        <v>165</v>
      </c>
      <c r="BU108" s="164">
        <f ca="1">ROUNDUP(IF(OR(race="Gnome",race="Imperial Gnome"),1,(1-MIN(AB108*smithy_bonus,smithy_bonus_cap))*(1+Techs!AO108*tech_master_of_frugality))*spec_dp_ore,0)</f>
        <v>6</v>
      </c>
      <c r="BV108" s="164">
        <f t="shared" ca="1" si="198"/>
        <v>0</v>
      </c>
      <c r="BW108" s="164">
        <f t="shared" ca="1" si="199"/>
        <v>0</v>
      </c>
      <c r="BX108" s="164">
        <f t="shared" ca="1" si="200"/>
        <v>0</v>
      </c>
      <c r="BY108" s="164">
        <f ca="1">ROUNDUP((1-MIN(AB108*smithy_bonus,smithy_bonus_cap))*(1+Techs!AO108*tech_master_of_frugality)*elite1_plat,0)</f>
        <v>600</v>
      </c>
      <c r="BZ108" s="164">
        <f ca="1">ROUNDUP(IF(race="Gnome",1,(1-MIN(AB108*smithy_bonus,smithy_bonus_cap))*(1+Techs!AO108*tech_master_of_frugality))*elite1_ore,0)</f>
        <v>45</v>
      </c>
      <c r="CA108" s="164">
        <f t="shared" ca="1" si="201"/>
        <v>0</v>
      </c>
      <c r="CB108" s="164">
        <f t="shared" ca="1" si="202"/>
        <v>0</v>
      </c>
      <c r="CC108" s="164">
        <f t="shared" ca="1" si="203"/>
        <v>0</v>
      </c>
      <c r="CD108" s="164">
        <f t="shared" ca="1" si="204"/>
        <v>0</v>
      </c>
      <c r="CE108" s="164">
        <f t="shared" ca="1" si="205"/>
        <v>0</v>
      </c>
      <c r="CF108" s="164">
        <f ca="1">ROUNDUP((1-MIN(AB108*smithy_bonus,smithy_bonus_cap))*(1+Techs!AO108*tech_master_of_frugality)*elite2_plat,0)</f>
        <v>750</v>
      </c>
      <c r="CG108" s="164">
        <f ca="1">ROUNDUP(IF(race="Gnome",1,(1-MIN(AB108*smithy_bonus,smithy_bonus_cap))*(1+Techs!AO108*tech_master_of_frugality))*elite2_ore,0)</f>
        <v>60</v>
      </c>
      <c r="CH108" s="164">
        <f t="shared" ca="1" si="206"/>
        <v>0</v>
      </c>
      <c r="CI108" s="164">
        <f t="shared" ca="1" si="207"/>
        <v>0</v>
      </c>
      <c r="CJ108" s="164">
        <f t="shared" ca="1" si="208"/>
        <v>0</v>
      </c>
      <c r="CK108" s="164">
        <f t="shared" ca="1" si="209"/>
        <v>0</v>
      </c>
      <c r="CL108" s="164">
        <f t="shared" ca="1" si="210"/>
        <v>0</v>
      </c>
      <c r="CM108" s="164">
        <f>ROUNDUP((1+tech_spy_cost*Techs!AJ108)*spy_plat,0)</f>
        <v>500</v>
      </c>
      <c r="CN108" s="164">
        <f>ROUNDUP((1+tech_wizard_cost*Techs!AM108-MIN(ROUND(wg_wiz_cost_bonus*BN108,4),wg_wiz_cost_cap))*wizard_plat,0)</f>
        <v>500</v>
      </c>
      <c r="CO108" s="166">
        <f>ROUNDUP((1+tech_wizard_cost*Techs!AM108-MIN(ROUND(wg_wiz_cost_bonus*BN108,4),wg_wiz_cost_cap))*archmage_plat,0)</f>
        <v>1000</v>
      </c>
      <c r="CQ108" s="465">
        <f ca="1">Construction!DF108/Construction!E108</f>
        <v>0.28000000000000003</v>
      </c>
      <c r="CR108" s="466">
        <f t="shared" si="178"/>
        <v>0</v>
      </c>
      <c r="CS108" s="466">
        <f>Construction!BK108/Construction!E108</f>
        <v>0.05</v>
      </c>
      <c r="CT108" s="466">
        <f>Construction!BJ108/Construction!E108</f>
        <v>0</v>
      </c>
      <c r="CU108" s="466">
        <f>Construction!AY108/Construction!E108</f>
        <v>0</v>
      </c>
      <c r="CV108" s="481">
        <f t="shared" ca="1" si="211"/>
        <v>1.4000000000000001</v>
      </c>
      <c r="CW108" s="482">
        <f t="shared" ca="1" si="212"/>
        <v>1.4000000000000001</v>
      </c>
      <c r="CX108" s="482">
        <f t="shared" ca="1" si="213"/>
        <v>1.4000000000000001</v>
      </c>
      <c r="CY108" s="483">
        <f t="shared" ca="1" si="214"/>
        <v>1.4000000000000001</v>
      </c>
      <c r="CZ108" s="483">
        <f t="shared" si="215"/>
        <v>0.1</v>
      </c>
      <c r="DA108" s="483">
        <f t="shared" ca="1" si="216"/>
        <v>3</v>
      </c>
      <c r="DB108" s="483">
        <f t="shared" ca="1" si="217"/>
        <v>1.4000000000000001</v>
      </c>
      <c r="DC108" s="482">
        <f t="shared" si="218"/>
        <v>0</v>
      </c>
      <c r="DD108" s="847">
        <f t="shared" si="219"/>
        <v>0</v>
      </c>
      <c r="DE108" s="440">
        <f t="shared" si="179"/>
        <v>800</v>
      </c>
      <c r="DF108" s="440">
        <f t="shared" si="180"/>
        <v>0</v>
      </c>
      <c r="DG108" s="481">
        <f t="shared" ca="1" si="220"/>
        <v>1.4000000000000001</v>
      </c>
      <c r="DH108" s="450">
        <f t="shared" si="221"/>
        <v>9.0000000000000011E-2</v>
      </c>
      <c r="DI108" s="450">
        <f>MIN(valkyrja_cap,Production!O108/valkyrja_bonus)</f>
        <v>1</v>
      </c>
      <c r="DJ108" s="847">
        <f>MIN(voodoo_magi_cap,Production!O108/voodoo_magi_bonus)</f>
        <v>0.83333333333333337</v>
      </c>
      <c r="DK108" s="847">
        <f>MIN(warlock_cap,Production!O108/warlock_bonus)</f>
        <v>1.25</v>
      </c>
      <c r="DL108" s="847">
        <f ca="1">MIN(nox_nightshade_cap,Construction!DF108/Construction!E108/nox_nightshade_swamp_bonus)</f>
        <v>2.8000000000000003</v>
      </c>
      <c r="DM108" s="482">
        <f t="shared" si="222"/>
        <v>0</v>
      </c>
      <c r="DN108" s="483">
        <f t="shared" ca="1" si="223"/>
        <v>2.8000000000000003</v>
      </c>
      <c r="DO108" s="483">
        <f t="shared" ca="1" si="224"/>
        <v>2.8000000000000003</v>
      </c>
      <c r="DP108" s="483">
        <f t="shared" si="225"/>
        <v>1</v>
      </c>
      <c r="DQ108" s="482">
        <f t="shared" si="226"/>
        <v>0</v>
      </c>
      <c r="DR108" s="483">
        <f t="shared" si="227"/>
        <v>0</v>
      </c>
      <c r="DS108" s="482">
        <f t="shared" si="228"/>
        <v>0</v>
      </c>
      <c r="DT108" s="483">
        <f t="shared" si="229"/>
        <v>0.1</v>
      </c>
      <c r="DX108" s="487">
        <f ca="1">MIN(6,CV108+Races!$F$19)*1.8 +  IF(CV108+Races!$F$19&gt;6,(CV108+Races!$F$19-6)*0.2,0) - Races!$N$19</f>
        <v>2.5200000000000005</v>
      </c>
      <c r="DY108" s="488">
        <f ca="1">1.8 * MIN(MAX(CW108+Races!$E$20,CX108+Races!$F$20),6)  +  0.45 * MIN(MIN(CW108+Races!$E$20,CX108+Races!$F$20),6)  +  0.2 * ( MAX(CW108+Races!$E$20-6,0) + MAX(CX108+Races!$F$20-6,0) )  -  Races!$N$20</f>
        <v>3.1500000000000012</v>
      </c>
      <c r="DZ108" s="57">
        <f t="shared" ca="1" si="230"/>
        <v>3780.0000000000009</v>
      </c>
      <c r="EA108" s="666">
        <f ca="1">MIN(6,CY108+Races!$F$35)*1.8 +  IF(CY108+Races!$F$35&gt;6,(CY108+Races!$F$35-6)*0.2,0) - Races!$N$19</f>
        <v>0.72000000000000064</v>
      </c>
      <c r="EB108" s="57">
        <f t="shared" ca="1" si="231"/>
        <v>0</v>
      </c>
      <c r="EC108" s="666">
        <f ca="1">1.8 * MIN(MAX(Races!$E$27,DB108+Races!$F$27),6)  +  0.45 * MIN(MIN(Races!$E$27,DB108+Races!$F$27),6)  +  0.2 * ( MAX(Races!$E$27-6,0) + MAX(DB108+Races!$F$27-6,0) )  -  Races!$N$20</f>
        <v>4.7700000000000005</v>
      </c>
      <c r="ED108" s="57">
        <f t="shared" ca="1" si="232"/>
        <v>0</v>
      </c>
      <c r="EE108" s="666">
        <f>1.8 * MIN(MAX(DC108+Races!$E$47,DD108+Races!$F$47),6)  +  0.45 * MIN(MIN(DC108+Races!$E$47,DD108+Races!$F$47),6)  +  0.2 * ( MAX(DC108+Races!$E$47-6,0) + MAX(DD108+Races!$F$47-6,0) )  -  Races!$N$47</f>
        <v>0</v>
      </c>
      <c r="EF108" s="57">
        <f t="shared" si="233"/>
        <v>0</v>
      </c>
      <c r="EG108" s="666">
        <f ca="1">1.8 * MIN(MAX(DG108+Races!$F$71,Races!$E$71),6)  +  0.45 * MIN(MIN(DG108+Races!$F$71,Races!$E$71),6)  +  0.2 * ( MAX(DG108+Races!$F$71-6,0) + MAX(Races!$E$71-6,0) )  -  Races!$N$71</f>
        <v>2.5200000000000014</v>
      </c>
      <c r="EH108" s="666">
        <f>1.8 * MIN(MAX(DH108+Races!$E$71,Races!$F$71),6)  +  0.45 * MIN(MIN(DH108+Races!$E$71,Races!$F$71),6)  +  0.2 * ( MAX(DH108+Races!$E$71-6,0) + MAX(Races!$F$71-6,0) )  -  Races!$N$71</f>
        <v>0.16200000000000081</v>
      </c>
      <c r="EI108" s="57">
        <f t="shared" ca="1" si="234"/>
        <v>2584.8000000000015</v>
      </c>
      <c r="EJ108" s="57"/>
      <c r="EK108" s="57"/>
      <c r="EL108" s="57"/>
      <c r="EM108" s="57">
        <f ca="1">Overview!$L$22*E108+Overview!$L$23*F108+Overview!$L$24*G108+Overview!$L$25*H108+Overview!$L$26*I108+Overview!$L$27*J108+Overview!$L$28*K108+Construction!E108*20+Construction!B108*5 + DZ108*$DV$4+EB108*$DV$5+ED108*$DV$6+EF108*$DV$7+EI108*$DV$9</f>
        <v>39460</v>
      </c>
      <c r="EO108" s="738">
        <f>(J108+2*K108)/Construction!E108</f>
        <v>0.1</v>
      </c>
      <c r="EP108" s="734">
        <f ca="1">EO108*(1+race_wizard_strength+tech_magical_weaponry_wiz*Techs!AV180)</f>
        <v>0.1</v>
      </c>
      <c r="EQ108" s="16">
        <f>(I108+halfer*H108/3)/Construction!E108</f>
        <v>0.1</v>
      </c>
    </row>
    <row r="109" spans="1:147" s="16" customFormat="1">
      <c r="A109" s="629">
        <f>Rezone!J109</f>
        <v>107</v>
      </c>
      <c r="B109" s="56">
        <f ca="1">SUM(E109:K109)+SUM(AF101:AG109)+SUM(AH98:AL109)+Z109+Explore!AL109</f>
        <v>5295</v>
      </c>
      <c r="C109" s="97">
        <f ca="1">Population!G109</f>
        <v>0.57305194805194803</v>
      </c>
      <c r="E109" s="52">
        <f t="shared" si="182"/>
        <v>0</v>
      </c>
      <c r="F109" s="16">
        <f t="shared" si="183"/>
        <v>0</v>
      </c>
      <c r="G109" s="16">
        <f t="shared" si="184"/>
        <v>1000</v>
      </c>
      <c r="H109" s="16">
        <f t="shared" si="185"/>
        <v>400</v>
      </c>
      <c r="I109" s="16">
        <f t="shared" si="186"/>
        <v>100</v>
      </c>
      <c r="J109" s="16">
        <f t="shared" si="187"/>
        <v>100</v>
      </c>
      <c r="K109" s="53">
        <f t="shared" si="188"/>
        <v>0</v>
      </c>
      <c r="M109" s="64">
        <f ca="1">Production!G109</f>
        <v>39460</v>
      </c>
      <c r="O109" s="234">
        <f t="shared" ca="1" si="192"/>
        <v>4400</v>
      </c>
      <c r="P109" s="455">
        <f ca="1">race_offense+Imps!AB109+ROUND(MIN(gn_bonus*Construction!BF109/Construction!$E109,gn_bonus_cap),4)+MAX(IF(Magic!$AN109&gt;0,warsong_bonus),IF(Magic!AP109&gt;0,howling_op_bonus),IF(Magic!AS109&gt;0,nightfall_bonus),IF(Magic!AT109&gt;0,crusade_bonus),IF(Magic!AU109&gt;0,killingrage_bonus),IF(Magic!AV109&gt;0,bloodrage_bonus)) + Production!O109/100*prestige_offense_bonus + MAX(tech_military_offense*Techs!AH109,tech_magical_weaponry_op*Techs!AV109)</f>
        <v>0.05</v>
      </c>
      <c r="Q109" s="235">
        <f t="shared" ca="1" si="168"/>
        <v>4620</v>
      </c>
      <c r="R109" s="234">
        <f ca="1">F109*(spec_dp+spirit*DR109)+G109*(elite1_dp+woodie*CV109+sylvan*CY109+gnome*DB109+dark_elf*DD109+icekin*DG109+orc*DJ109+nox*DL109+beast*DN109+sacred*DP109+spirit*DS109+blackorc*DK109)+H109*(elite2_dp+woodie*CX109+beast*DO109+sacred*DQ109) + fh_peas_dp*MIN(Population!C109,20*Construction!BD109)+kobold*DE109</f>
        <v>7200</v>
      </c>
      <c r="S109" s="235">
        <f t="shared" ca="1" si="193"/>
        <v>10895</v>
      </c>
      <c r="T109" s="1052">
        <f ca="1">race_defense+Imps!AC109+ROUND(MIN(gt_bonus*Construction!BH109/Construction!$E109,gt_bonus_cap),4)+MAX(IF(Magic!AM109&gt;0,frenzy_bonus,IF(Magic!AQ109&gt;0,blizzard_bonus,IF(Magic!AP109&gt;0,howling_dp_bonus,IF(Magic!AI109&gt;0,ares_call_bonus)))),IF(Magic!AX109&gt;0,MIN(Construction!DF109/Construction!E109,0.2),0))</f>
        <v>0</v>
      </c>
      <c r="U109" s="1046">
        <f t="shared" ca="1" si="169"/>
        <v>7200</v>
      </c>
      <c r="V109" s="308">
        <f t="shared" ca="1" si="170"/>
        <v>10895</v>
      </c>
      <c r="W109" s="310">
        <f>Construction!E109</f>
        <v>1000</v>
      </c>
      <c r="X109" s="367"/>
      <c r="Y109" s="146">
        <f t="shared" si="191"/>
        <v>0.4</v>
      </c>
      <c r="Z109" s="166">
        <f ca="1">Z108+Population!Z108 - IF(race="Lux",AF109,SUM(AF109:AK109)) - BE109 + SUM(BF109:BL109) - Explore!AI109</f>
        <v>3695</v>
      </c>
      <c r="AA109" s="164"/>
      <c r="AB109" s="91">
        <f>(Construction!$BA109+Construction!BY109)/(Construction!$E109-Explore!S109*20)</f>
        <v>0.2</v>
      </c>
      <c r="AC109" s="529"/>
      <c r="AD109" s="799">
        <f>Rezone!J109</f>
        <v>107</v>
      </c>
      <c r="AE109" s="589">
        <f>Explore!AA109</f>
        <v>43696.41666666641</v>
      </c>
      <c r="AF109" s="356"/>
      <c r="AG109" s="348"/>
      <c r="AH109" s="348"/>
      <c r="AI109" s="348"/>
      <c r="AJ109" s="348"/>
      <c r="AK109" s="348"/>
      <c r="AL109" s="357"/>
      <c r="AN109" s="56">
        <f ca="1">Production!$H109</f>
        <v>4076517</v>
      </c>
      <c r="AO109" s="26">
        <f ca="1">Production!$L109</f>
        <v>231000</v>
      </c>
      <c r="AP109" s="26">
        <f ca="1">Production!J109</f>
        <v>268053</v>
      </c>
      <c r="AQ109" s="26">
        <f ca="1">Production!M109</f>
        <v>20000</v>
      </c>
      <c r="AR109" s="26">
        <f ca="1">Production!K109</f>
        <v>57508</v>
      </c>
      <c r="AS109" s="26">
        <f ca="1">Production!I109</f>
        <v>322251</v>
      </c>
      <c r="AT109" s="26">
        <f ca="1">Production!N109</f>
        <v>200</v>
      </c>
      <c r="AU109" s="152">
        <f t="shared" ca="1" si="194"/>
        <v>0</v>
      </c>
      <c r="AV109" s="164">
        <f t="shared" ca="1" si="195"/>
        <v>0</v>
      </c>
      <c r="AW109" s="164">
        <f t="shared" ca="1" si="171"/>
        <v>0</v>
      </c>
      <c r="AX109" s="164">
        <f t="shared" ca="1" si="172"/>
        <v>0</v>
      </c>
      <c r="AY109" s="164">
        <f t="shared" ca="1" si="173"/>
        <v>0</v>
      </c>
      <c r="AZ109" s="164">
        <f t="shared" ca="1" si="174"/>
        <v>0</v>
      </c>
      <c r="BA109" s="166">
        <f t="shared" ca="1" si="175"/>
        <v>0</v>
      </c>
      <c r="BB109" s="16">
        <v>35</v>
      </c>
      <c r="BC109" s="574">
        <f t="shared" si="176"/>
        <v>43696.41666666641</v>
      </c>
      <c r="BD109" s="148">
        <f t="shared" ca="1" si="177"/>
        <v>3695</v>
      </c>
      <c r="BE109" s="356"/>
      <c r="BF109" s="348"/>
      <c r="BG109" s="348"/>
      <c r="BH109" s="348"/>
      <c r="BI109" s="348"/>
      <c r="BJ109" s="348"/>
      <c r="BK109" s="348"/>
      <c r="BL109" s="357"/>
      <c r="BN109" s="503">
        <f>Construction!BM109/Construction!E109</f>
        <v>0</v>
      </c>
      <c r="BO109" s="171">
        <f>Construction!BD109/Construction!E109</f>
        <v>0</v>
      </c>
      <c r="BP109" s="152">
        <f>ROUNDUP((1-MIN(AB109*smithy_bonus,smithy_bonus_cap))*(1+Techs!AO109*tech_master_of_frugality)*spec_op_plat,0)</f>
        <v>165</v>
      </c>
      <c r="BQ109" s="164">
        <f>ROUNDUP(IF(race="Gnome",1,(1-MIN(AB109*smithy_bonus,smithy_bonus_cap))*(1+Techs!AO109*tech_master_of_frugality))*spec_op_ore,0)</f>
        <v>15</v>
      </c>
      <c r="BR109" s="164">
        <f t="shared" si="196"/>
        <v>0</v>
      </c>
      <c r="BS109" s="164">
        <f t="shared" si="197"/>
        <v>0</v>
      </c>
      <c r="BT109" s="164">
        <f ca="1">ROUNDUP((1-MIN(AB109*smithy_bonus,smithy_bonus_cap))*(1+Techs!AO109*tech_master_of_frugality)*spec_dp_plat,0)</f>
        <v>165</v>
      </c>
      <c r="BU109" s="164">
        <f ca="1">ROUNDUP(IF(OR(race="Gnome",race="Imperial Gnome"),1,(1-MIN(AB109*smithy_bonus,smithy_bonus_cap))*(1+Techs!AO109*tech_master_of_frugality))*spec_dp_ore,0)</f>
        <v>6</v>
      </c>
      <c r="BV109" s="164">
        <f t="shared" ca="1" si="198"/>
        <v>0</v>
      </c>
      <c r="BW109" s="164">
        <f t="shared" ca="1" si="199"/>
        <v>0</v>
      </c>
      <c r="BX109" s="164">
        <f t="shared" ca="1" si="200"/>
        <v>0</v>
      </c>
      <c r="BY109" s="164">
        <f ca="1">ROUNDUP((1-MIN(AB109*smithy_bonus,smithy_bonus_cap))*(1+Techs!AO109*tech_master_of_frugality)*elite1_plat,0)</f>
        <v>600</v>
      </c>
      <c r="BZ109" s="164">
        <f ca="1">ROUNDUP(IF(race="Gnome",1,(1-MIN(AB109*smithy_bonus,smithy_bonus_cap))*(1+Techs!AO109*tech_master_of_frugality))*elite1_ore,0)</f>
        <v>45</v>
      </c>
      <c r="CA109" s="164">
        <f t="shared" ca="1" si="201"/>
        <v>0</v>
      </c>
      <c r="CB109" s="164">
        <f t="shared" ca="1" si="202"/>
        <v>0</v>
      </c>
      <c r="CC109" s="164">
        <f t="shared" ca="1" si="203"/>
        <v>0</v>
      </c>
      <c r="CD109" s="164">
        <f t="shared" ca="1" si="204"/>
        <v>0</v>
      </c>
      <c r="CE109" s="164">
        <f t="shared" ca="1" si="205"/>
        <v>0</v>
      </c>
      <c r="CF109" s="164">
        <f ca="1">ROUNDUP((1-MIN(AB109*smithy_bonus,smithy_bonus_cap))*(1+Techs!AO109*tech_master_of_frugality)*elite2_plat,0)</f>
        <v>750</v>
      </c>
      <c r="CG109" s="164">
        <f ca="1">ROUNDUP(IF(race="Gnome",1,(1-MIN(AB109*smithy_bonus,smithy_bonus_cap))*(1+Techs!AO109*tech_master_of_frugality))*elite2_ore,0)</f>
        <v>60</v>
      </c>
      <c r="CH109" s="164">
        <f t="shared" ca="1" si="206"/>
        <v>0</v>
      </c>
      <c r="CI109" s="164">
        <f t="shared" ca="1" si="207"/>
        <v>0</v>
      </c>
      <c r="CJ109" s="164">
        <f t="shared" ca="1" si="208"/>
        <v>0</v>
      </c>
      <c r="CK109" s="164">
        <f t="shared" ca="1" si="209"/>
        <v>0</v>
      </c>
      <c r="CL109" s="164">
        <f t="shared" ca="1" si="210"/>
        <v>0</v>
      </c>
      <c r="CM109" s="164">
        <f>ROUNDUP((1+tech_spy_cost*Techs!AJ109)*spy_plat,0)</f>
        <v>500</v>
      </c>
      <c r="CN109" s="164">
        <f>ROUNDUP((1+tech_wizard_cost*Techs!AM109-MIN(ROUND(wg_wiz_cost_bonus*BN109,4),wg_wiz_cost_cap))*wizard_plat,0)</f>
        <v>500</v>
      </c>
      <c r="CO109" s="166">
        <f>ROUNDUP((1+tech_wizard_cost*Techs!AM109-MIN(ROUND(wg_wiz_cost_bonus*BN109,4),wg_wiz_cost_cap))*archmage_plat,0)</f>
        <v>1000</v>
      </c>
      <c r="CQ109" s="465">
        <f ca="1">Construction!DF109/Construction!E109</f>
        <v>0.28000000000000003</v>
      </c>
      <c r="CR109" s="466">
        <f t="shared" si="178"/>
        <v>0</v>
      </c>
      <c r="CS109" s="466">
        <f>Construction!BK109/Construction!E109</f>
        <v>0.05</v>
      </c>
      <c r="CT109" s="466">
        <f>Construction!BJ109/Construction!E109</f>
        <v>0</v>
      </c>
      <c r="CU109" s="466">
        <f>Construction!AY109/Construction!E109</f>
        <v>0</v>
      </c>
      <c r="CV109" s="481">
        <f t="shared" ca="1" si="211"/>
        <v>1.4000000000000001</v>
      </c>
      <c r="CW109" s="482">
        <f t="shared" ca="1" si="212"/>
        <v>1.4000000000000001</v>
      </c>
      <c r="CX109" s="482">
        <f t="shared" ca="1" si="213"/>
        <v>1.4000000000000001</v>
      </c>
      <c r="CY109" s="483">
        <f t="shared" ca="1" si="214"/>
        <v>1.4000000000000001</v>
      </c>
      <c r="CZ109" s="483">
        <f t="shared" si="215"/>
        <v>0.1</v>
      </c>
      <c r="DA109" s="483">
        <f t="shared" ca="1" si="216"/>
        <v>3</v>
      </c>
      <c r="DB109" s="483">
        <f t="shared" ca="1" si="217"/>
        <v>1.4000000000000001</v>
      </c>
      <c r="DC109" s="482">
        <f t="shared" si="218"/>
        <v>0</v>
      </c>
      <c r="DD109" s="847">
        <f t="shared" si="219"/>
        <v>0</v>
      </c>
      <c r="DE109" s="440">
        <f t="shared" si="179"/>
        <v>800</v>
      </c>
      <c r="DF109" s="440">
        <f t="shared" si="180"/>
        <v>0</v>
      </c>
      <c r="DG109" s="481">
        <f t="shared" ca="1" si="220"/>
        <v>1.4000000000000001</v>
      </c>
      <c r="DH109" s="450">
        <f t="shared" si="221"/>
        <v>9.0000000000000011E-2</v>
      </c>
      <c r="DI109" s="450">
        <f>MIN(valkyrja_cap,Production!O109/valkyrja_bonus)</f>
        <v>1</v>
      </c>
      <c r="DJ109" s="847">
        <f>MIN(voodoo_magi_cap,Production!O109/voodoo_magi_bonus)</f>
        <v>0.83333333333333337</v>
      </c>
      <c r="DK109" s="847">
        <f>MIN(warlock_cap,Production!O109/warlock_bonus)</f>
        <v>1.25</v>
      </c>
      <c r="DL109" s="847">
        <f ca="1">MIN(nox_nightshade_cap,Construction!DF109/Construction!E109/nox_nightshade_swamp_bonus)</f>
        <v>2.8000000000000003</v>
      </c>
      <c r="DM109" s="482">
        <f t="shared" si="222"/>
        <v>0</v>
      </c>
      <c r="DN109" s="483">
        <f t="shared" ca="1" si="223"/>
        <v>2.8000000000000003</v>
      </c>
      <c r="DO109" s="483">
        <f t="shared" ca="1" si="224"/>
        <v>2.8000000000000003</v>
      </c>
      <c r="DP109" s="483">
        <f t="shared" si="225"/>
        <v>1</v>
      </c>
      <c r="DQ109" s="482">
        <f t="shared" si="226"/>
        <v>0</v>
      </c>
      <c r="DR109" s="483">
        <f t="shared" si="227"/>
        <v>0</v>
      </c>
      <c r="DS109" s="482">
        <f t="shared" si="228"/>
        <v>0</v>
      </c>
      <c r="DT109" s="483">
        <f t="shared" si="229"/>
        <v>0.1</v>
      </c>
      <c r="DX109" s="487">
        <f ca="1">MIN(6,CV109+Races!$F$19)*1.8 +  IF(CV109+Races!$F$19&gt;6,(CV109+Races!$F$19-6)*0.2,0) - Races!$N$19</f>
        <v>2.5200000000000005</v>
      </c>
      <c r="DY109" s="488">
        <f ca="1">1.8 * MIN(MAX(CW109+Races!$E$20,CX109+Races!$F$20),6)  +  0.45 * MIN(MIN(CW109+Races!$E$20,CX109+Races!$F$20),6)  +  0.2 * ( MAX(CW109+Races!$E$20-6,0) + MAX(CX109+Races!$F$20-6,0) )  -  Races!$N$20</f>
        <v>3.1500000000000012</v>
      </c>
      <c r="DZ109" s="57">
        <f t="shared" ca="1" si="230"/>
        <v>3780.0000000000009</v>
      </c>
      <c r="EA109" s="666">
        <f ca="1">MIN(6,CY109+Races!$F$35)*1.8 +  IF(CY109+Races!$F$35&gt;6,(CY109+Races!$F$35-6)*0.2,0) - Races!$N$19</f>
        <v>0.72000000000000064</v>
      </c>
      <c r="EB109" s="57">
        <f t="shared" ca="1" si="231"/>
        <v>0</v>
      </c>
      <c r="EC109" s="666">
        <f ca="1">1.8 * MIN(MAX(Races!$E$27,DB109+Races!$F$27),6)  +  0.45 * MIN(MIN(Races!$E$27,DB109+Races!$F$27),6)  +  0.2 * ( MAX(Races!$E$27-6,0) + MAX(DB109+Races!$F$27-6,0) )  -  Races!$N$20</f>
        <v>4.7700000000000005</v>
      </c>
      <c r="ED109" s="57">
        <f t="shared" ca="1" si="232"/>
        <v>0</v>
      </c>
      <c r="EE109" s="666">
        <f>1.8 * MIN(MAX(DC109+Races!$E$47,DD109+Races!$F$47),6)  +  0.45 * MIN(MIN(DC109+Races!$E$47,DD109+Races!$F$47),6)  +  0.2 * ( MAX(DC109+Races!$E$47-6,0) + MAX(DD109+Races!$F$47-6,0) )  -  Races!$N$47</f>
        <v>0</v>
      </c>
      <c r="EF109" s="57">
        <f t="shared" si="233"/>
        <v>0</v>
      </c>
      <c r="EG109" s="666">
        <f ca="1">1.8 * MIN(MAX(DG109+Races!$F$71,Races!$E$71),6)  +  0.45 * MIN(MIN(DG109+Races!$F$71,Races!$E$71),6)  +  0.2 * ( MAX(DG109+Races!$F$71-6,0) + MAX(Races!$E$71-6,0) )  -  Races!$N$71</f>
        <v>2.5200000000000014</v>
      </c>
      <c r="EH109" s="666">
        <f>1.8 * MIN(MAX(DH109+Races!$E$71,Races!$F$71),6)  +  0.45 * MIN(MIN(DH109+Races!$E$71,Races!$F$71),6)  +  0.2 * ( MAX(DH109+Races!$E$71-6,0) + MAX(Races!$F$71-6,0) )  -  Races!$N$71</f>
        <v>0.16200000000000081</v>
      </c>
      <c r="EI109" s="57">
        <f t="shared" ca="1" si="234"/>
        <v>2584.8000000000015</v>
      </c>
      <c r="EJ109" s="57"/>
      <c r="EK109" s="57"/>
      <c r="EL109" s="57"/>
      <c r="EM109" s="57">
        <f ca="1">Overview!$L$22*E109+Overview!$L$23*F109+Overview!$L$24*G109+Overview!$L$25*H109+Overview!$L$26*I109+Overview!$L$27*J109+Overview!$L$28*K109+Construction!E109*20+Construction!B109*5 + DZ109*$DV$4+EB109*$DV$5+ED109*$DV$6+EF109*$DV$7+EI109*$DV$9</f>
        <v>39460</v>
      </c>
      <c r="EO109" s="738">
        <f>(J109+2*K109)/Construction!E109</f>
        <v>0.1</v>
      </c>
      <c r="EP109" s="734">
        <f ca="1">EO109*(1+race_wizard_strength+tech_magical_weaponry_wiz*Techs!AV181)</f>
        <v>0.1</v>
      </c>
      <c r="EQ109" s="16">
        <f>(I109+halfer*H109/3)/Construction!E109</f>
        <v>0.1</v>
      </c>
    </row>
    <row r="110" spans="1:147" s="16" customFormat="1">
      <c r="A110" s="629">
        <f>Rezone!J110</f>
        <v>108</v>
      </c>
      <c r="B110" s="56">
        <f ca="1">SUM(E110:K110)+SUM(AF102:AG110)+SUM(AH99:AL110)+Z110+Explore!AL110</f>
        <v>5295</v>
      </c>
      <c r="C110" s="97">
        <f ca="1">Population!G110</f>
        <v>0.57305194805194803</v>
      </c>
      <c r="E110" s="52">
        <f t="shared" si="182"/>
        <v>0</v>
      </c>
      <c r="F110" s="16">
        <f t="shared" si="183"/>
        <v>0</v>
      </c>
      <c r="G110" s="16">
        <f t="shared" si="184"/>
        <v>1000</v>
      </c>
      <c r="H110" s="16">
        <f t="shared" si="185"/>
        <v>400</v>
      </c>
      <c r="I110" s="16">
        <f t="shared" si="186"/>
        <v>100</v>
      </c>
      <c r="J110" s="16">
        <f t="shared" si="187"/>
        <v>100</v>
      </c>
      <c r="K110" s="53">
        <f t="shared" si="188"/>
        <v>0</v>
      </c>
      <c r="M110" s="64">
        <f ca="1">Production!G110</f>
        <v>39460</v>
      </c>
      <c r="O110" s="234">
        <f t="shared" ca="1" si="192"/>
        <v>4400</v>
      </c>
      <c r="P110" s="455">
        <f ca="1">race_offense+Imps!AB110+ROUND(MIN(gn_bonus*Construction!BF110/Construction!$E110,gn_bonus_cap),4)+MAX(IF(Magic!$AN110&gt;0,warsong_bonus),IF(Magic!AP110&gt;0,howling_op_bonus),IF(Magic!AS110&gt;0,nightfall_bonus),IF(Magic!AT110&gt;0,crusade_bonus),IF(Magic!AU110&gt;0,killingrage_bonus),IF(Magic!AV110&gt;0,bloodrage_bonus)) + Production!O110/100*prestige_offense_bonus + MAX(tech_military_offense*Techs!AH110,tech_magical_weaponry_op*Techs!AV110)</f>
        <v>0.05</v>
      </c>
      <c r="Q110" s="235">
        <f t="shared" ca="1" si="168"/>
        <v>4620</v>
      </c>
      <c r="R110" s="234">
        <f ca="1">F110*(spec_dp+spirit*DR110)+G110*(elite1_dp+woodie*CV110+sylvan*CY110+gnome*DB110+dark_elf*DD110+icekin*DG110+orc*DJ110+nox*DL110+beast*DN110+sacred*DP110+spirit*DS110+blackorc*DK110)+H110*(elite2_dp+woodie*CX110+beast*DO110+sacred*DQ110) + fh_peas_dp*MIN(Population!C110,20*Construction!BD110)+kobold*DE110</f>
        <v>7200</v>
      </c>
      <c r="S110" s="235">
        <f t="shared" ca="1" si="193"/>
        <v>10895</v>
      </c>
      <c r="T110" s="1052">
        <f ca="1">race_defense+Imps!AC110+ROUND(MIN(gt_bonus*Construction!BH110/Construction!$E110,gt_bonus_cap),4)+MAX(IF(Magic!AM110&gt;0,frenzy_bonus,IF(Magic!AQ110&gt;0,blizzard_bonus,IF(Magic!AP110&gt;0,howling_dp_bonus,IF(Magic!AI110&gt;0,ares_call_bonus)))),IF(Magic!AX110&gt;0,MIN(Construction!DF110/Construction!E110,0.2),0))</f>
        <v>0</v>
      </c>
      <c r="U110" s="1046">
        <f t="shared" ca="1" si="169"/>
        <v>7200</v>
      </c>
      <c r="V110" s="308">
        <f t="shared" ca="1" si="170"/>
        <v>10895</v>
      </c>
      <c r="W110" s="310">
        <f>Construction!E110</f>
        <v>1000</v>
      </c>
      <c r="X110" s="367"/>
      <c r="Y110" s="146">
        <f t="shared" si="191"/>
        <v>0.4</v>
      </c>
      <c r="Z110" s="166">
        <f ca="1">Z109+Population!Z109 - IF(race="Lux",AF110,SUM(AF110:AK110)) - BE110 + SUM(BF110:BL110) - Explore!AI110</f>
        <v>3695</v>
      </c>
      <c r="AA110" s="164"/>
      <c r="AB110" s="91">
        <f>(Construction!$BA110+Construction!BY110)/(Construction!$E110-Explore!S110*20)</f>
        <v>0.2</v>
      </c>
      <c r="AC110" s="529"/>
      <c r="AD110" s="799">
        <f>Rezone!J110</f>
        <v>108</v>
      </c>
      <c r="AE110" s="589">
        <f>Explore!AA110</f>
        <v>43696.458333333074</v>
      </c>
      <c r="AF110" s="356"/>
      <c r="AG110" s="348"/>
      <c r="AH110" s="348"/>
      <c r="AI110" s="348"/>
      <c r="AJ110" s="348"/>
      <c r="AK110" s="348"/>
      <c r="AL110" s="357"/>
      <c r="AN110" s="56">
        <f ca="1">Production!$H110</f>
        <v>4087168</v>
      </c>
      <c r="AO110" s="26">
        <f ca="1">Production!$L110</f>
        <v>231000</v>
      </c>
      <c r="AP110" s="26">
        <f ca="1">Production!J110</f>
        <v>267872</v>
      </c>
      <c r="AQ110" s="26">
        <f ca="1">Production!M110</f>
        <v>20000</v>
      </c>
      <c r="AR110" s="26">
        <f ca="1">Production!K110</f>
        <v>57608</v>
      </c>
      <c r="AS110" s="26">
        <f ca="1">Production!I110</f>
        <v>323758</v>
      </c>
      <c r="AT110" s="26">
        <f ca="1">Production!N110</f>
        <v>200</v>
      </c>
      <c r="AU110" s="152">
        <f t="shared" ca="1" si="194"/>
        <v>0</v>
      </c>
      <c r="AV110" s="164">
        <f t="shared" ca="1" si="195"/>
        <v>0</v>
      </c>
      <c r="AW110" s="164">
        <f t="shared" ca="1" si="171"/>
        <v>0</v>
      </c>
      <c r="AX110" s="164">
        <f t="shared" ca="1" si="172"/>
        <v>0</v>
      </c>
      <c r="AY110" s="164">
        <f t="shared" ca="1" si="173"/>
        <v>0</v>
      </c>
      <c r="AZ110" s="164">
        <f t="shared" ca="1" si="174"/>
        <v>0</v>
      </c>
      <c r="BA110" s="166">
        <f t="shared" ca="1" si="175"/>
        <v>0</v>
      </c>
      <c r="BB110" s="16">
        <v>36</v>
      </c>
      <c r="BC110" s="574">
        <f t="shared" si="176"/>
        <v>43696.458333333074</v>
      </c>
      <c r="BD110" s="148">
        <f t="shared" ca="1" si="177"/>
        <v>3695</v>
      </c>
      <c r="BE110" s="356"/>
      <c r="BF110" s="348"/>
      <c r="BG110" s="348"/>
      <c r="BH110" s="348"/>
      <c r="BI110" s="348"/>
      <c r="BJ110" s="348"/>
      <c r="BK110" s="348"/>
      <c r="BL110" s="357"/>
      <c r="BN110" s="503">
        <f>Construction!BM110/Construction!E110</f>
        <v>0</v>
      </c>
      <c r="BO110" s="171">
        <f>Construction!BD110/Construction!E110</f>
        <v>0</v>
      </c>
      <c r="BP110" s="152">
        <f>ROUNDUP((1-MIN(AB110*smithy_bonus,smithy_bonus_cap))*(1+Techs!AO110*tech_master_of_frugality)*spec_op_plat,0)</f>
        <v>165</v>
      </c>
      <c r="BQ110" s="164">
        <f>ROUNDUP(IF(race="Gnome",1,(1-MIN(AB110*smithy_bonus,smithy_bonus_cap))*(1+Techs!AO110*tech_master_of_frugality))*spec_op_ore,0)</f>
        <v>15</v>
      </c>
      <c r="BR110" s="164">
        <f t="shared" si="196"/>
        <v>0</v>
      </c>
      <c r="BS110" s="164">
        <f t="shared" si="197"/>
        <v>0</v>
      </c>
      <c r="BT110" s="164">
        <f ca="1">ROUNDUP((1-MIN(AB110*smithy_bonus,smithy_bonus_cap))*(1+Techs!AO110*tech_master_of_frugality)*spec_dp_plat,0)</f>
        <v>165</v>
      </c>
      <c r="BU110" s="164">
        <f ca="1">ROUNDUP(IF(OR(race="Gnome",race="Imperial Gnome"),1,(1-MIN(AB110*smithy_bonus,smithy_bonus_cap))*(1+Techs!AO110*tech_master_of_frugality))*spec_dp_ore,0)</f>
        <v>6</v>
      </c>
      <c r="BV110" s="164">
        <f t="shared" ca="1" si="198"/>
        <v>0</v>
      </c>
      <c r="BW110" s="164">
        <f t="shared" ca="1" si="199"/>
        <v>0</v>
      </c>
      <c r="BX110" s="164">
        <f t="shared" ca="1" si="200"/>
        <v>0</v>
      </c>
      <c r="BY110" s="164">
        <f ca="1">ROUNDUP((1-MIN(AB110*smithy_bonus,smithy_bonus_cap))*(1+Techs!AO110*tech_master_of_frugality)*elite1_plat,0)</f>
        <v>600</v>
      </c>
      <c r="BZ110" s="164">
        <f ca="1">ROUNDUP(IF(race="Gnome",1,(1-MIN(AB110*smithy_bonus,smithy_bonus_cap))*(1+Techs!AO110*tech_master_of_frugality))*elite1_ore,0)</f>
        <v>45</v>
      </c>
      <c r="CA110" s="164">
        <f t="shared" ca="1" si="201"/>
        <v>0</v>
      </c>
      <c r="CB110" s="164">
        <f t="shared" ca="1" si="202"/>
        <v>0</v>
      </c>
      <c r="CC110" s="164">
        <f t="shared" ca="1" si="203"/>
        <v>0</v>
      </c>
      <c r="CD110" s="164">
        <f t="shared" ca="1" si="204"/>
        <v>0</v>
      </c>
      <c r="CE110" s="164">
        <f t="shared" ca="1" si="205"/>
        <v>0</v>
      </c>
      <c r="CF110" s="164">
        <f ca="1">ROUNDUP((1-MIN(AB110*smithy_bonus,smithy_bonus_cap))*(1+Techs!AO110*tech_master_of_frugality)*elite2_plat,0)</f>
        <v>750</v>
      </c>
      <c r="CG110" s="164">
        <f ca="1">ROUNDUP(IF(race="Gnome",1,(1-MIN(AB110*smithy_bonus,smithy_bonus_cap))*(1+Techs!AO110*tech_master_of_frugality))*elite2_ore,0)</f>
        <v>60</v>
      </c>
      <c r="CH110" s="164">
        <f t="shared" ca="1" si="206"/>
        <v>0</v>
      </c>
      <c r="CI110" s="164">
        <f t="shared" ca="1" si="207"/>
        <v>0</v>
      </c>
      <c r="CJ110" s="164">
        <f t="shared" ca="1" si="208"/>
        <v>0</v>
      </c>
      <c r="CK110" s="164">
        <f t="shared" ca="1" si="209"/>
        <v>0</v>
      </c>
      <c r="CL110" s="164">
        <f t="shared" ca="1" si="210"/>
        <v>0</v>
      </c>
      <c r="CM110" s="164">
        <f>ROUNDUP((1+tech_spy_cost*Techs!AJ110)*spy_plat,0)</f>
        <v>500</v>
      </c>
      <c r="CN110" s="164">
        <f>ROUNDUP((1+tech_wizard_cost*Techs!AM110-MIN(ROUND(wg_wiz_cost_bonus*BN110,4),wg_wiz_cost_cap))*wizard_plat,0)</f>
        <v>500</v>
      </c>
      <c r="CO110" s="166">
        <f>ROUNDUP((1+tech_wizard_cost*Techs!AM110-MIN(ROUND(wg_wiz_cost_bonus*BN110,4),wg_wiz_cost_cap))*archmage_plat,0)</f>
        <v>1000</v>
      </c>
      <c r="CQ110" s="465">
        <f ca="1">Construction!DF110/Construction!E110</f>
        <v>0.28000000000000003</v>
      </c>
      <c r="CR110" s="466">
        <f t="shared" si="178"/>
        <v>0</v>
      </c>
      <c r="CS110" s="466">
        <f>Construction!BK110/Construction!E110</f>
        <v>0.05</v>
      </c>
      <c r="CT110" s="466">
        <f>Construction!BJ110/Construction!E110</f>
        <v>0</v>
      </c>
      <c r="CU110" s="466">
        <f>Construction!AY110/Construction!E110</f>
        <v>0</v>
      </c>
      <c r="CV110" s="481">
        <f t="shared" ca="1" si="211"/>
        <v>1.4000000000000001</v>
      </c>
      <c r="CW110" s="482">
        <f t="shared" ca="1" si="212"/>
        <v>1.4000000000000001</v>
      </c>
      <c r="CX110" s="482">
        <f t="shared" ca="1" si="213"/>
        <v>1.4000000000000001</v>
      </c>
      <c r="CY110" s="483">
        <f t="shared" ca="1" si="214"/>
        <v>1.4000000000000001</v>
      </c>
      <c r="CZ110" s="483">
        <f t="shared" si="215"/>
        <v>0.1</v>
      </c>
      <c r="DA110" s="483">
        <f t="shared" ca="1" si="216"/>
        <v>3</v>
      </c>
      <c r="DB110" s="483">
        <f t="shared" ca="1" si="217"/>
        <v>1.4000000000000001</v>
      </c>
      <c r="DC110" s="482">
        <f t="shared" si="218"/>
        <v>0</v>
      </c>
      <c r="DD110" s="847">
        <f t="shared" si="219"/>
        <v>0</v>
      </c>
      <c r="DE110" s="440">
        <f t="shared" si="179"/>
        <v>800</v>
      </c>
      <c r="DF110" s="440">
        <f t="shared" si="180"/>
        <v>0</v>
      </c>
      <c r="DG110" s="481">
        <f t="shared" ca="1" si="220"/>
        <v>1.4000000000000001</v>
      </c>
      <c r="DH110" s="450">
        <f t="shared" si="221"/>
        <v>9.0000000000000011E-2</v>
      </c>
      <c r="DI110" s="450">
        <f>MIN(valkyrja_cap,Production!O110/valkyrja_bonus)</f>
        <v>1</v>
      </c>
      <c r="DJ110" s="847">
        <f>MIN(voodoo_magi_cap,Production!O110/voodoo_magi_bonus)</f>
        <v>0.83333333333333337</v>
      </c>
      <c r="DK110" s="847">
        <f>MIN(warlock_cap,Production!O110/warlock_bonus)</f>
        <v>1.25</v>
      </c>
      <c r="DL110" s="847">
        <f ca="1">MIN(nox_nightshade_cap,Construction!DF110/Construction!E110/nox_nightshade_swamp_bonus)</f>
        <v>2.8000000000000003</v>
      </c>
      <c r="DM110" s="482">
        <f t="shared" si="222"/>
        <v>0</v>
      </c>
      <c r="DN110" s="483">
        <f t="shared" ca="1" si="223"/>
        <v>2.8000000000000003</v>
      </c>
      <c r="DO110" s="483">
        <f t="shared" ca="1" si="224"/>
        <v>2.8000000000000003</v>
      </c>
      <c r="DP110" s="483">
        <f t="shared" si="225"/>
        <v>1</v>
      </c>
      <c r="DQ110" s="482">
        <f t="shared" si="226"/>
        <v>0</v>
      </c>
      <c r="DR110" s="483">
        <f t="shared" si="227"/>
        <v>0</v>
      </c>
      <c r="DS110" s="482">
        <f t="shared" si="228"/>
        <v>0</v>
      </c>
      <c r="DT110" s="483">
        <f t="shared" si="229"/>
        <v>0.1</v>
      </c>
      <c r="DX110" s="487">
        <f ca="1">MIN(6,CV110+Races!$F$19)*1.8 +  IF(CV110+Races!$F$19&gt;6,(CV110+Races!$F$19-6)*0.2,0) - Races!$N$19</f>
        <v>2.5200000000000005</v>
      </c>
      <c r="DY110" s="488">
        <f ca="1">1.8 * MIN(MAX(CW110+Races!$E$20,CX110+Races!$F$20),6)  +  0.45 * MIN(MIN(CW110+Races!$E$20,CX110+Races!$F$20),6)  +  0.2 * ( MAX(CW110+Races!$E$20-6,0) + MAX(CX110+Races!$F$20-6,0) )  -  Races!$N$20</f>
        <v>3.1500000000000012</v>
      </c>
      <c r="DZ110" s="57">
        <f t="shared" ca="1" si="230"/>
        <v>3780.0000000000009</v>
      </c>
      <c r="EA110" s="666">
        <f ca="1">MIN(6,CY110+Races!$F$35)*1.8 +  IF(CY110+Races!$F$35&gt;6,(CY110+Races!$F$35-6)*0.2,0) - Races!$N$19</f>
        <v>0.72000000000000064</v>
      </c>
      <c r="EB110" s="57">
        <f t="shared" ca="1" si="231"/>
        <v>0</v>
      </c>
      <c r="EC110" s="666">
        <f ca="1">1.8 * MIN(MAX(Races!$E$27,DB110+Races!$F$27),6)  +  0.45 * MIN(MIN(Races!$E$27,DB110+Races!$F$27),6)  +  0.2 * ( MAX(Races!$E$27-6,0) + MAX(DB110+Races!$F$27-6,0) )  -  Races!$N$20</f>
        <v>4.7700000000000005</v>
      </c>
      <c r="ED110" s="57">
        <f t="shared" ca="1" si="232"/>
        <v>0</v>
      </c>
      <c r="EE110" s="666">
        <f>1.8 * MIN(MAX(DC110+Races!$E$47,DD110+Races!$F$47),6)  +  0.45 * MIN(MIN(DC110+Races!$E$47,DD110+Races!$F$47),6)  +  0.2 * ( MAX(DC110+Races!$E$47-6,0) + MAX(DD110+Races!$F$47-6,0) )  -  Races!$N$47</f>
        <v>0</v>
      </c>
      <c r="EF110" s="57">
        <f t="shared" si="233"/>
        <v>0</v>
      </c>
      <c r="EG110" s="666">
        <f ca="1">1.8 * MIN(MAX(DG110+Races!$F$71,Races!$E$71),6)  +  0.45 * MIN(MIN(DG110+Races!$F$71,Races!$E$71),6)  +  0.2 * ( MAX(DG110+Races!$F$71-6,0) + MAX(Races!$E$71-6,0) )  -  Races!$N$71</f>
        <v>2.5200000000000014</v>
      </c>
      <c r="EH110" s="666">
        <f>1.8 * MIN(MAX(DH110+Races!$E$71,Races!$F$71),6)  +  0.45 * MIN(MIN(DH110+Races!$E$71,Races!$F$71),6)  +  0.2 * ( MAX(DH110+Races!$E$71-6,0) + MAX(Races!$F$71-6,0) )  -  Races!$N$71</f>
        <v>0.16200000000000081</v>
      </c>
      <c r="EI110" s="57">
        <f t="shared" ca="1" si="234"/>
        <v>2584.8000000000015</v>
      </c>
      <c r="EJ110" s="57"/>
      <c r="EK110" s="57"/>
      <c r="EL110" s="57"/>
      <c r="EM110" s="57">
        <f ca="1">Overview!$L$22*E110+Overview!$L$23*F110+Overview!$L$24*G110+Overview!$L$25*H110+Overview!$L$26*I110+Overview!$L$27*J110+Overview!$L$28*K110+Construction!E110*20+Construction!B110*5 + DZ110*$DV$4+EB110*$DV$5+ED110*$DV$6+EF110*$DV$7+EI110*$DV$9</f>
        <v>39460</v>
      </c>
      <c r="EO110" s="738">
        <f>(J110+2*K110)/Construction!E110</f>
        <v>0.1</v>
      </c>
      <c r="EP110" s="734">
        <f ca="1">EO110*(1+race_wizard_strength+tech_magical_weaponry_wiz*Techs!AV182)</f>
        <v>0.1</v>
      </c>
      <c r="EQ110" s="16">
        <f>(I110+halfer*H110/3)/Construction!E110</f>
        <v>0.1</v>
      </c>
    </row>
    <row r="111" spans="1:147" s="12" customFormat="1">
      <c r="A111" s="319">
        <f>Rezone!J111</f>
        <v>109</v>
      </c>
      <c r="B111" s="54">
        <f ca="1">SUM(E111:K111)+SUM(AF103:AG111)+SUM(AH100:AL111)+Z111+Explore!AL111</f>
        <v>5295</v>
      </c>
      <c r="C111" s="96">
        <f ca="1">Population!G111</f>
        <v>0.57305194805194803</v>
      </c>
      <c r="D111" s="286"/>
      <c r="E111" s="50">
        <f t="shared" ref="E111:E135" si="235">E110 - BF111 + AF102 - IF(race="Lux",AG111+AH111,0)</f>
        <v>0</v>
      </c>
      <c r="F111" s="12">
        <f t="shared" ref="F111:F135" si="236">F110 - BG111 + IF(race="Lux",AG99,AG102) - IF(race="Lux",AI111,0)</f>
        <v>0</v>
      </c>
      <c r="G111" s="12">
        <f t="shared" ref="G111:G135" si="237">G110 + AH99 - BH111 - IF(race="Lux",AI111,0)</f>
        <v>1000</v>
      </c>
      <c r="H111" s="12">
        <f t="shared" ref="H111:H135" si="238">H110 + AI99 - BI111</f>
        <v>400</v>
      </c>
      <c r="I111" s="12">
        <f t="shared" ref="I111:I135" si="239">I110 + AJ99 - BJ111</f>
        <v>100</v>
      </c>
      <c r="J111" s="12">
        <f t="shared" ref="J111:J135" si="240">J110 + AK99 - AL111 - BK111</f>
        <v>100</v>
      </c>
      <c r="K111" s="51">
        <f t="shared" ref="K111:K135" si="241">K110 + AL99 - BL111</f>
        <v>0</v>
      </c>
      <c r="L111" s="286"/>
      <c r="M111" s="93">
        <f ca="1">Production!G111</f>
        <v>39460</v>
      </c>
      <c r="N111" s="286"/>
      <c r="O111" s="141">
        <f t="shared" ca="1" si="192"/>
        <v>4400</v>
      </c>
      <c r="P111" s="447">
        <f ca="1">race_offense+Imps!AB111+ROUND(MIN(gn_bonus*Construction!BF111/Construction!$E111,gn_bonus_cap),4)+MAX(IF(Magic!$AN111&gt;0,warsong_bonus),IF(Magic!AP111&gt;0,howling_op_bonus),IF(Magic!AS111&gt;0,nightfall_bonus),IF(Magic!AT111&gt;0,crusade_bonus),IF(Magic!AU111&gt;0,killingrage_bonus),IF(Magic!AV111&gt;0,bloodrage_bonus)) + Production!O111/100*prestige_offense_bonus + MAX(tech_military_offense*Techs!AH111,tech_magical_weaponry_op*Techs!AV111)</f>
        <v>0.05</v>
      </c>
      <c r="Q111" s="229">
        <f t="shared" ca="1" si="168"/>
        <v>4620</v>
      </c>
      <c r="R111" s="227">
        <f ca="1">F111*(spec_dp+spirit*DR111)+G111*(elite1_dp+woodie*CV111+sylvan*CY111+gnome*DB111+dark_elf*DD111+icekin*DG111+orc*DJ111+nox*DL111+beast*DN111+sacred*DP111+spirit*DS111+blackorc*DK111)+H111*(elite2_dp+woodie*CX111+beast*DO111+sacred*DQ111) + fh_peas_dp*MIN(Population!C111,20*Construction!BD111)+kobold*DE111</f>
        <v>7200</v>
      </c>
      <c r="S111" s="229">
        <f t="shared" ca="1" si="193"/>
        <v>10895</v>
      </c>
      <c r="T111" s="1178">
        <f ca="1">race_defense+Imps!AC111+ROUND(MIN(gt_bonus*Construction!BH111/Construction!$E111,gt_bonus_cap),4)+MAX(IF(Magic!AM111&gt;0,frenzy_bonus,IF(Magic!AQ111&gt;0,blizzard_bonus,IF(Magic!AP111&gt;0,howling_dp_bonus,IF(Magic!AI111&gt;0,ares_call_bonus)))),IF(Magic!AX111&gt;0,MIN(Construction!DF111/Construction!E111,0.2),0))</f>
        <v>0</v>
      </c>
      <c r="U111" s="1047">
        <f t="shared" ca="1" si="169"/>
        <v>7200</v>
      </c>
      <c r="V111" s="311">
        <f t="shared" ca="1" si="170"/>
        <v>10895</v>
      </c>
      <c r="W111" s="311">
        <f>Construction!E111</f>
        <v>1000</v>
      </c>
      <c r="X111" s="368"/>
      <c r="Y111" s="145">
        <f t="shared" si="191"/>
        <v>0.4</v>
      </c>
      <c r="Z111" s="158">
        <f ca="1">Z110+Population!Z110 - IF(race="Lux",AF111,SUM(AF111:AK111)) - BE111 + SUM(BF111:BL111) - Explore!AI111</f>
        <v>3695</v>
      </c>
      <c r="AA111" s="153"/>
      <c r="AB111" s="306">
        <f>(Construction!$BA111+Construction!BY111)/(Construction!$E111-Explore!S111*20)</f>
        <v>0.2</v>
      </c>
      <c r="AC111" s="1065"/>
      <c r="AD111" s="1064">
        <f>Rezone!J111</f>
        <v>109</v>
      </c>
      <c r="AE111" s="588">
        <f>Explore!AA111</f>
        <v>43696.499999999738</v>
      </c>
      <c r="AF111" s="373"/>
      <c r="AG111" s="349"/>
      <c r="AH111" s="349"/>
      <c r="AI111" s="349"/>
      <c r="AJ111" s="349"/>
      <c r="AK111" s="349"/>
      <c r="AL111" s="374"/>
      <c r="AM111" s="1063"/>
      <c r="AN111" s="54">
        <f ca="1">Production!$H111</f>
        <v>4097819</v>
      </c>
      <c r="AO111" s="13">
        <f ca="1">Production!$L111</f>
        <v>231000</v>
      </c>
      <c r="AP111" s="13">
        <f ca="1">Production!J111</f>
        <v>267693</v>
      </c>
      <c r="AQ111" s="13">
        <f ca="1">Production!M111</f>
        <v>20000</v>
      </c>
      <c r="AR111" s="13">
        <f ca="1">Production!K111</f>
        <v>57706</v>
      </c>
      <c r="AS111" s="13">
        <f ca="1">Production!I111</f>
        <v>325250</v>
      </c>
      <c r="AT111" s="13">
        <f ca="1">Production!N111</f>
        <v>200</v>
      </c>
      <c r="AU111" s="151">
        <f t="shared" ca="1" si="194"/>
        <v>0</v>
      </c>
      <c r="AV111" s="153">
        <f t="shared" ca="1" si="195"/>
        <v>0</v>
      </c>
      <c r="AW111" s="153">
        <f t="shared" ca="1" si="171"/>
        <v>0</v>
      </c>
      <c r="AX111" s="153">
        <f t="shared" ca="1" si="172"/>
        <v>0</v>
      </c>
      <c r="AY111" s="153">
        <f t="shared" ca="1" si="173"/>
        <v>0</v>
      </c>
      <c r="AZ111" s="153">
        <f t="shared" ca="1" si="174"/>
        <v>0</v>
      </c>
      <c r="BA111" s="158">
        <f t="shared" ca="1" si="175"/>
        <v>0</v>
      </c>
      <c r="BB111" s="12">
        <v>37</v>
      </c>
      <c r="BC111" s="679">
        <f t="shared" si="176"/>
        <v>43696.499999999738</v>
      </c>
      <c r="BD111" s="149">
        <f t="shared" ca="1" si="177"/>
        <v>3695</v>
      </c>
      <c r="BE111" s="373"/>
      <c r="BF111" s="349"/>
      <c r="BG111" s="349"/>
      <c r="BH111" s="349"/>
      <c r="BI111" s="349"/>
      <c r="BJ111" s="349"/>
      <c r="BK111" s="349"/>
      <c r="BL111" s="374"/>
      <c r="BN111" s="502">
        <f>Construction!BM111/Construction!E111</f>
        <v>0</v>
      </c>
      <c r="BO111" s="162">
        <f>Construction!BD111/Construction!E111</f>
        <v>0</v>
      </c>
      <c r="BP111" s="151">
        <f>ROUNDUP((1-MIN(AB111*smithy_bonus,smithy_bonus_cap))*(1+Techs!AO111*tech_master_of_frugality)*spec_op_plat,0)</f>
        <v>165</v>
      </c>
      <c r="BQ111" s="153">
        <f>ROUNDUP(IF(race="Gnome",1,(1-MIN(AB111*smithy_bonus,smithy_bonus_cap))*(1+Techs!AO111*tech_master_of_frugality))*spec_op_ore,0)</f>
        <v>15</v>
      </c>
      <c r="BR111" s="153">
        <f t="shared" si="196"/>
        <v>0</v>
      </c>
      <c r="BS111" s="153">
        <f t="shared" si="197"/>
        <v>0</v>
      </c>
      <c r="BT111" s="153">
        <f ca="1">ROUNDUP((1-MIN(AB111*smithy_bonus,smithy_bonus_cap))*(1+Techs!AO111*tech_master_of_frugality)*spec_dp_plat,0)</f>
        <v>165</v>
      </c>
      <c r="BU111" s="153">
        <f ca="1">ROUNDUP(IF(OR(race="Gnome",race="Imperial Gnome"),1,(1-MIN(AB111*smithy_bonus,smithy_bonus_cap))*(1+Techs!AO111*tech_master_of_frugality))*spec_dp_ore,0)</f>
        <v>6</v>
      </c>
      <c r="BV111" s="153">
        <f t="shared" ca="1" si="198"/>
        <v>0</v>
      </c>
      <c r="BW111" s="153">
        <f t="shared" ca="1" si="199"/>
        <v>0</v>
      </c>
      <c r="BX111" s="153">
        <f t="shared" ca="1" si="200"/>
        <v>0</v>
      </c>
      <c r="BY111" s="153">
        <f ca="1">ROUNDUP((1-MIN(AB111*smithy_bonus,smithy_bonus_cap))*(1+Techs!AO111*tech_master_of_frugality)*elite1_plat,0)</f>
        <v>600</v>
      </c>
      <c r="BZ111" s="153">
        <f ca="1">ROUNDUP(IF(race="Gnome",1,(1-MIN(AB111*smithy_bonus,smithy_bonus_cap))*(1+Techs!AO111*tech_master_of_frugality))*elite1_ore,0)</f>
        <v>45</v>
      </c>
      <c r="CA111" s="153">
        <f t="shared" ca="1" si="201"/>
        <v>0</v>
      </c>
      <c r="CB111" s="153">
        <f t="shared" ca="1" si="202"/>
        <v>0</v>
      </c>
      <c r="CC111" s="153">
        <f t="shared" ca="1" si="203"/>
        <v>0</v>
      </c>
      <c r="CD111" s="153">
        <f t="shared" ca="1" si="204"/>
        <v>0</v>
      </c>
      <c r="CE111" s="153">
        <f t="shared" ca="1" si="205"/>
        <v>0</v>
      </c>
      <c r="CF111" s="153">
        <f ca="1">ROUNDUP((1-MIN(AB111*smithy_bonus,smithy_bonus_cap))*(1+Techs!AO111*tech_master_of_frugality)*elite2_plat,0)</f>
        <v>750</v>
      </c>
      <c r="CG111" s="153">
        <f ca="1">ROUNDUP(IF(race="Gnome",1,(1-MIN(AB111*smithy_bonus,smithy_bonus_cap))*(1+Techs!AO111*tech_master_of_frugality))*elite2_ore,0)</f>
        <v>60</v>
      </c>
      <c r="CH111" s="153">
        <f t="shared" ca="1" si="206"/>
        <v>0</v>
      </c>
      <c r="CI111" s="153">
        <f t="shared" ca="1" si="207"/>
        <v>0</v>
      </c>
      <c r="CJ111" s="153">
        <f t="shared" ca="1" si="208"/>
        <v>0</v>
      </c>
      <c r="CK111" s="153">
        <f t="shared" ca="1" si="209"/>
        <v>0</v>
      </c>
      <c r="CL111" s="153">
        <f t="shared" ca="1" si="210"/>
        <v>0</v>
      </c>
      <c r="CM111" s="153">
        <f>ROUNDUP((1+tech_spy_cost*Techs!AJ111)*spy_plat,0)</f>
        <v>500</v>
      </c>
      <c r="CN111" s="153">
        <f>ROUNDUP((1+tech_wizard_cost*Techs!AM111-MIN(ROUND(wg_wiz_cost_bonus*BN111,4),wg_wiz_cost_cap))*wizard_plat,0)</f>
        <v>500</v>
      </c>
      <c r="CO111" s="158">
        <f>ROUNDUP((1+tech_wizard_cost*Techs!AM111-MIN(ROUND(wg_wiz_cost_bonus*BN111,4),wg_wiz_cost_cap))*archmage_plat,0)</f>
        <v>1000</v>
      </c>
      <c r="CQ111" s="467">
        <f ca="1">Construction!DF111/Construction!E111</f>
        <v>0.28000000000000003</v>
      </c>
      <c r="CR111" s="468">
        <f t="shared" si="178"/>
        <v>0</v>
      </c>
      <c r="CS111" s="468">
        <f>Construction!BK111/Construction!E111</f>
        <v>0.05</v>
      </c>
      <c r="CT111" s="468">
        <f>Construction!BJ111/Construction!E111</f>
        <v>0</v>
      </c>
      <c r="CU111" s="468">
        <f>Construction!AY111/Construction!E111</f>
        <v>0</v>
      </c>
      <c r="CV111" s="490">
        <f t="shared" ca="1" si="211"/>
        <v>1.4000000000000001</v>
      </c>
      <c r="CW111" s="491">
        <f t="shared" ca="1" si="212"/>
        <v>1.4000000000000001</v>
      </c>
      <c r="CX111" s="491">
        <f t="shared" ca="1" si="213"/>
        <v>1.4000000000000001</v>
      </c>
      <c r="CY111" s="492">
        <f t="shared" ca="1" si="214"/>
        <v>1.4000000000000001</v>
      </c>
      <c r="CZ111" s="492">
        <f t="shared" si="215"/>
        <v>0.1</v>
      </c>
      <c r="DA111" s="492">
        <f t="shared" ca="1" si="216"/>
        <v>3</v>
      </c>
      <c r="DB111" s="492">
        <f t="shared" ca="1" si="217"/>
        <v>1.4000000000000001</v>
      </c>
      <c r="DC111" s="491">
        <f t="shared" si="218"/>
        <v>0</v>
      </c>
      <c r="DD111" s="851">
        <f t="shared" si="219"/>
        <v>0</v>
      </c>
      <c r="DE111" s="732">
        <f t="shared" si="179"/>
        <v>800</v>
      </c>
      <c r="DF111" s="732">
        <f t="shared" si="180"/>
        <v>0</v>
      </c>
      <c r="DG111" s="490">
        <f t="shared" ca="1" si="220"/>
        <v>1.4000000000000001</v>
      </c>
      <c r="DH111" s="453">
        <f t="shared" si="221"/>
        <v>9.0000000000000011E-2</v>
      </c>
      <c r="DI111" s="453">
        <f>MIN(valkyrja_cap,Production!O111/valkyrja_bonus)</f>
        <v>1</v>
      </c>
      <c r="DJ111" s="851">
        <f>MIN(voodoo_magi_cap,Production!O111/voodoo_magi_bonus)</f>
        <v>0.83333333333333337</v>
      </c>
      <c r="DK111" s="851">
        <f>MIN(warlock_cap,Production!O111/warlock_bonus)</f>
        <v>1.25</v>
      </c>
      <c r="DL111" s="851">
        <f ca="1">MIN(nox_nightshade_cap,Construction!DF111/Construction!E111/nox_nightshade_swamp_bonus)</f>
        <v>2.8000000000000003</v>
      </c>
      <c r="DM111" s="491">
        <f t="shared" si="222"/>
        <v>0</v>
      </c>
      <c r="DN111" s="492">
        <f t="shared" ca="1" si="223"/>
        <v>2.8000000000000003</v>
      </c>
      <c r="DO111" s="492">
        <f t="shared" ca="1" si="224"/>
        <v>2.8000000000000003</v>
      </c>
      <c r="DP111" s="492">
        <f t="shared" si="225"/>
        <v>1</v>
      </c>
      <c r="DQ111" s="491">
        <f t="shared" si="226"/>
        <v>0</v>
      </c>
      <c r="DR111" s="492">
        <f t="shared" si="227"/>
        <v>0</v>
      </c>
      <c r="DS111" s="491">
        <f t="shared" si="228"/>
        <v>0</v>
      </c>
      <c r="DT111" s="492">
        <f t="shared" si="229"/>
        <v>0.1</v>
      </c>
      <c r="DX111" s="490">
        <f ca="1">MIN(6,CV111+Races!$F$19)*1.8 +  IF(CV111+Races!$F$19&gt;6,(CV111+Races!$F$19-6)*0.2,0) - Races!$N$19</f>
        <v>2.5200000000000005</v>
      </c>
      <c r="DY111" s="491">
        <f ca="1">1.8 * MIN(MAX(CW111+Races!$E$20,CX111+Races!$F$20),6)  +  0.45 * MIN(MIN(CW111+Races!$E$20,CX111+Races!$F$20),6)  +  0.2 * ( MAX(CW111+Races!$E$20-6,0) + MAX(CX111+Races!$F$20-6,0) )  -  Races!$N$20</f>
        <v>3.1500000000000012</v>
      </c>
      <c r="DZ111" s="55">
        <f t="shared" ca="1" si="230"/>
        <v>3780.0000000000009</v>
      </c>
      <c r="EA111" s="668">
        <f ca="1">MIN(6,CY111+Races!$F$35)*1.8 +  IF(CY111+Races!$F$35&gt;6,(CY111+Races!$F$35-6)*0.2,0) - Races!$N$19</f>
        <v>0.72000000000000064</v>
      </c>
      <c r="EB111" s="55">
        <f t="shared" ca="1" si="231"/>
        <v>0</v>
      </c>
      <c r="EC111" s="668">
        <f ca="1">1.8 * MIN(MAX(Races!$E$27,DB111+Races!$F$27),6)  +  0.45 * MIN(MIN(Races!$E$27,DB111+Races!$F$27),6)  +  0.2 * ( MAX(Races!$E$27-6,0) + MAX(DB111+Races!$F$27-6,0) )  -  Races!$N$20</f>
        <v>4.7700000000000005</v>
      </c>
      <c r="ED111" s="55">
        <f t="shared" ca="1" si="232"/>
        <v>0</v>
      </c>
      <c r="EE111" s="668">
        <f>1.8 * MIN(MAX(DC111+Races!$E$47,DD111+Races!$F$47),6)  +  0.45 * MIN(MIN(DC111+Races!$E$47,DD111+Races!$F$47),6)  +  0.2 * ( MAX(DC111+Races!$E$47-6,0) + MAX(DD111+Races!$F$47-6,0) )  -  Races!$N$47</f>
        <v>0</v>
      </c>
      <c r="EF111" s="55">
        <f t="shared" si="233"/>
        <v>0</v>
      </c>
      <c r="EG111" s="668">
        <f ca="1">1.8 * MIN(MAX(DG111+Races!$F$71,Races!$E$71),6)  +  0.45 * MIN(MIN(DG111+Races!$F$71,Races!$E$71),6)  +  0.2 * ( MAX(DG111+Races!$F$71-6,0) + MAX(Races!$E$71-6,0) )  -  Races!$N$71</f>
        <v>2.5200000000000014</v>
      </c>
      <c r="EH111" s="668">
        <f>1.8 * MIN(MAX(DH111+Races!$E$71,Races!$F$71),6)  +  0.45 * MIN(MIN(DH111+Races!$E$71,Races!$F$71),6)  +  0.2 * ( MAX(DH111+Races!$E$71-6,0) + MAX(Races!$F$71-6,0) )  -  Races!$N$71</f>
        <v>0.16200000000000081</v>
      </c>
      <c r="EI111" s="55">
        <f t="shared" ca="1" si="234"/>
        <v>2584.8000000000015</v>
      </c>
      <c r="EJ111" s="55"/>
      <c r="EK111" s="55"/>
      <c r="EL111" s="55"/>
      <c r="EM111" s="55">
        <f ca="1">Overview!$L$22*E111+Overview!$L$23*F111+Overview!$L$24*G111+Overview!$L$25*H111+Overview!$L$26*I111+Overview!$L$27*J111+Overview!$L$28*K111+Construction!E111*20+Construction!B111*5 + DZ111*$DV$4+EB111*$DV$5+ED111*$DV$6+EF111*$DV$7+EI111*$DV$9</f>
        <v>39460</v>
      </c>
      <c r="EO111" s="741">
        <f>(J111+2*K111)/Construction!E111</f>
        <v>0.1</v>
      </c>
      <c r="EP111" s="735">
        <f ca="1">EO111*(1+race_wizard_strength+tech_magical_weaponry_wiz*Techs!AV183)</f>
        <v>0.1</v>
      </c>
      <c r="EQ111" s="12">
        <f>(I111+halfer*H111/3)/Construction!E111</f>
        <v>0.1</v>
      </c>
    </row>
    <row r="112" spans="1:147" s="16" customFormat="1">
      <c r="A112" s="629">
        <f>Rezone!J112</f>
        <v>110</v>
      </c>
      <c r="B112" s="56">
        <f ca="1">SUM(E112:K112)+SUM(AF104:AG112)+SUM(AH101:AL112)+Z112+Explore!AL112</f>
        <v>5295</v>
      </c>
      <c r="C112" s="97">
        <f ca="1">Population!G112</f>
        <v>0.57305194805194803</v>
      </c>
      <c r="E112" s="52">
        <f t="shared" si="235"/>
        <v>0</v>
      </c>
      <c r="F112" s="16">
        <f t="shared" si="236"/>
        <v>0</v>
      </c>
      <c r="G112" s="16">
        <f t="shared" si="237"/>
        <v>1000</v>
      </c>
      <c r="H112" s="16">
        <f t="shared" si="238"/>
        <v>400</v>
      </c>
      <c r="I112" s="16">
        <f t="shared" si="239"/>
        <v>100</v>
      </c>
      <c r="J112" s="16">
        <f t="shared" si="240"/>
        <v>100</v>
      </c>
      <c r="K112" s="53">
        <f t="shared" si="241"/>
        <v>0</v>
      </c>
      <c r="M112" s="64">
        <f ca="1">Production!G112</f>
        <v>39460</v>
      </c>
      <c r="O112" s="142">
        <f t="shared" ca="1" si="192"/>
        <v>4400</v>
      </c>
      <c r="P112" s="455">
        <f ca="1">race_offense+Imps!AB112+ROUND(MIN(gn_bonus*Construction!BF112/Construction!$E112,gn_bonus_cap),4)+MAX(IF(Magic!$AN112&gt;0,warsong_bonus),IF(Magic!AP112&gt;0,howling_op_bonus),IF(Magic!AS112&gt;0,nightfall_bonus),IF(Magic!AT112&gt;0,crusade_bonus),IF(Magic!AU112&gt;0,killingrage_bonus),IF(Magic!AV112&gt;0,bloodrage_bonus)) + Production!O112/100*prestige_offense_bonus + MAX(tech_military_offense*Techs!AH112,tech_magical_weaponry_op*Techs!AV112)</f>
        <v>0.05</v>
      </c>
      <c r="Q112" s="235">
        <f t="shared" ca="1" si="168"/>
        <v>4620</v>
      </c>
      <c r="R112" s="234">
        <f ca="1">F112*(spec_dp+spirit*DR112)+G112*(elite1_dp+woodie*CV112+sylvan*CY112+gnome*DB112+dark_elf*DD112+icekin*DG112+orc*DJ112+nox*DL112+beast*DN112+sacred*DP112+spirit*DS112+blackorc*DK112)+H112*(elite2_dp+woodie*CX112+beast*DO112+sacred*DQ112) + fh_peas_dp*MIN(Population!C112,20*Construction!BD112)+kobold*DE112</f>
        <v>7200</v>
      </c>
      <c r="S112" s="235">
        <f t="shared" ca="1" si="193"/>
        <v>10895</v>
      </c>
      <c r="T112" s="1052">
        <f ca="1">race_defense+Imps!AC112+ROUND(MIN(gt_bonus*Construction!BH112/Construction!$E112,gt_bonus_cap),4)+MAX(IF(Magic!AM112&gt;0,frenzy_bonus,IF(Magic!AQ112&gt;0,blizzard_bonus,IF(Magic!AP112&gt;0,howling_dp_bonus,IF(Magic!AI112&gt;0,ares_call_bonus)))),IF(Magic!AX112&gt;0,MIN(Construction!DF112/Construction!E112,0.2),0))</f>
        <v>0</v>
      </c>
      <c r="U112" s="1046">
        <f t="shared" ca="1" si="169"/>
        <v>7200</v>
      </c>
      <c r="V112" s="310">
        <f t="shared" ca="1" si="170"/>
        <v>10895</v>
      </c>
      <c r="W112" s="310">
        <f>Construction!E112</f>
        <v>1000</v>
      </c>
      <c r="X112" s="367"/>
      <c r="Y112" s="146">
        <f t="shared" si="191"/>
        <v>0.4</v>
      </c>
      <c r="Z112" s="166">
        <f ca="1">Z111+Population!Z111 - IF(race="Lux",AF112,SUM(AF112:AK112)) - BE112 + SUM(BF112:BL112) - Explore!AI112</f>
        <v>3695</v>
      </c>
      <c r="AA112" s="164"/>
      <c r="AB112" s="91">
        <f>(Construction!$BA112+Construction!BY112)/(Construction!$E112-Explore!S112*20)</f>
        <v>0.2</v>
      </c>
      <c r="AC112" s="529"/>
      <c r="AD112" s="799">
        <f>Rezone!J112</f>
        <v>110</v>
      </c>
      <c r="AE112" s="589">
        <f>Explore!AA112</f>
        <v>43696.541666666402</v>
      </c>
      <c r="AF112" s="356"/>
      <c r="AG112" s="348"/>
      <c r="AH112" s="348"/>
      <c r="AI112" s="348"/>
      <c r="AJ112" s="348"/>
      <c r="AK112" s="348"/>
      <c r="AL112" s="357"/>
      <c r="AN112" s="56">
        <f ca="1">Production!$H112</f>
        <v>4108470</v>
      </c>
      <c r="AO112" s="26">
        <f ca="1">Production!$L112</f>
        <v>231000</v>
      </c>
      <c r="AP112" s="26">
        <f ca="1">Production!J112</f>
        <v>267516</v>
      </c>
      <c r="AQ112" s="26">
        <f ca="1">Production!M112</f>
        <v>20000</v>
      </c>
      <c r="AR112" s="26">
        <f ca="1">Production!K112</f>
        <v>57802</v>
      </c>
      <c r="AS112" s="26">
        <f ca="1">Production!I112</f>
        <v>326728</v>
      </c>
      <c r="AT112" s="26">
        <f ca="1">Production!N112</f>
        <v>200</v>
      </c>
      <c r="AU112" s="152">
        <f t="shared" ca="1" si="194"/>
        <v>0</v>
      </c>
      <c r="AV112" s="164">
        <f t="shared" ca="1" si="195"/>
        <v>0</v>
      </c>
      <c r="AW112" s="164">
        <f t="shared" ca="1" si="171"/>
        <v>0</v>
      </c>
      <c r="AX112" s="164">
        <f t="shared" ca="1" si="172"/>
        <v>0</v>
      </c>
      <c r="AY112" s="164">
        <f t="shared" ca="1" si="173"/>
        <v>0</v>
      </c>
      <c r="AZ112" s="164">
        <f t="shared" ca="1" si="174"/>
        <v>0</v>
      </c>
      <c r="BA112" s="166">
        <f t="shared" ca="1" si="175"/>
        <v>0</v>
      </c>
      <c r="BB112" s="16">
        <v>38</v>
      </c>
      <c r="BC112" s="574">
        <f t="shared" si="176"/>
        <v>43696.541666666402</v>
      </c>
      <c r="BD112" s="148">
        <f t="shared" ca="1" si="177"/>
        <v>3695</v>
      </c>
      <c r="BE112" s="356"/>
      <c r="BF112" s="348"/>
      <c r="BG112" s="348"/>
      <c r="BH112" s="348"/>
      <c r="BI112" s="348"/>
      <c r="BJ112" s="348"/>
      <c r="BK112" s="348"/>
      <c r="BL112" s="357"/>
      <c r="BN112" s="503">
        <f>Construction!BM112/Construction!E112</f>
        <v>0</v>
      </c>
      <c r="BO112" s="171">
        <f>Construction!BD112/Construction!E112</f>
        <v>0</v>
      </c>
      <c r="BP112" s="152">
        <f>ROUNDUP((1-MIN(AB112*smithy_bonus,smithy_bonus_cap))*(1+Techs!AO112*tech_master_of_frugality)*spec_op_plat,0)</f>
        <v>165</v>
      </c>
      <c r="BQ112" s="164">
        <f>ROUNDUP(IF(race="Gnome",1,(1-MIN(AB112*smithy_bonus,smithy_bonus_cap))*(1+Techs!AO112*tech_master_of_frugality))*spec_op_ore,0)</f>
        <v>15</v>
      </c>
      <c r="BR112" s="164">
        <f t="shared" si="196"/>
        <v>0</v>
      </c>
      <c r="BS112" s="164">
        <f t="shared" si="197"/>
        <v>0</v>
      </c>
      <c r="BT112" s="164">
        <f ca="1">ROUNDUP((1-MIN(AB112*smithy_bonus,smithy_bonus_cap))*(1+Techs!AO112*tech_master_of_frugality)*spec_dp_plat,0)</f>
        <v>165</v>
      </c>
      <c r="BU112" s="164">
        <f ca="1">ROUNDUP(IF(OR(race="Gnome",race="Imperial Gnome"),1,(1-MIN(AB112*smithy_bonus,smithy_bonus_cap))*(1+Techs!AO112*tech_master_of_frugality))*spec_dp_ore,0)</f>
        <v>6</v>
      </c>
      <c r="BV112" s="164">
        <f t="shared" ca="1" si="198"/>
        <v>0</v>
      </c>
      <c r="BW112" s="164">
        <f t="shared" ca="1" si="199"/>
        <v>0</v>
      </c>
      <c r="BX112" s="164">
        <f t="shared" ca="1" si="200"/>
        <v>0</v>
      </c>
      <c r="BY112" s="164">
        <f ca="1">ROUNDUP((1-MIN(AB112*smithy_bonus,smithy_bonus_cap))*(1+Techs!AO112*tech_master_of_frugality)*elite1_plat,0)</f>
        <v>600</v>
      </c>
      <c r="BZ112" s="164">
        <f ca="1">ROUNDUP(IF(race="Gnome",1,(1-MIN(AB112*smithy_bonus,smithy_bonus_cap))*(1+Techs!AO112*tech_master_of_frugality))*elite1_ore,0)</f>
        <v>45</v>
      </c>
      <c r="CA112" s="164">
        <f t="shared" ca="1" si="201"/>
        <v>0</v>
      </c>
      <c r="CB112" s="164">
        <f t="shared" ca="1" si="202"/>
        <v>0</v>
      </c>
      <c r="CC112" s="164">
        <f t="shared" ca="1" si="203"/>
        <v>0</v>
      </c>
      <c r="CD112" s="164">
        <f t="shared" ca="1" si="204"/>
        <v>0</v>
      </c>
      <c r="CE112" s="164">
        <f t="shared" ca="1" si="205"/>
        <v>0</v>
      </c>
      <c r="CF112" s="164">
        <f ca="1">ROUNDUP((1-MIN(AB112*smithy_bonus,smithy_bonus_cap))*(1+Techs!AO112*tech_master_of_frugality)*elite2_plat,0)</f>
        <v>750</v>
      </c>
      <c r="CG112" s="164">
        <f ca="1">ROUNDUP(IF(race="Gnome",1,(1-MIN(AB112*smithy_bonus,smithy_bonus_cap))*(1+Techs!AO112*tech_master_of_frugality))*elite2_ore,0)</f>
        <v>60</v>
      </c>
      <c r="CH112" s="164">
        <f t="shared" ca="1" si="206"/>
        <v>0</v>
      </c>
      <c r="CI112" s="164">
        <f t="shared" ca="1" si="207"/>
        <v>0</v>
      </c>
      <c r="CJ112" s="164">
        <f t="shared" ca="1" si="208"/>
        <v>0</v>
      </c>
      <c r="CK112" s="164">
        <f t="shared" ca="1" si="209"/>
        <v>0</v>
      </c>
      <c r="CL112" s="164">
        <f t="shared" ca="1" si="210"/>
        <v>0</v>
      </c>
      <c r="CM112" s="164">
        <f>ROUNDUP((1+tech_spy_cost*Techs!AJ112)*spy_plat,0)</f>
        <v>500</v>
      </c>
      <c r="CN112" s="164">
        <f>ROUNDUP((1+tech_wizard_cost*Techs!AM112-MIN(ROUND(wg_wiz_cost_bonus*BN112,4),wg_wiz_cost_cap))*wizard_plat,0)</f>
        <v>500</v>
      </c>
      <c r="CO112" s="166">
        <f>ROUNDUP((1+tech_wizard_cost*Techs!AM112-MIN(ROUND(wg_wiz_cost_bonus*BN112,4),wg_wiz_cost_cap))*archmage_plat,0)</f>
        <v>1000</v>
      </c>
      <c r="CQ112" s="465">
        <f ca="1">Construction!DF112/Construction!E112</f>
        <v>0.28000000000000003</v>
      </c>
      <c r="CR112" s="466">
        <f t="shared" si="178"/>
        <v>0</v>
      </c>
      <c r="CS112" s="466">
        <f>Construction!BK112/Construction!E112</f>
        <v>0.05</v>
      </c>
      <c r="CT112" s="466">
        <f>Construction!BJ112/Construction!E112</f>
        <v>0</v>
      </c>
      <c r="CU112" s="466">
        <f>Construction!AY112/Construction!E112</f>
        <v>0</v>
      </c>
      <c r="CV112" s="487">
        <f t="shared" ca="1" si="211"/>
        <v>1.4000000000000001</v>
      </c>
      <c r="CW112" s="488">
        <f t="shared" ca="1" si="212"/>
        <v>1.4000000000000001</v>
      </c>
      <c r="CX112" s="488">
        <f t="shared" ca="1" si="213"/>
        <v>1.4000000000000001</v>
      </c>
      <c r="CY112" s="489">
        <f t="shared" ca="1" si="214"/>
        <v>1.4000000000000001</v>
      </c>
      <c r="CZ112" s="489">
        <f t="shared" si="215"/>
        <v>0.1</v>
      </c>
      <c r="DA112" s="489">
        <f t="shared" ca="1" si="216"/>
        <v>3</v>
      </c>
      <c r="DB112" s="489">
        <f t="shared" ca="1" si="217"/>
        <v>1.4000000000000001</v>
      </c>
      <c r="DC112" s="488">
        <f t="shared" si="218"/>
        <v>0</v>
      </c>
      <c r="DD112" s="848">
        <f t="shared" si="219"/>
        <v>0</v>
      </c>
      <c r="DE112" s="442">
        <f t="shared" si="179"/>
        <v>800</v>
      </c>
      <c r="DF112" s="442">
        <f t="shared" si="180"/>
        <v>0</v>
      </c>
      <c r="DG112" s="487">
        <f t="shared" ca="1" si="220"/>
        <v>1.4000000000000001</v>
      </c>
      <c r="DH112" s="452">
        <f t="shared" si="221"/>
        <v>9.0000000000000011E-2</v>
      </c>
      <c r="DI112" s="452">
        <f>MIN(valkyrja_cap,Production!O112/valkyrja_bonus)</f>
        <v>1</v>
      </c>
      <c r="DJ112" s="848">
        <f>MIN(voodoo_magi_cap,Production!O112/voodoo_magi_bonus)</f>
        <v>0.83333333333333337</v>
      </c>
      <c r="DK112" s="848">
        <f>MIN(warlock_cap,Production!O112/warlock_bonus)</f>
        <v>1.25</v>
      </c>
      <c r="DL112" s="848">
        <f ca="1">MIN(nox_nightshade_cap,Construction!DF112/Construction!E112/nox_nightshade_swamp_bonus)</f>
        <v>2.8000000000000003</v>
      </c>
      <c r="DM112" s="488">
        <f t="shared" si="222"/>
        <v>0</v>
      </c>
      <c r="DN112" s="489">
        <f t="shared" ca="1" si="223"/>
        <v>2.8000000000000003</v>
      </c>
      <c r="DO112" s="489">
        <f t="shared" ca="1" si="224"/>
        <v>2.8000000000000003</v>
      </c>
      <c r="DP112" s="489">
        <f t="shared" si="225"/>
        <v>1</v>
      </c>
      <c r="DQ112" s="488">
        <f t="shared" si="226"/>
        <v>0</v>
      </c>
      <c r="DR112" s="489">
        <f t="shared" si="227"/>
        <v>0</v>
      </c>
      <c r="DS112" s="488">
        <f t="shared" si="228"/>
        <v>0</v>
      </c>
      <c r="DT112" s="489">
        <f t="shared" si="229"/>
        <v>0.1</v>
      </c>
      <c r="DX112" s="487">
        <f ca="1">MIN(6,CV112+Races!$F$19)*1.8 +  IF(CV112+Races!$F$19&gt;6,(CV112+Races!$F$19-6)*0.2,0) - Races!$N$19</f>
        <v>2.5200000000000005</v>
      </c>
      <c r="DY112" s="488">
        <f ca="1">1.8 * MIN(MAX(CW112+Races!$E$20,CX112+Races!$F$20),6)  +  0.45 * MIN(MIN(CW112+Races!$E$20,CX112+Races!$F$20),6)  +  0.2 * ( MAX(CW112+Races!$E$20-6,0) + MAX(CX112+Races!$F$20-6,0) )  -  Races!$N$20</f>
        <v>3.1500000000000012</v>
      </c>
      <c r="DZ112" s="57">
        <f t="shared" ca="1" si="230"/>
        <v>3780.0000000000009</v>
      </c>
      <c r="EA112" s="666">
        <f ca="1">MIN(6,CY112+Races!$F$35)*1.8 +  IF(CY112+Races!$F$35&gt;6,(CY112+Races!$F$35-6)*0.2,0) - Races!$N$19</f>
        <v>0.72000000000000064</v>
      </c>
      <c r="EB112" s="57">
        <f t="shared" ca="1" si="231"/>
        <v>0</v>
      </c>
      <c r="EC112" s="666">
        <f ca="1">1.8 * MIN(MAX(Races!$E$27,DB112+Races!$F$27),6)  +  0.45 * MIN(MIN(Races!$E$27,DB112+Races!$F$27),6)  +  0.2 * ( MAX(Races!$E$27-6,0) + MAX(DB112+Races!$F$27-6,0) )  -  Races!$N$20</f>
        <v>4.7700000000000005</v>
      </c>
      <c r="ED112" s="57">
        <f t="shared" ca="1" si="232"/>
        <v>0</v>
      </c>
      <c r="EE112" s="666">
        <f>1.8 * MIN(MAX(DC112+Races!$E$47,DD112+Races!$F$47),6)  +  0.45 * MIN(MIN(DC112+Races!$E$47,DD112+Races!$F$47),6)  +  0.2 * ( MAX(DC112+Races!$E$47-6,0) + MAX(DD112+Races!$F$47-6,0) )  -  Races!$N$47</f>
        <v>0</v>
      </c>
      <c r="EF112" s="57">
        <f t="shared" si="233"/>
        <v>0</v>
      </c>
      <c r="EG112" s="666">
        <f ca="1">1.8 * MIN(MAX(DG112+Races!$F$71,Races!$E$71),6)  +  0.45 * MIN(MIN(DG112+Races!$F$71,Races!$E$71),6)  +  0.2 * ( MAX(DG112+Races!$F$71-6,0) + MAX(Races!$E$71-6,0) )  -  Races!$N$71</f>
        <v>2.5200000000000014</v>
      </c>
      <c r="EH112" s="666">
        <f>1.8 * MIN(MAX(DH112+Races!$E$71,Races!$F$71),6)  +  0.45 * MIN(MIN(DH112+Races!$E$71,Races!$F$71),6)  +  0.2 * ( MAX(DH112+Races!$E$71-6,0) + MAX(Races!$F$71-6,0) )  -  Races!$N$71</f>
        <v>0.16200000000000081</v>
      </c>
      <c r="EI112" s="57">
        <f t="shared" ca="1" si="234"/>
        <v>2584.8000000000015</v>
      </c>
      <c r="EJ112" s="57"/>
      <c r="EK112" s="57"/>
      <c r="EL112" s="57"/>
      <c r="EM112" s="57">
        <f ca="1">Overview!$L$22*E112+Overview!$L$23*F112+Overview!$L$24*G112+Overview!$L$25*H112+Overview!$L$26*I112+Overview!$L$27*J112+Overview!$L$28*K112+Construction!E112*20+Construction!B112*5 + DZ112*$DV$4+EB112*$DV$5+ED112*$DV$6+EF112*$DV$7+EI112*$DV$9</f>
        <v>39460</v>
      </c>
      <c r="EO112" s="738">
        <f>(J112+2*K112)/Construction!E112</f>
        <v>0.1</v>
      </c>
      <c r="EP112" s="734">
        <f ca="1">EO112*(1+race_wizard_strength+tech_magical_weaponry_wiz*Techs!AV184)</f>
        <v>0.1</v>
      </c>
      <c r="EQ112" s="16">
        <f>(I112+halfer*H112/3)/Construction!E112</f>
        <v>0.1</v>
      </c>
    </row>
    <row r="113" spans="1:147" s="16" customFormat="1">
      <c r="A113" s="629">
        <f>Rezone!J113</f>
        <v>111</v>
      </c>
      <c r="B113" s="56">
        <f ca="1">SUM(E113:K113)+SUM(AF105:AG113)+SUM(AH102:AL113)+Z113+Explore!AL113</f>
        <v>5295</v>
      </c>
      <c r="C113" s="97">
        <f ca="1">Population!G113</f>
        <v>0.57305194805194803</v>
      </c>
      <c r="E113" s="52">
        <f t="shared" si="235"/>
        <v>0</v>
      </c>
      <c r="F113" s="16">
        <f t="shared" si="236"/>
        <v>0</v>
      </c>
      <c r="G113" s="16">
        <f t="shared" si="237"/>
        <v>1000</v>
      </c>
      <c r="H113" s="16">
        <f t="shared" si="238"/>
        <v>400</v>
      </c>
      <c r="I113" s="16">
        <f t="shared" si="239"/>
        <v>100</v>
      </c>
      <c r="J113" s="16">
        <f t="shared" si="240"/>
        <v>100</v>
      </c>
      <c r="K113" s="53">
        <f t="shared" si="241"/>
        <v>0</v>
      </c>
      <c r="M113" s="64">
        <f ca="1">Production!G113</f>
        <v>39460</v>
      </c>
      <c r="O113" s="142">
        <f t="shared" ca="1" si="192"/>
        <v>4400</v>
      </c>
      <c r="P113" s="455">
        <f ca="1">race_offense+Imps!AB113+ROUND(MIN(gn_bonus*Construction!BF113/Construction!$E113,gn_bonus_cap),4)+MAX(IF(Magic!$AN113&gt;0,warsong_bonus),IF(Magic!AP113&gt;0,howling_op_bonus),IF(Magic!AS113&gt;0,nightfall_bonus),IF(Magic!AT113&gt;0,crusade_bonus),IF(Magic!AU113&gt;0,killingrage_bonus),IF(Magic!AV113&gt;0,bloodrage_bonus)) + Production!O113/100*prestige_offense_bonus + MAX(tech_military_offense*Techs!AH113,tech_magical_weaponry_op*Techs!AV113)</f>
        <v>0.05</v>
      </c>
      <c r="Q113" s="235">
        <f t="shared" ca="1" si="168"/>
        <v>4620</v>
      </c>
      <c r="R113" s="234">
        <f ca="1">F113*(spec_dp+spirit*DR113)+G113*(elite1_dp+woodie*CV113+sylvan*CY113+gnome*DB113+dark_elf*DD113+icekin*DG113+orc*DJ113+nox*DL113+beast*DN113+sacred*DP113+spirit*DS113+blackorc*DK113)+H113*(elite2_dp+woodie*CX113+beast*DO113+sacred*DQ113) + fh_peas_dp*MIN(Population!C113,20*Construction!BD113)+kobold*DE113</f>
        <v>7200</v>
      </c>
      <c r="S113" s="235">
        <f t="shared" ca="1" si="193"/>
        <v>10895</v>
      </c>
      <c r="T113" s="1052">
        <f ca="1">race_defense+Imps!AC113+ROUND(MIN(gt_bonus*Construction!BH113/Construction!$E113,gt_bonus_cap),4)+MAX(IF(Magic!AM113&gt;0,frenzy_bonus,IF(Magic!AQ113&gt;0,blizzard_bonus,IF(Magic!AP113&gt;0,howling_dp_bonus,IF(Magic!AI113&gt;0,ares_call_bonus)))),IF(Magic!AX113&gt;0,MIN(Construction!DF113/Construction!E113,0.2),0))</f>
        <v>0</v>
      </c>
      <c r="U113" s="1046">
        <f t="shared" ca="1" si="169"/>
        <v>7200</v>
      </c>
      <c r="V113" s="310">
        <f t="shared" ca="1" si="170"/>
        <v>10895</v>
      </c>
      <c r="W113" s="310">
        <f>Construction!E113</f>
        <v>1000</v>
      </c>
      <c r="X113" s="367"/>
      <c r="Y113" s="146">
        <f t="shared" si="191"/>
        <v>0.4</v>
      </c>
      <c r="Z113" s="166">
        <f ca="1">Z112+Population!Z112 - IF(race="Lux",AF113,SUM(AF113:AK113)) - BE113 + SUM(BF113:BL113) - Explore!AI113</f>
        <v>3695</v>
      </c>
      <c r="AA113" s="164"/>
      <c r="AB113" s="91">
        <f>(Construction!$BA113+Construction!BY113)/(Construction!$E113-Explore!S113*20)</f>
        <v>0.2</v>
      </c>
      <c r="AC113" s="529"/>
      <c r="AD113" s="799">
        <f>Rezone!J113</f>
        <v>111</v>
      </c>
      <c r="AE113" s="589">
        <f>Explore!AA113</f>
        <v>43696.583333333067</v>
      </c>
      <c r="AF113" s="356"/>
      <c r="AG113" s="348"/>
      <c r="AH113" s="348"/>
      <c r="AI113" s="348"/>
      <c r="AJ113" s="348"/>
      <c r="AK113" s="348"/>
      <c r="AL113" s="357"/>
      <c r="AN113" s="56">
        <f ca="1">Production!$H113</f>
        <v>4119121</v>
      </c>
      <c r="AO113" s="26">
        <f ca="1">Production!$L113</f>
        <v>231000</v>
      </c>
      <c r="AP113" s="26">
        <f ca="1">Production!J113</f>
        <v>267341</v>
      </c>
      <c r="AQ113" s="26">
        <f ca="1">Production!M113</f>
        <v>20000</v>
      </c>
      <c r="AR113" s="26">
        <f ca="1">Production!K113</f>
        <v>57896</v>
      </c>
      <c r="AS113" s="26">
        <f ca="1">Production!I113</f>
        <v>328191</v>
      </c>
      <c r="AT113" s="26">
        <f ca="1">Production!N113</f>
        <v>200</v>
      </c>
      <c r="AU113" s="152">
        <f t="shared" ca="1" si="194"/>
        <v>0</v>
      </c>
      <c r="AV113" s="164">
        <f t="shared" ca="1" si="195"/>
        <v>0</v>
      </c>
      <c r="AW113" s="164">
        <f t="shared" ca="1" si="171"/>
        <v>0</v>
      </c>
      <c r="AX113" s="164">
        <f t="shared" ca="1" si="172"/>
        <v>0</v>
      </c>
      <c r="AY113" s="164">
        <f t="shared" ca="1" si="173"/>
        <v>0</v>
      </c>
      <c r="AZ113" s="164">
        <f t="shared" ca="1" si="174"/>
        <v>0</v>
      </c>
      <c r="BA113" s="166">
        <f t="shared" ca="1" si="175"/>
        <v>0</v>
      </c>
      <c r="BB113" s="16">
        <v>39</v>
      </c>
      <c r="BC113" s="574">
        <f t="shared" si="176"/>
        <v>43696.583333333067</v>
      </c>
      <c r="BD113" s="148">
        <f t="shared" ca="1" si="177"/>
        <v>3695</v>
      </c>
      <c r="BE113" s="356"/>
      <c r="BF113" s="348"/>
      <c r="BG113" s="348"/>
      <c r="BH113" s="348"/>
      <c r="BI113" s="348"/>
      <c r="BJ113" s="348"/>
      <c r="BK113" s="348"/>
      <c r="BL113" s="357"/>
      <c r="BN113" s="503">
        <f>Construction!BM113/Construction!E113</f>
        <v>0</v>
      </c>
      <c r="BO113" s="171">
        <f>Construction!BD113/Construction!E113</f>
        <v>0</v>
      </c>
      <c r="BP113" s="152">
        <f>ROUNDUP((1-MIN(AB113*smithy_bonus,smithy_bonus_cap))*(1+Techs!AO113*tech_master_of_frugality)*spec_op_plat,0)</f>
        <v>165</v>
      </c>
      <c r="BQ113" s="164">
        <f>ROUNDUP(IF(race="Gnome",1,(1-MIN(AB113*smithy_bonus,smithy_bonus_cap))*(1+Techs!AO113*tech_master_of_frugality))*spec_op_ore,0)</f>
        <v>15</v>
      </c>
      <c r="BR113" s="164">
        <f t="shared" si="196"/>
        <v>0</v>
      </c>
      <c r="BS113" s="164">
        <f t="shared" si="197"/>
        <v>0</v>
      </c>
      <c r="BT113" s="164">
        <f ca="1">ROUNDUP((1-MIN(AB113*smithy_bonus,smithy_bonus_cap))*(1+Techs!AO113*tech_master_of_frugality)*spec_dp_plat,0)</f>
        <v>165</v>
      </c>
      <c r="BU113" s="164">
        <f ca="1">ROUNDUP(IF(OR(race="Gnome",race="Imperial Gnome"),1,(1-MIN(AB113*smithy_bonus,smithy_bonus_cap))*(1+Techs!AO113*tech_master_of_frugality))*spec_dp_ore,0)</f>
        <v>6</v>
      </c>
      <c r="BV113" s="164">
        <f t="shared" ca="1" si="198"/>
        <v>0</v>
      </c>
      <c r="BW113" s="164">
        <f t="shared" ca="1" si="199"/>
        <v>0</v>
      </c>
      <c r="BX113" s="164">
        <f t="shared" ca="1" si="200"/>
        <v>0</v>
      </c>
      <c r="BY113" s="164">
        <f ca="1">ROUNDUP((1-MIN(AB113*smithy_bonus,smithy_bonus_cap))*(1+Techs!AO113*tech_master_of_frugality)*elite1_plat,0)</f>
        <v>600</v>
      </c>
      <c r="BZ113" s="164">
        <f ca="1">ROUNDUP(IF(race="Gnome",1,(1-MIN(AB113*smithy_bonus,smithy_bonus_cap))*(1+Techs!AO113*tech_master_of_frugality))*elite1_ore,0)</f>
        <v>45</v>
      </c>
      <c r="CA113" s="164">
        <f t="shared" ca="1" si="201"/>
        <v>0</v>
      </c>
      <c r="CB113" s="164">
        <f t="shared" ca="1" si="202"/>
        <v>0</v>
      </c>
      <c r="CC113" s="164">
        <f t="shared" ca="1" si="203"/>
        <v>0</v>
      </c>
      <c r="CD113" s="164">
        <f t="shared" ca="1" si="204"/>
        <v>0</v>
      </c>
      <c r="CE113" s="164">
        <f t="shared" ca="1" si="205"/>
        <v>0</v>
      </c>
      <c r="CF113" s="164">
        <f ca="1">ROUNDUP((1-MIN(AB113*smithy_bonus,smithy_bonus_cap))*(1+Techs!AO113*tech_master_of_frugality)*elite2_plat,0)</f>
        <v>750</v>
      </c>
      <c r="CG113" s="164">
        <f ca="1">ROUNDUP(IF(race="Gnome",1,(1-MIN(AB113*smithy_bonus,smithy_bonus_cap))*(1+Techs!AO113*tech_master_of_frugality))*elite2_ore,0)</f>
        <v>60</v>
      </c>
      <c r="CH113" s="164">
        <f t="shared" ca="1" si="206"/>
        <v>0</v>
      </c>
      <c r="CI113" s="164">
        <f t="shared" ca="1" si="207"/>
        <v>0</v>
      </c>
      <c r="CJ113" s="164">
        <f t="shared" ca="1" si="208"/>
        <v>0</v>
      </c>
      <c r="CK113" s="164">
        <f t="shared" ca="1" si="209"/>
        <v>0</v>
      </c>
      <c r="CL113" s="164">
        <f t="shared" ca="1" si="210"/>
        <v>0</v>
      </c>
      <c r="CM113" s="164">
        <f>ROUNDUP((1+tech_spy_cost*Techs!AJ113)*spy_plat,0)</f>
        <v>500</v>
      </c>
      <c r="CN113" s="164">
        <f>ROUNDUP((1+tech_wizard_cost*Techs!AM113-MIN(ROUND(wg_wiz_cost_bonus*BN113,4),wg_wiz_cost_cap))*wizard_plat,0)</f>
        <v>500</v>
      </c>
      <c r="CO113" s="166">
        <f>ROUNDUP((1+tech_wizard_cost*Techs!AM113-MIN(ROUND(wg_wiz_cost_bonus*BN113,4),wg_wiz_cost_cap))*archmage_plat,0)</f>
        <v>1000</v>
      </c>
      <c r="CQ113" s="465">
        <f ca="1">Construction!DF113/Construction!E113</f>
        <v>0.28000000000000003</v>
      </c>
      <c r="CR113" s="466">
        <f t="shared" si="178"/>
        <v>0</v>
      </c>
      <c r="CS113" s="466">
        <f>Construction!BK113/Construction!E113</f>
        <v>0.05</v>
      </c>
      <c r="CT113" s="466">
        <f>Construction!BJ113/Construction!E113</f>
        <v>0</v>
      </c>
      <c r="CU113" s="466">
        <f>Construction!AY113/Construction!E113</f>
        <v>0</v>
      </c>
      <c r="CV113" s="487">
        <f t="shared" ca="1" si="211"/>
        <v>1.4000000000000001</v>
      </c>
      <c r="CW113" s="488">
        <f t="shared" ca="1" si="212"/>
        <v>1.4000000000000001</v>
      </c>
      <c r="CX113" s="488">
        <f t="shared" ca="1" si="213"/>
        <v>1.4000000000000001</v>
      </c>
      <c r="CY113" s="489">
        <f t="shared" ca="1" si="214"/>
        <v>1.4000000000000001</v>
      </c>
      <c r="CZ113" s="489">
        <f t="shared" si="215"/>
        <v>0.1</v>
      </c>
      <c r="DA113" s="489">
        <f t="shared" ca="1" si="216"/>
        <v>3</v>
      </c>
      <c r="DB113" s="489">
        <f t="shared" ca="1" si="217"/>
        <v>1.4000000000000001</v>
      </c>
      <c r="DC113" s="488">
        <f t="shared" si="218"/>
        <v>0</v>
      </c>
      <c r="DD113" s="848">
        <f t="shared" si="219"/>
        <v>0</v>
      </c>
      <c r="DE113" s="442">
        <f t="shared" si="179"/>
        <v>800</v>
      </c>
      <c r="DF113" s="442">
        <f t="shared" si="180"/>
        <v>0</v>
      </c>
      <c r="DG113" s="487">
        <f t="shared" ca="1" si="220"/>
        <v>1.4000000000000001</v>
      </c>
      <c r="DH113" s="452">
        <f t="shared" si="221"/>
        <v>9.0000000000000011E-2</v>
      </c>
      <c r="DI113" s="452">
        <f>MIN(valkyrja_cap,Production!O113/valkyrja_bonus)</f>
        <v>1</v>
      </c>
      <c r="DJ113" s="848">
        <f>MIN(voodoo_magi_cap,Production!O113/voodoo_magi_bonus)</f>
        <v>0.83333333333333337</v>
      </c>
      <c r="DK113" s="848">
        <f>MIN(warlock_cap,Production!O113/warlock_bonus)</f>
        <v>1.25</v>
      </c>
      <c r="DL113" s="848">
        <f ca="1">MIN(nox_nightshade_cap,Construction!DF113/Construction!E113/nox_nightshade_swamp_bonus)</f>
        <v>2.8000000000000003</v>
      </c>
      <c r="DM113" s="488">
        <f t="shared" si="222"/>
        <v>0</v>
      </c>
      <c r="DN113" s="489">
        <f t="shared" ca="1" si="223"/>
        <v>2.8000000000000003</v>
      </c>
      <c r="DO113" s="489">
        <f t="shared" ca="1" si="224"/>
        <v>2.8000000000000003</v>
      </c>
      <c r="DP113" s="489">
        <f t="shared" si="225"/>
        <v>1</v>
      </c>
      <c r="DQ113" s="488">
        <f t="shared" si="226"/>
        <v>0</v>
      </c>
      <c r="DR113" s="489">
        <f t="shared" si="227"/>
        <v>0</v>
      </c>
      <c r="DS113" s="488">
        <f t="shared" si="228"/>
        <v>0</v>
      </c>
      <c r="DT113" s="489">
        <f t="shared" si="229"/>
        <v>0.1</v>
      </c>
      <c r="DX113" s="487">
        <f ca="1">MIN(6,CV113+Races!$F$19)*1.8 +  IF(CV113+Races!$F$19&gt;6,(CV113+Races!$F$19-6)*0.2,0) - Races!$N$19</f>
        <v>2.5200000000000005</v>
      </c>
      <c r="DY113" s="488">
        <f ca="1">1.8 * MIN(MAX(CW113+Races!$E$20,CX113+Races!$F$20),6)  +  0.45 * MIN(MIN(CW113+Races!$E$20,CX113+Races!$F$20),6)  +  0.2 * ( MAX(CW113+Races!$E$20-6,0) + MAX(CX113+Races!$F$20-6,0) )  -  Races!$N$20</f>
        <v>3.1500000000000012</v>
      </c>
      <c r="DZ113" s="57">
        <f t="shared" ca="1" si="230"/>
        <v>3780.0000000000009</v>
      </c>
      <c r="EA113" s="666">
        <f ca="1">MIN(6,CY113+Races!$F$35)*1.8 +  IF(CY113+Races!$F$35&gt;6,(CY113+Races!$F$35-6)*0.2,0) - Races!$N$19</f>
        <v>0.72000000000000064</v>
      </c>
      <c r="EB113" s="57">
        <f t="shared" ca="1" si="231"/>
        <v>0</v>
      </c>
      <c r="EC113" s="666">
        <f ca="1">1.8 * MIN(MAX(Races!$E$27,DB113+Races!$F$27),6)  +  0.45 * MIN(MIN(Races!$E$27,DB113+Races!$F$27),6)  +  0.2 * ( MAX(Races!$E$27-6,0) + MAX(DB113+Races!$F$27-6,0) )  -  Races!$N$20</f>
        <v>4.7700000000000005</v>
      </c>
      <c r="ED113" s="57">
        <f t="shared" ca="1" si="232"/>
        <v>0</v>
      </c>
      <c r="EE113" s="666">
        <f>1.8 * MIN(MAX(DC113+Races!$E$47,DD113+Races!$F$47),6)  +  0.45 * MIN(MIN(DC113+Races!$E$47,DD113+Races!$F$47),6)  +  0.2 * ( MAX(DC113+Races!$E$47-6,0) + MAX(DD113+Races!$F$47-6,0) )  -  Races!$N$47</f>
        <v>0</v>
      </c>
      <c r="EF113" s="57">
        <f t="shared" si="233"/>
        <v>0</v>
      </c>
      <c r="EG113" s="666">
        <f ca="1">1.8 * MIN(MAX(DG113+Races!$F$71,Races!$E$71),6)  +  0.45 * MIN(MIN(DG113+Races!$F$71,Races!$E$71),6)  +  0.2 * ( MAX(DG113+Races!$F$71-6,0) + MAX(Races!$E$71-6,0) )  -  Races!$N$71</f>
        <v>2.5200000000000014</v>
      </c>
      <c r="EH113" s="666">
        <f>1.8 * MIN(MAX(DH113+Races!$E$71,Races!$F$71),6)  +  0.45 * MIN(MIN(DH113+Races!$E$71,Races!$F$71),6)  +  0.2 * ( MAX(DH113+Races!$E$71-6,0) + MAX(Races!$F$71-6,0) )  -  Races!$N$71</f>
        <v>0.16200000000000081</v>
      </c>
      <c r="EI113" s="57">
        <f t="shared" ca="1" si="234"/>
        <v>2584.8000000000015</v>
      </c>
      <c r="EJ113" s="57"/>
      <c r="EK113" s="57"/>
      <c r="EL113" s="57"/>
      <c r="EM113" s="57">
        <f ca="1">Overview!$L$22*E113+Overview!$L$23*F113+Overview!$L$24*G113+Overview!$L$25*H113+Overview!$L$26*I113+Overview!$L$27*J113+Overview!$L$28*K113+Construction!E113*20+Construction!B113*5 + DZ113*$DV$4+EB113*$DV$5+ED113*$DV$6+EF113*$DV$7+EI113*$DV$9</f>
        <v>39460</v>
      </c>
      <c r="EO113" s="738">
        <f>(J113+2*K113)/Construction!E113</f>
        <v>0.1</v>
      </c>
      <c r="EP113" s="734">
        <f ca="1">EO113*(1+race_wizard_strength+tech_magical_weaponry_wiz*Techs!AV185)</f>
        <v>0.1</v>
      </c>
      <c r="EQ113" s="16">
        <f>(I113+halfer*H113/3)/Construction!E113</f>
        <v>0.1</v>
      </c>
    </row>
    <row r="114" spans="1:147" s="16" customFormat="1">
      <c r="A114" s="629">
        <f>Rezone!J114</f>
        <v>112</v>
      </c>
      <c r="B114" s="56">
        <f ca="1">SUM(E114:K114)+SUM(AF106:AG114)+SUM(AH103:AL114)+Z114+Explore!AL114</f>
        <v>5295</v>
      </c>
      <c r="C114" s="97">
        <f ca="1">Population!G114</f>
        <v>0.57305194805194803</v>
      </c>
      <c r="E114" s="52">
        <f t="shared" si="235"/>
        <v>0</v>
      </c>
      <c r="F114" s="16">
        <f t="shared" si="236"/>
        <v>0</v>
      </c>
      <c r="G114" s="16">
        <f t="shared" si="237"/>
        <v>1000</v>
      </c>
      <c r="H114" s="16">
        <f t="shared" si="238"/>
        <v>400</v>
      </c>
      <c r="I114" s="16">
        <f t="shared" si="239"/>
        <v>100</v>
      </c>
      <c r="J114" s="16">
        <f t="shared" si="240"/>
        <v>100</v>
      </c>
      <c r="K114" s="53">
        <f t="shared" si="241"/>
        <v>0</v>
      </c>
      <c r="M114" s="64">
        <f ca="1">Production!G114</f>
        <v>39460</v>
      </c>
      <c r="O114" s="142">
        <f t="shared" ca="1" si="192"/>
        <v>4400</v>
      </c>
      <c r="P114" s="455">
        <f ca="1">race_offense+Imps!AB114+ROUND(MIN(gn_bonus*Construction!BF114/Construction!$E114,gn_bonus_cap),4)+MAX(IF(Magic!$AN114&gt;0,warsong_bonus),IF(Magic!AP114&gt;0,howling_op_bonus),IF(Magic!AS114&gt;0,nightfall_bonus),IF(Magic!AT114&gt;0,crusade_bonus),IF(Magic!AU114&gt;0,killingrage_bonus),IF(Magic!AV114&gt;0,bloodrage_bonus)) + Production!O114/100*prestige_offense_bonus + MAX(tech_military_offense*Techs!AH114,tech_magical_weaponry_op*Techs!AV114)</f>
        <v>0.05</v>
      </c>
      <c r="Q114" s="235">
        <f t="shared" ca="1" si="168"/>
        <v>4620</v>
      </c>
      <c r="R114" s="234">
        <f ca="1">F114*(spec_dp+spirit*DR114)+G114*(elite1_dp+woodie*CV114+sylvan*CY114+gnome*DB114+dark_elf*DD114+icekin*DG114+orc*DJ114+nox*DL114+beast*DN114+sacred*DP114+spirit*DS114+blackorc*DK114)+H114*(elite2_dp+woodie*CX114+beast*DO114+sacred*DQ114) + fh_peas_dp*MIN(Population!C114,20*Construction!BD114)+kobold*DE114</f>
        <v>7200</v>
      </c>
      <c r="S114" s="235">
        <f t="shared" ca="1" si="193"/>
        <v>10895</v>
      </c>
      <c r="T114" s="1052">
        <f ca="1">race_defense+Imps!AC114+ROUND(MIN(gt_bonus*Construction!BH114/Construction!$E114,gt_bonus_cap),4)+MAX(IF(Magic!AM114&gt;0,frenzy_bonus,IF(Magic!AQ114&gt;0,blizzard_bonus,IF(Magic!AP114&gt;0,howling_dp_bonus,IF(Magic!AI114&gt;0,ares_call_bonus)))),IF(Magic!AX114&gt;0,MIN(Construction!DF114/Construction!E114,0.2),0))</f>
        <v>0</v>
      </c>
      <c r="U114" s="1046">
        <f t="shared" ca="1" si="169"/>
        <v>7200</v>
      </c>
      <c r="V114" s="310">
        <f t="shared" ca="1" si="170"/>
        <v>10895</v>
      </c>
      <c r="W114" s="310">
        <f>Construction!E114</f>
        <v>1000</v>
      </c>
      <c r="X114" s="367"/>
      <c r="Y114" s="146">
        <f t="shared" si="191"/>
        <v>0.4</v>
      </c>
      <c r="Z114" s="166">
        <f ca="1">Z113+Population!Z113 - IF(race="Lux",AF114,SUM(AF114:AK114)) - BE114 + SUM(BF114:BL114) - Explore!AI114</f>
        <v>3695</v>
      </c>
      <c r="AA114" s="164"/>
      <c r="AB114" s="91">
        <f>(Construction!$BA114+Construction!BY114)/(Construction!$E114-Explore!S114*20)</f>
        <v>0.2</v>
      </c>
      <c r="AC114" s="529"/>
      <c r="AD114" s="799">
        <f>Rezone!J114</f>
        <v>112</v>
      </c>
      <c r="AE114" s="589">
        <f>Explore!AA114</f>
        <v>43696.624999999731</v>
      </c>
      <c r="AF114" s="356"/>
      <c r="AG114" s="348"/>
      <c r="AH114" s="348"/>
      <c r="AI114" s="348"/>
      <c r="AJ114" s="348"/>
      <c r="AK114" s="348"/>
      <c r="AL114" s="357"/>
      <c r="AN114" s="56">
        <f ca="1">Production!$H114</f>
        <v>4129772</v>
      </c>
      <c r="AO114" s="26">
        <f ca="1">Production!$L114</f>
        <v>231000</v>
      </c>
      <c r="AP114" s="26">
        <f ca="1">Production!J114</f>
        <v>267168</v>
      </c>
      <c r="AQ114" s="26">
        <f ca="1">Production!M114</f>
        <v>20000</v>
      </c>
      <c r="AR114" s="26">
        <f ca="1">Production!K114</f>
        <v>57988</v>
      </c>
      <c r="AS114" s="26">
        <f ca="1">Production!I114</f>
        <v>329639</v>
      </c>
      <c r="AT114" s="26">
        <f ca="1">Production!N114</f>
        <v>200</v>
      </c>
      <c r="AU114" s="152">
        <f t="shared" ca="1" si="194"/>
        <v>0</v>
      </c>
      <c r="AV114" s="164">
        <f t="shared" ca="1" si="195"/>
        <v>0</v>
      </c>
      <c r="AW114" s="164">
        <f t="shared" ca="1" si="171"/>
        <v>0</v>
      </c>
      <c r="AX114" s="164">
        <f t="shared" ca="1" si="172"/>
        <v>0</v>
      </c>
      <c r="AY114" s="164">
        <f t="shared" ca="1" si="173"/>
        <v>0</v>
      </c>
      <c r="AZ114" s="164">
        <f t="shared" ca="1" si="174"/>
        <v>0</v>
      </c>
      <c r="BA114" s="166">
        <f t="shared" ca="1" si="175"/>
        <v>0</v>
      </c>
      <c r="BB114" s="16">
        <v>40</v>
      </c>
      <c r="BC114" s="574">
        <f t="shared" si="176"/>
        <v>43696.624999999731</v>
      </c>
      <c r="BD114" s="148">
        <f t="shared" ca="1" si="177"/>
        <v>3695</v>
      </c>
      <c r="BE114" s="356"/>
      <c r="BF114" s="348"/>
      <c r="BG114" s="348"/>
      <c r="BH114" s="348"/>
      <c r="BI114" s="348"/>
      <c r="BJ114" s="348"/>
      <c r="BK114" s="348"/>
      <c r="BL114" s="357"/>
      <c r="BN114" s="503">
        <f>Construction!BM114/Construction!E114</f>
        <v>0</v>
      </c>
      <c r="BO114" s="171">
        <f>Construction!BD114/Construction!E114</f>
        <v>0</v>
      </c>
      <c r="BP114" s="152">
        <f>ROUNDUP((1-MIN(AB114*smithy_bonus,smithy_bonus_cap))*(1+Techs!AO114*tech_master_of_frugality)*spec_op_plat,0)</f>
        <v>165</v>
      </c>
      <c r="BQ114" s="164">
        <f>ROUNDUP(IF(race="Gnome",1,(1-MIN(AB114*smithy_bonus,smithy_bonus_cap))*(1+Techs!AO114*tech_master_of_frugality))*spec_op_ore,0)</f>
        <v>15</v>
      </c>
      <c r="BR114" s="164">
        <f t="shared" si="196"/>
        <v>0</v>
      </c>
      <c r="BS114" s="164">
        <f t="shared" si="197"/>
        <v>0</v>
      </c>
      <c r="BT114" s="164">
        <f ca="1">ROUNDUP((1-MIN(AB114*smithy_bonus,smithy_bonus_cap))*(1+Techs!AO114*tech_master_of_frugality)*spec_dp_plat,0)</f>
        <v>165</v>
      </c>
      <c r="BU114" s="164">
        <f ca="1">ROUNDUP(IF(OR(race="Gnome",race="Imperial Gnome"),1,(1-MIN(AB114*smithy_bonus,smithy_bonus_cap))*(1+Techs!AO114*tech_master_of_frugality))*spec_dp_ore,0)</f>
        <v>6</v>
      </c>
      <c r="BV114" s="164">
        <f t="shared" ca="1" si="198"/>
        <v>0</v>
      </c>
      <c r="BW114" s="164">
        <f t="shared" ca="1" si="199"/>
        <v>0</v>
      </c>
      <c r="BX114" s="164">
        <f t="shared" ca="1" si="200"/>
        <v>0</v>
      </c>
      <c r="BY114" s="164">
        <f ca="1">ROUNDUP((1-MIN(AB114*smithy_bonus,smithy_bonus_cap))*(1+Techs!AO114*tech_master_of_frugality)*elite1_plat,0)</f>
        <v>600</v>
      </c>
      <c r="BZ114" s="164">
        <f ca="1">ROUNDUP(IF(race="Gnome",1,(1-MIN(AB114*smithy_bonus,smithy_bonus_cap))*(1+Techs!AO114*tech_master_of_frugality))*elite1_ore,0)</f>
        <v>45</v>
      </c>
      <c r="CA114" s="164">
        <f t="shared" ca="1" si="201"/>
        <v>0</v>
      </c>
      <c r="CB114" s="164">
        <f t="shared" ca="1" si="202"/>
        <v>0</v>
      </c>
      <c r="CC114" s="164">
        <f t="shared" ca="1" si="203"/>
        <v>0</v>
      </c>
      <c r="CD114" s="164">
        <f t="shared" ca="1" si="204"/>
        <v>0</v>
      </c>
      <c r="CE114" s="164">
        <f t="shared" ca="1" si="205"/>
        <v>0</v>
      </c>
      <c r="CF114" s="164">
        <f ca="1">ROUNDUP((1-MIN(AB114*smithy_bonus,smithy_bonus_cap))*(1+Techs!AO114*tech_master_of_frugality)*elite2_plat,0)</f>
        <v>750</v>
      </c>
      <c r="CG114" s="164">
        <f ca="1">ROUNDUP(IF(race="Gnome",1,(1-MIN(AB114*smithy_bonus,smithy_bonus_cap))*(1+Techs!AO114*tech_master_of_frugality))*elite2_ore,0)</f>
        <v>60</v>
      </c>
      <c r="CH114" s="164">
        <f t="shared" ca="1" si="206"/>
        <v>0</v>
      </c>
      <c r="CI114" s="164">
        <f t="shared" ca="1" si="207"/>
        <v>0</v>
      </c>
      <c r="CJ114" s="164">
        <f t="shared" ca="1" si="208"/>
        <v>0</v>
      </c>
      <c r="CK114" s="164">
        <f t="shared" ca="1" si="209"/>
        <v>0</v>
      </c>
      <c r="CL114" s="164">
        <f t="shared" ca="1" si="210"/>
        <v>0</v>
      </c>
      <c r="CM114" s="164">
        <f>ROUNDUP((1+tech_spy_cost*Techs!AJ114)*spy_plat,0)</f>
        <v>500</v>
      </c>
      <c r="CN114" s="164">
        <f>ROUNDUP((1+tech_wizard_cost*Techs!AM114-MIN(ROUND(wg_wiz_cost_bonus*BN114,4),wg_wiz_cost_cap))*wizard_plat,0)</f>
        <v>500</v>
      </c>
      <c r="CO114" s="166">
        <f>ROUNDUP((1+tech_wizard_cost*Techs!AM114-MIN(ROUND(wg_wiz_cost_bonus*BN114,4),wg_wiz_cost_cap))*archmage_plat,0)</f>
        <v>1000</v>
      </c>
      <c r="CQ114" s="465">
        <f ca="1">Construction!DF114/Construction!E114</f>
        <v>0.28000000000000003</v>
      </c>
      <c r="CR114" s="466">
        <f t="shared" si="178"/>
        <v>0</v>
      </c>
      <c r="CS114" s="466">
        <f>Construction!BK114/Construction!E114</f>
        <v>0.05</v>
      </c>
      <c r="CT114" s="466">
        <f>Construction!BJ114/Construction!E114</f>
        <v>0</v>
      </c>
      <c r="CU114" s="466">
        <f>Construction!AY114/Construction!E114</f>
        <v>0</v>
      </c>
      <c r="CV114" s="487">
        <f t="shared" ca="1" si="211"/>
        <v>1.4000000000000001</v>
      </c>
      <c r="CW114" s="488">
        <f t="shared" ca="1" si="212"/>
        <v>1.4000000000000001</v>
      </c>
      <c r="CX114" s="488">
        <f t="shared" ca="1" si="213"/>
        <v>1.4000000000000001</v>
      </c>
      <c r="CY114" s="489">
        <f t="shared" ca="1" si="214"/>
        <v>1.4000000000000001</v>
      </c>
      <c r="CZ114" s="489">
        <f t="shared" si="215"/>
        <v>0.1</v>
      </c>
      <c r="DA114" s="489">
        <f t="shared" ca="1" si="216"/>
        <v>3</v>
      </c>
      <c r="DB114" s="489">
        <f t="shared" ca="1" si="217"/>
        <v>1.4000000000000001</v>
      </c>
      <c r="DC114" s="488">
        <f t="shared" si="218"/>
        <v>0</v>
      </c>
      <c r="DD114" s="848">
        <f t="shared" si="219"/>
        <v>0</v>
      </c>
      <c r="DE114" s="442">
        <f t="shared" si="179"/>
        <v>800</v>
      </c>
      <c r="DF114" s="442">
        <f t="shared" si="180"/>
        <v>0</v>
      </c>
      <c r="DG114" s="487">
        <f t="shared" ca="1" si="220"/>
        <v>1.4000000000000001</v>
      </c>
      <c r="DH114" s="452">
        <f t="shared" si="221"/>
        <v>9.0000000000000011E-2</v>
      </c>
      <c r="DI114" s="452">
        <f>MIN(valkyrja_cap,Production!O114/valkyrja_bonus)</f>
        <v>1</v>
      </c>
      <c r="DJ114" s="848">
        <f>MIN(voodoo_magi_cap,Production!O114/voodoo_magi_bonus)</f>
        <v>0.83333333333333337</v>
      </c>
      <c r="DK114" s="848">
        <f>MIN(warlock_cap,Production!O114/warlock_bonus)</f>
        <v>1.25</v>
      </c>
      <c r="DL114" s="848">
        <f ca="1">MIN(nox_nightshade_cap,Construction!DF114/Construction!E114/nox_nightshade_swamp_bonus)</f>
        <v>2.8000000000000003</v>
      </c>
      <c r="DM114" s="488">
        <f t="shared" si="222"/>
        <v>0</v>
      </c>
      <c r="DN114" s="489">
        <f t="shared" ca="1" si="223"/>
        <v>2.8000000000000003</v>
      </c>
      <c r="DO114" s="489">
        <f t="shared" ca="1" si="224"/>
        <v>2.8000000000000003</v>
      </c>
      <c r="DP114" s="489">
        <f t="shared" si="225"/>
        <v>1</v>
      </c>
      <c r="DQ114" s="488">
        <f t="shared" si="226"/>
        <v>0</v>
      </c>
      <c r="DR114" s="489">
        <f t="shared" si="227"/>
        <v>0</v>
      </c>
      <c r="DS114" s="488">
        <f t="shared" si="228"/>
        <v>0</v>
      </c>
      <c r="DT114" s="489">
        <f t="shared" si="229"/>
        <v>0.1</v>
      </c>
      <c r="DX114" s="487">
        <f ca="1">MIN(6,CV114+Races!$F$19)*1.8 +  IF(CV114+Races!$F$19&gt;6,(CV114+Races!$F$19-6)*0.2,0) - Races!$N$19</f>
        <v>2.5200000000000005</v>
      </c>
      <c r="DY114" s="488">
        <f ca="1">1.8 * MIN(MAX(CW114+Races!$E$20,CX114+Races!$F$20),6)  +  0.45 * MIN(MIN(CW114+Races!$E$20,CX114+Races!$F$20),6)  +  0.2 * ( MAX(CW114+Races!$E$20-6,0) + MAX(CX114+Races!$F$20-6,0) )  -  Races!$N$20</f>
        <v>3.1500000000000012</v>
      </c>
      <c r="DZ114" s="57">
        <f t="shared" ca="1" si="230"/>
        <v>3780.0000000000009</v>
      </c>
      <c r="EA114" s="666">
        <f ca="1">MIN(6,CY114+Races!$F$35)*1.8 +  IF(CY114+Races!$F$35&gt;6,(CY114+Races!$F$35-6)*0.2,0) - Races!$N$19</f>
        <v>0.72000000000000064</v>
      </c>
      <c r="EB114" s="57">
        <f t="shared" ca="1" si="231"/>
        <v>0</v>
      </c>
      <c r="EC114" s="666">
        <f ca="1">1.8 * MIN(MAX(Races!$E$27,DB114+Races!$F$27),6)  +  0.45 * MIN(MIN(Races!$E$27,DB114+Races!$F$27),6)  +  0.2 * ( MAX(Races!$E$27-6,0) + MAX(DB114+Races!$F$27-6,0) )  -  Races!$N$20</f>
        <v>4.7700000000000005</v>
      </c>
      <c r="ED114" s="57">
        <f t="shared" ca="1" si="232"/>
        <v>0</v>
      </c>
      <c r="EE114" s="666">
        <f>1.8 * MIN(MAX(DC114+Races!$E$47,DD114+Races!$F$47),6)  +  0.45 * MIN(MIN(DC114+Races!$E$47,DD114+Races!$F$47),6)  +  0.2 * ( MAX(DC114+Races!$E$47-6,0) + MAX(DD114+Races!$F$47-6,0) )  -  Races!$N$47</f>
        <v>0</v>
      </c>
      <c r="EF114" s="57">
        <f t="shared" si="233"/>
        <v>0</v>
      </c>
      <c r="EG114" s="666">
        <f ca="1">1.8 * MIN(MAX(DG114+Races!$F$71,Races!$E$71),6)  +  0.45 * MIN(MIN(DG114+Races!$F$71,Races!$E$71),6)  +  0.2 * ( MAX(DG114+Races!$F$71-6,0) + MAX(Races!$E$71-6,0) )  -  Races!$N$71</f>
        <v>2.5200000000000014</v>
      </c>
      <c r="EH114" s="666">
        <f>1.8 * MIN(MAX(DH114+Races!$E$71,Races!$F$71),6)  +  0.45 * MIN(MIN(DH114+Races!$E$71,Races!$F$71),6)  +  0.2 * ( MAX(DH114+Races!$E$71-6,0) + MAX(Races!$F$71-6,0) )  -  Races!$N$71</f>
        <v>0.16200000000000081</v>
      </c>
      <c r="EI114" s="57">
        <f t="shared" ca="1" si="234"/>
        <v>2584.8000000000015</v>
      </c>
      <c r="EJ114" s="57"/>
      <c r="EK114" s="57"/>
      <c r="EL114" s="57"/>
      <c r="EM114" s="57">
        <f ca="1">Overview!$L$22*E114+Overview!$L$23*F114+Overview!$L$24*G114+Overview!$L$25*H114+Overview!$L$26*I114+Overview!$L$27*J114+Overview!$L$28*K114+Construction!E114*20+Construction!B114*5 + DZ114*$DV$4+EB114*$DV$5+ED114*$DV$6+EF114*$DV$7+EI114*$DV$9</f>
        <v>39460</v>
      </c>
      <c r="EO114" s="738">
        <f>(J114+2*K114)/Construction!E114</f>
        <v>0.1</v>
      </c>
      <c r="EP114" s="734">
        <f ca="1">EO114*(1+race_wizard_strength+tech_magical_weaponry_wiz*Techs!AV186)</f>
        <v>0.1</v>
      </c>
      <c r="EQ114" s="16">
        <f>(I114+halfer*H114/3)/Construction!E114</f>
        <v>0.1</v>
      </c>
    </row>
    <row r="115" spans="1:147" s="16" customFormat="1">
      <c r="A115" s="629">
        <f>Rezone!J115</f>
        <v>113</v>
      </c>
      <c r="B115" s="56">
        <f ca="1">SUM(E115:K115)+SUM(AF107:AG115)+SUM(AH104:AL115)+Z115+Explore!AL115</f>
        <v>5295</v>
      </c>
      <c r="C115" s="97">
        <f ca="1">Population!G115</f>
        <v>0.57305194805194803</v>
      </c>
      <c r="E115" s="52">
        <f t="shared" si="235"/>
        <v>0</v>
      </c>
      <c r="F115" s="16">
        <f t="shared" si="236"/>
        <v>0</v>
      </c>
      <c r="G115" s="16">
        <f t="shared" si="237"/>
        <v>1000</v>
      </c>
      <c r="H115" s="16">
        <f t="shared" si="238"/>
        <v>400</v>
      </c>
      <c r="I115" s="16">
        <f t="shared" si="239"/>
        <v>100</v>
      </c>
      <c r="J115" s="16">
        <f t="shared" si="240"/>
        <v>100</v>
      </c>
      <c r="K115" s="53">
        <f t="shared" si="241"/>
        <v>0</v>
      </c>
      <c r="M115" s="64">
        <f ca="1">Production!G115</f>
        <v>39460</v>
      </c>
      <c r="O115" s="142">
        <f t="shared" ca="1" si="192"/>
        <v>4400</v>
      </c>
      <c r="P115" s="455">
        <f ca="1">race_offense+Imps!AB115+ROUND(MIN(gn_bonus*Construction!BF115/Construction!$E115,gn_bonus_cap),4)+MAX(IF(Magic!$AN115&gt;0,warsong_bonus),IF(Magic!AP115&gt;0,howling_op_bonus),IF(Magic!AS115&gt;0,nightfall_bonus),IF(Magic!AT115&gt;0,crusade_bonus),IF(Magic!AU115&gt;0,killingrage_bonus),IF(Magic!AV115&gt;0,bloodrage_bonus)) + Production!O115/100*prestige_offense_bonus + MAX(tech_military_offense*Techs!AH115,tech_magical_weaponry_op*Techs!AV115)</f>
        <v>0.05</v>
      </c>
      <c r="Q115" s="235">
        <f t="shared" ca="1" si="168"/>
        <v>4620</v>
      </c>
      <c r="R115" s="234">
        <f ca="1">F115*(spec_dp+spirit*DR115)+G115*(elite1_dp+woodie*CV115+sylvan*CY115+gnome*DB115+dark_elf*DD115+icekin*DG115+orc*DJ115+nox*DL115+beast*DN115+sacred*DP115+spirit*DS115+blackorc*DK115)+H115*(elite2_dp+woodie*CX115+beast*DO115+sacred*DQ115) + fh_peas_dp*MIN(Population!C115,20*Construction!BD115)+kobold*DE115</f>
        <v>7200</v>
      </c>
      <c r="S115" s="235">
        <f t="shared" ca="1" si="193"/>
        <v>10895</v>
      </c>
      <c r="T115" s="1052">
        <f ca="1">race_defense+Imps!AC115+ROUND(MIN(gt_bonus*Construction!BH115/Construction!$E115,gt_bonus_cap),4)+MAX(IF(Magic!AM115&gt;0,frenzy_bonus,IF(Magic!AQ115&gt;0,blizzard_bonus,IF(Magic!AP115&gt;0,howling_dp_bonus,IF(Magic!AI115&gt;0,ares_call_bonus)))),IF(Magic!AX115&gt;0,MIN(Construction!DF115/Construction!E115,0.2),0))</f>
        <v>0</v>
      </c>
      <c r="U115" s="1046">
        <f t="shared" ca="1" si="169"/>
        <v>7200</v>
      </c>
      <c r="V115" s="310">
        <f t="shared" ca="1" si="170"/>
        <v>10895</v>
      </c>
      <c r="W115" s="310">
        <f>Construction!E115</f>
        <v>1000</v>
      </c>
      <c r="X115" s="367"/>
      <c r="Y115" s="146">
        <f t="shared" si="191"/>
        <v>0.4</v>
      </c>
      <c r="Z115" s="166">
        <f ca="1">Z114+Population!Z114 - IF(race="Lux",AF115,SUM(AF115:AK115)) - BE115 + SUM(BF115:BL115) - Explore!AI115</f>
        <v>3695</v>
      </c>
      <c r="AA115" s="164"/>
      <c r="AB115" s="91">
        <f>(Construction!$BA115+Construction!BY115)/(Construction!$E115-Explore!S115*20)</f>
        <v>0.2</v>
      </c>
      <c r="AC115" s="529"/>
      <c r="AD115" s="799">
        <f>Rezone!J115</f>
        <v>113</v>
      </c>
      <c r="AE115" s="589">
        <f>Explore!AA115</f>
        <v>43696.666666666395</v>
      </c>
      <c r="AF115" s="356"/>
      <c r="AG115" s="348"/>
      <c r="AH115" s="348"/>
      <c r="AI115" s="348"/>
      <c r="AJ115" s="348"/>
      <c r="AK115" s="348"/>
      <c r="AL115" s="357"/>
      <c r="AN115" s="56">
        <f ca="1">Production!$H115</f>
        <v>4140423</v>
      </c>
      <c r="AO115" s="26">
        <f ca="1">Production!$L115</f>
        <v>231000</v>
      </c>
      <c r="AP115" s="26">
        <f ca="1">Production!J115</f>
        <v>266996</v>
      </c>
      <c r="AQ115" s="26">
        <f ca="1">Production!M115</f>
        <v>20000</v>
      </c>
      <c r="AR115" s="26">
        <f ca="1">Production!K115</f>
        <v>58078</v>
      </c>
      <c r="AS115" s="26">
        <f ca="1">Production!I115</f>
        <v>331073</v>
      </c>
      <c r="AT115" s="26">
        <f ca="1">Production!N115</f>
        <v>200</v>
      </c>
      <c r="AU115" s="152">
        <f t="shared" ca="1" si="194"/>
        <v>0</v>
      </c>
      <c r="AV115" s="164">
        <f t="shared" ca="1" si="195"/>
        <v>0</v>
      </c>
      <c r="AW115" s="164">
        <f t="shared" ca="1" si="171"/>
        <v>0</v>
      </c>
      <c r="AX115" s="164">
        <f t="shared" ca="1" si="172"/>
        <v>0</v>
      </c>
      <c r="AY115" s="164">
        <f t="shared" ca="1" si="173"/>
        <v>0</v>
      </c>
      <c r="AZ115" s="164">
        <f t="shared" ca="1" si="174"/>
        <v>0</v>
      </c>
      <c r="BA115" s="166">
        <f t="shared" ca="1" si="175"/>
        <v>0</v>
      </c>
      <c r="BB115" s="16">
        <v>41</v>
      </c>
      <c r="BC115" s="574">
        <f t="shared" si="176"/>
        <v>43696.666666666395</v>
      </c>
      <c r="BD115" s="148">
        <f t="shared" ca="1" si="177"/>
        <v>3695</v>
      </c>
      <c r="BE115" s="356"/>
      <c r="BF115" s="348"/>
      <c r="BG115" s="348"/>
      <c r="BH115" s="348"/>
      <c r="BI115" s="348"/>
      <c r="BJ115" s="348"/>
      <c r="BK115" s="348"/>
      <c r="BL115" s="357"/>
      <c r="BN115" s="503">
        <f>Construction!BM115/Construction!E115</f>
        <v>0</v>
      </c>
      <c r="BO115" s="171">
        <f>Construction!BD115/Construction!E115</f>
        <v>0</v>
      </c>
      <c r="BP115" s="152">
        <f>ROUNDUP((1-MIN(AB115*smithy_bonus,smithy_bonus_cap))*(1+Techs!AO115*tech_master_of_frugality)*spec_op_plat,0)</f>
        <v>165</v>
      </c>
      <c r="BQ115" s="164">
        <f>ROUNDUP(IF(race="Gnome",1,(1-MIN(AB115*smithy_bonus,smithy_bonus_cap))*(1+Techs!AO115*tech_master_of_frugality))*spec_op_ore,0)</f>
        <v>15</v>
      </c>
      <c r="BR115" s="164">
        <f t="shared" si="196"/>
        <v>0</v>
      </c>
      <c r="BS115" s="164">
        <f t="shared" si="197"/>
        <v>0</v>
      </c>
      <c r="BT115" s="164">
        <f ca="1">ROUNDUP((1-MIN(AB115*smithy_bonus,smithy_bonus_cap))*(1+Techs!AO115*tech_master_of_frugality)*spec_dp_plat,0)</f>
        <v>165</v>
      </c>
      <c r="BU115" s="164">
        <f ca="1">ROUNDUP(IF(OR(race="Gnome",race="Imperial Gnome"),1,(1-MIN(AB115*smithy_bonus,smithy_bonus_cap))*(1+Techs!AO115*tech_master_of_frugality))*spec_dp_ore,0)</f>
        <v>6</v>
      </c>
      <c r="BV115" s="164">
        <f t="shared" ca="1" si="198"/>
        <v>0</v>
      </c>
      <c r="BW115" s="164">
        <f t="shared" ca="1" si="199"/>
        <v>0</v>
      </c>
      <c r="BX115" s="164">
        <f t="shared" ca="1" si="200"/>
        <v>0</v>
      </c>
      <c r="BY115" s="164">
        <f ca="1">ROUNDUP((1-MIN(AB115*smithy_bonus,smithy_bonus_cap))*(1+Techs!AO115*tech_master_of_frugality)*elite1_plat,0)</f>
        <v>600</v>
      </c>
      <c r="BZ115" s="164">
        <f ca="1">ROUNDUP(IF(race="Gnome",1,(1-MIN(AB115*smithy_bonus,smithy_bonus_cap))*(1+Techs!AO115*tech_master_of_frugality))*elite1_ore,0)</f>
        <v>45</v>
      </c>
      <c r="CA115" s="164">
        <f t="shared" ca="1" si="201"/>
        <v>0</v>
      </c>
      <c r="CB115" s="164">
        <f t="shared" ca="1" si="202"/>
        <v>0</v>
      </c>
      <c r="CC115" s="164">
        <f t="shared" ca="1" si="203"/>
        <v>0</v>
      </c>
      <c r="CD115" s="164">
        <f t="shared" ca="1" si="204"/>
        <v>0</v>
      </c>
      <c r="CE115" s="164">
        <f t="shared" ca="1" si="205"/>
        <v>0</v>
      </c>
      <c r="CF115" s="164">
        <f ca="1">ROUNDUP((1-MIN(AB115*smithy_bonus,smithy_bonus_cap))*(1+Techs!AO115*tech_master_of_frugality)*elite2_plat,0)</f>
        <v>750</v>
      </c>
      <c r="CG115" s="164">
        <f ca="1">ROUNDUP(IF(race="Gnome",1,(1-MIN(AB115*smithy_bonus,smithy_bonus_cap))*(1+Techs!AO115*tech_master_of_frugality))*elite2_ore,0)</f>
        <v>60</v>
      </c>
      <c r="CH115" s="164">
        <f t="shared" ca="1" si="206"/>
        <v>0</v>
      </c>
      <c r="CI115" s="164">
        <f t="shared" ca="1" si="207"/>
        <v>0</v>
      </c>
      <c r="CJ115" s="164">
        <f t="shared" ca="1" si="208"/>
        <v>0</v>
      </c>
      <c r="CK115" s="164">
        <f t="shared" ca="1" si="209"/>
        <v>0</v>
      </c>
      <c r="CL115" s="164">
        <f t="shared" ca="1" si="210"/>
        <v>0</v>
      </c>
      <c r="CM115" s="164">
        <f>ROUNDUP((1+tech_spy_cost*Techs!AJ115)*spy_plat,0)</f>
        <v>500</v>
      </c>
      <c r="CN115" s="164">
        <f>ROUNDUP((1+tech_wizard_cost*Techs!AM115-MIN(ROUND(wg_wiz_cost_bonus*BN115,4),wg_wiz_cost_cap))*wizard_plat,0)</f>
        <v>500</v>
      </c>
      <c r="CO115" s="166">
        <f>ROUNDUP((1+tech_wizard_cost*Techs!AM115-MIN(ROUND(wg_wiz_cost_bonus*BN115,4),wg_wiz_cost_cap))*archmage_plat,0)</f>
        <v>1000</v>
      </c>
      <c r="CQ115" s="465">
        <f ca="1">Construction!DF115/Construction!E115</f>
        <v>0.28000000000000003</v>
      </c>
      <c r="CR115" s="466">
        <f t="shared" si="178"/>
        <v>0</v>
      </c>
      <c r="CS115" s="466">
        <f>Construction!BK115/Construction!E115</f>
        <v>0.05</v>
      </c>
      <c r="CT115" s="466">
        <f>Construction!BJ115/Construction!E115</f>
        <v>0</v>
      </c>
      <c r="CU115" s="466">
        <f>Construction!AY115/Construction!E115</f>
        <v>0</v>
      </c>
      <c r="CV115" s="487">
        <f t="shared" ca="1" si="211"/>
        <v>1.4000000000000001</v>
      </c>
      <c r="CW115" s="488">
        <f t="shared" ca="1" si="212"/>
        <v>1.4000000000000001</v>
      </c>
      <c r="CX115" s="488">
        <f t="shared" ca="1" si="213"/>
        <v>1.4000000000000001</v>
      </c>
      <c r="CY115" s="489">
        <f t="shared" ca="1" si="214"/>
        <v>1.4000000000000001</v>
      </c>
      <c r="CZ115" s="489">
        <f t="shared" si="215"/>
        <v>0.1</v>
      </c>
      <c r="DA115" s="489">
        <f t="shared" ca="1" si="216"/>
        <v>3</v>
      </c>
      <c r="DB115" s="489">
        <f t="shared" ca="1" si="217"/>
        <v>1.4000000000000001</v>
      </c>
      <c r="DC115" s="488">
        <f t="shared" si="218"/>
        <v>0</v>
      </c>
      <c r="DD115" s="848">
        <f t="shared" si="219"/>
        <v>0</v>
      </c>
      <c r="DE115" s="442">
        <f t="shared" si="179"/>
        <v>800</v>
      </c>
      <c r="DF115" s="442">
        <f t="shared" si="180"/>
        <v>0</v>
      </c>
      <c r="DG115" s="487">
        <f t="shared" ca="1" si="220"/>
        <v>1.4000000000000001</v>
      </c>
      <c r="DH115" s="452">
        <f t="shared" si="221"/>
        <v>9.0000000000000011E-2</v>
      </c>
      <c r="DI115" s="452">
        <f>MIN(valkyrja_cap,Production!O115/valkyrja_bonus)</f>
        <v>1</v>
      </c>
      <c r="DJ115" s="848">
        <f>MIN(voodoo_magi_cap,Production!O115/voodoo_magi_bonus)</f>
        <v>0.83333333333333337</v>
      </c>
      <c r="DK115" s="848">
        <f>MIN(warlock_cap,Production!O115/warlock_bonus)</f>
        <v>1.25</v>
      </c>
      <c r="DL115" s="848">
        <f ca="1">MIN(nox_nightshade_cap,Construction!DF115/Construction!E115/nox_nightshade_swamp_bonus)</f>
        <v>2.8000000000000003</v>
      </c>
      <c r="DM115" s="488">
        <f t="shared" si="222"/>
        <v>0</v>
      </c>
      <c r="DN115" s="489">
        <f t="shared" ca="1" si="223"/>
        <v>2.8000000000000003</v>
      </c>
      <c r="DO115" s="489">
        <f t="shared" ca="1" si="224"/>
        <v>2.8000000000000003</v>
      </c>
      <c r="DP115" s="489">
        <f t="shared" si="225"/>
        <v>1</v>
      </c>
      <c r="DQ115" s="488">
        <f t="shared" si="226"/>
        <v>0</v>
      </c>
      <c r="DR115" s="489">
        <f t="shared" si="227"/>
        <v>0</v>
      </c>
      <c r="DS115" s="488">
        <f t="shared" si="228"/>
        <v>0</v>
      </c>
      <c r="DT115" s="489">
        <f t="shared" si="229"/>
        <v>0.1</v>
      </c>
      <c r="DX115" s="487">
        <f ca="1">MIN(6,CV115+Races!$F$19)*1.8 +  IF(CV115+Races!$F$19&gt;6,(CV115+Races!$F$19-6)*0.2,0) - Races!$N$19</f>
        <v>2.5200000000000005</v>
      </c>
      <c r="DY115" s="488">
        <f ca="1">1.8 * MIN(MAX(CW115+Races!$E$20,CX115+Races!$F$20),6)  +  0.45 * MIN(MIN(CW115+Races!$E$20,CX115+Races!$F$20),6)  +  0.2 * ( MAX(CW115+Races!$E$20-6,0) + MAX(CX115+Races!$F$20-6,0) )  -  Races!$N$20</f>
        <v>3.1500000000000012</v>
      </c>
      <c r="DZ115" s="57">
        <f t="shared" ca="1" si="230"/>
        <v>3780.0000000000009</v>
      </c>
      <c r="EA115" s="666">
        <f ca="1">MIN(6,CY115+Races!$F$35)*1.8 +  IF(CY115+Races!$F$35&gt;6,(CY115+Races!$F$35-6)*0.2,0) - Races!$N$19</f>
        <v>0.72000000000000064</v>
      </c>
      <c r="EB115" s="57">
        <f t="shared" ca="1" si="231"/>
        <v>0</v>
      </c>
      <c r="EC115" s="666">
        <f ca="1">1.8 * MIN(MAX(Races!$E$27,DB115+Races!$F$27),6)  +  0.45 * MIN(MIN(Races!$E$27,DB115+Races!$F$27),6)  +  0.2 * ( MAX(Races!$E$27-6,0) + MAX(DB115+Races!$F$27-6,0) )  -  Races!$N$20</f>
        <v>4.7700000000000005</v>
      </c>
      <c r="ED115" s="57">
        <f t="shared" ca="1" si="232"/>
        <v>0</v>
      </c>
      <c r="EE115" s="666">
        <f>1.8 * MIN(MAX(DC115+Races!$E$47,DD115+Races!$F$47),6)  +  0.45 * MIN(MIN(DC115+Races!$E$47,DD115+Races!$F$47),6)  +  0.2 * ( MAX(DC115+Races!$E$47-6,0) + MAX(DD115+Races!$F$47-6,0) )  -  Races!$N$47</f>
        <v>0</v>
      </c>
      <c r="EF115" s="57">
        <f t="shared" si="233"/>
        <v>0</v>
      </c>
      <c r="EG115" s="666">
        <f ca="1">1.8 * MIN(MAX(DG115+Races!$F$71,Races!$E$71),6)  +  0.45 * MIN(MIN(DG115+Races!$F$71,Races!$E$71),6)  +  0.2 * ( MAX(DG115+Races!$F$71-6,0) + MAX(Races!$E$71-6,0) )  -  Races!$N$71</f>
        <v>2.5200000000000014</v>
      </c>
      <c r="EH115" s="666">
        <f>1.8 * MIN(MAX(DH115+Races!$E$71,Races!$F$71),6)  +  0.45 * MIN(MIN(DH115+Races!$E$71,Races!$F$71),6)  +  0.2 * ( MAX(DH115+Races!$E$71-6,0) + MAX(Races!$F$71-6,0) )  -  Races!$N$71</f>
        <v>0.16200000000000081</v>
      </c>
      <c r="EI115" s="57">
        <f t="shared" ca="1" si="234"/>
        <v>2584.8000000000015</v>
      </c>
      <c r="EJ115" s="57"/>
      <c r="EK115" s="57"/>
      <c r="EL115" s="57"/>
      <c r="EM115" s="57">
        <f ca="1">Overview!$L$22*E115+Overview!$L$23*F115+Overview!$L$24*G115+Overview!$L$25*H115+Overview!$L$26*I115+Overview!$L$27*J115+Overview!$L$28*K115+Construction!E115*20+Construction!B115*5 + DZ115*$DV$4+EB115*$DV$5+ED115*$DV$6+EF115*$DV$7+EI115*$DV$9</f>
        <v>39460</v>
      </c>
      <c r="EO115" s="738">
        <f>(J115+2*K115)/Construction!E115</f>
        <v>0.1</v>
      </c>
      <c r="EP115" s="734">
        <f ca="1">EO115*(1+race_wizard_strength+tech_magical_weaponry_wiz*Techs!AV187)</f>
        <v>0.1</v>
      </c>
      <c r="EQ115" s="16">
        <f>(I115+halfer*H115/3)/Construction!E115</f>
        <v>0.1</v>
      </c>
    </row>
    <row r="116" spans="1:147" s="16" customFormat="1">
      <c r="A116" s="629">
        <f>Rezone!J116</f>
        <v>114</v>
      </c>
      <c r="B116" s="56">
        <f ca="1">SUM(E116:K116)+SUM(AF108:AG116)+SUM(AH105:AL116)+Z116+Explore!AL116</f>
        <v>5295</v>
      </c>
      <c r="C116" s="97">
        <f ca="1">Population!G116</f>
        <v>0.57305194805194803</v>
      </c>
      <c r="E116" s="52">
        <f t="shared" si="235"/>
        <v>0</v>
      </c>
      <c r="F116" s="16">
        <f t="shared" si="236"/>
        <v>0</v>
      </c>
      <c r="G116" s="16">
        <f t="shared" si="237"/>
        <v>1000</v>
      </c>
      <c r="H116" s="16">
        <f t="shared" si="238"/>
        <v>400</v>
      </c>
      <c r="I116" s="16">
        <f t="shared" si="239"/>
        <v>100</v>
      </c>
      <c r="J116" s="16">
        <f t="shared" si="240"/>
        <v>100</v>
      </c>
      <c r="K116" s="53">
        <f t="shared" si="241"/>
        <v>0</v>
      </c>
      <c r="M116" s="64">
        <f ca="1">Production!G116</f>
        <v>39460</v>
      </c>
      <c r="O116" s="142">
        <f t="shared" ca="1" si="192"/>
        <v>4400</v>
      </c>
      <c r="P116" s="455">
        <f ca="1">race_offense+Imps!AB116+ROUND(MIN(gn_bonus*Construction!BF116/Construction!$E116,gn_bonus_cap),4)+MAX(IF(Magic!$AN116&gt;0,warsong_bonus),IF(Magic!AP116&gt;0,howling_op_bonus),IF(Magic!AS116&gt;0,nightfall_bonus),IF(Magic!AT116&gt;0,crusade_bonus),IF(Magic!AU116&gt;0,killingrage_bonus),IF(Magic!AV116&gt;0,bloodrage_bonus)) + Production!O116/100*prestige_offense_bonus + MAX(tech_military_offense*Techs!AH116,tech_magical_weaponry_op*Techs!AV116)</f>
        <v>0.05</v>
      </c>
      <c r="Q116" s="235">
        <f t="shared" ca="1" si="168"/>
        <v>4620</v>
      </c>
      <c r="R116" s="234">
        <f ca="1">F116*(spec_dp+spirit*DR116)+G116*(elite1_dp+woodie*CV116+sylvan*CY116+gnome*DB116+dark_elf*DD116+icekin*DG116+orc*DJ116+nox*DL116+beast*DN116+sacred*DP116+spirit*DS116+blackorc*DK116)+H116*(elite2_dp+woodie*CX116+beast*DO116+sacred*DQ116) + fh_peas_dp*MIN(Population!C116,20*Construction!BD116)+kobold*DE116</f>
        <v>7200</v>
      </c>
      <c r="S116" s="235">
        <f t="shared" ca="1" si="193"/>
        <v>10895</v>
      </c>
      <c r="T116" s="1052">
        <f ca="1">race_defense+Imps!AC116+ROUND(MIN(gt_bonus*Construction!BH116/Construction!$E116,gt_bonus_cap),4)+MAX(IF(Magic!AM116&gt;0,frenzy_bonus,IF(Magic!AQ116&gt;0,blizzard_bonus,IF(Magic!AP116&gt;0,howling_dp_bonus,IF(Magic!AI116&gt;0,ares_call_bonus)))),IF(Magic!AX116&gt;0,MIN(Construction!DF116/Construction!E116,0.2),0))</f>
        <v>0</v>
      </c>
      <c r="U116" s="1046">
        <f t="shared" ca="1" si="169"/>
        <v>7200</v>
      </c>
      <c r="V116" s="310">
        <f t="shared" ca="1" si="170"/>
        <v>10895</v>
      </c>
      <c r="W116" s="310">
        <f>Construction!E116</f>
        <v>1000</v>
      </c>
      <c r="X116" s="367"/>
      <c r="Y116" s="146">
        <f t="shared" si="191"/>
        <v>0.4</v>
      </c>
      <c r="Z116" s="166">
        <f ca="1">Z115+Population!Z115 - IF(race="Lux",AF116,SUM(AF116:AK116)) - BE116 + SUM(BF116:BL116) - Explore!AI116</f>
        <v>3695</v>
      </c>
      <c r="AA116" s="164"/>
      <c r="AB116" s="91">
        <f>(Construction!$BA116+Construction!BY116)/(Construction!$E116-Explore!S116*20)</f>
        <v>0.2</v>
      </c>
      <c r="AC116" s="529"/>
      <c r="AD116" s="799">
        <f>Rezone!J116</f>
        <v>114</v>
      </c>
      <c r="AE116" s="589">
        <f>Explore!AA116</f>
        <v>43696.708333333059</v>
      </c>
      <c r="AF116" s="356"/>
      <c r="AG116" s="348"/>
      <c r="AH116" s="348"/>
      <c r="AI116" s="348"/>
      <c r="AJ116" s="348"/>
      <c r="AK116" s="348"/>
      <c r="AL116" s="357"/>
      <c r="AN116" s="56">
        <f ca="1">Production!$H116</f>
        <v>4151074</v>
      </c>
      <c r="AO116" s="26">
        <f ca="1">Production!$L116</f>
        <v>231000</v>
      </c>
      <c r="AP116" s="26">
        <f ca="1">Production!J116</f>
        <v>266826</v>
      </c>
      <c r="AQ116" s="26">
        <f ca="1">Production!M116</f>
        <v>20000</v>
      </c>
      <c r="AR116" s="26">
        <f ca="1">Production!K116</f>
        <v>58166</v>
      </c>
      <c r="AS116" s="26">
        <f ca="1">Production!I116</f>
        <v>332492</v>
      </c>
      <c r="AT116" s="26">
        <f ca="1">Production!N116</f>
        <v>200</v>
      </c>
      <c r="AU116" s="152">
        <f t="shared" ca="1" si="194"/>
        <v>0</v>
      </c>
      <c r="AV116" s="164">
        <f t="shared" ca="1" si="195"/>
        <v>0</v>
      </c>
      <c r="AW116" s="164">
        <f t="shared" ca="1" si="171"/>
        <v>0</v>
      </c>
      <c r="AX116" s="164">
        <f t="shared" ca="1" si="172"/>
        <v>0</v>
      </c>
      <c r="AY116" s="164">
        <f t="shared" ca="1" si="173"/>
        <v>0</v>
      </c>
      <c r="AZ116" s="164">
        <f t="shared" ca="1" si="174"/>
        <v>0</v>
      </c>
      <c r="BA116" s="166">
        <f t="shared" ca="1" si="175"/>
        <v>0</v>
      </c>
      <c r="BB116" s="16">
        <v>42</v>
      </c>
      <c r="BC116" s="574">
        <f t="shared" si="176"/>
        <v>43696.708333333059</v>
      </c>
      <c r="BD116" s="148">
        <f t="shared" ca="1" si="177"/>
        <v>3695</v>
      </c>
      <c r="BE116" s="356"/>
      <c r="BF116" s="348"/>
      <c r="BG116" s="348"/>
      <c r="BH116" s="348"/>
      <c r="BI116" s="348"/>
      <c r="BJ116" s="348"/>
      <c r="BK116" s="348"/>
      <c r="BL116" s="357"/>
      <c r="BN116" s="503">
        <f>Construction!BM116/Construction!E116</f>
        <v>0</v>
      </c>
      <c r="BO116" s="171">
        <f>Construction!BD116/Construction!E116</f>
        <v>0</v>
      </c>
      <c r="BP116" s="152">
        <f>ROUNDUP((1-MIN(AB116*smithy_bonus,smithy_bonus_cap))*(1+Techs!AO116*tech_master_of_frugality)*spec_op_plat,0)</f>
        <v>165</v>
      </c>
      <c r="BQ116" s="164">
        <f>ROUNDUP(IF(race="Gnome",1,(1-MIN(AB116*smithy_bonus,smithy_bonus_cap))*(1+Techs!AO116*tech_master_of_frugality))*spec_op_ore,0)</f>
        <v>15</v>
      </c>
      <c r="BR116" s="164">
        <f t="shared" si="196"/>
        <v>0</v>
      </c>
      <c r="BS116" s="164">
        <f t="shared" si="197"/>
        <v>0</v>
      </c>
      <c r="BT116" s="164">
        <f ca="1">ROUNDUP((1-MIN(AB116*smithy_bonus,smithy_bonus_cap))*(1+Techs!AO116*tech_master_of_frugality)*spec_dp_plat,0)</f>
        <v>165</v>
      </c>
      <c r="BU116" s="164">
        <f ca="1">ROUNDUP(IF(OR(race="Gnome",race="Imperial Gnome"),1,(1-MIN(AB116*smithy_bonus,smithy_bonus_cap))*(1+Techs!AO116*tech_master_of_frugality))*spec_dp_ore,0)</f>
        <v>6</v>
      </c>
      <c r="BV116" s="164">
        <f t="shared" ca="1" si="198"/>
        <v>0</v>
      </c>
      <c r="BW116" s="164">
        <f t="shared" ca="1" si="199"/>
        <v>0</v>
      </c>
      <c r="BX116" s="164">
        <f t="shared" ca="1" si="200"/>
        <v>0</v>
      </c>
      <c r="BY116" s="164">
        <f ca="1">ROUNDUP((1-MIN(AB116*smithy_bonus,smithy_bonus_cap))*(1+Techs!AO116*tech_master_of_frugality)*elite1_plat,0)</f>
        <v>600</v>
      </c>
      <c r="BZ116" s="164">
        <f ca="1">ROUNDUP(IF(race="Gnome",1,(1-MIN(AB116*smithy_bonus,smithy_bonus_cap))*(1+Techs!AO116*tech_master_of_frugality))*elite1_ore,0)</f>
        <v>45</v>
      </c>
      <c r="CA116" s="164">
        <f t="shared" ca="1" si="201"/>
        <v>0</v>
      </c>
      <c r="CB116" s="164">
        <f t="shared" ca="1" si="202"/>
        <v>0</v>
      </c>
      <c r="CC116" s="164">
        <f t="shared" ca="1" si="203"/>
        <v>0</v>
      </c>
      <c r="CD116" s="164">
        <f t="shared" ca="1" si="204"/>
        <v>0</v>
      </c>
      <c r="CE116" s="164">
        <f t="shared" ca="1" si="205"/>
        <v>0</v>
      </c>
      <c r="CF116" s="164">
        <f ca="1">ROUNDUP((1-MIN(AB116*smithy_bonus,smithy_bonus_cap))*(1+Techs!AO116*tech_master_of_frugality)*elite2_plat,0)</f>
        <v>750</v>
      </c>
      <c r="CG116" s="164">
        <f ca="1">ROUNDUP(IF(race="Gnome",1,(1-MIN(AB116*smithy_bonus,smithy_bonus_cap))*(1+Techs!AO116*tech_master_of_frugality))*elite2_ore,0)</f>
        <v>60</v>
      </c>
      <c r="CH116" s="164">
        <f t="shared" ca="1" si="206"/>
        <v>0</v>
      </c>
      <c r="CI116" s="164">
        <f t="shared" ca="1" si="207"/>
        <v>0</v>
      </c>
      <c r="CJ116" s="164">
        <f t="shared" ca="1" si="208"/>
        <v>0</v>
      </c>
      <c r="CK116" s="164">
        <f t="shared" ca="1" si="209"/>
        <v>0</v>
      </c>
      <c r="CL116" s="164">
        <f t="shared" ca="1" si="210"/>
        <v>0</v>
      </c>
      <c r="CM116" s="164">
        <f>ROUNDUP((1+tech_spy_cost*Techs!AJ116)*spy_plat,0)</f>
        <v>500</v>
      </c>
      <c r="CN116" s="164">
        <f>ROUNDUP((1+tech_wizard_cost*Techs!AM116-MIN(ROUND(wg_wiz_cost_bonus*BN116,4),wg_wiz_cost_cap))*wizard_plat,0)</f>
        <v>500</v>
      </c>
      <c r="CO116" s="166">
        <f>ROUNDUP((1+tech_wizard_cost*Techs!AM116-MIN(ROUND(wg_wiz_cost_bonus*BN116,4),wg_wiz_cost_cap))*archmage_plat,0)</f>
        <v>1000</v>
      </c>
      <c r="CQ116" s="465">
        <f ca="1">Construction!DF116/Construction!E116</f>
        <v>0.28000000000000003</v>
      </c>
      <c r="CR116" s="466">
        <f t="shared" si="178"/>
        <v>0</v>
      </c>
      <c r="CS116" s="466">
        <f>Construction!BK116/Construction!E116</f>
        <v>0.05</v>
      </c>
      <c r="CT116" s="466">
        <f>Construction!BJ116/Construction!E116</f>
        <v>0</v>
      </c>
      <c r="CU116" s="466">
        <f>Construction!AY116/Construction!E116</f>
        <v>0</v>
      </c>
      <c r="CV116" s="487">
        <f t="shared" ca="1" si="211"/>
        <v>1.4000000000000001</v>
      </c>
      <c r="CW116" s="488">
        <f t="shared" ca="1" si="212"/>
        <v>1.4000000000000001</v>
      </c>
      <c r="CX116" s="488">
        <f t="shared" ca="1" si="213"/>
        <v>1.4000000000000001</v>
      </c>
      <c r="CY116" s="489">
        <f t="shared" ca="1" si="214"/>
        <v>1.4000000000000001</v>
      </c>
      <c r="CZ116" s="489">
        <f t="shared" si="215"/>
        <v>0.1</v>
      </c>
      <c r="DA116" s="489">
        <f t="shared" ca="1" si="216"/>
        <v>3</v>
      </c>
      <c r="DB116" s="489">
        <f t="shared" ca="1" si="217"/>
        <v>1.4000000000000001</v>
      </c>
      <c r="DC116" s="488">
        <f t="shared" si="218"/>
        <v>0</v>
      </c>
      <c r="DD116" s="848">
        <f t="shared" si="219"/>
        <v>0</v>
      </c>
      <c r="DE116" s="442">
        <f t="shared" si="179"/>
        <v>800</v>
      </c>
      <c r="DF116" s="442">
        <f t="shared" si="180"/>
        <v>0</v>
      </c>
      <c r="DG116" s="487">
        <f t="shared" ca="1" si="220"/>
        <v>1.4000000000000001</v>
      </c>
      <c r="DH116" s="452">
        <f t="shared" si="221"/>
        <v>9.0000000000000011E-2</v>
      </c>
      <c r="DI116" s="452">
        <f>MIN(valkyrja_cap,Production!O116/valkyrja_bonus)</f>
        <v>1</v>
      </c>
      <c r="DJ116" s="848">
        <f>MIN(voodoo_magi_cap,Production!O116/voodoo_magi_bonus)</f>
        <v>0.83333333333333337</v>
      </c>
      <c r="DK116" s="848">
        <f>MIN(warlock_cap,Production!O116/warlock_bonus)</f>
        <v>1.25</v>
      </c>
      <c r="DL116" s="848">
        <f ca="1">MIN(nox_nightshade_cap,Construction!DF116/Construction!E116/nox_nightshade_swamp_bonus)</f>
        <v>2.8000000000000003</v>
      </c>
      <c r="DM116" s="488">
        <f t="shared" si="222"/>
        <v>0</v>
      </c>
      <c r="DN116" s="489">
        <f t="shared" ca="1" si="223"/>
        <v>2.8000000000000003</v>
      </c>
      <c r="DO116" s="489">
        <f t="shared" ca="1" si="224"/>
        <v>2.8000000000000003</v>
      </c>
      <c r="DP116" s="489">
        <f t="shared" si="225"/>
        <v>1</v>
      </c>
      <c r="DQ116" s="488">
        <f t="shared" si="226"/>
        <v>0</v>
      </c>
      <c r="DR116" s="489">
        <f t="shared" si="227"/>
        <v>0</v>
      </c>
      <c r="DS116" s="488">
        <f t="shared" si="228"/>
        <v>0</v>
      </c>
      <c r="DT116" s="489">
        <f t="shared" si="229"/>
        <v>0.1</v>
      </c>
      <c r="DX116" s="487">
        <f ca="1">MIN(6,CV116+Races!$F$19)*1.8 +  IF(CV116+Races!$F$19&gt;6,(CV116+Races!$F$19-6)*0.2,0) - Races!$N$19</f>
        <v>2.5200000000000005</v>
      </c>
      <c r="DY116" s="488">
        <f ca="1">1.8 * MIN(MAX(CW116+Races!$E$20,CX116+Races!$F$20),6)  +  0.45 * MIN(MIN(CW116+Races!$E$20,CX116+Races!$F$20),6)  +  0.2 * ( MAX(CW116+Races!$E$20-6,0) + MAX(CX116+Races!$F$20-6,0) )  -  Races!$N$20</f>
        <v>3.1500000000000012</v>
      </c>
      <c r="DZ116" s="57">
        <f t="shared" ca="1" si="230"/>
        <v>3780.0000000000009</v>
      </c>
      <c r="EA116" s="666">
        <f ca="1">MIN(6,CY116+Races!$F$35)*1.8 +  IF(CY116+Races!$F$35&gt;6,(CY116+Races!$F$35-6)*0.2,0) - Races!$N$19</f>
        <v>0.72000000000000064</v>
      </c>
      <c r="EB116" s="57">
        <f t="shared" ca="1" si="231"/>
        <v>0</v>
      </c>
      <c r="EC116" s="666">
        <f ca="1">1.8 * MIN(MAX(Races!$E$27,DB116+Races!$F$27),6)  +  0.45 * MIN(MIN(Races!$E$27,DB116+Races!$F$27),6)  +  0.2 * ( MAX(Races!$E$27-6,0) + MAX(DB116+Races!$F$27-6,0) )  -  Races!$N$20</f>
        <v>4.7700000000000005</v>
      </c>
      <c r="ED116" s="57">
        <f t="shared" ca="1" si="232"/>
        <v>0</v>
      </c>
      <c r="EE116" s="666">
        <f>1.8 * MIN(MAX(DC116+Races!$E$47,DD116+Races!$F$47),6)  +  0.45 * MIN(MIN(DC116+Races!$E$47,DD116+Races!$F$47),6)  +  0.2 * ( MAX(DC116+Races!$E$47-6,0) + MAX(DD116+Races!$F$47-6,0) )  -  Races!$N$47</f>
        <v>0</v>
      </c>
      <c r="EF116" s="57">
        <f t="shared" si="233"/>
        <v>0</v>
      </c>
      <c r="EG116" s="666">
        <f ca="1">1.8 * MIN(MAX(DG116+Races!$F$71,Races!$E$71),6)  +  0.45 * MIN(MIN(DG116+Races!$F$71,Races!$E$71),6)  +  0.2 * ( MAX(DG116+Races!$F$71-6,0) + MAX(Races!$E$71-6,0) )  -  Races!$N$71</f>
        <v>2.5200000000000014</v>
      </c>
      <c r="EH116" s="666">
        <f>1.8 * MIN(MAX(DH116+Races!$E$71,Races!$F$71),6)  +  0.45 * MIN(MIN(DH116+Races!$E$71,Races!$F$71),6)  +  0.2 * ( MAX(DH116+Races!$E$71-6,0) + MAX(Races!$F$71-6,0) )  -  Races!$N$71</f>
        <v>0.16200000000000081</v>
      </c>
      <c r="EI116" s="57">
        <f t="shared" ca="1" si="234"/>
        <v>2584.8000000000015</v>
      </c>
      <c r="EJ116" s="57"/>
      <c r="EK116" s="57"/>
      <c r="EL116" s="57"/>
      <c r="EM116" s="57">
        <f ca="1">Overview!$L$22*E116+Overview!$L$23*F116+Overview!$L$24*G116+Overview!$L$25*H116+Overview!$L$26*I116+Overview!$L$27*J116+Overview!$L$28*K116+Construction!E116*20+Construction!B116*5 + DZ116*$DV$4+EB116*$DV$5+ED116*$DV$6+EF116*$DV$7+EI116*$DV$9</f>
        <v>39460</v>
      </c>
      <c r="EO116" s="738">
        <f>(J116+2*K116)/Construction!E116</f>
        <v>0.1</v>
      </c>
      <c r="EP116" s="734">
        <f ca="1">EO116*(1+race_wizard_strength+tech_magical_weaponry_wiz*Techs!AV188)</f>
        <v>0.1</v>
      </c>
      <c r="EQ116" s="16">
        <f>(I116+halfer*H116/3)/Construction!E116</f>
        <v>0.1</v>
      </c>
    </row>
    <row r="117" spans="1:147" s="16" customFormat="1">
      <c r="A117" s="629">
        <f>Rezone!J117</f>
        <v>115</v>
      </c>
      <c r="B117" s="56">
        <f ca="1">SUM(E117:K117)+SUM(AF109:AG117)+SUM(AH106:AL117)+Z117+Explore!AL117</f>
        <v>5295</v>
      </c>
      <c r="C117" s="97">
        <f ca="1">Population!G117</f>
        <v>0.57305194805194803</v>
      </c>
      <c r="E117" s="52">
        <f t="shared" si="235"/>
        <v>0</v>
      </c>
      <c r="F117" s="16">
        <f t="shared" si="236"/>
        <v>0</v>
      </c>
      <c r="G117" s="16">
        <f t="shared" si="237"/>
        <v>1000</v>
      </c>
      <c r="H117" s="16">
        <f t="shared" si="238"/>
        <v>400</v>
      </c>
      <c r="I117" s="16">
        <f t="shared" si="239"/>
        <v>100</v>
      </c>
      <c r="J117" s="16">
        <f t="shared" si="240"/>
        <v>100</v>
      </c>
      <c r="K117" s="53">
        <f t="shared" si="241"/>
        <v>0</v>
      </c>
      <c r="M117" s="64">
        <f ca="1">Production!G117</f>
        <v>39460</v>
      </c>
      <c r="O117" s="142">
        <f t="shared" ca="1" si="192"/>
        <v>4400</v>
      </c>
      <c r="P117" s="455">
        <f ca="1">race_offense+Imps!AB117+ROUND(MIN(gn_bonus*Construction!BF117/Construction!$E117,gn_bonus_cap),4)+MAX(IF(Magic!$AN117&gt;0,warsong_bonus),IF(Magic!AP117&gt;0,howling_op_bonus),IF(Magic!AS117&gt;0,nightfall_bonus),IF(Magic!AT117&gt;0,crusade_bonus),IF(Magic!AU117&gt;0,killingrage_bonus),IF(Magic!AV117&gt;0,bloodrage_bonus)) + Production!O117/100*prestige_offense_bonus + MAX(tech_military_offense*Techs!AH117,tech_magical_weaponry_op*Techs!AV117)</f>
        <v>0.05</v>
      </c>
      <c r="Q117" s="235">
        <f t="shared" ca="1" si="168"/>
        <v>4620</v>
      </c>
      <c r="R117" s="234">
        <f ca="1">F117*(spec_dp+spirit*DR117)+G117*(elite1_dp+woodie*CV117+sylvan*CY117+gnome*DB117+dark_elf*DD117+icekin*DG117+orc*DJ117+nox*DL117+beast*DN117+sacred*DP117+spirit*DS117+blackorc*DK117)+H117*(elite2_dp+woodie*CX117+beast*DO117+sacred*DQ117) + fh_peas_dp*MIN(Population!C117,20*Construction!BD117)+kobold*DE117</f>
        <v>7200</v>
      </c>
      <c r="S117" s="235">
        <f t="shared" ca="1" si="193"/>
        <v>10895</v>
      </c>
      <c r="T117" s="1052">
        <f ca="1">race_defense+Imps!AC117+ROUND(MIN(gt_bonus*Construction!BH117/Construction!$E117,gt_bonus_cap),4)+MAX(IF(Magic!AM117&gt;0,frenzy_bonus,IF(Magic!AQ117&gt;0,blizzard_bonus,IF(Magic!AP117&gt;0,howling_dp_bonus,IF(Magic!AI117&gt;0,ares_call_bonus)))),IF(Magic!AX117&gt;0,MIN(Construction!DF117/Construction!E117,0.2),0))</f>
        <v>0</v>
      </c>
      <c r="U117" s="1046">
        <f t="shared" ca="1" si="169"/>
        <v>7200</v>
      </c>
      <c r="V117" s="310">
        <f t="shared" ca="1" si="170"/>
        <v>10895</v>
      </c>
      <c r="W117" s="310">
        <f>Construction!E117</f>
        <v>1000</v>
      </c>
      <c r="X117" s="367"/>
      <c r="Y117" s="146">
        <f t="shared" si="191"/>
        <v>0.4</v>
      </c>
      <c r="Z117" s="166">
        <f ca="1">Z116+Population!Z116 - IF(race="Lux",AF117,SUM(AF117:AK117)) - BE117 + SUM(BF117:BL117) - Explore!AI117</f>
        <v>3695</v>
      </c>
      <c r="AA117" s="164"/>
      <c r="AB117" s="91">
        <f>(Construction!$BA117+Construction!BY117)/(Construction!$E117-Explore!S117*20)</f>
        <v>0.2</v>
      </c>
      <c r="AC117" s="529"/>
      <c r="AD117" s="799">
        <f>Rezone!J117</f>
        <v>115</v>
      </c>
      <c r="AE117" s="589">
        <f>Explore!AA117</f>
        <v>43696.749999999724</v>
      </c>
      <c r="AF117" s="356"/>
      <c r="AG117" s="348"/>
      <c r="AH117" s="348"/>
      <c r="AI117" s="348"/>
      <c r="AJ117" s="348"/>
      <c r="AK117" s="348"/>
      <c r="AL117" s="357"/>
      <c r="AN117" s="56">
        <f ca="1">Production!$H117</f>
        <v>4161725</v>
      </c>
      <c r="AO117" s="26">
        <f ca="1">Production!$L117</f>
        <v>231000</v>
      </c>
      <c r="AP117" s="26">
        <f ca="1">Production!J117</f>
        <v>266658</v>
      </c>
      <c r="AQ117" s="26">
        <f ca="1">Production!M117</f>
        <v>20000</v>
      </c>
      <c r="AR117" s="26">
        <f ca="1">Production!K117</f>
        <v>58253</v>
      </c>
      <c r="AS117" s="26">
        <f ca="1">Production!I117</f>
        <v>333897</v>
      </c>
      <c r="AT117" s="26">
        <f ca="1">Production!N117</f>
        <v>200</v>
      </c>
      <c r="AU117" s="152">
        <f t="shared" ca="1" si="194"/>
        <v>0</v>
      </c>
      <c r="AV117" s="164">
        <f t="shared" ca="1" si="195"/>
        <v>0</v>
      </c>
      <c r="AW117" s="164">
        <f t="shared" ca="1" si="171"/>
        <v>0</v>
      </c>
      <c r="AX117" s="164">
        <f t="shared" ca="1" si="172"/>
        <v>0</v>
      </c>
      <c r="AY117" s="164">
        <f t="shared" ca="1" si="173"/>
        <v>0</v>
      </c>
      <c r="AZ117" s="164">
        <f t="shared" ca="1" si="174"/>
        <v>0</v>
      </c>
      <c r="BA117" s="166">
        <f t="shared" ca="1" si="175"/>
        <v>0</v>
      </c>
      <c r="BB117" s="16">
        <v>43</v>
      </c>
      <c r="BC117" s="574">
        <f t="shared" si="176"/>
        <v>43696.749999999724</v>
      </c>
      <c r="BD117" s="148">
        <f t="shared" ca="1" si="177"/>
        <v>3695</v>
      </c>
      <c r="BE117" s="356"/>
      <c r="BF117" s="348"/>
      <c r="BG117" s="348"/>
      <c r="BH117" s="348"/>
      <c r="BI117" s="348"/>
      <c r="BJ117" s="348"/>
      <c r="BK117" s="348"/>
      <c r="BL117" s="357"/>
      <c r="BN117" s="503">
        <f>Construction!BM117/Construction!E117</f>
        <v>0</v>
      </c>
      <c r="BO117" s="171">
        <f>Construction!BD117/Construction!E117</f>
        <v>0</v>
      </c>
      <c r="BP117" s="152">
        <f>ROUNDUP((1-MIN(AB117*smithy_bonus,smithy_bonus_cap))*(1+Techs!AO117*tech_master_of_frugality)*spec_op_plat,0)</f>
        <v>165</v>
      </c>
      <c r="BQ117" s="164">
        <f>ROUNDUP(IF(race="Gnome",1,(1-MIN(AB117*smithy_bonus,smithy_bonus_cap))*(1+Techs!AO117*tech_master_of_frugality))*spec_op_ore,0)</f>
        <v>15</v>
      </c>
      <c r="BR117" s="164">
        <f t="shared" si="196"/>
        <v>0</v>
      </c>
      <c r="BS117" s="164">
        <f t="shared" si="197"/>
        <v>0</v>
      </c>
      <c r="BT117" s="164">
        <f ca="1">ROUNDUP((1-MIN(AB117*smithy_bonus,smithy_bonus_cap))*(1+Techs!AO117*tech_master_of_frugality)*spec_dp_plat,0)</f>
        <v>165</v>
      </c>
      <c r="BU117" s="164">
        <f ca="1">ROUNDUP(IF(OR(race="Gnome",race="Imperial Gnome"),1,(1-MIN(AB117*smithy_bonus,smithy_bonus_cap))*(1+Techs!AO117*tech_master_of_frugality))*spec_dp_ore,0)</f>
        <v>6</v>
      </c>
      <c r="BV117" s="164">
        <f t="shared" ca="1" si="198"/>
        <v>0</v>
      </c>
      <c r="BW117" s="164">
        <f t="shared" ca="1" si="199"/>
        <v>0</v>
      </c>
      <c r="BX117" s="164">
        <f t="shared" ca="1" si="200"/>
        <v>0</v>
      </c>
      <c r="BY117" s="164">
        <f ca="1">ROUNDUP((1-MIN(AB117*smithy_bonus,smithy_bonus_cap))*(1+Techs!AO117*tech_master_of_frugality)*elite1_plat,0)</f>
        <v>600</v>
      </c>
      <c r="BZ117" s="164">
        <f ca="1">ROUNDUP(IF(race="Gnome",1,(1-MIN(AB117*smithy_bonus,smithy_bonus_cap))*(1+Techs!AO117*tech_master_of_frugality))*elite1_ore,0)</f>
        <v>45</v>
      </c>
      <c r="CA117" s="164">
        <f t="shared" ca="1" si="201"/>
        <v>0</v>
      </c>
      <c r="CB117" s="164">
        <f t="shared" ca="1" si="202"/>
        <v>0</v>
      </c>
      <c r="CC117" s="164">
        <f t="shared" ca="1" si="203"/>
        <v>0</v>
      </c>
      <c r="CD117" s="164">
        <f t="shared" ca="1" si="204"/>
        <v>0</v>
      </c>
      <c r="CE117" s="164">
        <f t="shared" ca="1" si="205"/>
        <v>0</v>
      </c>
      <c r="CF117" s="164">
        <f ca="1">ROUNDUP((1-MIN(AB117*smithy_bonus,smithy_bonus_cap))*(1+Techs!AO117*tech_master_of_frugality)*elite2_plat,0)</f>
        <v>750</v>
      </c>
      <c r="CG117" s="164">
        <f ca="1">ROUNDUP(IF(race="Gnome",1,(1-MIN(AB117*smithy_bonus,smithy_bonus_cap))*(1+Techs!AO117*tech_master_of_frugality))*elite2_ore,0)</f>
        <v>60</v>
      </c>
      <c r="CH117" s="164">
        <f t="shared" ca="1" si="206"/>
        <v>0</v>
      </c>
      <c r="CI117" s="164">
        <f t="shared" ca="1" si="207"/>
        <v>0</v>
      </c>
      <c r="CJ117" s="164">
        <f t="shared" ca="1" si="208"/>
        <v>0</v>
      </c>
      <c r="CK117" s="164">
        <f t="shared" ca="1" si="209"/>
        <v>0</v>
      </c>
      <c r="CL117" s="164">
        <f t="shared" ca="1" si="210"/>
        <v>0</v>
      </c>
      <c r="CM117" s="164">
        <f>ROUNDUP((1+tech_spy_cost*Techs!AJ117)*spy_plat,0)</f>
        <v>500</v>
      </c>
      <c r="CN117" s="164">
        <f>ROUNDUP((1+tech_wizard_cost*Techs!AM117-MIN(ROUND(wg_wiz_cost_bonus*BN117,4),wg_wiz_cost_cap))*wizard_plat,0)</f>
        <v>500</v>
      </c>
      <c r="CO117" s="166">
        <f>ROUNDUP((1+tech_wizard_cost*Techs!AM117-MIN(ROUND(wg_wiz_cost_bonus*BN117,4),wg_wiz_cost_cap))*archmage_plat,0)</f>
        <v>1000</v>
      </c>
      <c r="CQ117" s="465">
        <f ca="1">Construction!DF117/Construction!E117</f>
        <v>0.28000000000000003</v>
      </c>
      <c r="CR117" s="466">
        <f t="shared" si="178"/>
        <v>0</v>
      </c>
      <c r="CS117" s="466">
        <f>Construction!BK117/Construction!E117</f>
        <v>0.05</v>
      </c>
      <c r="CT117" s="466">
        <f>Construction!BJ117/Construction!E117</f>
        <v>0</v>
      </c>
      <c r="CU117" s="466">
        <f>Construction!AY117/Construction!E117</f>
        <v>0</v>
      </c>
      <c r="CV117" s="487">
        <f t="shared" ca="1" si="211"/>
        <v>1.4000000000000001</v>
      </c>
      <c r="CW117" s="488">
        <f t="shared" ca="1" si="212"/>
        <v>1.4000000000000001</v>
      </c>
      <c r="CX117" s="488">
        <f t="shared" ca="1" si="213"/>
        <v>1.4000000000000001</v>
      </c>
      <c r="CY117" s="489">
        <f t="shared" ca="1" si="214"/>
        <v>1.4000000000000001</v>
      </c>
      <c r="CZ117" s="489">
        <f t="shared" si="215"/>
        <v>0.1</v>
      </c>
      <c r="DA117" s="489">
        <f t="shared" ca="1" si="216"/>
        <v>3</v>
      </c>
      <c r="DB117" s="489">
        <f t="shared" ca="1" si="217"/>
        <v>1.4000000000000001</v>
      </c>
      <c r="DC117" s="488">
        <f t="shared" si="218"/>
        <v>0</v>
      </c>
      <c r="DD117" s="848">
        <f t="shared" si="219"/>
        <v>0</v>
      </c>
      <c r="DE117" s="442">
        <f t="shared" si="179"/>
        <v>800</v>
      </c>
      <c r="DF117" s="442">
        <f t="shared" si="180"/>
        <v>0</v>
      </c>
      <c r="DG117" s="487">
        <f t="shared" ca="1" si="220"/>
        <v>1.4000000000000001</v>
      </c>
      <c r="DH117" s="452">
        <f t="shared" si="221"/>
        <v>9.0000000000000011E-2</v>
      </c>
      <c r="DI117" s="452">
        <f>MIN(valkyrja_cap,Production!O117/valkyrja_bonus)</f>
        <v>1</v>
      </c>
      <c r="DJ117" s="848">
        <f>MIN(voodoo_magi_cap,Production!O117/voodoo_magi_bonus)</f>
        <v>0.83333333333333337</v>
      </c>
      <c r="DK117" s="848">
        <f>MIN(warlock_cap,Production!O117/warlock_bonus)</f>
        <v>1.25</v>
      </c>
      <c r="DL117" s="848">
        <f ca="1">MIN(nox_nightshade_cap,Construction!DF117/Construction!E117/nox_nightshade_swamp_bonus)</f>
        <v>2.8000000000000003</v>
      </c>
      <c r="DM117" s="488">
        <f t="shared" si="222"/>
        <v>0</v>
      </c>
      <c r="DN117" s="489">
        <f t="shared" ca="1" si="223"/>
        <v>2.8000000000000003</v>
      </c>
      <c r="DO117" s="489">
        <f t="shared" ca="1" si="224"/>
        <v>2.8000000000000003</v>
      </c>
      <c r="DP117" s="489">
        <f t="shared" si="225"/>
        <v>1</v>
      </c>
      <c r="DQ117" s="488">
        <f t="shared" si="226"/>
        <v>0</v>
      </c>
      <c r="DR117" s="489">
        <f t="shared" si="227"/>
        <v>0</v>
      </c>
      <c r="DS117" s="488">
        <f t="shared" si="228"/>
        <v>0</v>
      </c>
      <c r="DT117" s="489">
        <f t="shared" si="229"/>
        <v>0.1</v>
      </c>
      <c r="DX117" s="487">
        <f ca="1">MIN(6,CV117+Races!$F$19)*1.8 +  IF(CV117+Races!$F$19&gt;6,(CV117+Races!$F$19-6)*0.2,0) - Races!$N$19</f>
        <v>2.5200000000000005</v>
      </c>
      <c r="DY117" s="488">
        <f ca="1">1.8 * MIN(MAX(CW117+Races!$E$20,CX117+Races!$F$20),6)  +  0.45 * MIN(MIN(CW117+Races!$E$20,CX117+Races!$F$20),6)  +  0.2 * ( MAX(CW117+Races!$E$20-6,0) + MAX(CX117+Races!$F$20-6,0) )  -  Races!$N$20</f>
        <v>3.1500000000000012</v>
      </c>
      <c r="DZ117" s="57">
        <f t="shared" ca="1" si="230"/>
        <v>3780.0000000000009</v>
      </c>
      <c r="EA117" s="666">
        <f ca="1">MIN(6,CY117+Races!$F$35)*1.8 +  IF(CY117+Races!$F$35&gt;6,(CY117+Races!$F$35-6)*0.2,0) - Races!$N$19</f>
        <v>0.72000000000000064</v>
      </c>
      <c r="EB117" s="57">
        <f t="shared" ca="1" si="231"/>
        <v>0</v>
      </c>
      <c r="EC117" s="666">
        <f ca="1">1.8 * MIN(MAX(Races!$E$27,DB117+Races!$F$27),6)  +  0.45 * MIN(MIN(Races!$E$27,DB117+Races!$F$27),6)  +  0.2 * ( MAX(Races!$E$27-6,0) + MAX(DB117+Races!$F$27-6,0) )  -  Races!$N$20</f>
        <v>4.7700000000000005</v>
      </c>
      <c r="ED117" s="57">
        <f t="shared" ca="1" si="232"/>
        <v>0</v>
      </c>
      <c r="EE117" s="666">
        <f>1.8 * MIN(MAX(DC117+Races!$E$47,DD117+Races!$F$47),6)  +  0.45 * MIN(MIN(DC117+Races!$E$47,DD117+Races!$F$47),6)  +  0.2 * ( MAX(DC117+Races!$E$47-6,0) + MAX(DD117+Races!$F$47-6,0) )  -  Races!$N$47</f>
        <v>0</v>
      </c>
      <c r="EF117" s="57">
        <f t="shared" si="233"/>
        <v>0</v>
      </c>
      <c r="EG117" s="666">
        <f ca="1">1.8 * MIN(MAX(DG117+Races!$F$71,Races!$E$71),6)  +  0.45 * MIN(MIN(DG117+Races!$F$71,Races!$E$71),6)  +  0.2 * ( MAX(DG117+Races!$F$71-6,0) + MAX(Races!$E$71-6,0) )  -  Races!$N$71</f>
        <v>2.5200000000000014</v>
      </c>
      <c r="EH117" s="666">
        <f>1.8 * MIN(MAX(DH117+Races!$E$71,Races!$F$71),6)  +  0.45 * MIN(MIN(DH117+Races!$E$71,Races!$F$71),6)  +  0.2 * ( MAX(DH117+Races!$E$71-6,0) + MAX(Races!$F$71-6,0) )  -  Races!$N$71</f>
        <v>0.16200000000000081</v>
      </c>
      <c r="EI117" s="57">
        <f t="shared" ca="1" si="234"/>
        <v>2584.8000000000015</v>
      </c>
      <c r="EJ117" s="57"/>
      <c r="EK117" s="57"/>
      <c r="EL117" s="57"/>
      <c r="EM117" s="57">
        <f ca="1">Overview!$L$22*E117+Overview!$L$23*F117+Overview!$L$24*G117+Overview!$L$25*H117+Overview!$L$26*I117+Overview!$L$27*J117+Overview!$L$28*K117+Construction!E117*20+Construction!B117*5 + DZ117*$DV$4+EB117*$DV$5+ED117*$DV$6+EF117*$DV$7+EI117*$DV$9</f>
        <v>39460</v>
      </c>
      <c r="EO117" s="738">
        <f>(J117+2*K117)/Construction!E117</f>
        <v>0.1</v>
      </c>
      <c r="EP117" s="734">
        <f ca="1">EO117*(1+race_wizard_strength+tech_magical_weaponry_wiz*Techs!AV189)</f>
        <v>0.1</v>
      </c>
      <c r="EQ117" s="16">
        <f>(I117+halfer*H117/3)/Construction!E117</f>
        <v>0.1</v>
      </c>
    </row>
    <row r="118" spans="1:147" s="16" customFormat="1">
      <c r="A118" s="629">
        <f>Rezone!J118</f>
        <v>116</v>
      </c>
      <c r="B118" s="56">
        <f ca="1">SUM(E118:K118)+SUM(AF110:AG118)+SUM(AH107:AL118)+Z118+Explore!AL118</f>
        <v>5295</v>
      </c>
      <c r="C118" s="97">
        <f ca="1">Population!G118</f>
        <v>0.57305194805194803</v>
      </c>
      <c r="E118" s="52">
        <f t="shared" si="235"/>
        <v>0</v>
      </c>
      <c r="F118" s="16">
        <f t="shared" si="236"/>
        <v>0</v>
      </c>
      <c r="G118" s="16">
        <f t="shared" si="237"/>
        <v>1000</v>
      </c>
      <c r="H118" s="16">
        <f t="shared" si="238"/>
        <v>400</v>
      </c>
      <c r="I118" s="16">
        <f t="shared" si="239"/>
        <v>100</v>
      </c>
      <c r="J118" s="16">
        <f t="shared" si="240"/>
        <v>100</v>
      </c>
      <c r="K118" s="53">
        <f t="shared" si="241"/>
        <v>0</v>
      </c>
      <c r="M118" s="64">
        <f ca="1">Production!G118</f>
        <v>39460</v>
      </c>
      <c r="O118" s="142">
        <f t="shared" ca="1" si="192"/>
        <v>4400</v>
      </c>
      <c r="P118" s="455">
        <f ca="1">race_offense+Imps!AB118+ROUND(MIN(gn_bonus*Construction!BF118/Construction!$E118,gn_bonus_cap),4)+MAX(IF(Magic!$AN118&gt;0,warsong_bonus),IF(Magic!AP118&gt;0,howling_op_bonus),IF(Magic!AS118&gt;0,nightfall_bonus),IF(Magic!AT118&gt;0,crusade_bonus),IF(Magic!AU118&gt;0,killingrage_bonus),IF(Magic!AV118&gt;0,bloodrage_bonus)) + Production!O118/100*prestige_offense_bonus + MAX(tech_military_offense*Techs!AH118,tech_magical_weaponry_op*Techs!AV118)</f>
        <v>0.05</v>
      </c>
      <c r="Q118" s="235">
        <f t="shared" ca="1" si="168"/>
        <v>4620</v>
      </c>
      <c r="R118" s="234">
        <f ca="1">F118*(spec_dp+spirit*DR118)+G118*(elite1_dp+woodie*CV118+sylvan*CY118+gnome*DB118+dark_elf*DD118+icekin*DG118+orc*DJ118+nox*DL118+beast*DN118+sacred*DP118+spirit*DS118+blackorc*DK118)+H118*(elite2_dp+woodie*CX118+beast*DO118+sacred*DQ118) + fh_peas_dp*MIN(Population!C118,20*Construction!BD118)+kobold*DE118</f>
        <v>7200</v>
      </c>
      <c r="S118" s="235">
        <f t="shared" ca="1" si="193"/>
        <v>10895</v>
      </c>
      <c r="T118" s="1052">
        <f ca="1">race_defense+Imps!AC118+ROUND(MIN(gt_bonus*Construction!BH118/Construction!$E118,gt_bonus_cap),4)+MAX(IF(Magic!AM118&gt;0,frenzy_bonus,IF(Magic!AQ118&gt;0,blizzard_bonus,IF(Magic!AP118&gt;0,howling_dp_bonus,IF(Magic!AI118&gt;0,ares_call_bonus)))),IF(Magic!AX118&gt;0,MIN(Construction!DF118/Construction!E118,0.2),0))</f>
        <v>0</v>
      </c>
      <c r="U118" s="1046">
        <f t="shared" ca="1" si="169"/>
        <v>7200</v>
      </c>
      <c r="V118" s="310">
        <f t="shared" ca="1" si="170"/>
        <v>10895</v>
      </c>
      <c r="W118" s="310">
        <f>Construction!E118</f>
        <v>1000</v>
      </c>
      <c r="X118" s="367"/>
      <c r="Y118" s="146">
        <f t="shared" si="191"/>
        <v>0.4</v>
      </c>
      <c r="Z118" s="166">
        <f ca="1">Z117+Population!Z117 - IF(race="Lux",AF118,SUM(AF118:AK118)) - BE118 + SUM(BF118:BL118) - Explore!AI118</f>
        <v>3695</v>
      </c>
      <c r="AA118" s="164"/>
      <c r="AB118" s="91">
        <f>(Construction!$BA118+Construction!BY118)/(Construction!$E118-Explore!S118*20)</f>
        <v>0.2</v>
      </c>
      <c r="AC118" s="529"/>
      <c r="AD118" s="799">
        <f>Rezone!J118</f>
        <v>116</v>
      </c>
      <c r="AE118" s="589">
        <f>Explore!AA118</f>
        <v>43696.791666666388</v>
      </c>
      <c r="AF118" s="356"/>
      <c r="AG118" s="348"/>
      <c r="AH118" s="348"/>
      <c r="AI118" s="348"/>
      <c r="AJ118" s="348"/>
      <c r="AK118" s="348"/>
      <c r="AL118" s="357"/>
      <c r="AN118" s="56">
        <f ca="1">Production!$H118</f>
        <v>4172376</v>
      </c>
      <c r="AO118" s="26">
        <f ca="1">Production!$L118</f>
        <v>231000</v>
      </c>
      <c r="AP118" s="26">
        <f ca="1">Production!J118</f>
        <v>266491</v>
      </c>
      <c r="AQ118" s="26">
        <f ca="1">Production!M118</f>
        <v>20000</v>
      </c>
      <c r="AR118" s="26">
        <f ca="1">Production!K118</f>
        <v>58338</v>
      </c>
      <c r="AS118" s="26">
        <f ca="1">Production!I118</f>
        <v>335288</v>
      </c>
      <c r="AT118" s="26">
        <f ca="1">Production!N118</f>
        <v>200</v>
      </c>
      <c r="AU118" s="152">
        <f t="shared" ca="1" si="194"/>
        <v>0</v>
      </c>
      <c r="AV118" s="164">
        <f t="shared" ca="1" si="195"/>
        <v>0</v>
      </c>
      <c r="AW118" s="164">
        <f t="shared" ca="1" si="171"/>
        <v>0</v>
      </c>
      <c r="AX118" s="164">
        <f t="shared" ca="1" si="172"/>
        <v>0</v>
      </c>
      <c r="AY118" s="164">
        <f t="shared" ca="1" si="173"/>
        <v>0</v>
      </c>
      <c r="AZ118" s="164">
        <f t="shared" ca="1" si="174"/>
        <v>0</v>
      </c>
      <c r="BA118" s="166">
        <f t="shared" ca="1" si="175"/>
        <v>0</v>
      </c>
      <c r="BB118" s="16">
        <v>44</v>
      </c>
      <c r="BC118" s="574">
        <f t="shared" si="176"/>
        <v>43696.791666666388</v>
      </c>
      <c r="BD118" s="148">
        <f t="shared" ca="1" si="177"/>
        <v>3695</v>
      </c>
      <c r="BE118" s="356"/>
      <c r="BF118" s="348"/>
      <c r="BG118" s="348"/>
      <c r="BH118" s="348"/>
      <c r="BI118" s="348"/>
      <c r="BJ118" s="348"/>
      <c r="BK118" s="348"/>
      <c r="BL118" s="357"/>
      <c r="BN118" s="503">
        <f>Construction!BM118/Construction!E118</f>
        <v>0</v>
      </c>
      <c r="BO118" s="171">
        <f>Construction!BD118/Construction!E118</f>
        <v>0</v>
      </c>
      <c r="BP118" s="152">
        <f>ROUNDUP((1-MIN(AB118*smithy_bonus,smithy_bonus_cap))*(1+Techs!AO118*tech_master_of_frugality)*spec_op_plat,0)</f>
        <v>165</v>
      </c>
      <c r="BQ118" s="164">
        <f>ROUNDUP(IF(race="Gnome",1,(1-MIN(AB118*smithy_bonus,smithy_bonus_cap))*(1+Techs!AO118*tech_master_of_frugality))*spec_op_ore,0)</f>
        <v>15</v>
      </c>
      <c r="BR118" s="164">
        <f t="shared" si="196"/>
        <v>0</v>
      </c>
      <c r="BS118" s="164">
        <f t="shared" si="197"/>
        <v>0</v>
      </c>
      <c r="BT118" s="164">
        <f ca="1">ROUNDUP((1-MIN(AB118*smithy_bonus,smithy_bonus_cap))*(1+Techs!AO118*tech_master_of_frugality)*spec_dp_plat,0)</f>
        <v>165</v>
      </c>
      <c r="BU118" s="164">
        <f ca="1">ROUNDUP(IF(OR(race="Gnome",race="Imperial Gnome"),1,(1-MIN(AB118*smithy_bonus,smithy_bonus_cap))*(1+Techs!AO118*tech_master_of_frugality))*spec_dp_ore,0)</f>
        <v>6</v>
      </c>
      <c r="BV118" s="164">
        <f t="shared" ca="1" si="198"/>
        <v>0</v>
      </c>
      <c r="BW118" s="164">
        <f t="shared" ca="1" si="199"/>
        <v>0</v>
      </c>
      <c r="BX118" s="164">
        <f t="shared" ca="1" si="200"/>
        <v>0</v>
      </c>
      <c r="BY118" s="164">
        <f ca="1">ROUNDUP((1-MIN(AB118*smithy_bonus,smithy_bonus_cap))*(1+Techs!AO118*tech_master_of_frugality)*elite1_plat,0)</f>
        <v>600</v>
      </c>
      <c r="BZ118" s="164">
        <f ca="1">ROUNDUP(IF(race="Gnome",1,(1-MIN(AB118*smithy_bonus,smithy_bonus_cap))*(1+Techs!AO118*tech_master_of_frugality))*elite1_ore,0)</f>
        <v>45</v>
      </c>
      <c r="CA118" s="164">
        <f t="shared" ca="1" si="201"/>
        <v>0</v>
      </c>
      <c r="CB118" s="164">
        <f t="shared" ca="1" si="202"/>
        <v>0</v>
      </c>
      <c r="CC118" s="164">
        <f t="shared" ca="1" si="203"/>
        <v>0</v>
      </c>
      <c r="CD118" s="164">
        <f t="shared" ca="1" si="204"/>
        <v>0</v>
      </c>
      <c r="CE118" s="164">
        <f t="shared" ca="1" si="205"/>
        <v>0</v>
      </c>
      <c r="CF118" s="164">
        <f ca="1">ROUNDUP((1-MIN(AB118*smithy_bonus,smithy_bonus_cap))*(1+Techs!AO118*tech_master_of_frugality)*elite2_plat,0)</f>
        <v>750</v>
      </c>
      <c r="CG118" s="164">
        <f ca="1">ROUNDUP(IF(race="Gnome",1,(1-MIN(AB118*smithy_bonus,smithy_bonus_cap))*(1+Techs!AO118*tech_master_of_frugality))*elite2_ore,0)</f>
        <v>60</v>
      </c>
      <c r="CH118" s="164">
        <f t="shared" ca="1" si="206"/>
        <v>0</v>
      </c>
      <c r="CI118" s="164">
        <f t="shared" ca="1" si="207"/>
        <v>0</v>
      </c>
      <c r="CJ118" s="164">
        <f t="shared" ca="1" si="208"/>
        <v>0</v>
      </c>
      <c r="CK118" s="164">
        <f t="shared" ca="1" si="209"/>
        <v>0</v>
      </c>
      <c r="CL118" s="164">
        <f t="shared" ca="1" si="210"/>
        <v>0</v>
      </c>
      <c r="CM118" s="164">
        <f>ROUNDUP((1+tech_spy_cost*Techs!AJ118)*spy_plat,0)</f>
        <v>500</v>
      </c>
      <c r="CN118" s="164">
        <f>ROUNDUP((1+tech_wizard_cost*Techs!AM118-MIN(ROUND(wg_wiz_cost_bonus*BN118,4),wg_wiz_cost_cap))*wizard_plat,0)</f>
        <v>500</v>
      </c>
      <c r="CO118" s="166">
        <f>ROUNDUP((1+tech_wizard_cost*Techs!AM118-MIN(ROUND(wg_wiz_cost_bonus*BN118,4),wg_wiz_cost_cap))*archmage_plat,0)</f>
        <v>1000</v>
      </c>
      <c r="CQ118" s="465">
        <f ca="1">Construction!DF118/Construction!E118</f>
        <v>0.28000000000000003</v>
      </c>
      <c r="CR118" s="466">
        <f t="shared" si="178"/>
        <v>0</v>
      </c>
      <c r="CS118" s="466">
        <f>Construction!BK118/Construction!E118</f>
        <v>0.05</v>
      </c>
      <c r="CT118" s="466">
        <f>Construction!BJ118/Construction!E118</f>
        <v>0</v>
      </c>
      <c r="CU118" s="466">
        <f>Construction!AY118/Construction!E118</f>
        <v>0</v>
      </c>
      <c r="CV118" s="487">
        <f t="shared" ca="1" si="211"/>
        <v>1.4000000000000001</v>
      </c>
      <c r="CW118" s="488">
        <f t="shared" ca="1" si="212"/>
        <v>1.4000000000000001</v>
      </c>
      <c r="CX118" s="488">
        <f t="shared" ca="1" si="213"/>
        <v>1.4000000000000001</v>
      </c>
      <c r="CY118" s="489">
        <f t="shared" ca="1" si="214"/>
        <v>1.4000000000000001</v>
      </c>
      <c r="CZ118" s="489">
        <f t="shared" si="215"/>
        <v>0.1</v>
      </c>
      <c r="DA118" s="489">
        <f t="shared" ca="1" si="216"/>
        <v>3</v>
      </c>
      <c r="DB118" s="489">
        <f t="shared" ca="1" si="217"/>
        <v>1.4000000000000001</v>
      </c>
      <c r="DC118" s="488">
        <f t="shared" si="218"/>
        <v>0</v>
      </c>
      <c r="DD118" s="848">
        <f t="shared" si="219"/>
        <v>0</v>
      </c>
      <c r="DE118" s="442">
        <f t="shared" si="179"/>
        <v>800</v>
      </c>
      <c r="DF118" s="442">
        <f t="shared" si="180"/>
        <v>0</v>
      </c>
      <c r="DG118" s="487">
        <f t="shared" ca="1" si="220"/>
        <v>1.4000000000000001</v>
      </c>
      <c r="DH118" s="452">
        <f t="shared" si="221"/>
        <v>9.0000000000000011E-2</v>
      </c>
      <c r="DI118" s="452">
        <f>MIN(valkyrja_cap,Production!O118/valkyrja_bonus)</f>
        <v>1</v>
      </c>
      <c r="DJ118" s="848">
        <f>MIN(voodoo_magi_cap,Production!O118/voodoo_magi_bonus)</f>
        <v>0.83333333333333337</v>
      </c>
      <c r="DK118" s="848">
        <f>MIN(warlock_cap,Production!O118/warlock_bonus)</f>
        <v>1.25</v>
      </c>
      <c r="DL118" s="848">
        <f ca="1">MIN(nox_nightshade_cap,Construction!DF118/Construction!E118/nox_nightshade_swamp_bonus)</f>
        <v>2.8000000000000003</v>
      </c>
      <c r="DM118" s="488">
        <f t="shared" si="222"/>
        <v>0</v>
      </c>
      <c r="DN118" s="489">
        <f t="shared" ca="1" si="223"/>
        <v>2.8000000000000003</v>
      </c>
      <c r="DO118" s="489">
        <f t="shared" ca="1" si="224"/>
        <v>2.8000000000000003</v>
      </c>
      <c r="DP118" s="489">
        <f t="shared" si="225"/>
        <v>1</v>
      </c>
      <c r="DQ118" s="488">
        <f t="shared" si="226"/>
        <v>0</v>
      </c>
      <c r="DR118" s="489">
        <f t="shared" si="227"/>
        <v>0</v>
      </c>
      <c r="DS118" s="488">
        <f t="shared" si="228"/>
        <v>0</v>
      </c>
      <c r="DT118" s="489">
        <f t="shared" si="229"/>
        <v>0.1</v>
      </c>
      <c r="DX118" s="487">
        <f ca="1">MIN(6,CV118+Races!$F$19)*1.8 +  IF(CV118+Races!$F$19&gt;6,(CV118+Races!$F$19-6)*0.2,0) - Races!$N$19</f>
        <v>2.5200000000000005</v>
      </c>
      <c r="DY118" s="488">
        <f ca="1">1.8 * MIN(MAX(CW118+Races!$E$20,CX118+Races!$F$20),6)  +  0.45 * MIN(MIN(CW118+Races!$E$20,CX118+Races!$F$20),6)  +  0.2 * ( MAX(CW118+Races!$E$20-6,0) + MAX(CX118+Races!$F$20-6,0) )  -  Races!$N$20</f>
        <v>3.1500000000000012</v>
      </c>
      <c r="DZ118" s="57">
        <f t="shared" ca="1" si="230"/>
        <v>3780.0000000000009</v>
      </c>
      <c r="EA118" s="666">
        <f ca="1">MIN(6,CY118+Races!$F$35)*1.8 +  IF(CY118+Races!$F$35&gt;6,(CY118+Races!$F$35-6)*0.2,0) - Races!$N$19</f>
        <v>0.72000000000000064</v>
      </c>
      <c r="EB118" s="57">
        <f t="shared" ca="1" si="231"/>
        <v>0</v>
      </c>
      <c r="EC118" s="666">
        <f ca="1">1.8 * MIN(MAX(Races!$E$27,DB118+Races!$F$27),6)  +  0.45 * MIN(MIN(Races!$E$27,DB118+Races!$F$27),6)  +  0.2 * ( MAX(Races!$E$27-6,0) + MAX(DB118+Races!$F$27-6,0) )  -  Races!$N$20</f>
        <v>4.7700000000000005</v>
      </c>
      <c r="ED118" s="57">
        <f t="shared" ca="1" si="232"/>
        <v>0</v>
      </c>
      <c r="EE118" s="666">
        <f>1.8 * MIN(MAX(DC118+Races!$E$47,DD118+Races!$F$47),6)  +  0.45 * MIN(MIN(DC118+Races!$E$47,DD118+Races!$F$47),6)  +  0.2 * ( MAX(DC118+Races!$E$47-6,0) + MAX(DD118+Races!$F$47-6,0) )  -  Races!$N$47</f>
        <v>0</v>
      </c>
      <c r="EF118" s="57">
        <f t="shared" si="233"/>
        <v>0</v>
      </c>
      <c r="EG118" s="666">
        <f ca="1">1.8 * MIN(MAX(DG118+Races!$F$71,Races!$E$71),6)  +  0.45 * MIN(MIN(DG118+Races!$F$71,Races!$E$71),6)  +  0.2 * ( MAX(DG118+Races!$F$71-6,0) + MAX(Races!$E$71-6,0) )  -  Races!$N$71</f>
        <v>2.5200000000000014</v>
      </c>
      <c r="EH118" s="666">
        <f>1.8 * MIN(MAX(DH118+Races!$E$71,Races!$F$71),6)  +  0.45 * MIN(MIN(DH118+Races!$E$71,Races!$F$71),6)  +  0.2 * ( MAX(DH118+Races!$E$71-6,0) + MAX(Races!$F$71-6,0) )  -  Races!$N$71</f>
        <v>0.16200000000000081</v>
      </c>
      <c r="EI118" s="57">
        <f t="shared" ca="1" si="234"/>
        <v>2584.8000000000015</v>
      </c>
      <c r="EJ118" s="57"/>
      <c r="EK118" s="57"/>
      <c r="EL118" s="57"/>
      <c r="EM118" s="57">
        <f ca="1">Overview!$L$22*E118+Overview!$L$23*F118+Overview!$L$24*G118+Overview!$L$25*H118+Overview!$L$26*I118+Overview!$L$27*J118+Overview!$L$28*K118+Construction!E118*20+Construction!B118*5 + DZ118*$DV$4+EB118*$DV$5+ED118*$DV$6+EF118*$DV$7+EI118*$DV$9</f>
        <v>39460</v>
      </c>
      <c r="EO118" s="738">
        <f>(J118+2*K118)/Construction!E118</f>
        <v>0.1</v>
      </c>
      <c r="EP118" s="734">
        <f ca="1">EO118*(1+race_wizard_strength+tech_magical_weaponry_wiz*Techs!AV190)</f>
        <v>0.1</v>
      </c>
      <c r="EQ118" s="16">
        <f>(I118+halfer*H118/3)/Construction!E118</f>
        <v>0.1</v>
      </c>
    </row>
    <row r="119" spans="1:147" s="16" customFormat="1">
      <c r="A119" s="629">
        <f>Rezone!J119</f>
        <v>117</v>
      </c>
      <c r="B119" s="56">
        <f ca="1">SUM(E119:K119)+SUM(AF111:AG119)+SUM(AH108:AL119)+Z119+Explore!AL119</f>
        <v>5295</v>
      </c>
      <c r="C119" s="97">
        <f ca="1">Population!G119</f>
        <v>0.57305194805194803</v>
      </c>
      <c r="E119" s="52">
        <f t="shared" si="235"/>
        <v>0</v>
      </c>
      <c r="F119" s="16">
        <f t="shared" si="236"/>
        <v>0</v>
      </c>
      <c r="G119" s="16">
        <f t="shared" si="237"/>
        <v>1000</v>
      </c>
      <c r="H119" s="16">
        <f t="shared" si="238"/>
        <v>400</v>
      </c>
      <c r="I119" s="16">
        <f t="shared" si="239"/>
        <v>100</v>
      </c>
      <c r="J119" s="16">
        <f t="shared" si="240"/>
        <v>100</v>
      </c>
      <c r="K119" s="53">
        <f t="shared" si="241"/>
        <v>0</v>
      </c>
      <c r="M119" s="64">
        <f ca="1">Production!G119</f>
        <v>39460</v>
      </c>
      <c r="O119" s="142">
        <f t="shared" ca="1" si="192"/>
        <v>4400</v>
      </c>
      <c r="P119" s="455">
        <f ca="1">race_offense+Imps!AB119+ROUND(MIN(gn_bonus*Construction!BF119/Construction!$E119,gn_bonus_cap),4)+MAX(IF(Magic!$AN119&gt;0,warsong_bonus),IF(Magic!AP119&gt;0,howling_op_bonus),IF(Magic!AS119&gt;0,nightfall_bonus),IF(Magic!AT119&gt;0,crusade_bonus),IF(Magic!AU119&gt;0,killingrage_bonus),IF(Magic!AV119&gt;0,bloodrage_bonus)) + Production!O119/100*prestige_offense_bonus + MAX(tech_military_offense*Techs!AH119,tech_magical_weaponry_op*Techs!AV119)</f>
        <v>0.05</v>
      </c>
      <c r="Q119" s="235">
        <f t="shared" ca="1" si="168"/>
        <v>4620</v>
      </c>
      <c r="R119" s="234">
        <f ca="1">F119*(spec_dp+spirit*DR119)+G119*(elite1_dp+woodie*CV119+sylvan*CY119+gnome*DB119+dark_elf*DD119+icekin*DG119+orc*DJ119+nox*DL119+beast*DN119+sacred*DP119+spirit*DS119+blackorc*DK119)+H119*(elite2_dp+woodie*CX119+beast*DO119+sacred*DQ119) + fh_peas_dp*MIN(Population!C119,20*Construction!BD119)+kobold*DE119</f>
        <v>7200</v>
      </c>
      <c r="S119" s="235">
        <f t="shared" ca="1" si="193"/>
        <v>10895</v>
      </c>
      <c r="T119" s="1052">
        <f ca="1">race_defense+Imps!AC119+ROUND(MIN(gt_bonus*Construction!BH119/Construction!$E119,gt_bonus_cap),4)+MAX(IF(Magic!AM119&gt;0,frenzy_bonus,IF(Magic!AQ119&gt;0,blizzard_bonus,IF(Magic!AP119&gt;0,howling_dp_bonus,IF(Magic!AI119&gt;0,ares_call_bonus)))),IF(Magic!AX119&gt;0,MIN(Construction!DF119/Construction!E119,0.2),0))</f>
        <v>0</v>
      </c>
      <c r="U119" s="1046">
        <f t="shared" ca="1" si="169"/>
        <v>7200</v>
      </c>
      <c r="V119" s="310">
        <f t="shared" ca="1" si="170"/>
        <v>10895</v>
      </c>
      <c r="W119" s="310">
        <f>Construction!E119</f>
        <v>1000</v>
      </c>
      <c r="X119" s="367"/>
      <c r="Y119" s="146">
        <f t="shared" si="191"/>
        <v>0.4</v>
      </c>
      <c r="Z119" s="166">
        <f ca="1">Z118+Population!Z118 - IF(race="Lux",AF119,SUM(AF119:AK119)) - BE119 + SUM(BF119:BL119) - Explore!AI119</f>
        <v>3695</v>
      </c>
      <c r="AA119" s="164"/>
      <c r="AB119" s="91">
        <f>(Construction!$BA119+Construction!BY119)/(Construction!$E119-Explore!S119*20)</f>
        <v>0.2</v>
      </c>
      <c r="AC119" s="529"/>
      <c r="AD119" s="799">
        <f>Rezone!J119</f>
        <v>117</v>
      </c>
      <c r="AE119" s="589">
        <f>Explore!AA119</f>
        <v>43696.833333333052</v>
      </c>
      <c r="AF119" s="356"/>
      <c r="AG119" s="348"/>
      <c r="AH119" s="348"/>
      <c r="AI119" s="348"/>
      <c r="AJ119" s="348"/>
      <c r="AK119" s="348"/>
      <c r="AL119" s="357"/>
      <c r="AN119" s="56">
        <f ca="1">Production!$H119</f>
        <v>4183027</v>
      </c>
      <c r="AO119" s="26">
        <f ca="1">Production!$L119</f>
        <v>231000</v>
      </c>
      <c r="AP119" s="26">
        <f ca="1">Production!J119</f>
        <v>266326</v>
      </c>
      <c r="AQ119" s="26">
        <f ca="1">Production!M119</f>
        <v>20000</v>
      </c>
      <c r="AR119" s="26">
        <f ca="1">Production!K119</f>
        <v>58421</v>
      </c>
      <c r="AS119" s="26">
        <f ca="1">Production!I119</f>
        <v>336665</v>
      </c>
      <c r="AT119" s="26">
        <f ca="1">Production!N119</f>
        <v>200</v>
      </c>
      <c r="AU119" s="152">
        <f t="shared" ca="1" si="194"/>
        <v>0</v>
      </c>
      <c r="AV119" s="164">
        <f t="shared" ca="1" si="195"/>
        <v>0</v>
      </c>
      <c r="AW119" s="164">
        <f t="shared" ca="1" si="171"/>
        <v>0</v>
      </c>
      <c r="AX119" s="164">
        <f t="shared" ca="1" si="172"/>
        <v>0</v>
      </c>
      <c r="AY119" s="164">
        <f t="shared" ca="1" si="173"/>
        <v>0</v>
      </c>
      <c r="AZ119" s="164">
        <f t="shared" ca="1" si="174"/>
        <v>0</v>
      </c>
      <c r="BA119" s="166">
        <f t="shared" ca="1" si="175"/>
        <v>0</v>
      </c>
      <c r="BB119" s="16">
        <v>45</v>
      </c>
      <c r="BC119" s="574">
        <f t="shared" si="176"/>
        <v>43696.833333333052</v>
      </c>
      <c r="BD119" s="148">
        <f t="shared" ca="1" si="177"/>
        <v>3695</v>
      </c>
      <c r="BE119" s="356"/>
      <c r="BF119" s="348"/>
      <c r="BG119" s="348"/>
      <c r="BH119" s="348"/>
      <c r="BI119" s="348"/>
      <c r="BJ119" s="348"/>
      <c r="BK119" s="348"/>
      <c r="BL119" s="357"/>
      <c r="BN119" s="503">
        <f>Construction!BM119/Construction!E119</f>
        <v>0</v>
      </c>
      <c r="BO119" s="171">
        <f>Construction!BD119/Construction!E119</f>
        <v>0</v>
      </c>
      <c r="BP119" s="152">
        <f>ROUNDUP((1-MIN(AB119*smithy_bonus,smithy_bonus_cap))*(1+Techs!AO119*tech_master_of_frugality)*spec_op_plat,0)</f>
        <v>165</v>
      </c>
      <c r="BQ119" s="164">
        <f>ROUNDUP(IF(race="Gnome",1,(1-MIN(AB119*smithy_bonus,smithy_bonus_cap))*(1+Techs!AO119*tech_master_of_frugality))*spec_op_ore,0)</f>
        <v>15</v>
      </c>
      <c r="BR119" s="164">
        <f t="shared" si="196"/>
        <v>0</v>
      </c>
      <c r="BS119" s="164">
        <f t="shared" si="197"/>
        <v>0</v>
      </c>
      <c r="BT119" s="164">
        <f ca="1">ROUNDUP((1-MIN(AB119*smithy_bonus,smithy_bonus_cap))*(1+Techs!AO119*tech_master_of_frugality)*spec_dp_plat,0)</f>
        <v>165</v>
      </c>
      <c r="BU119" s="164">
        <f ca="1">ROUNDUP(IF(OR(race="Gnome",race="Imperial Gnome"),1,(1-MIN(AB119*smithy_bonus,smithy_bonus_cap))*(1+Techs!AO119*tech_master_of_frugality))*spec_dp_ore,0)</f>
        <v>6</v>
      </c>
      <c r="BV119" s="164">
        <f t="shared" ca="1" si="198"/>
        <v>0</v>
      </c>
      <c r="BW119" s="164">
        <f t="shared" ca="1" si="199"/>
        <v>0</v>
      </c>
      <c r="BX119" s="164">
        <f t="shared" ca="1" si="200"/>
        <v>0</v>
      </c>
      <c r="BY119" s="164">
        <f ca="1">ROUNDUP((1-MIN(AB119*smithy_bonus,smithy_bonus_cap))*(1+Techs!AO119*tech_master_of_frugality)*elite1_plat,0)</f>
        <v>600</v>
      </c>
      <c r="BZ119" s="164">
        <f ca="1">ROUNDUP(IF(race="Gnome",1,(1-MIN(AB119*smithy_bonus,smithy_bonus_cap))*(1+Techs!AO119*tech_master_of_frugality))*elite1_ore,0)</f>
        <v>45</v>
      </c>
      <c r="CA119" s="164">
        <f t="shared" ca="1" si="201"/>
        <v>0</v>
      </c>
      <c r="CB119" s="164">
        <f t="shared" ca="1" si="202"/>
        <v>0</v>
      </c>
      <c r="CC119" s="164">
        <f t="shared" ca="1" si="203"/>
        <v>0</v>
      </c>
      <c r="CD119" s="164">
        <f t="shared" ca="1" si="204"/>
        <v>0</v>
      </c>
      <c r="CE119" s="164">
        <f t="shared" ca="1" si="205"/>
        <v>0</v>
      </c>
      <c r="CF119" s="164">
        <f ca="1">ROUNDUP((1-MIN(AB119*smithy_bonus,smithy_bonus_cap))*(1+Techs!AO119*tech_master_of_frugality)*elite2_plat,0)</f>
        <v>750</v>
      </c>
      <c r="CG119" s="164">
        <f ca="1">ROUNDUP(IF(race="Gnome",1,(1-MIN(AB119*smithy_bonus,smithy_bonus_cap))*(1+Techs!AO119*tech_master_of_frugality))*elite2_ore,0)</f>
        <v>60</v>
      </c>
      <c r="CH119" s="164">
        <f t="shared" ca="1" si="206"/>
        <v>0</v>
      </c>
      <c r="CI119" s="164">
        <f t="shared" ca="1" si="207"/>
        <v>0</v>
      </c>
      <c r="CJ119" s="164">
        <f t="shared" ca="1" si="208"/>
        <v>0</v>
      </c>
      <c r="CK119" s="164">
        <f t="shared" ca="1" si="209"/>
        <v>0</v>
      </c>
      <c r="CL119" s="164">
        <f t="shared" ca="1" si="210"/>
        <v>0</v>
      </c>
      <c r="CM119" s="164">
        <f>ROUNDUP((1+tech_spy_cost*Techs!AJ119)*spy_plat,0)</f>
        <v>500</v>
      </c>
      <c r="CN119" s="164">
        <f>ROUNDUP((1+tech_wizard_cost*Techs!AM119-MIN(ROUND(wg_wiz_cost_bonus*BN119,4),wg_wiz_cost_cap))*wizard_plat,0)</f>
        <v>500</v>
      </c>
      <c r="CO119" s="166">
        <f>ROUNDUP((1+tech_wizard_cost*Techs!AM119-MIN(ROUND(wg_wiz_cost_bonus*BN119,4),wg_wiz_cost_cap))*archmage_plat,0)</f>
        <v>1000</v>
      </c>
      <c r="CQ119" s="465">
        <f ca="1">Construction!DF119/Construction!E119</f>
        <v>0.28000000000000003</v>
      </c>
      <c r="CR119" s="466">
        <f t="shared" si="178"/>
        <v>0</v>
      </c>
      <c r="CS119" s="466">
        <f>Construction!BK119/Construction!E119</f>
        <v>0.05</v>
      </c>
      <c r="CT119" s="466">
        <f>Construction!BJ119/Construction!E119</f>
        <v>0</v>
      </c>
      <c r="CU119" s="466">
        <f>Construction!AY119/Construction!E119</f>
        <v>0</v>
      </c>
      <c r="CV119" s="487">
        <f t="shared" ca="1" si="211"/>
        <v>1.4000000000000001</v>
      </c>
      <c r="CW119" s="488">
        <f t="shared" ca="1" si="212"/>
        <v>1.4000000000000001</v>
      </c>
      <c r="CX119" s="488">
        <f t="shared" ca="1" si="213"/>
        <v>1.4000000000000001</v>
      </c>
      <c r="CY119" s="489">
        <f t="shared" ca="1" si="214"/>
        <v>1.4000000000000001</v>
      </c>
      <c r="CZ119" s="489">
        <f t="shared" si="215"/>
        <v>0.1</v>
      </c>
      <c r="DA119" s="489">
        <f t="shared" ca="1" si="216"/>
        <v>3</v>
      </c>
      <c r="DB119" s="489">
        <f t="shared" ca="1" si="217"/>
        <v>1.4000000000000001</v>
      </c>
      <c r="DC119" s="488">
        <f t="shared" si="218"/>
        <v>0</v>
      </c>
      <c r="DD119" s="848">
        <f t="shared" si="219"/>
        <v>0</v>
      </c>
      <c r="DE119" s="442">
        <f t="shared" si="179"/>
        <v>800</v>
      </c>
      <c r="DF119" s="442">
        <f t="shared" si="180"/>
        <v>0</v>
      </c>
      <c r="DG119" s="487">
        <f t="shared" ca="1" si="220"/>
        <v>1.4000000000000001</v>
      </c>
      <c r="DH119" s="452">
        <f t="shared" si="221"/>
        <v>9.0000000000000011E-2</v>
      </c>
      <c r="DI119" s="452">
        <f>MIN(valkyrja_cap,Production!O119/valkyrja_bonus)</f>
        <v>1</v>
      </c>
      <c r="DJ119" s="848">
        <f>MIN(voodoo_magi_cap,Production!O119/voodoo_magi_bonus)</f>
        <v>0.83333333333333337</v>
      </c>
      <c r="DK119" s="848">
        <f>MIN(warlock_cap,Production!O119/warlock_bonus)</f>
        <v>1.25</v>
      </c>
      <c r="DL119" s="848">
        <f ca="1">MIN(nox_nightshade_cap,Construction!DF119/Construction!E119/nox_nightshade_swamp_bonus)</f>
        <v>2.8000000000000003</v>
      </c>
      <c r="DM119" s="488">
        <f t="shared" si="222"/>
        <v>0</v>
      </c>
      <c r="DN119" s="489">
        <f t="shared" ca="1" si="223"/>
        <v>2.8000000000000003</v>
      </c>
      <c r="DO119" s="489">
        <f t="shared" ca="1" si="224"/>
        <v>2.8000000000000003</v>
      </c>
      <c r="DP119" s="489">
        <f t="shared" si="225"/>
        <v>1</v>
      </c>
      <c r="DQ119" s="488">
        <f t="shared" si="226"/>
        <v>0</v>
      </c>
      <c r="DR119" s="489">
        <f t="shared" si="227"/>
        <v>0</v>
      </c>
      <c r="DS119" s="488">
        <f t="shared" si="228"/>
        <v>0</v>
      </c>
      <c r="DT119" s="489">
        <f t="shared" si="229"/>
        <v>0.1</v>
      </c>
      <c r="DX119" s="487">
        <f ca="1">MIN(6,CV119+Races!$F$19)*1.8 +  IF(CV119+Races!$F$19&gt;6,(CV119+Races!$F$19-6)*0.2,0) - Races!$N$19</f>
        <v>2.5200000000000005</v>
      </c>
      <c r="DY119" s="488">
        <f ca="1">1.8 * MIN(MAX(CW119+Races!$E$20,CX119+Races!$F$20),6)  +  0.45 * MIN(MIN(CW119+Races!$E$20,CX119+Races!$F$20),6)  +  0.2 * ( MAX(CW119+Races!$E$20-6,0) + MAX(CX119+Races!$F$20-6,0) )  -  Races!$N$20</f>
        <v>3.1500000000000012</v>
      </c>
      <c r="DZ119" s="57">
        <f t="shared" ca="1" si="230"/>
        <v>3780.0000000000009</v>
      </c>
      <c r="EA119" s="666">
        <f ca="1">MIN(6,CY119+Races!$F$35)*1.8 +  IF(CY119+Races!$F$35&gt;6,(CY119+Races!$F$35-6)*0.2,0) - Races!$N$19</f>
        <v>0.72000000000000064</v>
      </c>
      <c r="EB119" s="57">
        <f t="shared" ca="1" si="231"/>
        <v>0</v>
      </c>
      <c r="EC119" s="666">
        <f ca="1">1.8 * MIN(MAX(Races!$E$27,DB119+Races!$F$27),6)  +  0.45 * MIN(MIN(Races!$E$27,DB119+Races!$F$27),6)  +  0.2 * ( MAX(Races!$E$27-6,0) + MAX(DB119+Races!$F$27-6,0) )  -  Races!$N$20</f>
        <v>4.7700000000000005</v>
      </c>
      <c r="ED119" s="57">
        <f t="shared" ca="1" si="232"/>
        <v>0</v>
      </c>
      <c r="EE119" s="666">
        <f>1.8 * MIN(MAX(DC119+Races!$E$47,DD119+Races!$F$47),6)  +  0.45 * MIN(MIN(DC119+Races!$E$47,DD119+Races!$F$47),6)  +  0.2 * ( MAX(DC119+Races!$E$47-6,0) + MAX(DD119+Races!$F$47-6,0) )  -  Races!$N$47</f>
        <v>0</v>
      </c>
      <c r="EF119" s="57">
        <f t="shared" si="233"/>
        <v>0</v>
      </c>
      <c r="EG119" s="666">
        <f ca="1">1.8 * MIN(MAX(DG119+Races!$F$71,Races!$E$71),6)  +  0.45 * MIN(MIN(DG119+Races!$F$71,Races!$E$71),6)  +  0.2 * ( MAX(DG119+Races!$F$71-6,0) + MAX(Races!$E$71-6,0) )  -  Races!$N$71</f>
        <v>2.5200000000000014</v>
      </c>
      <c r="EH119" s="666">
        <f>1.8 * MIN(MAX(DH119+Races!$E$71,Races!$F$71),6)  +  0.45 * MIN(MIN(DH119+Races!$E$71,Races!$F$71),6)  +  0.2 * ( MAX(DH119+Races!$E$71-6,0) + MAX(Races!$F$71-6,0) )  -  Races!$N$71</f>
        <v>0.16200000000000081</v>
      </c>
      <c r="EI119" s="57">
        <f t="shared" ca="1" si="234"/>
        <v>2584.8000000000015</v>
      </c>
      <c r="EJ119" s="57"/>
      <c r="EK119" s="57"/>
      <c r="EL119" s="57"/>
      <c r="EM119" s="57">
        <f ca="1">Overview!$L$22*E119+Overview!$L$23*F119+Overview!$L$24*G119+Overview!$L$25*H119+Overview!$L$26*I119+Overview!$L$27*J119+Overview!$L$28*K119+Construction!E119*20+Construction!B119*5 + DZ119*$DV$4+EB119*$DV$5+ED119*$DV$6+EF119*$DV$7+EI119*$DV$9</f>
        <v>39460</v>
      </c>
      <c r="EO119" s="738">
        <f>(J119+2*K119)/Construction!E119</f>
        <v>0.1</v>
      </c>
      <c r="EP119" s="734">
        <f ca="1">EO119*(1+race_wizard_strength+tech_magical_weaponry_wiz*Techs!AV191)</f>
        <v>0.1</v>
      </c>
      <c r="EQ119" s="16">
        <f>(I119+halfer*H119/3)/Construction!E119</f>
        <v>0.1</v>
      </c>
    </row>
    <row r="120" spans="1:147" s="16" customFormat="1">
      <c r="A120" s="629">
        <f>Rezone!J120</f>
        <v>118</v>
      </c>
      <c r="B120" s="56">
        <f ca="1">SUM(E120:K120)+SUM(AF112:AG120)+SUM(AH109:AL120)+Z120+Explore!AL120</f>
        <v>5295</v>
      </c>
      <c r="C120" s="97">
        <f ca="1">Population!G120</f>
        <v>0.57305194805194803</v>
      </c>
      <c r="E120" s="52">
        <f t="shared" si="235"/>
        <v>0</v>
      </c>
      <c r="F120" s="16">
        <f t="shared" si="236"/>
        <v>0</v>
      </c>
      <c r="G120" s="16">
        <f t="shared" si="237"/>
        <v>1000</v>
      </c>
      <c r="H120" s="16">
        <f t="shared" si="238"/>
        <v>400</v>
      </c>
      <c r="I120" s="16">
        <f t="shared" si="239"/>
        <v>100</v>
      </c>
      <c r="J120" s="16">
        <f t="shared" si="240"/>
        <v>100</v>
      </c>
      <c r="K120" s="53">
        <f t="shared" si="241"/>
        <v>0</v>
      </c>
      <c r="M120" s="64">
        <f ca="1">Production!G120</f>
        <v>39460</v>
      </c>
      <c r="O120" s="142">
        <f t="shared" ca="1" si="192"/>
        <v>4400</v>
      </c>
      <c r="P120" s="455">
        <f ca="1">race_offense+Imps!AB120+ROUND(MIN(gn_bonus*Construction!BF120/Construction!$E120,gn_bonus_cap),4)+MAX(IF(Magic!$AN120&gt;0,warsong_bonus),IF(Magic!AP120&gt;0,howling_op_bonus),IF(Magic!AS120&gt;0,nightfall_bonus),IF(Magic!AT120&gt;0,crusade_bonus),IF(Magic!AU120&gt;0,killingrage_bonus),IF(Magic!AV120&gt;0,bloodrage_bonus)) + Production!O120/100*prestige_offense_bonus + MAX(tech_military_offense*Techs!AH120,tech_magical_weaponry_op*Techs!AV120)</f>
        <v>0.05</v>
      </c>
      <c r="Q120" s="235">
        <f t="shared" ca="1" si="168"/>
        <v>4620</v>
      </c>
      <c r="R120" s="234">
        <f ca="1">F120*(spec_dp+spirit*DR120)+G120*(elite1_dp+woodie*CV120+sylvan*CY120+gnome*DB120+dark_elf*DD120+icekin*DG120+orc*DJ120+nox*DL120+beast*DN120+sacred*DP120+spirit*DS120+blackorc*DK120)+H120*(elite2_dp+woodie*CX120+beast*DO120+sacred*DQ120) + fh_peas_dp*MIN(Population!C120,20*Construction!BD120)+kobold*DE120</f>
        <v>7200</v>
      </c>
      <c r="S120" s="235">
        <f t="shared" ca="1" si="193"/>
        <v>10895</v>
      </c>
      <c r="T120" s="1052">
        <f ca="1">race_defense+Imps!AC120+ROUND(MIN(gt_bonus*Construction!BH120/Construction!$E120,gt_bonus_cap),4)+MAX(IF(Magic!AM120&gt;0,frenzy_bonus,IF(Magic!AQ120&gt;0,blizzard_bonus,IF(Magic!AP120&gt;0,howling_dp_bonus,IF(Magic!AI120&gt;0,ares_call_bonus)))),IF(Magic!AX120&gt;0,MIN(Construction!DF120/Construction!E120,0.2),0))</f>
        <v>0</v>
      </c>
      <c r="U120" s="1046">
        <f t="shared" ca="1" si="169"/>
        <v>7200</v>
      </c>
      <c r="V120" s="310">
        <f t="shared" ca="1" si="170"/>
        <v>10895</v>
      </c>
      <c r="W120" s="310">
        <f>Construction!E120</f>
        <v>1000</v>
      </c>
      <c r="X120" s="367"/>
      <c r="Y120" s="146">
        <f t="shared" si="191"/>
        <v>0.4</v>
      </c>
      <c r="Z120" s="166">
        <f ca="1">Z119+Population!Z119 - IF(race="Lux",AF120,SUM(AF120:AK120)) - BE120 + SUM(BF120:BL120) - Explore!AI120</f>
        <v>3695</v>
      </c>
      <c r="AA120" s="164"/>
      <c r="AB120" s="91">
        <f>(Construction!$BA120+Construction!BY120)/(Construction!$E120-Explore!S120*20)</f>
        <v>0.2</v>
      </c>
      <c r="AC120" s="529"/>
      <c r="AD120" s="799">
        <f>Rezone!J120</f>
        <v>118</v>
      </c>
      <c r="AE120" s="589">
        <f>Explore!AA120</f>
        <v>43696.874999999716</v>
      </c>
      <c r="AF120" s="356"/>
      <c r="AG120" s="348"/>
      <c r="AH120" s="348"/>
      <c r="AI120" s="348"/>
      <c r="AJ120" s="348"/>
      <c r="AK120" s="348"/>
      <c r="AL120" s="357"/>
      <c r="AN120" s="56">
        <f ca="1">Production!$H120</f>
        <v>4193678</v>
      </c>
      <c r="AO120" s="26">
        <f ca="1">Production!$L120</f>
        <v>231000</v>
      </c>
      <c r="AP120" s="26">
        <f ca="1">Production!J120</f>
        <v>266163</v>
      </c>
      <c r="AQ120" s="26">
        <f ca="1">Production!M120</f>
        <v>20000</v>
      </c>
      <c r="AR120" s="26">
        <f ca="1">Production!K120</f>
        <v>58503</v>
      </c>
      <c r="AS120" s="26">
        <f ca="1">Production!I120</f>
        <v>338028</v>
      </c>
      <c r="AT120" s="26">
        <f ca="1">Production!N120</f>
        <v>200</v>
      </c>
      <c r="AU120" s="152">
        <f t="shared" ca="1" si="194"/>
        <v>0</v>
      </c>
      <c r="AV120" s="164">
        <f t="shared" ca="1" si="195"/>
        <v>0</v>
      </c>
      <c r="AW120" s="164">
        <f t="shared" ca="1" si="171"/>
        <v>0</v>
      </c>
      <c r="AX120" s="164">
        <f t="shared" ca="1" si="172"/>
        <v>0</v>
      </c>
      <c r="AY120" s="164">
        <f t="shared" ca="1" si="173"/>
        <v>0</v>
      </c>
      <c r="AZ120" s="164">
        <f t="shared" ca="1" si="174"/>
        <v>0</v>
      </c>
      <c r="BA120" s="166">
        <f t="shared" ca="1" si="175"/>
        <v>0</v>
      </c>
      <c r="BB120" s="16">
        <v>46</v>
      </c>
      <c r="BC120" s="574">
        <f t="shared" si="176"/>
        <v>43696.874999999716</v>
      </c>
      <c r="BD120" s="148">
        <f t="shared" ca="1" si="177"/>
        <v>3695</v>
      </c>
      <c r="BE120" s="356"/>
      <c r="BF120" s="348"/>
      <c r="BG120" s="348"/>
      <c r="BH120" s="348"/>
      <c r="BI120" s="348"/>
      <c r="BJ120" s="348"/>
      <c r="BK120" s="348"/>
      <c r="BL120" s="357"/>
      <c r="BN120" s="503">
        <f>Construction!BM120/Construction!E120</f>
        <v>0</v>
      </c>
      <c r="BO120" s="171">
        <f>Construction!BD120/Construction!E120</f>
        <v>0</v>
      </c>
      <c r="BP120" s="152">
        <f>ROUNDUP((1-MIN(AB120*smithy_bonus,smithy_bonus_cap))*(1+Techs!AO120*tech_master_of_frugality)*spec_op_plat,0)</f>
        <v>165</v>
      </c>
      <c r="BQ120" s="164">
        <f>ROUNDUP(IF(race="Gnome",1,(1-MIN(AB120*smithy_bonus,smithy_bonus_cap))*(1+Techs!AO120*tech_master_of_frugality))*spec_op_ore,0)</f>
        <v>15</v>
      </c>
      <c r="BR120" s="164">
        <f t="shared" si="196"/>
        <v>0</v>
      </c>
      <c r="BS120" s="164">
        <f t="shared" si="197"/>
        <v>0</v>
      </c>
      <c r="BT120" s="164">
        <f ca="1">ROUNDUP((1-MIN(AB120*smithy_bonus,smithy_bonus_cap))*(1+Techs!AO120*tech_master_of_frugality)*spec_dp_plat,0)</f>
        <v>165</v>
      </c>
      <c r="BU120" s="164">
        <f ca="1">ROUNDUP(IF(OR(race="Gnome",race="Imperial Gnome"),1,(1-MIN(AB120*smithy_bonus,smithy_bonus_cap))*(1+Techs!AO120*tech_master_of_frugality))*spec_dp_ore,0)</f>
        <v>6</v>
      </c>
      <c r="BV120" s="164">
        <f t="shared" ca="1" si="198"/>
        <v>0</v>
      </c>
      <c r="BW120" s="164">
        <f t="shared" ca="1" si="199"/>
        <v>0</v>
      </c>
      <c r="BX120" s="164">
        <f t="shared" ca="1" si="200"/>
        <v>0</v>
      </c>
      <c r="BY120" s="164">
        <f ca="1">ROUNDUP((1-MIN(AB120*smithy_bonus,smithy_bonus_cap))*(1+Techs!AO120*tech_master_of_frugality)*elite1_plat,0)</f>
        <v>600</v>
      </c>
      <c r="BZ120" s="164">
        <f ca="1">ROUNDUP(IF(race="Gnome",1,(1-MIN(AB120*smithy_bonus,smithy_bonus_cap))*(1+Techs!AO120*tech_master_of_frugality))*elite1_ore,0)</f>
        <v>45</v>
      </c>
      <c r="CA120" s="164">
        <f t="shared" ca="1" si="201"/>
        <v>0</v>
      </c>
      <c r="CB120" s="164">
        <f t="shared" ca="1" si="202"/>
        <v>0</v>
      </c>
      <c r="CC120" s="164">
        <f t="shared" ca="1" si="203"/>
        <v>0</v>
      </c>
      <c r="CD120" s="164">
        <f t="shared" ca="1" si="204"/>
        <v>0</v>
      </c>
      <c r="CE120" s="164">
        <f t="shared" ca="1" si="205"/>
        <v>0</v>
      </c>
      <c r="CF120" s="164">
        <f ca="1">ROUNDUP((1-MIN(AB120*smithy_bonus,smithy_bonus_cap))*(1+Techs!AO120*tech_master_of_frugality)*elite2_plat,0)</f>
        <v>750</v>
      </c>
      <c r="CG120" s="164">
        <f ca="1">ROUNDUP(IF(race="Gnome",1,(1-MIN(AB120*smithy_bonus,smithy_bonus_cap))*(1+Techs!AO120*tech_master_of_frugality))*elite2_ore,0)</f>
        <v>60</v>
      </c>
      <c r="CH120" s="164">
        <f t="shared" ca="1" si="206"/>
        <v>0</v>
      </c>
      <c r="CI120" s="164">
        <f t="shared" ca="1" si="207"/>
        <v>0</v>
      </c>
      <c r="CJ120" s="164">
        <f t="shared" ca="1" si="208"/>
        <v>0</v>
      </c>
      <c r="CK120" s="164">
        <f t="shared" ca="1" si="209"/>
        <v>0</v>
      </c>
      <c r="CL120" s="164">
        <f t="shared" ca="1" si="210"/>
        <v>0</v>
      </c>
      <c r="CM120" s="164">
        <f>ROUNDUP((1+tech_spy_cost*Techs!AJ120)*spy_plat,0)</f>
        <v>500</v>
      </c>
      <c r="CN120" s="164">
        <f>ROUNDUP((1+tech_wizard_cost*Techs!AM120-MIN(ROUND(wg_wiz_cost_bonus*BN120,4),wg_wiz_cost_cap))*wizard_plat,0)</f>
        <v>500</v>
      </c>
      <c r="CO120" s="166">
        <f>ROUNDUP((1+tech_wizard_cost*Techs!AM120-MIN(ROUND(wg_wiz_cost_bonus*BN120,4),wg_wiz_cost_cap))*archmage_plat,0)</f>
        <v>1000</v>
      </c>
      <c r="CQ120" s="465">
        <f ca="1">Construction!DF120/Construction!E120</f>
        <v>0.28000000000000003</v>
      </c>
      <c r="CR120" s="466">
        <f t="shared" si="178"/>
        <v>0</v>
      </c>
      <c r="CS120" s="466">
        <f>Construction!BK120/Construction!E120</f>
        <v>0.05</v>
      </c>
      <c r="CT120" s="466">
        <f>Construction!BJ120/Construction!E120</f>
        <v>0</v>
      </c>
      <c r="CU120" s="466">
        <f>Construction!AY120/Construction!E120</f>
        <v>0</v>
      </c>
      <c r="CV120" s="487">
        <f t="shared" ca="1" si="211"/>
        <v>1.4000000000000001</v>
      </c>
      <c r="CW120" s="488">
        <f t="shared" ca="1" si="212"/>
        <v>1.4000000000000001</v>
      </c>
      <c r="CX120" s="488">
        <f t="shared" ca="1" si="213"/>
        <v>1.4000000000000001</v>
      </c>
      <c r="CY120" s="489">
        <f t="shared" ca="1" si="214"/>
        <v>1.4000000000000001</v>
      </c>
      <c r="CZ120" s="489">
        <f t="shared" si="215"/>
        <v>0.1</v>
      </c>
      <c r="DA120" s="489">
        <f t="shared" ca="1" si="216"/>
        <v>3</v>
      </c>
      <c r="DB120" s="489">
        <f t="shared" ca="1" si="217"/>
        <v>1.4000000000000001</v>
      </c>
      <c r="DC120" s="488">
        <f t="shared" si="218"/>
        <v>0</v>
      </c>
      <c r="DD120" s="848">
        <f t="shared" si="219"/>
        <v>0</v>
      </c>
      <c r="DE120" s="442">
        <f t="shared" si="179"/>
        <v>800</v>
      </c>
      <c r="DF120" s="442">
        <f t="shared" si="180"/>
        <v>0</v>
      </c>
      <c r="DG120" s="487">
        <f t="shared" ca="1" si="220"/>
        <v>1.4000000000000001</v>
      </c>
      <c r="DH120" s="452">
        <f t="shared" si="221"/>
        <v>9.0000000000000011E-2</v>
      </c>
      <c r="DI120" s="452">
        <f>MIN(valkyrja_cap,Production!O120/valkyrja_bonus)</f>
        <v>1</v>
      </c>
      <c r="DJ120" s="848">
        <f>MIN(voodoo_magi_cap,Production!O120/voodoo_magi_bonus)</f>
        <v>0.83333333333333337</v>
      </c>
      <c r="DK120" s="848">
        <f>MIN(warlock_cap,Production!O120/warlock_bonus)</f>
        <v>1.25</v>
      </c>
      <c r="DL120" s="848">
        <f ca="1">MIN(nox_nightshade_cap,Construction!DF120/Construction!E120/nox_nightshade_swamp_bonus)</f>
        <v>2.8000000000000003</v>
      </c>
      <c r="DM120" s="488">
        <f t="shared" si="222"/>
        <v>0</v>
      </c>
      <c r="DN120" s="489">
        <f t="shared" ca="1" si="223"/>
        <v>2.8000000000000003</v>
      </c>
      <c r="DO120" s="489">
        <f t="shared" ca="1" si="224"/>
        <v>2.8000000000000003</v>
      </c>
      <c r="DP120" s="489">
        <f t="shared" si="225"/>
        <v>1</v>
      </c>
      <c r="DQ120" s="488">
        <f t="shared" si="226"/>
        <v>0</v>
      </c>
      <c r="DR120" s="489">
        <f t="shared" si="227"/>
        <v>0</v>
      </c>
      <c r="DS120" s="488">
        <f t="shared" si="228"/>
        <v>0</v>
      </c>
      <c r="DT120" s="489">
        <f t="shared" si="229"/>
        <v>0.1</v>
      </c>
      <c r="DX120" s="487">
        <f ca="1">MIN(6,CV120+Races!$F$19)*1.8 +  IF(CV120+Races!$F$19&gt;6,(CV120+Races!$F$19-6)*0.2,0) - Races!$N$19</f>
        <v>2.5200000000000005</v>
      </c>
      <c r="DY120" s="488">
        <f ca="1">1.8 * MIN(MAX(CW120+Races!$E$20,CX120+Races!$F$20),6)  +  0.45 * MIN(MIN(CW120+Races!$E$20,CX120+Races!$F$20),6)  +  0.2 * ( MAX(CW120+Races!$E$20-6,0) + MAX(CX120+Races!$F$20-6,0) )  -  Races!$N$20</f>
        <v>3.1500000000000012</v>
      </c>
      <c r="DZ120" s="57">
        <f t="shared" ca="1" si="230"/>
        <v>3780.0000000000009</v>
      </c>
      <c r="EA120" s="666">
        <f ca="1">MIN(6,CY120+Races!$F$35)*1.8 +  IF(CY120+Races!$F$35&gt;6,(CY120+Races!$F$35-6)*0.2,0) - Races!$N$19</f>
        <v>0.72000000000000064</v>
      </c>
      <c r="EB120" s="57">
        <f t="shared" ca="1" si="231"/>
        <v>0</v>
      </c>
      <c r="EC120" s="666">
        <f ca="1">1.8 * MIN(MAX(Races!$E$27,DB120+Races!$F$27),6)  +  0.45 * MIN(MIN(Races!$E$27,DB120+Races!$F$27),6)  +  0.2 * ( MAX(Races!$E$27-6,0) + MAX(DB120+Races!$F$27-6,0) )  -  Races!$N$20</f>
        <v>4.7700000000000005</v>
      </c>
      <c r="ED120" s="57">
        <f t="shared" ca="1" si="232"/>
        <v>0</v>
      </c>
      <c r="EE120" s="666">
        <f>1.8 * MIN(MAX(DC120+Races!$E$47,DD120+Races!$F$47),6)  +  0.45 * MIN(MIN(DC120+Races!$E$47,DD120+Races!$F$47),6)  +  0.2 * ( MAX(DC120+Races!$E$47-6,0) + MAX(DD120+Races!$F$47-6,0) )  -  Races!$N$47</f>
        <v>0</v>
      </c>
      <c r="EF120" s="57">
        <f t="shared" si="233"/>
        <v>0</v>
      </c>
      <c r="EG120" s="666">
        <f ca="1">1.8 * MIN(MAX(DG120+Races!$F$71,Races!$E$71),6)  +  0.45 * MIN(MIN(DG120+Races!$F$71,Races!$E$71),6)  +  0.2 * ( MAX(DG120+Races!$F$71-6,0) + MAX(Races!$E$71-6,0) )  -  Races!$N$71</f>
        <v>2.5200000000000014</v>
      </c>
      <c r="EH120" s="666">
        <f>1.8 * MIN(MAX(DH120+Races!$E$71,Races!$F$71),6)  +  0.45 * MIN(MIN(DH120+Races!$E$71,Races!$F$71),6)  +  0.2 * ( MAX(DH120+Races!$E$71-6,0) + MAX(Races!$F$71-6,0) )  -  Races!$N$71</f>
        <v>0.16200000000000081</v>
      </c>
      <c r="EI120" s="57">
        <f t="shared" ca="1" si="234"/>
        <v>2584.8000000000015</v>
      </c>
      <c r="EJ120" s="57"/>
      <c r="EK120" s="57"/>
      <c r="EL120" s="57"/>
      <c r="EM120" s="57">
        <f ca="1">Overview!$L$22*E120+Overview!$L$23*F120+Overview!$L$24*G120+Overview!$L$25*H120+Overview!$L$26*I120+Overview!$L$27*J120+Overview!$L$28*K120+Construction!E120*20+Construction!B120*5 + DZ120*$DV$4+EB120*$DV$5+ED120*$DV$6+EF120*$DV$7+EI120*$DV$9</f>
        <v>39460</v>
      </c>
      <c r="EO120" s="738">
        <f>(J120+2*K120)/Construction!E120</f>
        <v>0.1</v>
      </c>
      <c r="EP120" s="734">
        <f ca="1">EO120*(1+race_wizard_strength+tech_magical_weaponry_wiz*Techs!AV192)</f>
        <v>0.1</v>
      </c>
      <c r="EQ120" s="16">
        <f>(I120+halfer*H120/3)/Construction!E120</f>
        <v>0.1</v>
      </c>
    </row>
    <row r="121" spans="1:147" s="16" customFormat="1">
      <c r="A121" s="629">
        <f>Rezone!J121</f>
        <v>119</v>
      </c>
      <c r="B121" s="56">
        <f ca="1">SUM(E121:K121)+SUM(AF113:AG121)+SUM(AH110:AL121)+Z121+Explore!AL121</f>
        <v>5295</v>
      </c>
      <c r="C121" s="97">
        <f ca="1">Population!G121</f>
        <v>0.57305194805194803</v>
      </c>
      <c r="E121" s="52">
        <f t="shared" si="235"/>
        <v>0</v>
      </c>
      <c r="F121" s="16">
        <f t="shared" si="236"/>
        <v>0</v>
      </c>
      <c r="G121" s="16">
        <f t="shared" si="237"/>
        <v>1000</v>
      </c>
      <c r="H121" s="16">
        <f t="shared" si="238"/>
        <v>400</v>
      </c>
      <c r="I121" s="16">
        <f t="shared" si="239"/>
        <v>100</v>
      </c>
      <c r="J121" s="16">
        <f t="shared" si="240"/>
        <v>100</v>
      </c>
      <c r="K121" s="53">
        <f t="shared" si="241"/>
        <v>0</v>
      </c>
      <c r="M121" s="64">
        <f ca="1">Production!G121</f>
        <v>39460</v>
      </c>
      <c r="O121" s="142">
        <f t="shared" ca="1" si="192"/>
        <v>4400</v>
      </c>
      <c r="P121" s="455">
        <f ca="1">race_offense+Imps!AB121+ROUND(MIN(gn_bonus*Construction!BF121/Construction!$E121,gn_bonus_cap),4)+MAX(IF(Magic!$AN121&gt;0,warsong_bonus),IF(Magic!AP121&gt;0,howling_op_bonus),IF(Magic!AS121&gt;0,nightfall_bonus),IF(Magic!AT121&gt;0,crusade_bonus),IF(Magic!AU121&gt;0,killingrage_bonus),IF(Magic!AV121&gt;0,bloodrage_bonus)) + Production!O121/100*prestige_offense_bonus + MAX(tech_military_offense*Techs!AH121,tech_magical_weaponry_op*Techs!AV121)</f>
        <v>0.05</v>
      </c>
      <c r="Q121" s="235">
        <f t="shared" ca="1" si="168"/>
        <v>4620</v>
      </c>
      <c r="R121" s="234">
        <f ca="1">F121*(spec_dp+spirit*DR121)+G121*(elite1_dp+woodie*CV121+sylvan*CY121+gnome*DB121+dark_elf*DD121+icekin*DG121+orc*DJ121+nox*DL121+beast*DN121+sacred*DP121+spirit*DS121+blackorc*DK121)+H121*(elite2_dp+woodie*CX121+beast*DO121+sacred*DQ121) + fh_peas_dp*MIN(Population!C121,20*Construction!BD121)+kobold*DE121</f>
        <v>7200</v>
      </c>
      <c r="S121" s="235">
        <f t="shared" ca="1" si="193"/>
        <v>10895</v>
      </c>
      <c r="T121" s="1052">
        <f ca="1">race_defense+Imps!AC121+ROUND(MIN(gt_bonus*Construction!BH121/Construction!$E121,gt_bonus_cap),4)+MAX(IF(Magic!AM121&gt;0,frenzy_bonus,IF(Magic!AQ121&gt;0,blizzard_bonus,IF(Magic!AP121&gt;0,howling_dp_bonus,IF(Magic!AI121&gt;0,ares_call_bonus)))),IF(Magic!AX121&gt;0,MIN(Construction!DF121/Construction!E121,0.2),0))</f>
        <v>0</v>
      </c>
      <c r="U121" s="1046">
        <f t="shared" ca="1" si="169"/>
        <v>7200</v>
      </c>
      <c r="V121" s="310">
        <f t="shared" ca="1" si="170"/>
        <v>10895</v>
      </c>
      <c r="W121" s="310">
        <f>Construction!E121</f>
        <v>1000</v>
      </c>
      <c r="X121" s="367"/>
      <c r="Y121" s="146">
        <f t="shared" si="191"/>
        <v>0.4</v>
      </c>
      <c r="Z121" s="166">
        <f ca="1">Z120+Population!Z120 - IF(race="Lux",AF121,SUM(AF121:AK121)) - BE121 + SUM(BF121:BL121) - Explore!AI121</f>
        <v>3695</v>
      </c>
      <c r="AA121" s="164"/>
      <c r="AB121" s="91">
        <f>(Construction!$BA121+Construction!BY121)/(Construction!$E121-Explore!S121*20)</f>
        <v>0.2</v>
      </c>
      <c r="AC121" s="529"/>
      <c r="AD121" s="799">
        <f>Rezone!J121</f>
        <v>119</v>
      </c>
      <c r="AE121" s="589">
        <f>Explore!AA121</f>
        <v>43696.91666666638</v>
      </c>
      <c r="AF121" s="356"/>
      <c r="AG121" s="348"/>
      <c r="AH121" s="348"/>
      <c r="AI121" s="348"/>
      <c r="AJ121" s="348"/>
      <c r="AK121" s="348"/>
      <c r="AL121" s="357"/>
      <c r="AN121" s="56">
        <f ca="1">Production!$H121</f>
        <v>4204329</v>
      </c>
      <c r="AO121" s="26">
        <f ca="1">Production!$L121</f>
        <v>231000</v>
      </c>
      <c r="AP121" s="26">
        <f ca="1">Production!J121</f>
        <v>266001</v>
      </c>
      <c r="AQ121" s="26">
        <f ca="1">Production!M121</f>
        <v>20000</v>
      </c>
      <c r="AR121" s="26">
        <f ca="1">Production!K121</f>
        <v>58583</v>
      </c>
      <c r="AS121" s="26">
        <f ca="1">Production!I121</f>
        <v>339378</v>
      </c>
      <c r="AT121" s="26">
        <f ca="1">Production!N121</f>
        <v>200</v>
      </c>
      <c r="AU121" s="152">
        <f t="shared" ca="1" si="194"/>
        <v>0</v>
      </c>
      <c r="AV121" s="164">
        <f t="shared" ca="1" si="195"/>
        <v>0</v>
      </c>
      <c r="AW121" s="164">
        <f t="shared" ca="1" si="171"/>
        <v>0</v>
      </c>
      <c r="AX121" s="164">
        <f t="shared" ca="1" si="172"/>
        <v>0</v>
      </c>
      <c r="AY121" s="164">
        <f t="shared" ca="1" si="173"/>
        <v>0</v>
      </c>
      <c r="AZ121" s="164">
        <f t="shared" ca="1" si="174"/>
        <v>0</v>
      </c>
      <c r="BA121" s="166">
        <f t="shared" ca="1" si="175"/>
        <v>0</v>
      </c>
      <c r="BB121" s="16">
        <v>47</v>
      </c>
      <c r="BC121" s="574">
        <f t="shared" si="176"/>
        <v>43696.91666666638</v>
      </c>
      <c r="BD121" s="148">
        <f t="shared" ca="1" si="177"/>
        <v>3695</v>
      </c>
      <c r="BE121" s="356"/>
      <c r="BF121" s="348"/>
      <c r="BG121" s="348"/>
      <c r="BH121" s="348"/>
      <c r="BI121" s="348"/>
      <c r="BJ121" s="348"/>
      <c r="BK121" s="348"/>
      <c r="BL121" s="357"/>
      <c r="BN121" s="503">
        <f>Construction!BM121/Construction!E121</f>
        <v>0</v>
      </c>
      <c r="BO121" s="171">
        <f>Construction!BD121/Construction!E121</f>
        <v>0</v>
      </c>
      <c r="BP121" s="152">
        <f>ROUNDUP((1-MIN(AB121*smithy_bonus,smithy_bonus_cap))*(1+Techs!AO121*tech_master_of_frugality)*spec_op_plat,0)</f>
        <v>165</v>
      </c>
      <c r="BQ121" s="164">
        <f>ROUNDUP(IF(race="Gnome",1,(1-MIN(AB121*smithy_bonus,smithy_bonus_cap))*(1+Techs!AO121*tech_master_of_frugality))*spec_op_ore,0)</f>
        <v>15</v>
      </c>
      <c r="BR121" s="164">
        <f t="shared" si="196"/>
        <v>0</v>
      </c>
      <c r="BS121" s="164">
        <f t="shared" si="197"/>
        <v>0</v>
      </c>
      <c r="BT121" s="164">
        <f ca="1">ROUNDUP((1-MIN(AB121*smithy_bonus,smithy_bonus_cap))*(1+Techs!AO121*tech_master_of_frugality)*spec_dp_plat,0)</f>
        <v>165</v>
      </c>
      <c r="BU121" s="164">
        <f ca="1">ROUNDUP(IF(OR(race="Gnome",race="Imperial Gnome"),1,(1-MIN(AB121*smithy_bonus,smithy_bonus_cap))*(1+Techs!AO121*tech_master_of_frugality))*spec_dp_ore,0)</f>
        <v>6</v>
      </c>
      <c r="BV121" s="164">
        <f t="shared" ca="1" si="198"/>
        <v>0</v>
      </c>
      <c r="BW121" s="164">
        <f t="shared" ca="1" si="199"/>
        <v>0</v>
      </c>
      <c r="BX121" s="164">
        <f t="shared" ca="1" si="200"/>
        <v>0</v>
      </c>
      <c r="BY121" s="164">
        <f ca="1">ROUNDUP((1-MIN(AB121*smithy_bonus,smithy_bonus_cap))*(1+Techs!AO121*tech_master_of_frugality)*elite1_plat,0)</f>
        <v>600</v>
      </c>
      <c r="BZ121" s="164">
        <f ca="1">ROUNDUP(IF(race="Gnome",1,(1-MIN(AB121*smithy_bonus,smithy_bonus_cap))*(1+Techs!AO121*tech_master_of_frugality))*elite1_ore,0)</f>
        <v>45</v>
      </c>
      <c r="CA121" s="164">
        <f t="shared" ca="1" si="201"/>
        <v>0</v>
      </c>
      <c r="CB121" s="164">
        <f t="shared" ca="1" si="202"/>
        <v>0</v>
      </c>
      <c r="CC121" s="164">
        <f t="shared" ca="1" si="203"/>
        <v>0</v>
      </c>
      <c r="CD121" s="164">
        <f t="shared" ca="1" si="204"/>
        <v>0</v>
      </c>
      <c r="CE121" s="164">
        <f t="shared" ca="1" si="205"/>
        <v>0</v>
      </c>
      <c r="CF121" s="164">
        <f ca="1">ROUNDUP((1-MIN(AB121*smithy_bonus,smithy_bonus_cap))*(1+Techs!AO121*tech_master_of_frugality)*elite2_plat,0)</f>
        <v>750</v>
      </c>
      <c r="CG121" s="164">
        <f ca="1">ROUNDUP(IF(race="Gnome",1,(1-MIN(AB121*smithy_bonus,smithy_bonus_cap))*(1+Techs!AO121*tech_master_of_frugality))*elite2_ore,0)</f>
        <v>60</v>
      </c>
      <c r="CH121" s="164">
        <f t="shared" ca="1" si="206"/>
        <v>0</v>
      </c>
      <c r="CI121" s="164">
        <f t="shared" ca="1" si="207"/>
        <v>0</v>
      </c>
      <c r="CJ121" s="164">
        <f t="shared" ca="1" si="208"/>
        <v>0</v>
      </c>
      <c r="CK121" s="164">
        <f t="shared" ca="1" si="209"/>
        <v>0</v>
      </c>
      <c r="CL121" s="164">
        <f t="shared" ca="1" si="210"/>
        <v>0</v>
      </c>
      <c r="CM121" s="164">
        <f>ROUNDUP((1+tech_spy_cost*Techs!AJ121)*spy_plat,0)</f>
        <v>500</v>
      </c>
      <c r="CN121" s="164">
        <f>ROUNDUP((1+tech_wizard_cost*Techs!AM121-MIN(ROUND(wg_wiz_cost_bonus*BN121,4),wg_wiz_cost_cap))*wizard_plat,0)</f>
        <v>500</v>
      </c>
      <c r="CO121" s="166">
        <f>ROUNDUP((1+tech_wizard_cost*Techs!AM121-MIN(ROUND(wg_wiz_cost_bonus*BN121,4),wg_wiz_cost_cap))*archmage_plat,0)</f>
        <v>1000</v>
      </c>
      <c r="CQ121" s="465">
        <f ca="1">Construction!DF121/Construction!E121</f>
        <v>0.28000000000000003</v>
      </c>
      <c r="CR121" s="466">
        <f t="shared" si="178"/>
        <v>0</v>
      </c>
      <c r="CS121" s="466">
        <f>Construction!BK121/Construction!E121</f>
        <v>0.05</v>
      </c>
      <c r="CT121" s="466">
        <f>Construction!BJ121/Construction!E121</f>
        <v>0</v>
      </c>
      <c r="CU121" s="466">
        <f>Construction!AY121/Construction!E121</f>
        <v>0</v>
      </c>
      <c r="CV121" s="487">
        <f t="shared" ca="1" si="211"/>
        <v>1.4000000000000001</v>
      </c>
      <c r="CW121" s="488">
        <f t="shared" ca="1" si="212"/>
        <v>1.4000000000000001</v>
      </c>
      <c r="CX121" s="488">
        <f t="shared" ca="1" si="213"/>
        <v>1.4000000000000001</v>
      </c>
      <c r="CY121" s="489">
        <f t="shared" ca="1" si="214"/>
        <v>1.4000000000000001</v>
      </c>
      <c r="CZ121" s="489">
        <f t="shared" si="215"/>
        <v>0.1</v>
      </c>
      <c r="DA121" s="489">
        <f t="shared" ca="1" si="216"/>
        <v>3</v>
      </c>
      <c r="DB121" s="489">
        <f t="shared" ca="1" si="217"/>
        <v>1.4000000000000001</v>
      </c>
      <c r="DC121" s="488">
        <f t="shared" si="218"/>
        <v>0</v>
      </c>
      <c r="DD121" s="848">
        <f t="shared" si="219"/>
        <v>0</v>
      </c>
      <c r="DE121" s="442">
        <f t="shared" si="179"/>
        <v>800</v>
      </c>
      <c r="DF121" s="442">
        <f t="shared" si="180"/>
        <v>0</v>
      </c>
      <c r="DG121" s="487">
        <f t="shared" ca="1" si="220"/>
        <v>1.4000000000000001</v>
      </c>
      <c r="DH121" s="452">
        <f t="shared" si="221"/>
        <v>9.0000000000000011E-2</v>
      </c>
      <c r="DI121" s="452">
        <f>MIN(valkyrja_cap,Production!O121/valkyrja_bonus)</f>
        <v>1</v>
      </c>
      <c r="DJ121" s="848">
        <f>MIN(voodoo_magi_cap,Production!O121/voodoo_magi_bonus)</f>
        <v>0.83333333333333337</v>
      </c>
      <c r="DK121" s="848">
        <f>MIN(warlock_cap,Production!O121/warlock_bonus)</f>
        <v>1.25</v>
      </c>
      <c r="DL121" s="848">
        <f ca="1">MIN(nox_nightshade_cap,Construction!DF121/Construction!E121/nox_nightshade_swamp_bonus)</f>
        <v>2.8000000000000003</v>
      </c>
      <c r="DM121" s="488">
        <f t="shared" si="222"/>
        <v>0</v>
      </c>
      <c r="DN121" s="489">
        <f t="shared" ca="1" si="223"/>
        <v>2.8000000000000003</v>
      </c>
      <c r="DO121" s="489">
        <f t="shared" ca="1" si="224"/>
        <v>2.8000000000000003</v>
      </c>
      <c r="DP121" s="489">
        <f t="shared" si="225"/>
        <v>1</v>
      </c>
      <c r="DQ121" s="488">
        <f t="shared" si="226"/>
        <v>0</v>
      </c>
      <c r="DR121" s="489">
        <f t="shared" si="227"/>
        <v>0</v>
      </c>
      <c r="DS121" s="488">
        <f t="shared" si="228"/>
        <v>0</v>
      </c>
      <c r="DT121" s="489">
        <f t="shared" si="229"/>
        <v>0.1</v>
      </c>
      <c r="DX121" s="487">
        <f ca="1">MIN(6,CV121+Races!$F$19)*1.8 +  IF(CV121+Races!$F$19&gt;6,(CV121+Races!$F$19-6)*0.2,0) - Races!$N$19</f>
        <v>2.5200000000000005</v>
      </c>
      <c r="DY121" s="488">
        <f ca="1">1.8 * MIN(MAX(CW121+Races!$E$20,CX121+Races!$F$20),6)  +  0.45 * MIN(MIN(CW121+Races!$E$20,CX121+Races!$F$20),6)  +  0.2 * ( MAX(CW121+Races!$E$20-6,0) + MAX(CX121+Races!$F$20-6,0) )  -  Races!$N$20</f>
        <v>3.1500000000000012</v>
      </c>
      <c r="DZ121" s="57">
        <f t="shared" ca="1" si="230"/>
        <v>3780.0000000000009</v>
      </c>
      <c r="EA121" s="666">
        <f ca="1">MIN(6,CY121+Races!$F$35)*1.8 +  IF(CY121+Races!$F$35&gt;6,(CY121+Races!$F$35-6)*0.2,0) - Races!$N$19</f>
        <v>0.72000000000000064</v>
      </c>
      <c r="EB121" s="57">
        <f t="shared" ca="1" si="231"/>
        <v>0</v>
      </c>
      <c r="EC121" s="666">
        <f ca="1">1.8 * MIN(MAX(Races!$E$27,DB121+Races!$F$27),6)  +  0.45 * MIN(MIN(Races!$E$27,DB121+Races!$F$27),6)  +  0.2 * ( MAX(Races!$E$27-6,0) + MAX(DB121+Races!$F$27-6,0) )  -  Races!$N$20</f>
        <v>4.7700000000000005</v>
      </c>
      <c r="ED121" s="57">
        <f t="shared" ca="1" si="232"/>
        <v>0</v>
      </c>
      <c r="EE121" s="666">
        <f>1.8 * MIN(MAX(DC121+Races!$E$47,DD121+Races!$F$47),6)  +  0.45 * MIN(MIN(DC121+Races!$E$47,DD121+Races!$F$47),6)  +  0.2 * ( MAX(DC121+Races!$E$47-6,0) + MAX(DD121+Races!$F$47-6,0) )  -  Races!$N$47</f>
        <v>0</v>
      </c>
      <c r="EF121" s="57">
        <f t="shared" si="233"/>
        <v>0</v>
      </c>
      <c r="EG121" s="666">
        <f ca="1">1.8 * MIN(MAX(DG121+Races!$F$71,Races!$E$71),6)  +  0.45 * MIN(MIN(DG121+Races!$F$71,Races!$E$71),6)  +  0.2 * ( MAX(DG121+Races!$F$71-6,0) + MAX(Races!$E$71-6,0) )  -  Races!$N$71</f>
        <v>2.5200000000000014</v>
      </c>
      <c r="EH121" s="666">
        <f>1.8 * MIN(MAX(DH121+Races!$E$71,Races!$F$71),6)  +  0.45 * MIN(MIN(DH121+Races!$E$71,Races!$F$71),6)  +  0.2 * ( MAX(DH121+Races!$E$71-6,0) + MAX(Races!$F$71-6,0) )  -  Races!$N$71</f>
        <v>0.16200000000000081</v>
      </c>
      <c r="EI121" s="57">
        <f t="shared" ca="1" si="234"/>
        <v>2584.8000000000015</v>
      </c>
      <c r="EJ121" s="57"/>
      <c r="EK121" s="57"/>
      <c r="EL121" s="57"/>
      <c r="EM121" s="57">
        <f ca="1">Overview!$L$22*E121+Overview!$L$23*F121+Overview!$L$24*G121+Overview!$L$25*H121+Overview!$L$26*I121+Overview!$L$27*J121+Overview!$L$28*K121+Construction!E121*20+Construction!B121*5 + DZ121*$DV$4+EB121*$DV$5+ED121*$DV$6+EF121*$DV$7+EI121*$DV$9</f>
        <v>39460</v>
      </c>
      <c r="EO121" s="738">
        <f>(J121+2*K121)/Construction!E121</f>
        <v>0.1</v>
      </c>
      <c r="EP121" s="734">
        <f ca="1">EO121*(1+race_wizard_strength+tech_magical_weaponry_wiz*Techs!AV193)</f>
        <v>0.1</v>
      </c>
      <c r="EQ121" s="16">
        <f>(I121+halfer*H121/3)/Construction!E121</f>
        <v>0.1</v>
      </c>
    </row>
    <row r="122" spans="1:147" s="16" customFormat="1" ht="13.5" thickBot="1">
      <c r="A122" s="629">
        <f>Rezone!J122</f>
        <v>120</v>
      </c>
      <c r="B122" s="56">
        <f ca="1">SUM(E122:K122)+SUM(AF114:AG122)+SUM(AH111:AL122)+Z122+Explore!AL122</f>
        <v>5295</v>
      </c>
      <c r="C122" s="97">
        <f ca="1">Population!G122</f>
        <v>0.57305194805194803</v>
      </c>
      <c r="E122" s="52">
        <f t="shared" si="235"/>
        <v>0</v>
      </c>
      <c r="F122" s="16">
        <f t="shared" si="236"/>
        <v>0</v>
      </c>
      <c r="G122" s="16">
        <f t="shared" si="237"/>
        <v>1000</v>
      </c>
      <c r="H122" s="16">
        <f t="shared" si="238"/>
        <v>400</v>
      </c>
      <c r="I122" s="16">
        <f t="shared" si="239"/>
        <v>100</v>
      </c>
      <c r="J122" s="16">
        <f t="shared" si="240"/>
        <v>100</v>
      </c>
      <c r="K122" s="53">
        <f t="shared" si="241"/>
        <v>0</v>
      </c>
      <c r="M122" s="64">
        <f ca="1">Production!G122</f>
        <v>39460</v>
      </c>
      <c r="O122" s="142">
        <f t="shared" ca="1" si="192"/>
        <v>4400</v>
      </c>
      <c r="P122" s="455">
        <f ca="1">race_offense+Imps!AB122+ROUND(MIN(gn_bonus*Construction!BF122/Construction!$E122,gn_bonus_cap),4)+MAX(IF(Magic!$AN122&gt;0,warsong_bonus),IF(Magic!AP122&gt;0,howling_op_bonus),IF(Magic!AS122&gt;0,nightfall_bonus),IF(Magic!AT122&gt;0,crusade_bonus),IF(Magic!AU122&gt;0,killingrage_bonus),IF(Magic!AV122&gt;0,bloodrage_bonus)) + Production!O122/100*prestige_offense_bonus + MAX(tech_military_offense*Techs!AH122,tech_magical_weaponry_op*Techs!AV122)</f>
        <v>0.05</v>
      </c>
      <c r="Q122" s="235">
        <f t="shared" ca="1" si="168"/>
        <v>4620</v>
      </c>
      <c r="R122" s="234">
        <f ca="1">F122*(spec_dp+spirit*DR122)+G122*(elite1_dp+woodie*CV122+sylvan*CY122+gnome*DB122+dark_elf*DD122+icekin*DG122+orc*DJ122+nox*DL122+beast*DN122+sacred*DP122+spirit*DS122+blackorc*DK122)+H122*(elite2_dp+woodie*CX122+beast*DO122+sacred*DQ122) + fh_peas_dp*MIN(Population!C122,20*Construction!BD122)+kobold*DE122</f>
        <v>7200</v>
      </c>
      <c r="S122" s="235">
        <f t="shared" ca="1" si="193"/>
        <v>10895</v>
      </c>
      <c r="T122" s="1052">
        <f ca="1">race_defense+Imps!AC122+ROUND(MIN(gt_bonus*Construction!BH122/Construction!$E122,gt_bonus_cap),4)+MAX(IF(Magic!AM122&gt;0,frenzy_bonus,IF(Magic!AQ122&gt;0,blizzard_bonus,IF(Magic!AP122&gt;0,howling_dp_bonus,IF(Magic!AI122&gt;0,ares_call_bonus)))),IF(Magic!AX122&gt;0,MIN(Construction!DF122/Construction!E122,0.2),0))</f>
        <v>0</v>
      </c>
      <c r="U122" s="1046">
        <f t="shared" ca="1" si="169"/>
        <v>7200</v>
      </c>
      <c r="V122" s="310">
        <f t="shared" ca="1" si="170"/>
        <v>10895</v>
      </c>
      <c r="W122" s="310">
        <f>Construction!E122</f>
        <v>1000</v>
      </c>
      <c r="X122" s="367"/>
      <c r="Y122" s="146">
        <f t="shared" si="191"/>
        <v>0.4</v>
      </c>
      <c r="Z122" s="166">
        <f ca="1">Z121+Population!Z121 - IF(race="Lux",AF122,SUM(AF122:AK122)) - BE122 + SUM(BF122:BL122) - Explore!AI122</f>
        <v>3695</v>
      </c>
      <c r="AA122" s="164"/>
      <c r="AB122" s="91">
        <f>(Construction!$BA122+Construction!BY122)/(Construction!$E122-Explore!S122*20)</f>
        <v>0.2</v>
      </c>
      <c r="AC122" s="529"/>
      <c r="AD122" s="799">
        <f>Rezone!J122</f>
        <v>120</v>
      </c>
      <c r="AE122" s="589">
        <f>Explore!AA122</f>
        <v>43696.958333333045</v>
      </c>
      <c r="AF122" s="356"/>
      <c r="AG122" s="348"/>
      <c r="AH122" s="348"/>
      <c r="AI122" s="348"/>
      <c r="AJ122" s="348"/>
      <c r="AK122" s="348"/>
      <c r="AL122" s="357"/>
      <c r="AN122" s="56">
        <f ca="1">Production!$H122</f>
        <v>4214980</v>
      </c>
      <c r="AO122" s="26">
        <f ca="1">Production!$L122</f>
        <v>231000</v>
      </c>
      <c r="AP122" s="26">
        <f ca="1">Production!J122</f>
        <v>265841</v>
      </c>
      <c r="AQ122" s="26">
        <f ca="1">Production!M122</f>
        <v>20000</v>
      </c>
      <c r="AR122" s="26">
        <f ca="1">Production!K122</f>
        <v>58661</v>
      </c>
      <c r="AS122" s="26">
        <f ca="1">Production!I122</f>
        <v>340714</v>
      </c>
      <c r="AT122" s="26">
        <f ca="1">Production!N122</f>
        <v>200</v>
      </c>
      <c r="AU122" s="152">
        <f t="shared" ca="1" si="194"/>
        <v>0</v>
      </c>
      <c r="AV122" s="164">
        <f t="shared" ca="1" si="195"/>
        <v>0</v>
      </c>
      <c r="AW122" s="164">
        <f t="shared" ca="1" si="171"/>
        <v>0</v>
      </c>
      <c r="AX122" s="164">
        <f t="shared" ca="1" si="172"/>
        <v>0</v>
      </c>
      <c r="AY122" s="164">
        <f t="shared" ca="1" si="173"/>
        <v>0</v>
      </c>
      <c r="AZ122" s="164">
        <f t="shared" ca="1" si="174"/>
        <v>0</v>
      </c>
      <c r="BA122" s="166">
        <f t="shared" ca="1" si="175"/>
        <v>0</v>
      </c>
      <c r="BB122" s="16">
        <v>48</v>
      </c>
      <c r="BC122" s="574">
        <f t="shared" si="176"/>
        <v>43696.958333333045</v>
      </c>
      <c r="BD122" s="148">
        <f t="shared" ca="1" si="177"/>
        <v>3695</v>
      </c>
      <c r="BE122" s="356"/>
      <c r="BF122" s="348"/>
      <c r="BG122" s="348"/>
      <c r="BH122" s="348"/>
      <c r="BI122" s="348"/>
      <c r="BJ122" s="348"/>
      <c r="BK122" s="348"/>
      <c r="BL122" s="357"/>
      <c r="BN122" s="503">
        <f>Construction!BM122/Construction!E122</f>
        <v>0</v>
      </c>
      <c r="BO122" s="171">
        <f>Construction!BD122/Construction!E122</f>
        <v>0</v>
      </c>
      <c r="BP122" s="152">
        <f>ROUNDUP((1-MIN(AB122*smithy_bonus,smithy_bonus_cap))*(1+Techs!AO122*tech_master_of_frugality)*spec_op_plat,0)</f>
        <v>165</v>
      </c>
      <c r="BQ122" s="164">
        <f>ROUNDUP(IF(race="Gnome",1,(1-MIN(AB122*smithy_bonus,smithy_bonus_cap))*(1+Techs!AO122*tech_master_of_frugality))*spec_op_ore,0)</f>
        <v>15</v>
      </c>
      <c r="BR122" s="164">
        <f t="shared" si="196"/>
        <v>0</v>
      </c>
      <c r="BS122" s="164">
        <f t="shared" si="197"/>
        <v>0</v>
      </c>
      <c r="BT122" s="164">
        <f ca="1">ROUNDUP((1-MIN(AB122*smithy_bonus,smithy_bonus_cap))*(1+Techs!AO122*tech_master_of_frugality)*spec_dp_plat,0)</f>
        <v>165</v>
      </c>
      <c r="BU122" s="164">
        <f ca="1">ROUNDUP(IF(OR(race="Gnome",race="Imperial Gnome"),1,(1-MIN(AB122*smithy_bonus,smithy_bonus_cap))*(1+Techs!AO122*tech_master_of_frugality))*spec_dp_ore,0)</f>
        <v>6</v>
      </c>
      <c r="BV122" s="164">
        <f t="shared" ca="1" si="198"/>
        <v>0</v>
      </c>
      <c r="BW122" s="164">
        <f t="shared" ca="1" si="199"/>
        <v>0</v>
      </c>
      <c r="BX122" s="164">
        <f t="shared" ca="1" si="200"/>
        <v>0</v>
      </c>
      <c r="BY122" s="164">
        <f ca="1">ROUNDUP((1-MIN(AB122*smithy_bonus,smithy_bonus_cap))*(1+Techs!AO122*tech_master_of_frugality)*elite1_plat,0)</f>
        <v>600</v>
      </c>
      <c r="BZ122" s="164">
        <f ca="1">ROUNDUP(IF(race="Gnome",1,(1-MIN(AB122*smithy_bonus,smithy_bonus_cap))*(1+Techs!AO122*tech_master_of_frugality))*elite1_ore,0)</f>
        <v>45</v>
      </c>
      <c r="CA122" s="164">
        <f t="shared" ca="1" si="201"/>
        <v>0</v>
      </c>
      <c r="CB122" s="164">
        <f t="shared" ca="1" si="202"/>
        <v>0</v>
      </c>
      <c r="CC122" s="164">
        <f t="shared" ca="1" si="203"/>
        <v>0</v>
      </c>
      <c r="CD122" s="164">
        <f t="shared" ca="1" si="204"/>
        <v>0</v>
      </c>
      <c r="CE122" s="164">
        <f t="shared" ca="1" si="205"/>
        <v>0</v>
      </c>
      <c r="CF122" s="164">
        <f ca="1">ROUNDUP((1-MIN(AB122*smithy_bonus,smithy_bonus_cap))*(1+Techs!AO122*tech_master_of_frugality)*elite2_plat,0)</f>
        <v>750</v>
      </c>
      <c r="CG122" s="164">
        <f ca="1">ROUNDUP(IF(race="Gnome",1,(1-MIN(AB122*smithy_bonus,smithy_bonus_cap))*(1+Techs!AO122*tech_master_of_frugality))*elite2_ore,0)</f>
        <v>60</v>
      </c>
      <c r="CH122" s="164">
        <f t="shared" ca="1" si="206"/>
        <v>0</v>
      </c>
      <c r="CI122" s="164">
        <f t="shared" ca="1" si="207"/>
        <v>0</v>
      </c>
      <c r="CJ122" s="164">
        <f t="shared" ca="1" si="208"/>
        <v>0</v>
      </c>
      <c r="CK122" s="164">
        <f t="shared" ca="1" si="209"/>
        <v>0</v>
      </c>
      <c r="CL122" s="164">
        <f t="shared" ca="1" si="210"/>
        <v>0</v>
      </c>
      <c r="CM122" s="164">
        <f>ROUNDUP((1+tech_spy_cost*Techs!AJ122)*spy_plat,0)</f>
        <v>500</v>
      </c>
      <c r="CN122" s="164">
        <f>ROUNDUP((1+tech_wizard_cost*Techs!AM122-MIN(ROUND(wg_wiz_cost_bonus*BN122,4),wg_wiz_cost_cap))*wizard_plat,0)</f>
        <v>500</v>
      </c>
      <c r="CO122" s="166">
        <f>ROUNDUP((1+tech_wizard_cost*Techs!AM122-MIN(ROUND(wg_wiz_cost_bonus*BN122,4),wg_wiz_cost_cap))*archmage_plat,0)</f>
        <v>1000</v>
      </c>
      <c r="CQ122" s="465">
        <f ca="1">Construction!DF122/Construction!E122</f>
        <v>0.28000000000000003</v>
      </c>
      <c r="CR122" s="466">
        <f t="shared" si="178"/>
        <v>0</v>
      </c>
      <c r="CS122" s="466">
        <f>Construction!BK122/Construction!E122</f>
        <v>0.05</v>
      </c>
      <c r="CT122" s="466">
        <f>Construction!BJ122/Construction!E122</f>
        <v>0</v>
      </c>
      <c r="CU122" s="466">
        <f>Construction!AY122/Construction!E122</f>
        <v>0</v>
      </c>
      <c r="CV122" s="487">
        <f t="shared" ca="1" si="211"/>
        <v>1.4000000000000001</v>
      </c>
      <c r="CW122" s="488">
        <f t="shared" ca="1" si="212"/>
        <v>1.4000000000000001</v>
      </c>
      <c r="CX122" s="488">
        <f t="shared" ca="1" si="213"/>
        <v>1.4000000000000001</v>
      </c>
      <c r="CY122" s="489">
        <f t="shared" ca="1" si="214"/>
        <v>1.4000000000000001</v>
      </c>
      <c r="CZ122" s="489">
        <f t="shared" si="215"/>
        <v>0.1</v>
      </c>
      <c r="DA122" s="489">
        <f t="shared" ca="1" si="216"/>
        <v>3</v>
      </c>
      <c r="DB122" s="489">
        <f t="shared" ca="1" si="217"/>
        <v>1.4000000000000001</v>
      </c>
      <c r="DC122" s="488">
        <f t="shared" si="218"/>
        <v>0</v>
      </c>
      <c r="DD122" s="848">
        <f t="shared" si="219"/>
        <v>0</v>
      </c>
      <c r="DE122" s="442">
        <f t="shared" si="179"/>
        <v>800</v>
      </c>
      <c r="DF122" s="442">
        <f t="shared" si="180"/>
        <v>0</v>
      </c>
      <c r="DG122" s="487">
        <f t="shared" ca="1" si="220"/>
        <v>1.4000000000000001</v>
      </c>
      <c r="DH122" s="452">
        <f t="shared" si="221"/>
        <v>9.0000000000000011E-2</v>
      </c>
      <c r="DI122" s="452">
        <f>MIN(valkyrja_cap,Production!O122/valkyrja_bonus)</f>
        <v>1</v>
      </c>
      <c r="DJ122" s="848">
        <f>MIN(voodoo_magi_cap,Production!O122/voodoo_magi_bonus)</f>
        <v>0.83333333333333337</v>
      </c>
      <c r="DK122" s="848">
        <f>MIN(warlock_cap,Production!O122/warlock_bonus)</f>
        <v>1.25</v>
      </c>
      <c r="DL122" s="848">
        <f ca="1">MIN(nox_nightshade_cap,Construction!DF122/Construction!E122/nox_nightshade_swamp_bonus)</f>
        <v>2.8000000000000003</v>
      </c>
      <c r="DM122" s="488">
        <f t="shared" si="222"/>
        <v>0</v>
      </c>
      <c r="DN122" s="489">
        <f t="shared" ca="1" si="223"/>
        <v>2.8000000000000003</v>
      </c>
      <c r="DO122" s="489">
        <f t="shared" ca="1" si="224"/>
        <v>2.8000000000000003</v>
      </c>
      <c r="DP122" s="489">
        <f t="shared" si="225"/>
        <v>1</v>
      </c>
      <c r="DQ122" s="488">
        <f t="shared" si="226"/>
        <v>0</v>
      </c>
      <c r="DR122" s="489">
        <f t="shared" si="227"/>
        <v>0</v>
      </c>
      <c r="DS122" s="488">
        <f t="shared" si="228"/>
        <v>0</v>
      </c>
      <c r="DT122" s="489">
        <f t="shared" si="229"/>
        <v>0.1</v>
      </c>
      <c r="DX122" s="487">
        <f ca="1">MIN(6,CV122+Races!$F$19)*1.8 +  IF(CV122+Races!$F$19&gt;6,(CV122+Races!$F$19-6)*0.2,0) - Races!$N$19</f>
        <v>2.5200000000000005</v>
      </c>
      <c r="DY122" s="488">
        <f ca="1">1.8 * MIN(MAX(CW122+Races!$E$20,CX122+Races!$F$20),6)  +  0.45 * MIN(MIN(CW122+Races!$E$20,CX122+Races!$F$20),6)  +  0.2 * ( MAX(CW122+Races!$E$20-6,0) + MAX(CX122+Races!$F$20-6,0) )  -  Races!$N$20</f>
        <v>3.1500000000000012</v>
      </c>
      <c r="DZ122" s="57">
        <f t="shared" ca="1" si="230"/>
        <v>3780.0000000000009</v>
      </c>
      <c r="EA122" s="666">
        <f ca="1">MIN(6,CY122+Races!$F$35)*1.8 +  IF(CY122+Races!$F$35&gt;6,(CY122+Races!$F$35-6)*0.2,0) - Races!$N$19</f>
        <v>0.72000000000000064</v>
      </c>
      <c r="EB122" s="57">
        <f t="shared" ca="1" si="231"/>
        <v>0</v>
      </c>
      <c r="EC122" s="666">
        <f ca="1">1.8 * MIN(MAX(Races!$E$27,DB122+Races!$F$27),6)  +  0.45 * MIN(MIN(Races!$E$27,DB122+Races!$F$27),6)  +  0.2 * ( MAX(Races!$E$27-6,0) + MAX(DB122+Races!$F$27-6,0) )  -  Races!$N$20</f>
        <v>4.7700000000000005</v>
      </c>
      <c r="ED122" s="57">
        <f t="shared" ca="1" si="232"/>
        <v>0</v>
      </c>
      <c r="EE122" s="666">
        <f>1.8 * MIN(MAX(DC122+Races!$E$47,DD122+Races!$F$47),6)  +  0.45 * MIN(MIN(DC122+Races!$E$47,DD122+Races!$F$47),6)  +  0.2 * ( MAX(DC122+Races!$E$47-6,0) + MAX(DD122+Races!$F$47-6,0) )  -  Races!$N$47</f>
        <v>0</v>
      </c>
      <c r="EF122" s="57">
        <f t="shared" si="233"/>
        <v>0</v>
      </c>
      <c r="EG122" s="666">
        <f ca="1">1.8 * MIN(MAX(DG122+Races!$F$71,Races!$E$71),6)  +  0.45 * MIN(MIN(DG122+Races!$F$71,Races!$E$71),6)  +  0.2 * ( MAX(DG122+Races!$F$71-6,0) + MAX(Races!$E$71-6,0) )  -  Races!$N$71</f>
        <v>2.5200000000000014</v>
      </c>
      <c r="EH122" s="666">
        <f>1.8 * MIN(MAX(DH122+Races!$E$71,Races!$F$71),6)  +  0.45 * MIN(MIN(DH122+Races!$E$71,Races!$F$71),6)  +  0.2 * ( MAX(DH122+Races!$E$71-6,0) + MAX(Races!$F$71-6,0) )  -  Races!$N$71</f>
        <v>0.16200000000000081</v>
      </c>
      <c r="EI122" s="57">
        <f t="shared" ca="1" si="234"/>
        <v>2584.8000000000015</v>
      </c>
      <c r="EJ122" s="57"/>
      <c r="EK122" s="57"/>
      <c r="EL122" s="57"/>
      <c r="EM122" s="57">
        <f ca="1">Overview!$L$22*E122+Overview!$L$23*F122+Overview!$L$24*G122+Overview!$L$25*H122+Overview!$L$26*I122+Overview!$L$27*J122+Overview!$L$28*K122+Construction!E122*20+Construction!B122*5 + DZ122*$DV$4+EB122*$DV$5+ED122*$DV$6+EF122*$DV$7+EI122*$DV$9</f>
        <v>39460</v>
      </c>
      <c r="EO122" s="738">
        <f>(J122+2*K122)/Construction!E122</f>
        <v>0.1</v>
      </c>
      <c r="EP122" s="734">
        <f ca="1">EO122*(1+race_wizard_strength+tech_magical_weaponry_wiz*Techs!AV194)</f>
        <v>0.1</v>
      </c>
      <c r="EQ122" s="16">
        <f>(I122+halfer*H122/3)/Construction!E122</f>
        <v>0.1</v>
      </c>
    </row>
    <row r="123" spans="1:147" s="111" customFormat="1" ht="14.25" thickTop="1" thickBot="1">
      <c r="A123" s="1059">
        <f>Rezone!J123</f>
        <v>121</v>
      </c>
      <c r="B123" s="110">
        <f ca="1">SUM(E123:K123)+SUM(AF115:AG123)+SUM(AH112:AL123)+Z123+Explore!AL123</f>
        <v>5295</v>
      </c>
      <c r="C123" s="135">
        <f ca="1">Population!G123</f>
        <v>0.57305194805194803</v>
      </c>
      <c r="E123" s="113">
        <f t="shared" si="235"/>
        <v>0</v>
      </c>
      <c r="F123" s="111">
        <f t="shared" si="236"/>
        <v>0</v>
      </c>
      <c r="G123" s="111">
        <f t="shared" si="237"/>
        <v>1000</v>
      </c>
      <c r="H123" s="111">
        <f t="shared" si="238"/>
        <v>400</v>
      </c>
      <c r="I123" s="111">
        <f t="shared" si="239"/>
        <v>100</v>
      </c>
      <c r="J123" s="111">
        <f t="shared" si="240"/>
        <v>100</v>
      </c>
      <c r="K123" s="115">
        <f t="shared" si="241"/>
        <v>0</v>
      </c>
      <c r="M123" s="117">
        <f ca="1">Production!G123</f>
        <v>39460</v>
      </c>
      <c r="O123" s="144">
        <f t="shared" ca="1" si="192"/>
        <v>4400</v>
      </c>
      <c r="P123" s="1165">
        <f ca="1">race_offense+Imps!AB123+ROUND(MIN(gn_bonus*Construction!BF123/Construction!$E123,gn_bonus_cap),4)+MAX(IF(Magic!$AN123&gt;0,warsong_bonus),IF(Magic!AP123&gt;0,howling_op_bonus),IF(Magic!AS123&gt;0,nightfall_bonus),IF(Magic!AT123&gt;0,crusade_bonus),IF(Magic!AU123&gt;0,killingrage_bonus),IF(Magic!AV123&gt;0,bloodrage_bonus)) + Production!O123/100*prestige_offense_bonus + MAX(tech_military_offense*Techs!AH123,tech_magical_weaponry_op*Techs!AV123)</f>
        <v>0.05</v>
      </c>
      <c r="Q123" s="1058">
        <f t="shared" ca="1" si="168"/>
        <v>4620</v>
      </c>
      <c r="R123" s="1053">
        <f ca="1">F123*(spec_dp+spirit*DR123)+G123*(elite1_dp+woodie*CV123+sylvan*CY123+gnome*DB123+dark_elf*DD123+icekin*DG123+orc*DJ123+nox*DL123+beast*DN123+sacred*DP123+spirit*DS123+blackorc*DK123)+H123*(elite2_dp+woodie*CX123+beast*DO123+sacred*DQ123) + fh_peas_dp*MIN(Population!C123,20*Construction!BD123)+kobold*DE123</f>
        <v>7200</v>
      </c>
      <c r="S123" s="1058">
        <f t="shared" ca="1" si="193"/>
        <v>10895</v>
      </c>
      <c r="T123" s="1180">
        <f ca="1">race_defense+Imps!AC123+ROUND(MIN(gt_bonus*Construction!BH123/Construction!$E123,gt_bonus_cap),4)+MAX(IF(Magic!AM123&gt;0,frenzy_bonus,IF(Magic!AQ123&gt;0,blizzard_bonus,IF(Magic!AP123&gt;0,howling_dp_bonus,IF(Magic!AI123&gt;0,ares_call_bonus)))),IF(Magic!AX123&gt;0,MIN(Construction!DF123/Construction!E123,0.2),0))</f>
        <v>0</v>
      </c>
      <c r="U123" s="1054">
        <f t="shared" ca="1" si="169"/>
        <v>7200</v>
      </c>
      <c r="V123" s="312">
        <f t="shared" ca="1" si="170"/>
        <v>10895</v>
      </c>
      <c r="W123" s="312">
        <f>Construction!E123</f>
        <v>1000</v>
      </c>
      <c r="X123" s="369"/>
      <c r="Y123" s="147">
        <f t="shared" si="191"/>
        <v>0.4</v>
      </c>
      <c r="Z123" s="274">
        <f ca="1">Z122+Population!Z122 - IF(race="Lux",AF123,SUM(AF123:AK123)) - BE123 + SUM(BF123:BL123) - Explore!AI123</f>
        <v>3695</v>
      </c>
      <c r="AA123" s="277"/>
      <c r="AB123" s="133">
        <f>(Construction!$BA123+Construction!BY123)/(Construction!$E123-Explore!S123*20)</f>
        <v>0.2</v>
      </c>
      <c r="AC123" s="638"/>
      <c r="AD123" s="802">
        <f>Rezone!J123</f>
        <v>121</v>
      </c>
      <c r="AE123" s="591">
        <f>Explore!AA123</f>
        <v>43696.999999999709</v>
      </c>
      <c r="AF123" s="358"/>
      <c r="AG123" s="350"/>
      <c r="AH123" s="350"/>
      <c r="AI123" s="350"/>
      <c r="AJ123" s="350"/>
      <c r="AK123" s="350"/>
      <c r="AL123" s="359"/>
      <c r="AN123" s="110">
        <f ca="1">Production!$H123</f>
        <v>4225631</v>
      </c>
      <c r="AO123" s="108">
        <f ca="1">Production!$L123</f>
        <v>231000</v>
      </c>
      <c r="AP123" s="108">
        <f ca="1">Production!J123</f>
        <v>265683</v>
      </c>
      <c r="AQ123" s="108">
        <f ca="1">Production!M123</f>
        <v>20000</v>
      </c>
      <c r="AR123" s="108">
        <f ca="1">Production!K123</f>
        <v>58738</v>
      </c>
      <c r="AS123" s="108">
        <f ca="1">Production!I123</f>
        <v>342037</v>
      </c>
      <c r="AT123" s="108">
        <f ca="1">Production!N123</f>
        <v>200</v>
      </c>
      <c r="AU123" s="273">
        <f t="shared" ca="1" si="194"/>
        <v>0</v>
      </c>
      <c r="AV123" s="277">
        <f t="shared" ca="1" si="195"/>
        <v>0</v>
      </c>
      <c r="AW123" s="277">
        <f t="shared" ca="1" si="171"/>
        <v>0</v>
      </c>
      <c r="AX123" s="277">
        <f t="shared" ca="1" si="172"/>
        <v>0</v>
      </c>
      <c r="AY123" s="277">
        <f t="shared" ca="1" si="173"/>
        <v>0</v>
      </c>
      <c r="AZ123" s="277">
        <f t="shared" ca="1" si="174"/>
        <v>0</v>
      </c>
      <c r="BA123" s="274">
        <f t="shared" ca="1" si="175"/>
        <v>0</v>
      </c>
      <c r="BB123" s="111">
        <v>49</v>
      </c>
      <c r="BC123" s="575">
        <f t="shared" si="176"/>
        <v>43696.999999999709</v>
      </c>
      <c r="BD123" s="150">
        <f t="shared" ca="1" si="177"/>
        <v>3695</v>
      </c>
      <c r="BE123" s="358"/>
      <c r="BF123" s="350"/>
      <c r="BG123" s="350"/>
      <c r="BH123" s="350"/>
      <c r="BI123" s="350"/>
      <c r="BJ123" s="350"/>
      <c r="BK123" s="350"/>
      <c r="BL123" s="359"/>
      <c r="BN123" s="768">
        <f>Construction!BM123/Construction!E123</f>
        <v>0</v>
      </c>
      <c r="BO123" s="505">
        <f>Construction!BD123/Construction!E123</f>
        <v>0</v>
      </c>
      <c r="BP123" s="273">
        <f>ROUNDUP((1-MIN(AB123*smithy_bonus,smithy_bonus_cap))*(1+Techs!AO123*tech_master_of_frugality)*spec_op_plat,0)</f>
        <v>165</v>
      </c>
      <c r="BQ123" s="277">
        <f>ROUNDUP(IF(race="Gnome",1,(1-MIN(AB123*smithy_bonus,smithy_bonus_cap))*(1+Techs!AO123*tech_master_of_frugality))*spec_op_ore,0)</f>
        <v>15</v>
      </c>
      <c r="BR123" s="277">
        <f t="shared" si="196"/>
        <v>0</v>
      </c>
      <c r="BS123" s="277">
        <f t="shared" si="197"/>
        <v>0</v>
      </c>
      <c r="BT123" s="277">
        <f ca="1">ROUNDUP((1-MIN(AB123*smithy_bonus,smithy_bonus_cap))*(1+Techs!AO123*tech_master_of_frugality)*spec_dp_plat,0)</f>
        <v>165</v>
      </c>
      <c r="BU123" s="277">
        <f ca="1">ROUNDUP(IF(OR(race="Gnome",race="Imperial Gnome"),1,(1-MIN(AB123*smithy_bonus,smithy_bonus_cap))*(1+Techs!AO123*tech_master_of_frugality))*spec_dp_ore,0)</f>
        <v>6</v>
      </c>
      <c r="BV123" s="277">
        <f t="shared" ca="1" si="198"/>
        <v>0</v>
      </c>
      <c r="BW123" s="277">
        <f t="shared" ca="1" si="199"/>
        <v>0</v>
      </c>
      <c r="BX123" s="277">
        <f t="shared" ca="1" si="200"/>
        <v>0</v>
      </c>
      <c r="BY123" s="277">
        <f ca="1">ROUNDUP((1-MIN(AB123*smithy_bonus,smithy_bonus_cap))*(1+Techs!AO123*tech_master_of_frugality)*elite1_plat,0)</f>
        <v>600</v>
      </c>
      <c r="BZ123" s="277">
        <f ca="1">ROUNDUP(IF(race="Gnome",1,(1-MIN(AB123*smithy_bonus,smithy_bonus_cap))*(1+Techs!AO123*tech_master_of_frugality))*elite1_ore,0)</f>
        <v>45</v>
      </c>
      <c r="CA123" s="277">
        <f t="shared" ca="1" si="201"/>
        <v>0</v>
      </c>
      <c r="CB123" s="277">
        <f t="shared" ca="1" si="202"/>
        <v>0</v>
      </c>
      <c r="CC123" s="277">
        <f t="shared" ca="1" si="203"/>
        <v>0</v>
      </c>
      <c r="CD123" s="277">
        <f t="shared" ca="1" si="204"/>
        <v>0</v>
      </c>
      <c r="CE123" s="277">
        <f t="shared" ca="1" si="205"/>
        <v>0</v>
      </c>
      <c r="CF123" s="277">
        <f ca="1">ROUNDUP((1-MIN(AB123*smithy_bonus,smithy_bonus_cap))*(1+Techs!AO123*tech_master_of_frugality)*elite2_plat,0)</f>
        <v>750</v>
      </c>
      <c r="CG123" s="277">
        <f ca="1">ROUNDUP(IF(race="Gnome",1,(1-MIN(AB123*smithy_bonus,smithy_bonus_cap))*(1+Techs!AO123*tech_master_of_frugality))*elite2_ore,0)</f>
        <v>60</v>
      </c>
      <c r="CH123" s="277">
        <f t="shared" ca="1" si="206"/>
        <v>0</v>
      </c>
      <c r="CI123" s="277">
        <f t="shared" ca="1" si="207"/>
        <v>0</v>
      </c>
      <c r="CJ123" s="277">
        <f t="shared" ca="1" si="208"/>
        <v>0</v>
      </c>
      <c r="CK123" s="277">
        <f t="shared" ca="1" si="209"/>
        <v>0</v>
      </c>
      <c r="CL123" s="277">
        <f t="shared" ca="1" si="210"/>
        <v>0</v>
      </c>
      <c r="CM123" s="277">
        <f>ROUNDUP((1+tech_spy_cost*Techs!AJ123)*spy_plat,0)</f>
        <v>500</v>
      </c>
      <c r="CN123" s="277">
        <f>ROUNDUP((1+tech_wizard_cost*Techs!AM123-MIN(ROUND(wg_wiz_cost_bonus*BN123,4),wg_wiz_cost_cap))*wizard_plat,0)</f>
        <v>500</v>
      </c>
      <c r="CO123" s="274">
        <f>ROUNDUP((1+tech_wizard_cost*Techs!AM123-MIN(ROUND(wg_wiz_cost_bonus*BN123,4),wg_wiz_cost_cap))*archmage_plat,0)</f>
        <v>1000</v>
      </c>
      <c r="CP123" s="115"/>
      <c r="CQ123" s="469">
        <f ca="1">Construction!DF123/Construction!E123</f>
        <v>0.28000000000000003</v>
      </c>
      <c r="CR123" s="470">
        <f t="shared" si="178"/>
        <v>0</v>
      </c>
      <c r="CS123" s="470">
        <f>Construction!BK123/Construction!E123</f>
        <v>0.05</v>
      </c>
      <c r="CT123" s="470">
        <f>Construction!BJ123/Construction!E123</f>
        <v>0</v>
      </c>
      <c r="CU123" s="470">
        <f>Construction!AY123/Construction!E123</f>
        <v>0</v>
      </c>
      <c r="CV123" s="493">
        <f t="shared" ca="1" si="211"/>
        <v>1.4000000000000001</v>
      </c>
      <c r="CW123" s="494">
        <f t="shared" ca="1" si="212"/>
        <v>1.4000000000000001</v>
      </c>
      <c r="CX123" s="494">
        <f t="shared" ca="1" si="213"/>
        <v>1.4000000000000001</v>
      </c>
      <c r="CY123" s="495">
        <f t="shared" ca="1" si="214"/>
        <v>1.4000000000000001</v>
      </c>
      <c r="CZ123" s="495">
        <f t="shared" si="215"/>
        <v>0.1</v>
      </c>
      <c r="DA123" s="495">
        <f t="shared" ca="1" si="216"/>
        <v>3</v>
      </c>
      <c r="DB123" s="495">
        <f t="shared" ca="1" si="217"/>
        <v>1.4000000000000001</v>
      </c>
      <c r="DC123" s="494">
        <f t="shared" si="218"/>
        <v>0</v>
      </c>
      <c r="DD123" s="852">
        <f t="shared" si="219"/>
        <v>0</v>
      </c>
      <c r="DE123" s="443">
        <f t="shared" si="179"/>
        <v>800</v>
      </c>
      <c r="DF123" s="443">
        <f t="shared" si="180"/>
        <v>0</v>
      </c>
      <c r="DG123" s="493">
        <f t="shared" ca="1" si="220"/>
        <v>1.4000000000000001</v>
      </c>
      <c r="DH123" s="454">
        <f t="shared" si="221"/>
        <v>9.0000000000000011E-2</v>
      </c>
      <c r="DI123" s="454">
        <f>MIN(valkyrja_cap,Production!O123/valkyrja_bonus)</f>
        <v>1</v>
      </c>
      <c r="DJ123" s="852">
        <f>MIN(voodoo_magi_cap,Production!O123/voodoo_magi_bonus)</f>
        <v>0.83333333333333337</v>
      </c>
      <c r="DK123" s="852">
        <f>MIN(warlock_cap,Production!O123/warlock_bonus)</f>
        <v>1.25</v>
      </c>
      <c r="DL123" s="852">
        <f ca="1">MIN(nox_nightshade_cap,Construction!DF123/Construction!E123/nox_nightshade_swamp_bonus)</f>
        <v>2.8000000000000003</v>
      </c>
      <c r="DM123" s="494">
        <f t="shared" si="222"/>
        <v>0</v>
      </c>
      <c r="DN123" s="495">
        <f t="shared" ca="1" si="223"/>
        <v>2.8000000000000003</v>
      </c>
      <c r="DO123" s="495">
        <f t="shared" ca="1" si="224"/>
        <v>2.8000000000000003</v>
      </c>
      <c r="DP123" s="495">
        <f t="shared" si="225"/>
        <v>1</v>
      </c>
      <c r="DQ123" s="494">
        <f t="shared" si="226"/>
        <v>0</v>
      </c>
      <c r="DR123" s="495">
        <f t="shared" si="227"/>
        <v>0</v>
      </c>
      <c r="DS123" s="494">
        <f t="shared" si="228"/>
        <v>0</v>
      </c>
      <c r="DT123" s="495">
        <f t="shared" si="229"/>
        <v>0.1</v>
      </c>
      <c r="DX123" s="493">
        <f ca="1">MIN(6,CV123+Races!$F$19)*1.8 +  IF(CV123+Races!$F$19&gt;6,(CV123+Races!$F$19-6)*0.2,0) - Races!$N$19</f>
        <v>2.5200000000000005</v>
      </c>
      <c r="DY123" s="494">
        <f ca="1">1.8 * MIN(MAX(CW123+Races!$E$20,CX123+Races!$F$20),6)  +  0.45 * MIN(MIN(CW123+Races!$E$20,CX123+Races!$F$20),6)  +  0.2 * ( MAX(CW123+Races!$E$20-6,0) + MAX(CX123+Races!$F$20-6,0) )  -  Races!$N$20</f>
        <v>3.1500000000000012</v>
      </c>
      <c r="DZ123" s="109">
        <f t="shared" ca="1" si="230"/>
        <v>3780.0000000000009</v>
      </c>
      <c r="EA123" s="669">
        <f ca="1">MIN(6,CY123+Races!$F$35)*1.8 +  IF(CY123+Races!$F$35&gt;6,(CY123+Races!$F$35-6)*0.2,0) - Races!$N$19</f>
        <v>0.72000000000000064</v>
      </c>
      <c r="EB123" s="109">
        <f t="shared" ca="1" si="231"/>
        <v>0</v>
      </c>
      <c r="EC123" s="669">
        <f ca="1">1.8 * MIN(MAX(Races!$E$27,DB123+Races!$F$27),6)  +  0.45 * MIN(MIN(Races!$E$27,DB123+Races!$F$27),6)  +  0.2 * ( MAX(Races!$E$27-6,0) + MAX(DB123+Races!$F$27-6,0) )  -  Races!$N$20</f>
        <v>4.7700000000000005</v>
      </c>
      <c r="ED123" s="109">
        <f t="shared" ca="1" si="232"/>
        <v>0</v>
      </c>
      <c r="EE123" s="669">
        <f>1.8 * MIN(MAX(DC123+Races!$E$47,DD123+Races!$F$47),6)  +  0.45 * MIN(MIN(DC123+Races!$E$47,DD123+Races!$F$47),6)  +  0.2 * ( MAX(DC123+Races!$E$47-6,0) + MAX(DD123+Races!$F$47-6,0) )  -  Races!$N$47</f>
        <v>0</v>
      </c>
      <c r="EF123" s="109">
        <f t="shared" si="233"/>
        <v>0</v>
      </c>
      <c r="EG123" s="669">
        <f ca="1">1.8 * MIN(MAX(DG123+Races!$F$71,Races!$E$71),6)  +  0.45 * MIN(MIN(DG123+Races!$F$71,Races!$E$71),6)  +  0.2 * ( MAX(DG123+Races!$F$71-6,0) + MAX(Races!$E$71-6,0) )  -  Races!$N$71</f>
        <v>2.5200000000000014</v>
      </c>
      <c r="EH123" s="669">
        <f>1.8 * MIN(MAX(DH123+Races!$E$71,Races!$F$71),6)  +  0.45 * MIN(MIN(DH123+Races!$E$71,Races!$F$71),6)  +  0.2 * ( MAX(DH123+Races!$E$71-6,0) + MAX(Races!$F$71-6,0) )  -  Races!$N$71</f>
        <v>0.16200000000000081</v>
      </c>
      <c r="EI123" s="109">
        <f t="shared" ca="1" si="234"/>
        <v>2584.8000000000015</v>
      </c>
      <c r="EJ123" s="109"/>
      <c r="EK123" s="109"/>
      <c r="EL123" s="109"/>
      <c r="EM123" s="109">
        <f ca="1">Overview!$L$22*E123+Overview!$L$23*F123+Overview!$L$24*G123+Overview!$L$25*H123+Overview!$L$26*I123+Overview!$L$27*J123+Overview!$L$28*K123+Construction!E123*20+Construction!B123*5 + DZ123*$DV$4+EB123*$DV$5+ED123*$DV$6+EF123*$DV$7+EI123*$DV$9</f>
        <v>39460</v>
      </c>
      <c r="EO123" s="742">
        <f>(J123+2*K123)/Construction!E123</f>
        <v>0.1</v>
      </c>
      <c r="EP123" s="1060">
        <f ca="1">EO123*(1+race_wizard_strength+tech_magical_weaponry_wiz*Techs!AV195)</f>
        <v>0.1</v>
      </c>
      <c r="EQ123" s="111">
        <f>(I123+halfer*H123/3)/Construction!E123</f>
        <v>0.1</v>
      </c>
    </row>
    <row r="124" spans="1:147" s="16" customFormat="1" ht="13.5" thickTop="1">
      <c r="A124" s="629">
        <f>Rezone!J124</f>
        <v>122</v>
      </c>
      <c r="B124" s="56">
        <f ca="1">SUM(E124:K124)+SUM(AF116:AG124)+SUM(AH113:AL124)+Z124+Explore!AL124</f>
        <v>5295</v>
      </c>
      <c r="C124" s="97">
        <f ca="1">Population!G124</f>
        <v>0.57305194805194803</v>
      </c>
      <c r="E124" s="52">
        <f t="shared" si="235"/>
        <v>0</v>
      </c>
      <c r="F124" s="16">
        <f t="shared" si="236"/>
        <v>0</v>
      </c>
      <c r="G124" s="16">
        <f t="shared" si="237"/>
        <v>1000</v>
      </c>
      <c r="H124" s="16">
        <f t="shared" si="238"/>
        <v>400</v>
      </c>
      <c r="I124" s="16">
        <f t="shared" si="239"/>
        <v>100</v>
      </c>
      <c r="J124" s="16">
        <f t="shared" si="240"/>
        <v>100</v>
      </c>
      <c r="K124" s="53">
        <f t="shared" si="241"/>
        <v>0</v>
      </c>
      <c r="M124" s="64">
        <f ca="1">Production!G124</f>
        <v>39460</v>
      </c>
      <c r="O124" s="142">
        <f t="shared" ca="1" si="192"/>
        <v>4400</v>
      </c>
      <c r="P124" s="455">
        <f ca="1">race_offense+Imps!AB124+ROUND(MIN(gn_bonus*Construction!BF124/Construction!$E124,gn_bonus_cap),4)+MAX(IF(Magic!$AN124&gt;0,warsong_bonus),IF(Magic!AP124&gt;0,howling_op_bonus),IF(Magic!AS124&gt;0,nightfall_bonus),IF(Magic!AT124&gt;0,crusade_bonus),IF(Magic!AU124&gt;0,killingrage_bonus),IF(Magic!AV124&gt;0,bloodrage_bonus)) + Production!O124/100*prestige_offense_bonus + MAX(tech_military_offense*Techs!AH124,tech_magical_weaponry_op*Techs!AV124)</f>
        <v>0.05</v>
      </c>
      <c r="Q124" s="235">
        <f t="shared" ca="1" si="168"/>
        <v>4620</v>
      </c>
      <c r="R124" s="234">
        <f ca="1">F124*(spec_dp+spirit*DR124)+G124*(elite1_dp+woodie*CV124+sylvan*CY124+gnome*DB124+dark_elf*DD124+icekin*DG124+orc*DJ124+nox*DL124+beast*DN124+sacred*DP124+spirit*DS124+blackorc*DK124)+H124*(elite2_dp+woodie*CX124+beast*DO124+sacred*DQ124) + fh_peas_dp*MIN(Population!C124,20*Construction!BD124)+kobold*DE124</f>
        <v>7200</v>
      </c>
      <c r="S124" s="235">
        <f t="shared" ca="1" si="193"/>
        <v>10895</v>
      </c>
      <c r="T124" s="1052">
        <f ca="1">race_defense+Imps!AC124+ROUND(MIN(gt_bonus*Construction!BH124/Construction!$E124,gt_bonus_cap),4)+MAX(IF(Magic!AM124&gt;0,frenzy_bonus,IF(Magic!AQ124&gt;0,blizzard_bonus,IF(Magic!AP124&gt;0,howling_dp_bonus,IF(Magic!AI124&gt;0,ares_call_bonus)))),IF(Magic!AX124&gt;0,MIN(Construction!DF124/Construction!E124,0.2),0))</f>
        <v>0</v>
      </c>
      <c r="U124" s="1046">
        <f t="shared" ca="1" si="169"/>
        <v>7200</v>
      </c>
      <c r="V124" s="310">
        <f t="shared" ca="1" si="170"/>
        <v>10895</v>
      </c>
      <c r="W124" s="310">
        <f>Construction!E124</f>
        <v>1000</v>
      </c>
      <c r="X124" s="367"/>
      <c r="Y124" s="146">
        <f t="shared" si="191"/>
        <v>0.4</v>
      </c>
      <c r="Z124" s="166">
        <f ca="1">Z123+Population!Z123 - IF(race="Lux",AF124,SUM(AF124:AK124)) - BE124 + SUM(BF124:BL124) - Explore!AI124</f>
        <v>3695</v>
      </c>
      <c r="AA124" s="164"/>
      <c r="AB124" s="91">
        <f>(Construction!$BA124+Construction!BY124)/(Construction!$E124-Explore!S124*20)</f>
        <v>0.2</v>
      </c>
      <c r="AC124" s="529"/>
      <c r="AD124" s="799">
        <f>Rezone!J124</f>
        <v>122</v>
      </c>
      <c r="AE124" s="589">
        <f>Explore!AA124</f>
        <v>43697.041666666373</v>
      </c>
      <c r="AF124" s="375"/>
      <c r="AG124" s="348"/>
      <c r="AH124" s="376"/>
      <c r="AI124" s="348"/>
      <c r="AJ124" s="348"/>
      <c r="AK124" s="348"/>
      <c r="AL124" s="357"/>
      <c r="AN124" s="56">
        <f ca="1">Production!$H124</f>
        <v>4236282</v>
      </c>
      <c r="AO124" s="26">
        <f ca="1">Production!$L124</f>
        <v>231000</v>
      </c>
      <c r="AP124" s="26">
        <f ca="1">Production!J124</f>
        <v>265526</v>
      </c>
      <c r="AQ124" s="26">
        <f ca="1">Production!M124</f>
        <v>20000</v>
      </c>
      <c r="AR124" s="26">
        <f ca="1">Production!K124</f>
        <v>58813</v>
      </c>
      <c r="AS124" s="26">
        <f ca="1">Production!I124</f>
        <v>343347</v>
      </c>
      <c r="AT124" s="26">
        <f ca="1">Production!N124</f>
        <v>200</v>
      </c>
      <c r="AU124" s="152">
        <f t="shared" ca="1" si="194"/>
        <v>0</v>
      </c>
      <c r="AV124" s="164">
        <f t="shared" ca="1" si="195"/>
        <v>0</v>
      </c>
      <c r="AW124" s="164">
        <f t="shared" ca="1" si="171"/>
        <v>0</v>
      </c>
      <c r="AX124" s="164">
        <f t="shared" ca="1" si="172"/>
        <v>0</v>
      </c>
      <c r="AY124" s="164">
        <f t="shared" ca="1" si="173"/>
        <v>0</v>
      </c>
      <c r="AZ124" s="164">
        <f t="shared" ca="1" si="174"/>
        <v>0</v>
      </c>
      <c r="BA124" s="166">
        <f t="shared" ca="1" si="175"/>
        <v>0</v>
      </c>
      <c r="BB124" s="16">
        <v>50</v>
      </c>
      <c r="BC124" s="574">
        <f t="shared" si="176"/>
        <v>43697.041666666373</v>
      </c>
      <c r="BD124" s="148">
        <f t="shared" ca="1" si="177"/>
        <v>3695</v>
      </c>
      <c r="BE124" s="356"/>
      <c r="BF124" s="348"/>
      <c r="BG124" s="348"/>
      <c r="BH124" s="348"/>
      <c r="BI124" s="348"/>
      <c r="BJ124" s="348"/>
      <c r="BK124" s="348"/>
      <c r="BL124" s="357"/>
      <c r="BN124" s="503">
        <f>Construction!BM124/Construction!E124</f>
        <v>0</v>
      </c>
      <c r="BO124" s="171">
        <f>Construction!BD124/Construction!E124</f>
        <v>0</v>
      </c>
      <c r="BP124" s="152">
        <f>ROUNDUP((1-MIN(AB124*smithy_bonus,smithy_bonus_cap))*(1+Techs!AO124*tech_master_of_frugality)*spec_op_plat,0)</f>
        <v>165</v>
      </c>
      <c r="BQ124" s="164">
        <f>ROUNDUP(IF(race="Gnome",1,(1-MIN(AB124*smithy_bonus,smithy_bonus_cap))*(1+Techs!AO124*tech_master_of_frugality))*spec_op_ore,0)</f>
        <v>15</v>
      </c>
      <c r="BR124" s="164">
        <f t="shared" si="196"/>
        <v>0</v>
      </c>
      <c r="BS124" s="164">
        <f t="shared" si="197"/>
        <v>0</v>
      </c>
      <c r="BT124" s="164">
        <f ca="1">ROUNDUP((1-MIN(AB124*smithy_bonus,smithy_bonus_cap))*(1+Techs!AO124*tech_master_of_frugality)*spec_dp_plat,0)</f>
        <v>165</v>
      </c>
      <c r="BU124" s="164">
        <f ca="1">ROUNDUP(IF(OR(race="Gnome",race="Imperial Gnome"),1,(1-MIN(AB124*smithy_bonus,smithy_bonus_cap))*(1+Techs!AO124*tech_master_of_frugality))*spec_dp_ore,0)</f>
        <v>6</v>
      </c>
      <c r="BV124" s="164">
        <f t="shared" ca="1" si="198"/>
        <v>0</v>
      </c>
      <c r="BW124" s="164">
        <f t="shared" ca="1" si="199"/>
        <v>0</v>
      </c>
      <c r="BX124" s="164">
        <f t="shared" ca="1" si="200"/>
        <v>0</v>
      </c>
      <c r="BY124" s="164">
        <f ca="1">ROUNDUP((1-MIN(AB124*smithy_bonus,smithy_bonus_cap))*(1+Techs!AO124*tech_master_of_frugality)*elite1_plat,0)</f>
        <v>600</v>
      </c>
      <c r="BZ124" s="164">
        <f ca="1">ROUNDUP(IF(race="Gnome",1,(1-MIN(AB124*smithy_bonus,smithy_bonus_cap))*(1+Techs!AO124*tech_master_of_frugality))*elite1_ore,0)</f>
        <v>45</v>
      </c>
      <c r="CA124" s="164">
        <f t="shared" ca="1" si="201"/>
        <v>0</v>
      </c>
      <c r="CB124" s="164">
        <f t="shared" ca="1" si="202"/>
        <v>0</v>
      </c>
      <c r="CC124" s="164">
        <f t="shared" ca="1" si="203"/>
        <v>0</v>
      </c>
      <c r="CD124" s="164">
        <f t="shared" ca="1" si="204"/>
        <v>0</v>
      </c>
      <c r="CE124" s="164">
        <f t="shared" ca="1" si="205"/>
        <v>0</v>
      </c>
      <c r="CF124" s="164">
        <f ca="1">ROUNDUP((1-MIN(AB124*smithy_bonus,smithy_bonus_cap))*(1+Techs!AO124*tech_master_of_frugality)*elite2_plat,0)</f>
        <v>750</v>
      </c>
      <c r="CG124" s="164">
        <f ca="1">ROUNDUP(IF(race="Gnome",1,(1-MIN(AB124*smithy_bonus,smithy_bonus_cap))*(1+Techs!AO124*tech_master_of_frugality))*elite2_ore,0)</f>
        <v>60</v>
      </c>
      <c r="CH124" s="164">
        <f t="shared" ca="1" si="206"/>
        <v>0</v>
      </c>
      <c r="CI124" s="164">
        <f t="shared" ca="1" si="207"/>
        <v>0</v>
      </c>
      <c r="CJ124" s="164">
        <f t="shared" ca="1" si="208"/>
        <v>0</v>
      </c>
      <c r="CK124" s="164">
        <f t="shared" ca="1" si="209"/>
        <v>0</v>
      </c>
      <c r="CL124" s="164">
        <f t="shared" ca="1" si="210"/>
        <v>0</v>
      </c>
      <c r="CM124" s="164">
        <f>ROUNDUP((1+tech_spy_cost*Techs!AJ124)*spy_plat,0)</f>
        <v>500</v>
      </c>
      <c r="CN124" s="164">
        <f>ROUNDUP((1+tech_wizard_cost*Techs!AM124-MIN(ROUND(wg_wiz_cost_bonus*BN124,4),wg_wiz_cost_cap))*wizard_plat,0)</f>
        <v>500</v>
      </c>
      <c r="CO124" s="166">
        <f>ROUNDUP((1+tech_wizard_cost*Techs!AM124-MIN(ROUND(wg_wiz_cost_bonus*BN124,4),wg_wiz_cost_cap))*archmage_plat,0)</f>
        <v>1000</v>
      </c>
      <c r="CQ124" s="465">
        <f ca="1">Construction!DF124/Construction!E124</f>
        <v>0.28000000000000003</v>
      </c>
      <c r="CR124" s="466">
        <f t="shared" si="178"/>
        <v>0</v>
      </c>
      <c r="CS124" s="466">
        <f>Construction!BK124/Construction!E124</f>
        <v>0.05</v>
      </c>
      <c r="CT124" s="466">
        <f>Construction!BJ124/Construction!E124</f>
        <v>0</v>
      </c>
      <c r="CU124" s="466">
        <f>Construction!AY124/Construction!E124</f>
        <v>0</v>
      </c>
      <c r="CV124" s="487">
        <f t="shared" ca="1" si="211"/>
        <v>1.4000000000000001</v>
      </c>
      <c r="CW124" s="488">
        <f t="shared" ca="1" si="212"/>
        <v>1.4000000000000001</v>
      </c>
      <c r="CX124" s="488">
        <f t="shared" ca="1" si="213"/>
        <v>1.4000000000000001</v>
      </c>
      <c r="CY124" s="489">
        <f t="shared" ca="1" si="214"/>
        <v>1.4000000000000001</v>
      </c>
      <c r="CZ124" s="489">
        <f t="shared" si="215"/>
        <v>0.1</v>
      </c>
      <c r="DA124" s="489">
        <f t="shared" ca="1" si="216"/>
        <v>3</v>
      </c>
      <c r="DB124" s="489">
        <f t="shared" ca="1" si="217"/>
        <v>1.4000000000000001</v>
      </c>
      <c r="DC124" s="488">
        <f t="shared" si="218"/>
        <v>0</v>
      </c>
      <c r="DD124" s="848">
        <f t="shared" si="219"/>
        <v>0</v>
      </c>
      <c r="DE124" s="442">
        <f t="shared" si="179"/>
        <v>800</v>
      </c>
      <c r="DF124" s="442">
        <f t="shared" si="180"/>
        <v>0</v>
      </c>
      <c r="DG124" s="487">
        <f t="shared" ca="1" si="220"/>
        <v>1.4000000000000001</v>
      </c>
      <c r="DH124" s="452">
        <f t="shared" si="221"/>
        <v>9.0000000000000011E-2</v>
      </c>
      <c r="DI124" s="452">
        <f>MIN(valkyrja_cap,Production!O124/valkyrja_bonus)</f>
        <v>1</v>
      </c>
      <c r="DJ124" s="848">
        <f>MIN(voodoo_magi_cap,Production!O124/voodoo_magi_bonus)</f>
        <v>0.83333333333333337</v>
      </c>
      <c r="DK124" s="848">
        <f>MIN(warlock_cap,Production!O124/warlock_bonus)</f>
        <v>1.25</v>
      </c>
      <c r="DL124" s="848">
        <f ca="1">MIN(nox_nightshade_cap,Construction!DF124/Construction!E124/nox_nightshade_swamp_bonus)</f>
        <v>2.8000000000000003</v>
      </c>
      <c r="DM124" s="488">
        <f t="shared" si="222"/>
        <v>0</v>
      </c>
      <c r="DN124" s="489">
        <f t="shared" ca="1" si="223"/>
        <v>2.8000000000000003</v>
      </c>
      <c r="DO124" s="489">
        <f t="shared" ca="1" si="224"/>
        <v>2.8000000000000003</v>
      </c>
      <c r="DP124" s="489">
        <f t="shared" si="225"/>
        <v>1</v>
      </c>
      <c r="DQ124" s="488">
        <f t="shared" si="226"/>
        <v>0</v>
      </c>
      <c r="DR124" s="489">
        <f t="shared" si="227"/>
        <v>0</v>
      </c>
      <c r="DS124" s="488">
        <f t="shared" si="228"/>
        <v>0</v>
      </c>
      <c r="DT124" s="489">
        <f t="shared" si="229"/>
        <v>0.1</v>
      </c>
      <c r="DX124" s="487">
        <f ca="1">MIN(6,CV124+Races!$F$19)*1.8 +  IF(CV124+Races!$F$19&gt;6,(CV124+Races!$F$19-6)*0.2,0) - Races!$N$19</f>
        <v>2.5200000000000005</v>
      </c>
      <c r="DY124" s="488">
        <f ca="1">1.8 * MIN(MAX(CW124+Races!$E$20,CX124+Races!$F$20),6)  +  0.45 * MIN(MIN(CW124+Races!$E$20,CX124+Races!$F$20),6)  +  0.2 * ( MAX(CW124+Races!$E$20-6,0) + MAX(CX124+Races!$F$20-6,0) )  -  Races!$N$20</f>
        <v>3.1500000000000012</v>
      </c>
      <c r="DZ124" s="57">
        <f t="shared" ca="1" si="230"/>
        <v>3780.0000000000009</v>
      </c>
      <c r="EA124" s="666">
        <f ca="1">MIN(6,CY124+Races!$F$35)*1.8 +  IF(CY124+Races!$F$35&gt;6,(CY124+Races!$F$35-6)*0.2,0) - Races!$N$19</f>
        <v>0.72000000000000064</v>
      </c>
      <c r="EB124" s="57">
        <f t="shared" ca="1" si="231"/>
        <v>0</v>
      </c>
      <c r="EC124" s="666">
        <f ca="1">1.8 * MIN(MAX(Races!$E$27,DB124+Races!$F$27),6)  +  0.45 * MIN(MIN(Races!$E$27,DB124+Races!$F$27),6)  +  0.2 * ( MAX(Races!$E$27-6,0) + MAX(DB124+Races!$F$27-6,0) )  -  Races!$N$20</f>
        <v>4.7700000000000005</v>
      </c>
      <c r="ED124" s="57">
        <f t="shared" ca="1" si="232"/>
        <v>0</v>
      </c>
      <c r="EE124" s="666">
        <f>1.8 * MIN(MAX(DC124+Races!$E$47,DD124+Races!$F$47),6)  +  0.45 * MIN(MIN(DC124+Races!$E$47,DD124+Races!$F$47),6)  +  0.2 * ( MAX(DC124+Races!$E$47-6,0) + MAX(DD124+Races!$F$47-6,0) )  -  Races!$N$47</f>
        <v>0</v>
      </c>
      <c r="EF124" s="57">
        <f t="shared" si="233"/>
        <v>0</v>
      </c>
      <c r="EG124" s="666">
        <f ca="1">1.8 * MIN(MAX(DG124+Races!$F$71,Races!$E$71),6)  +  0.45 * MIN(MIN(DG124+Races!$F$71,Races!$E$71),6)  +  0.2 * ( MAX(DG124+Races!$F$71-6,0) + MAX(Races!$E$71-6,0) )  -  Races!$N$71</f>
        <v>2.5200000000000014</v>
      </c>
      <c r="EH124" s="666">
        <f>1.8 * MIN(MAX(DH124+Races!$E$71,Races!$F$71),6)  +  0.45 * MIN(MIN(DH124+Races!$E$71,Races!$F$71),6)  +  0.2 * ( MAX(DH124+Races!$E$71-6,0) + MAX(Races!$F$71-6,0) )  -  Races!$N$71</f>
        <v>0.16200000000000081</v>
      </c>
      <c r="EI124" s="57">
        <f t="shared" ca="1" si="234"/>
        <v>2584.8000000000015</v>
      </c>
      <c r="EJ124" s="57"/>
      <c r="EK124" s="57"/>
      <c r="EL124" s="57"/>
      <c r="EM124" s="57">
        <f ca="1">Overview!$L$22*E124+Overview!$L$23*F124+Overview!$L$24*G124+Overview!$L$25*H124+Overview!$L$26*I124+Overview!$L$27*J124+Overview!$L$28*K124+Construction!E124*20+Construction!B124*5 + DZ124*$DV$4+EB124*$DV$5+ED124*$DV$6+EF124*$DV$7+EI124*$DV$9</f>
        <v>39460</v>
      </c>
      <c r="EO124" s="738">
        <f>(J124+2*K124)/Construction!E124</f>
        <v>0.1</v>
      </c>
      <c r="EP124" s="734">
        <f ca="1">EO124*(1+race_wizard_strength+tech_magical_weaponry_wiz*Techs!AV196)</f>
        <v>0.1</v>
      </c>
      <c r="EQ124" s="16">
        <f>(I124+halfer*H124/3)/Construction!E124</f>
        <v>0.1</v>
      </c>
    </row>
    <row r="125" spans="1:147" s="16" customFormat="1">
      <c r="A125" s="629">
        <f>Rezone!J125</f>
        <v>123</v>
      </c>
      <c r="B125" s="56">
        <f ca="1">SUM(E125:K125)+SUM(AF117:AG125)+SUM(AH114:AL125)+Z125+Explore!AL125</f>
        <v>5295</v>
      </c>
      <c r="C125" s="97">
        <f ca="1">Population!G125</f>
        <v>0.57305194805194803</v>
      </c>
      <c r="E125" s="52">
        <f t="shared" si="235"/>
        <v>0</v>
      </c>
      <c r="F125" s="16">
        <f t="shared" si="236"/>
        <v>0</v>
      </c>
      <c r="G125" s="16">
        <f t="shared" si="237"/>
        <v>1000</v>
      </c>
      <c r="H125" s="16">
        <f t="shared" si="238"/>
        <v>400</v>
      </c>
      <c r="I125" s="16">
        <f t="shared" si="239"/>
        <v>100</v>
      </c>
      <c r="J125" s="16">
        <f t="shared" si="240"/>
        <v>100</v>
      </c>
      <c r="K125" s="53">
        <f t="shared" si="241"/>
        <v>0</v>
      </c>
      <c r="M125" s="64">
        <f ca="1">Production!G125</f>
        <v>39460</v>
      </c>
      <c r="O125" s="142">
        <f t="shared" ca="1" si="192"/>
        <v>4400</v>
      </c>
      <c r="P125" s="455">
        <f ca="1">race_offense+Imps!AB125+ROUND(MIN(gn_bonus*Construction!BF125/Construction!$E125,gn_bonus_cap),4)+MAX(IF(Magic!$AN125&gt;0,warsong_bonus),IF(Magic!AP125&gt;0,howling_op_bonus),IF(Magic!AS125&gt;0,nightfall_bonus),IF(Magic!AT125&gt;0,crusade_bonus),IF(Magic!AU125&gt;0,killingrage_bonus),IF(Magic!AV125&gt;0,bloodrage_bonus)) + Production!O125/100*prestige_offense_bonus + MAX(tech_military_offense*Techs!AH125,tech_magical_weaponry_op*Techs!AV125)</f>
        <v>0.05</v>
      </c>
      <c r="Q125" s="235">
        <f t="shared" ca="1" si="168"/>
        <v>4620</v>
      </c>
      <c r="R125" s="234">
        <f ca="1">F125*(spec_dp+spirit*DR125)+G125*(elite1_dp+woodie*CV125+sylvan*CY125+gnome*DB125+dark_elf*DD125+icekin*DG125+orc*DJ125+nox*DL125+beast*DN125+sacred*DP125+spirit*DS125+blackorc*DK125)+H125*(elite2_dp+woodie*CX125+beast*DO125+sacred*DQ125) + fh_peas_dp*MIN(Population!C125,20*Construction!BD125)+kobold*DE125</f>
        <v>7200</v>
      </c>
      <c r="S125" s="235">
        <f t="shared" ca="1" si="193"/>
        <v>10895</v>
      </c>
      <c r="T125" s="1052">
        <f ca="1">race_defense+Imps!AC125+ROUND(MIN(gt_bonus*Construction!BH125/Construction!$E125,gt_bonus_cap),4)+MAX(IF(Magic!AM125&gt;0,frenzy_bonus,IF(Magic!AQ125&gt;0,blizzard_bonus,IF(Magic!AP125&gt;0,howling_dp_bonus,IF(Magic!AI125&gt;0,ares_call_bonus)))),IF(Magic!AX125&gt;0,MIN(Construction!DF125/Construction!E125,0.2),0))</f>
        <v>0</v>
      </c>
      <c r="U125" s="1046">
        <f t="shared" ca="1" si="169"/>
        <v>7200</v>
      </c>
      <c r="V125" s="310">
        <f t="shared" ca="1" si="170"/>
        <v>10895</v>
      </c>
      <c r="W125" s="310">
        <f>Construction!E125</f>
        <v>1000</v>
      </c>
      <c r="X125" s="367"/>
      <c r="Y125" s="146">
        <f t="shared" si="191"/>
        <v>0.4</v>
      </c>
      <c r="Z125" s="166">
        <f ca="1">Z124+Population!Z124 - IF(race="Lux",AF125,SUM(AF125:AK125)) - BE125 + SUM(BF125:BL125) - Explore!AI125</f>
        <v>3695</v>
      </c>
      <c r="AA125" s="164"/>
      <c r="AB125" s="91">
        <f>(Construction!$BA125+Construction!BY125)/(Construction!$E125-Explore!S125*20)</f>
        <v>0.2</v>
      </c>
      <c r="AC125" s="529"/>
      <c r="AD125" s="799">
        <f>Rezone!J125</f>
        <v>123</v>
      </c>
      <c r="AE125" s="589">
        <f>Explore!AA125</f>
        <v>43697.083333333037</v>
      </c>
      <c r="AF125" s="356"/>
      <c r="AG125" s="348"/>
      <c r="AH125" s="348"/>
      <c r="AI125" s="348"/>
      <c r="AJ125" s="348"/>
      <c r="AK125" s="348"/>
      <c r="AL125" s="357"/>
      <c r="AN125" s="56">
        <f ca="1">Production!$H125</f>
        <v>4246933</v>
      </c>
      <c r="AO125" s="26">
        <f ca="1">Production!$L125</f>
        <v>231000</v>
      </c>
      <c r="AP125" s="26">
        <f ca="1">Production!J125</f>
        <v>265371</v>
      </c>
      <c r="AQ125" s="26">
        <f ca="1">Production!M125</f>
        <v>20000</v>
      </c>
      <c r="AR125" s="26">
        <f ca="1">Production!K125</f>
        <v>58887</v>
      </c>
      <c r="AS125" s="26">
        <f ca="1">Production!I125</f>
        <v>344644</v>
      </c>
      <c r="AT125" s="26">
        <f ca="1">Production!N125</f>
        <v>200</v>
      </c>
      <c r="AU125" s="152">
        <f t="shared" ca="1" si="194"/>
        <v>0</v>
      </c>
      <c r="AV125" s="164">
        <f t="shared" ca="1" si="195"/>
        <v>0</v>
      </c>
      <c r="AW125" s="164">
        <f t="shared" ca="1" si="171"/>
        <v>0</v>
      </c>
      <c r="AX125" s="164">
        <f t="shared" ca="1" si="172"/>
        <v>0</v>
      </c>
      <c r="AY125" s="164">
        <f t="shared" ca="1" si="173"/>
        <v>0</v>
      </c>
      <c r="AZ125" s="164">
        <f t="shared" ca="1" si="174"/>
        <v>0</v>
      </c>
      <c r="BA125" s="166">
        <f t="shared" ca="1" si="175"/>
        <v>0</v>
      </c>
      <c r="BB125" s="16">
        <v>51</v>
      </c>
      <c r="BC125" s="574">
        <f t="shared" si="176"/>
        <v>43697.083333333037</v>
      </c>
      <c r="BD125" s="148">
        <f t="shared" ca="1" si="177"/>
        <v>3695</v>
      </c>
      <c r="BE125" s="356"/>
      <c r="BF125" s="348"/>
      <c r="BG125" s="348"/>
      <c r="BH125" s="348"/>
      <c r="BI125" s="348"/>
      <c r="BJ125" s="348"/>
      <c r="BK125" s="348"/>
      <c r="BL125" s="357"/>
      <c r="BN125" s="503">
        <f>Construction!BM125/Construction!E125</f>
        <v>0</v>
      </c>
      <c r="BO125" s="171">
        <f>Construction!BD125/Construction!E125</f>
        <v>0</v>
      </c>
      <c r="BP125" s="152">
        <f>ROUNDUP((1-MIN(AB125*smithy_bonus,smithy_bonus_cap))*(1+Techs!AO125*tech_master_of_frugality)*spec_op_plat,0)</f>
        <v>165</v>
      </c>
      <c r="BQ125" s="164">
        <f>ROUNDUP(IF(race="Gnome",1,(1-MIN(AB125*smithy_bonus,smithy_bonus_cap))*(1+Techs!AO125*tech_master_of_frugality))*spec_op_ore,0)</f>
        <v>15</v>
      </c>
      <c r="BR125" s="164">
        <f t="shared" si="196"/>
        <v>0</v>
      </c>
      <c r="BS125" s="164">
        <f t="shared" si="197"/>
        <v>0</v>
      </c>
      <c r="BT125" s="164">
        <f ca="1">ROUNDUP((1-MIN(AB125*smithy_bonus,smithy_bonus_cap))*(1+Techs!AO125*tech_master_of_frugality)*spec_dp_plat,0)</f>
        <v>165</v>
      </c>
      <c r="BU125" s="164">
        <f ca="1">ROUNDUP(IF(OR(race="Gnome",race="Imperial Gnome"),1,(1-MIN(AB125*smithy_bonus,smithy_bonus_cap))*(1+Techs!AO125*tech_master_of_frugality))*spec_dp_ore,0)</f>
        <v>6</v>
      </c>
      <c r="BV125" s="164">
        <f t="shared" ca="1" si="198"/>
        <v>0</v>
      </c>
      <c r="BW125" s="164">
        <f t="shared" ca="1" si="199"/>
        <v>0</v>
      </c>
      <c r="BX125" s="164">
        <f t="shared" ca="1" si="200"/>
        <v>0</v>
      </c>
      <c r="BY125" s="164">
        <f ca="1">ROUNDUP((1-MIN(AB125*smithy_bonus,smithy_bonus_cap))*(1+Techs!AO125*tech_master_of_frugality)*elite1_plat,0)</f>
        <v>600</v>
      </c>
      <c r="BZ125" s="164">
        <f ca="1">ROUNDUP(IF(race="Gnome",1,(1-MIN(AB125*smithy_bonus,smithy_bonus_cap))*(1+Techs!AO125*tech_master_of_frugality))*elite1_ore,0)</f>
        <v>45</v>
      </c>
      <c r="CA125" s="164">
        <f t="shared" ca="1" si="201"/>
        <v>0</v>
      </c>
      <c r="CB125" s="164">
        <f t="shared" ca="1" si="202"/>
        <v>0</v>
      </c>
      <c r="CC125" s="164">
        <f t="shared" ca="1" si="203"/>
        <v>0</v>
      </c>
      <c r="CD125" s="164">
        <f t="shared" ca="1" si="204"/>
        <v>0</v>
      </c>
      <c r="CE125" s="164">
        <f t="shared" ca="1" si="205"/>
        <v>0</v>
      </c>
      <c r="CF125" s="164">
        <f ca="1">ROUNDUP((1-MIN(AB125*smithy_bonus,smithy_bonus_cap))*(1+Techs!AO125*tech_master_of_frugality)*elite2_plat,0)</f>
        <v>750</v>
      </c>
      <c r="CG125" s="164">
        <f ca="1">ROUNDUP(IF(race="Gnome",1,(1-MIN(AB125*smithy_bonus,smithy_bonus_cap))*(1+Techs!AO125*tech_master_of_frugality))*elite2_ore,0)</f>
        <v>60</v>
      </c>
      <c r="CH125" s="164">
        <f t="shared" ca="1" si="206"/>
        <v>0</v>
      </c>
      <c r="CI125" s="164">
        <f t="shared" ca="1" si="207"/>
        <v>0</v>
      </c>
      <c r="CJ125" s="164">
        <f t="shared" ca="1" si="208"/>
        <v>0</v>
      </c>
      <c r="CK125" s="164">
        <f t="shared" ca="1" si="209"/>
        <v>0</v>
      </c>
      <c r="CL125" s="164">
        <f t="shared" ca="1" si="210"/>
        <v>0</v>
      </c>
      <c r="CM125" s="164">
        <f>ROUNDUP((1+tech_spy_cost*Techs!AJ125)*spy_plat,0)</f>
        <v>500</v>
      </c>
      <c r="CN125" s="164">
        <f>ROUNDUP((1+tech_wizard_cost*Techs!AM125-MIN(ROUND(wg_wiz_cost_bonus*BN125,4),wg_wiz_cost_cap))*wizard_plat,0)</f>
        <v>500</v>
      </c>
      <c r="CO125" s="166">
        <f>ROUNDUP((1+tech_wizard_cost*Techs!AM125-MIN(ROUND(wg_wiz_cost_bonus*BN125,4),wg_wiz_cost_cap))*archmage_plat,0)</f>
        <v>1000</v>
      </c>
      <c r="CQ125" s="465">
        <f ca="1">Construction!DF125/Construction!E125</f>
        <v>0.28000000000000003</v>
      </c>
      <c r="CR125" s="466">
        <f t="shared" si="178"/>
        <v>0</v>
      </c>
      <c r="CS125" s="466">
        <f>Construction!BK125/Construction!E125</f>
        <v>0.05</v>
      </c>
      <c r="CT125" s="466">
        <f>Construction!BJ125/Construction!E125</f>
        <v>0</v>
      </c>
      <c r="CU125" s="466">
        <f>Construction!AY125/Construction!E125</f>
        <v>0</v>
      </c>
      <c r="CV125" s="487">
        <f t="shared" ca="1" si="211"/>
        <v>1.4000000000000001</v>
      </c>
      <c r="CW125" s="488">
        <f t="shared" ca="1" si="212"/>
        <v>1.4000000000000001</v>
      </c>
      <c r="CX125" s="488">
        <f t="shared" ca="1" si="213"/>
        <v>1.4000000000000001</v>
      </c>
      <c r="CY125" s="489">
        <f t="shared" ca="1" si="214"/>
        <v>1.4000000000000001</v>
      </c>
      <c r="CZ125" s="489">
        <f t="shared" si="215"/>
        <v>0.1</v>
      </c>
      <c r="DA125" s="489">
        <f t="shared" ca="1" si="216"/>
        <v>3</v>
      </c>
      <c r="DB125" s="489">
        <f t="shared" ca="1" si="217"/>
        <v>1.4000000000000001</v>
      </c>
      <c r="DC125" s="488">
        <f t="shared" si="218"/>
        <v>0</v>
      </c>
      <c r="DD125" s="848">
        <f t="shared" si="219"/>
        <v>0</v>
      </c>
      <c r="DE125" s="442">
        <f t="shared" si="179"/>
        <v>800</v>
      </c>
      <c r="DF125" s="442">
        <f t="shared" si="180"/>
        <v>0</v>
      </c>
      <c r="DG125" s="487">
        <f t="shared" ca="1" si="220"/>
        <v>1.4000000000000001</v>
      </c>
      <c r="DH125" s="452">
        <f t="shared" si="221"/>
        <v>9.0000000000000011E-2</v>
      </c>
      <c r="DI125" s="452">
        <f>MIN(valkyrja_cap,Production!O125/valkyrja_bonus)</f>
        <v>1</v>
      </c>
      <c r="DJ125" s="848">
        <f>MIN(voodoo_magi_cap,Production!O125/voodoo_magi_bonus)</f>
        <v>0.83333333333333337</v>
      </c>
      <c r="DK125" s="848">
        <f>MIN(warlock_cap,Production!O125/warlock_bonus)</f>
        <v>1.25</v>
      </c>
      <c r="DL125" s="848">
        <f ca="1">MIN(nox_nightshade_cap,Construction!DF125/Construction!E125/nox_nightshade_swamp_bonus)</f>
        <v>2.8000000000000003</v>
      </c>
      <c r="DM125" s="488">
        <f t="shared" si="222"/>
        <v>0</v>
      </c>
      <c r="DN125" s="489">
        <f t="shared" ca="1" si="223"/>
        <v>2.8000000000000003</v>
      </c>
      <c r="DO125" s="489">
        <f t="shared" ca="1" si="224"/>
        <v>2.8000000000000003</v>
      </c>
      <c r="DP125" s="489">
        <f t="shared" si="225"/>
        <v>1</v>
      </c>
      <c r="DQ125" s="488">
        <f t="shared" si="226"/>
        <v>0</v>
      </c>
      <c r="DR125" s="489">
        <f t="shared" si="227"/>
        <v>0</v>
      </c>
      <c r="DS125" s="488">
        <f t="shared" si="228"/>
        <v>0</v>
      </c>
      <c r="DT125" s="489">
        <f t="shared" si="229"/>
        <v>0.1</v>
      </c>
      <c r="DX125" s="487">
        <f ca="1">MIN(6,CV125+Races!$F$19)*1.8 +  IF(CV125+Races!$F$19&gt;6,(CV125+Races!$F$19-6)*0.2,0) - Races!$N$19</f>
        <v>2.5200000000000005</v>
      </c>
      <c r="DY125" s="488">
        <f ca="1">1.8 * MIN(MAX(CW125+Races!$E$20,CX125+Races!$F$20),6)  +  0.45 * MIN(MIN(CW125+Races!$E$20,CX125+Races!$F$20),6)  +  0.2 * ( MAX(CW125+Races!$E$20-6,0) + MAX(CX125+Races!$F$20-6,0) )  -  Races!$N$20</f>
        <v>3.1500000000000012</v>
      </c>
      <c r="DZ125" s="57">
        <f t="shared" ca="1" si="230"/>
        <v>3780.0000000000009</v>
      </c>
      <c r="EA125" s="666">
        <f ca="1">MIN(6,CY125+Races!$F$35)*1.8 +  IF(CY125+Races!$F$35&gt;6,(CY125+Races!$F$35-6)*0.2,0) - Races!$N$19</f>
        <v>0.72000000000000064</v>
      </c>
      <c r="EB125" s="57">
        <f t="shared" ca="1" si="231"/>
        <v>0</v>
      </c>
      <c r="EC125" s="666">
        <f ca="1">1.8 * MIN(MAX(Races!$E$27,DB125+Races!$F$27),6)  +  0.45 * MIN(MIN(Races!$E$27,DB125+Races!$F$27),6)  +  0.2 * ( MAX(Races!$E$27-6,0) + MAX(DB125+Races!$F$27-6,0) )  -  Races!$N$20</f>
        <v>4.7700000000000005</v>
      </c>
      <c r="ED125" s="57">
        <f t="shared" ca="1" si="232"/>
        <v>0</v>
      </c>
      <c r="EE125" s="666">
        <f>1.8 * MIN(MAX(DC125+Races!$E$47,DD125+Races!$F$47),6)  +  0.45 * MIN(MIN(DC125+Races!$E$47,DD125+Races!$F$47),6)  +  0.2 * ( MAX(DC125+Races!$E$47-6,0) + MAX(DD125+Races!$F$47-6,0) )  -  Races!$N$47</f>
        <v>0</v>
      </c>
      <c r="EF125" s="57">
        <f t="shared" si="233"/>
        <v>0</v>
      </c>
      <c r="EG125" s="666">
        <f ca="1">1.8 * MIN(MAX(DG125+Races!$F$71,Races!$E$71),6)  +  0.45 * MIN(MIN(DG125+Races!$F$71,Races!$E$71),6)  +  0.2 * ( MAX(DG125+Races!$F$71-6,0) + MAX(Races!$E$71-6,0) )  -  Races!$N$71</f>
        <v>2.5200000000000014</v>
      </c>
      <c r="EH125" s="666">
        <f>1.8 * MIN(MAX(DH125+Races!$E$71,Races!$F$71),6)  +  0.45 * MIN(MIN(DH125+Races!$E$71,Races!$F$71),6)  +  0.2 * ( MAX(DH125+Races!$E$71-6,0) + MAX(Races!$F$71-6,0) )  -  Races!$N$71</f>
        <v>0.16200000000000081</v>
      </c>
      <c r="EI125" s="57">
        <f t="shared" ca="1" si="234"/>
        <v>2584.8000000000015</v>
      </c>
      <c r="EJ125" s="57"/>
      <c r="EK125" s="57"/>
      <c r="EL125" s="57"/>
      <c r="EM125" s="57">
        <f ca="1">Overview!$L$22*E125+Overview!$L$23*F125+Overview!$L$24*G125+Overview!$L$25*H125+Overview!$L$26*I125+Overview!$L$27*J125+Overview!$L$28*K125+Construction!E125*20+Construction!B125*5 + DZ125*$DV$4+EB125*$DV$5+ED125*$DV$6+EF125*$DV$7+EI125*$DV$9</f>
        <v>39460</v>
      </c>
      <c r="EO125" s="738">
        <f>(J125+2*K125)/Construction!E125</f>
        <v>0.1</v>
      </c>
      <c r="EP125" s="734">
        <f ca="1">EO125*(1+race_wizard_strength+tech_magical_weaponry_wiz*Techs!AV197)</f>
        <v>0.1</v>
      </c>
      <c r="EQ125" s="16">
        <f>(I125+halfer*H125/3)/Construction!E125</f>
        <v>0.1</v>
      </c>
    </row>
    <row r="126" spans="1:147" s="16" customFormat="1">
      <c r="A126" s="629">
        <f>Rezone!J126</f>
        <v>124</v>
      </c>
      <c r="B126" s="56">
        <f ca="1">SUM(E126:K126)+SUM(AF118:AG126)+SUM(AH115:AL126)+Z126+Explore!AL126</f>
        <v>5295</v>
      </c>
      <c r="C126" s="97">
        <f ca="1">Population!G126</f>
        <v>0.57305194805194803</v>
      </c>
      <c r="E126" s="52">
        <f t="shared" si="235"/>
        <v>0</v>
      </c>
      <c r="F126" s="16">
        <f t="shared" si="236"/>
        <v>0</v>
      </c>
      <c r="G126" s="16">
        <f t="shared" si="237"/>
        <v>1000</v>
      </c>
      <c r="H126" s="16">
        <f t="shared" si="238"/>
        <v>400</v>
      </c>
      <c r="I126" s="16">
        <f t="shared" si="239"/>
        <v>100</v>
      </c>
      <c r="J126" s="16">
        <f t="shared" si="240"/>
        <v>100</v>
      </c>
      <c r="K126" s="53">
        <f t="shared" si="241"/>
        <v>0</v>
      </c>
      <c r="M126" s="64">
        <f ca="1">Production!G126</f>
        <v>39460</v>
      </c>
      <c r="O126" s="142">
        <f t="shared" ca="1" si="192"/>
        <v>4400</v>
      </c>
      <c r="P126" s="455">
        <f ca="1">race_offense+Imps!AB126+ROUND(MIN(gn_bonus*Construction!BF126/Construction!$E126,gn_bonus_cap),4)+MAX(IF(Magic!$AN126&gt;0,warsong_bonus),IF(Magic!AP126&gt;0,howling_op_bonus),IF(Magic!AS126&gt;0,nightfall_bonus),IF(Magic!AT126&gt;0,crusade_bonus),IF(Magic!AU126&gt;0,killingrage_bonus),IF(Magic!AV126&gt;0,bloodrage_bonus)) + Production!O126/100*prestige_offense_bonus + MAX(tech_military_offense*Techs!AH126,tech_magical_weaponry_op*Techs!AV126)</f>
        <v>0.05</v>
      </c>
      <c r="Q126" s="235">
        <f t="shared" ca="1" si="168"/>
        <v>4620</v>
      </c>
      <c r="R126" s="234">
        <f ca="1">F126*(spec_dp+spirit*DR126)+G126*(elite1_dp+woodie*CV126+sylvan*CY126+gnome*DB126+dark_elf*DD126+icekin*DG126+orc*DJ126+nox*DL126+beast*DN126+sacred*DP126+spirit*DS126+blackorc*DK126)+H126*(elite2_dp+woodie*CX126+beast*DO126+sacred*DQ126) + fh_peas_dp*MIN(Population!C126,20*Construction!BD126)+kobold*DE126</f>
        <v>7200</v>
      </c>
      <c r="S126" s="235">
        <f t="shared" ca="1" si="193"/>
        <v>10895</v>
      </c>
      <c r="T126" s="1052">
        <f ca="1">race_defense+Imps!AC126+ROUND(MIN(gt_bonus*Construction!BH126/Construction!$E126,gt_bonus_cap),4)+MAX(IF(Magic!AM126&gt;0,frenzy_bonus,IF(Magic!AQ126&gt;0,blizzard_bonus,IF(Magic!AP126&gt;0,howling_dp_bonus,IF(Magic!AI126&gt;0,ares_call_bonus)))),IF(Magic!AX126&gt;0,MIN(Construction!DF126/Construction!E126,0.2),0))</f>
        <v>0</v>
      </c>
      <c r="U126" s="1046">
        <f t="shared" ca="1" si="169"/>
        <v>7200</v>
      </c>
      <c r="V126" s="310">
        <f t="shared" ca="1" si="170"/>
        <v>10895</v>
      </c>
      <c r="W126" s="310">
        <f>Construction!E126</f>
        <v>1000</v>
      </c>
      <c r="X126" s="367"/>
      <c r="Y126" s="146">
        <f t="shared" si="191"/>
        <v>0.4</v>
      </c>
      <c r="Z126" s="166">
        <f ca="1">Z125+Population!Z125 - IF(race="Lux",AF126,SUM(AF126:AK126)) - BE126 + SUM(BF126:BL126) - Explore!AI126</f>
        <v>3695</v>
      </c>
      <c r="AA126" s="164"/>
      <c r="AB126" s="91">
        <f>(Construction!$BA126+Construction!BY126)/(Construction!$E126-Explore!S126*20)</f>
        <v>0.2</v>
      </c>
      <c r="AC126" s="529"/>
      <c r="AD126" s="799">
        <f>Rezone!J126</f>
        <v>124</v>
      </c>
      <c r="AE126" s="589">
        <f>Explore!AA126</f>
        <v>43697.124999999702</v>
      </c>
      <c r="AF126" s="356"/>
      <c r="AG126" s="348"/>
      <c r="AH126" s="348"/>
      <c r="AI126" s="348"/>
      <c r="AJ126" s="348"/>
      <c r="AK126" s="348"/>
      <c r="AL126" s="357"/>
      <c r="AN126" s="56">
        <f ca="1">Production!$H126</f>
        <v>4257584</v>
      </c>
      <c r="AO126" s="26">
        <f ca="1">Production!$L126</f>
        <v>231000</v>
      </c>
      <c r="AP126" s="26">
        <f ca="1">Production!J126</f>
        <v>265217</v>
      </c>
      <c r="AQ126" s="26">
        <f ca="1">Production!M126</f>
        <v>20000</v>
      </c>
      <c r="AR126" s="26">
        <f ca="1">Production!K126</f>
        <v>58959</v>
      </c>
      <c r="AS126" s="26">
        <f ca="1">Production!I126</f>
        <v>345928</v>
      </c>
      <c r="AT126" s="26">
        <f ca="1">Production!N126</f>
        <v>200</v>
      </c>
      <c r="AU126" s="152">
        <f t="shared" ca="1" si="194"/>
        <v>0</v>
      </c>
      <c r="AV126" s="164">
        <f t="shared" ca="1" si="195"/>
        <v>0</v>
      </c>
      <c r="AW126" s="164">
        <f t="shared" ca="1" si="171"/>
        <v>0</v>
      </c>
      <c r="AX126" s="164">
        <f t="shared" ca="1" si="172"/>
        <v>0</v>
      </c>
      <c r="AY126" s="164">
        <f t="shared" ca="1" si="173"/>
        <v>0</v>
      </c>
      <c r="AZ126" s="164">
        <f t="shared" ca="1" si="174"/>
        <v>0</v>
      </c>
      <c r="BA126" s="166">
        <f t="shared" ca="1" si="175"/>
        <v>0</v>
      </c>
      <c r="BB126" s="16">
        <v>52</v>
      </c>
      <c r="BC126" s="574">
        <f t="shared" si="176"/>
        <v>43697.124999999702</v>
      </c>
      <c r="BD126" s="148">
        <f t="shared" ca="1" si="177"/>
        <v>3695</v>
      </c>
      <c r="BE126" s="356"/>
      <c r="BF126" s="348"/>
      <c r="BG126" s="348"/>
      <c r="BH126" s="348"/>
      <c r="BI126" s="348"/>
      <c r="BJ126" s="348"/>
      <c r="BK126" s="348"/>
      <c r="BL126" s="357"/>
      <c r="BN126" s="503">
        <f>Construction!BM126/Construction!E126</f>
        <v>0</v>
      </c>
      <c r="BO126" s="171">
        <f>Construction!BD126/Construction!E126</f>
        <v>0</v>
      </c>
      <c r="BP126" s="152">
        <f>ROUNDUP((1-MIN(AB126*smithy_bonus,smithy_bonus_cap))*(1+Techs!AO126*tech_master_of_frugality)*spec_op_plat,0)</f>
        <v>165</v>
      </c>
      <c r="BQ126" s="164">
        <f>ROUNDUP(IF(race="Gnome",1,(1-MIN(AB126*smithy_bonus,smithy_bonus_cap))*(1+Techs!AO126*tech_master_of_frugality))*spec_op_ore,0)</f>
        <v>15</v>
      </c>
      <c r="BR126" s="164">
        <f t="shared" si="196"/>
        <v>0</v>
      </c>
      <c r="BS126" s="164">
        <f t="shared" si="197"/>
        <v>0</v>
      </c>
      <c r="BT126" s="164">
        <f ca="1">ROUNDUP((1-MIN(AB126*smithy_bonus,smithy_bonus_cap))*(1+Techs!AO126*tech_master_of_frugality)*spec_dp_plat,0)</f>
        <v>165</v>
      </c>
      <c r="BU126" s="164">
        <f ca="1">ROUNDUP(IF(OR(race="Gnome",race="Imperial Gnome"),1,(1-MIN(AB126*smithy_bonus,smithy_bonus_cap))*(1+Techs!AO126*tech_master_of_frugality))*spec_dp_ore,0)</f>
        <v>6</v>
      </c>
      <c r="BV126" s="164">
        <f t="shared" ca="1" si="198"/>
        <v>0</v>
      </c>
      <c r="BW126" s="164">
        <f t="shared" ca="1" si="199"/>
        <v>0</v>
      </c>
      <c r="BX126" s="164">
        <f t="shared" ca="1" si="200"/>
        <v>0</v>
      </c>
      <c r="BY126" s="164">
        <f ca="1">ROUNDUP((1-MIN(AB126*smithy_bonus,smithy_bonus_cap))*(1+Techs!AO126*tech_master_of_frugality)*elite1_plat,0)</f>
        <v>600</v>
      </c>
      <c r="BZ126" s="164">
        <f ca="1">ROUNDUP(IF(race="Gnome",1,(1-MIN(AB126*smithy_bonus,smithy_bonus_cap))*(1+Techs!AO126*tech_master_of_frugality))*elite1_ore,0)</f>
        <v>45</v>
      </c>
      <c r="CA126" s="164">
        <f t="shared" ca="1" si="201"/>
        <v>0</v>
      </c>
      <c r="CB126" s="164">
        <f t="shared" ca="1" si="202"/>
        <v>0</v>
      </c>
      <c r="CC126" s="164">
        <f t="shared" ca="1" si="203"/>
        <v>0</v>
      </c>
      <c r="CD126" s="164">
        <f t="shared" ca="1" si="204"/>
        <v>0</v>
      </c>
      <c r="CE126" s="164">
        <f t="shared" ca="1" si="205"/>
        <v>0</v>
      </c>
      <c r="CF126" s="164">
        <f ca="1">ROUNDUP((1-MIN(AB126*smithy_bonus,smithy_bonus_cap))*(1+Techs!AO126*tech_master_of_frugality)*elite2_plat,0)</f>
        <v>750</v>
      </c>
      <c r="CG126" s="164">
        <f ca="1">ROUNDUP(IF(race="Gnome",1,(1-MIN(AB126*smithy_bonus,smithy_bonus_cap))*(1+Techs!AO126*tech_master_of_frugality))*elite2_ore,0)</f>
        <v>60</v>
      </c>
      <c r="CH126" s="164">
        <f t="shared" ca="1" si="206"/>
        <v>0</v>
      </c>
      <c r="CI126" s="164">
        <f t="shared" ca="1" si="207"/>
        <v>0</v>
      </c>
      <c r="CJ126" s="164">
        <f t="shared" ca="1" si="208"/>
        <v>0</v>
      </c>
      <c r="CK126" s="164">
        <f t="shared" ca="1" si="209"/>
        <v>0</v>
      </c>
      <c r="CL126" s="164">
        <f t="shared" ca="1" si="210"/>
        <v>0</v>
      </c>
      <c r="CM126" s="164">
        <f>ROUNDUP((1+tech_spy_cost*Techs!AJ126)*spy_plat,0)</f>
        <v>500</v>
      </c>
      <c r="CN126" s="164">
        <f>ROUNDUP((1+tech_wizard_cost*Techs!AM126-MIN(ROUND(wg_wiz_cost_bonus*BN126,4),wg_wiz_cost_cap))*wizard_plat,0)</f>
        <v>500</v>
      </c>
      <c r="CO126" s="166">
        <f>ROUNDUP((1+tech_wizard_cost*Techs!AM126-MIN(ROUND(wg_wiz_cost_bonus*BN126,4),wg_wiz_cost_cap))*archmage_plat,0)</f>
        <v>1000</v>
      </c>
      <c r="CQ126" s="465">
        <f ca="1">Construction!DF126/Construction!E126</f>
        <v>0.28000000000000003</v>
      </c>
      <c r="CR126" s="466">
        <f t="shared" si="178"/>
        <v>0</v>
      </c>
      <c r="CS126" s="466">
        <f>Construction!BK126/Construction!E126</f>
        <v>0.05</v>
      </c>
      <c r="CT126" s="466">
        <f>Construction!BJ126/Construction!E126</f>
        <v>0</v>
      </c>
      <c r="CU126" s="466">
        <f>Construction!AY126/Construction!E126</f>
        <v>0</v>
      </c>
      <c r="CV126" s="487">
        <f t="shared" ca="1" si="211"/>
        <v>1.4000000000000001</v>
      </c>
      <c r="CW126" s="488">
        <f t="shared" ca="1" si="212"/>
        <v>1.4000000000000001</v>
      </c>
      <c r="CX126" s="488">
        <f t="shared" ca="1" si="213"/>
        <v>1.4000000000000001</v>
      </c>
      <c r="CY126" s="489">
        <f t="shared" ca="1" si="214"/>
        <v>1.4000000000000001</v>
      </c>
      <c r="CZ126" s="489">
        <f t="shared" si="215"/>
        <v>0.1</v>
      </c>
      <c r="DA126" s="489">
        <f t="shared" ca="1" si="216"/>
        <v>3</v>
      </c>
      <c r="DB126" s="489">
        <f t="shared" ca="1" si="217"/>
        <v>1.4000000000000001</v>
      </c>
      <c r="DC126" s="488">
        <f t="shared" si="218"/>
        <v>0</v>
      </c>
      <c r="DD126" s="848">
        <f t="shared" si="219"/>
        <v>0</v>
      </c>
      <c r="DE126" s="442">
        <f t="shared" si="179"/>
        <v>800</v>
      </c>
      <c r="DF126" s="442">
        <f t="shared" si="180"/>
        <v>0</v>
      </c>
      <c r="DG126" s="487">
        <f t="shared" ca="1" si="220"/>
        <v>1.4000000000000001</v>
      </c>
      <c r="DH126" s="452">
        <f t="shared" si="221"/>
        <v>9.0000000000000011E-2</v>
      </c>
      <c r="DI126" s="452">
        <f>MIN(valkyrja_cap,Production!O126/valkyrja_bonus)</f>
        <v>1</v>
      </c>
      <c r="DJ126" s="848">
        <f>MIN(voodoo_magi_cap,Production!O126/voodoo_magi_bonus)</f>
        <v>0.83333333333333337</v>
      </c>
      <c r="DK126" s="848">
        <f>MIN(warlock_cap,Production!O126/warlock_bonus)</f>
        <v>1.25</v>
      </c>
      <c r="DL126" s="848">
        <f ca="1">MIN(nox_nightshade_cap,Construction!DF126/Construction!E126/nox_nightshade_swamp_bonus)</f>
        <v>2.8000000000000003</v>
      </c>
      <c r="DM126" s="488">
        <f t="shared" si="222"/>
        <v>0</v>
      </c>
      <c r="DN126" s="489">
        <f t="shared" ca="1" si="223"/>
        <v>2.8000000000000003</v>
      </c>
      <c r="DO126" s="489">
        <f t="shared" ca="1" si="224"/>
        <v>2.8000000000000003</v>
      </c>
      <c r="DP126" s="489">
        <f t="shared" si="225"/>
        <v>1</v>
      </c>
      <c r="DQ126" s="488">
        <f t="shared" si="226"/>
        <v>0</v>
      </c>
      <c r="DR126" s="489">
        <f t="shared" si="227"/>
        <v>0</v>
      </c>
      <c r="DS126" s="488">
        <f t="shared" si="228"/>
        <v>0</v>
      </c>
      <c r="DT126" s="489">
        <f t="shared" si="229"/>
        <v>0.1</v>
      </c>
      <c r="DX126" s="487">
        <f ca="1">MIN(6,CV126+Races!$F$19)*1.8 +  IF(CV126+Races!$F$19&gt;6,(CV126+Races!$F$19-6)*0.2,0) - Races!$N$19</f>
        <v>2.5200000000000005</v>
      </c>
      <c r="DY126" s="488">
        <f ca="1">1.8 * MIN(MAX(CW126+Races!$E$20,CX126+Races!$F$20),6)  +  0.45 * MIN(MIN(CW126+Races!$E$20,CX126+Races!$F$20),6)  +  0.2 * ( MAX(CW126+Races!$E$20-6,0) + MAX(CX126+Races!$F$20-6,0) )  -  Races!$N$20</f>
        <v>3.1500000000000012</v>
      </c>
      <c r="DZ126" s="57">
        <f t="shared" ca="1" si="230"/>
        <v>3780.0000000000009</v>
      </c>
      <c r="EA126" s="666">
        <f ca="1">MIN(6,CY126+Races!$F$35)*1.8 +  IF(CY126+Races!$F$35&gt;6,(CY126+Races!$F$35-6)*0.2,0) - Races!$N$19</f>
        <v>0.72000000000000064</v>
      </c>
      <c r="EB126" s="57">
        <f t="shared" ca="1" si="231"/>
        <v>0</v>
      </c>
      <c r="EC126" s="666">
        <f ca="1">1.8 * MIN(MAX(Races!$E$27,DB126+Races!$F$27),6)  +  0.45 * MIN(MIN(Races!$E$27,DB126+Races!$F$27),6)  +  0.2 * ( MAX(Races!$E$27-6,0) + MAX(DB126+Races!$F$27-6,0) )  -  Races!$N$20</f>
        <v>4.7700000000000005</v>
      </c>
      <c r="ED126" s="57">
        <f t="shared" ca="1" si="232"/>
        <v>0</v>
      </c>
      <c r="EE126" s="666">
        <f>1.8 * MIN(MAX(DC126+Races!$E$47,DD126+Races!$F$47),6)  +  0.45 * MIN(MIN(DC126+Races!$E$47,DD126+Races!$F$47),6)  +  0.2 * ( MAX(DC126+Races!$E$47-6,0) + MAX(DD126+Races!$F$47-6,0) )  -  Races!$N$47</f>
        <v>0</v>
      </c>
      <c r="EF126" s="57">
        <f t="shared" si="233"/>
        <v>0</v>
      </c>
      <c r="EG126" s="666">
        <f ca="1">1.8 * MIN(MAX(DG126+Races!$F$71,Races!$E$71),6)  +  0.45 * MIN(MIN(DG126+Races!$F$71,Races!$E$71),6)  +  0.2 * ( MAX(DG126+Races!$F$71-6,0) + MAX(Races!$E$71-6,0) )  -  Races!$N$71</f>
        <v>2.5200000000000014</v>
      </c>
      <c r="EH126" s="666">
        <f>1.8 * MIN(MAX(DH126+Races!$E$71,Races!$F$71),6)  +  0.45 * MIN(MIN(DH126+Races!$E$71,Races!$F$71),6)  +  0.2 * ( MAX(DH126+Races!$E$71-6,0) + MAX(Races!$F$71-6,0) )  -  Races!$N$71</f>
        <v>0.16200000000000081</v>
      </c>
      <c r="EI126" s="57">
        <f t="shared" ca="1" si="234"/>
        <v>2584.8000000000015</v>
      </c>
      <c r="EJ126" s="57"/>
      <c r="EK126" s="57"/>
      <c r="EL126" s="57"/>
      <c r="EM126" s="57">
        <f ca="1">Overview!$L$22*E126+Overview!$L$23*F126+Overview!$L$24*G126+Overview!$L$25*H126+Overview!$L$26*I126+Overview!$L$27*J126+Overview!$L$28*K126+Construction!E126*20+Construction!B126*5 + DZ126*$DV$4+EB126*$DV$5+ED126*$DV$6+EF126*$DV$7+EI126*$DV$9</f>
        <v>39460</v>
      </c>
      <c r="EO126" s="738">
        <f>(J126+2*K126)/Construction!E126</f>
        <v>0.1</v>
      </c>
      <c r="EP126" s="734">
        <f ca="1">EO126*(1+race_wizard_strength+tech_magical_weaponry_wiz*Techs!AV198)</f>
        <v>0.1</v>
      </c>
      <c r="EQ126" s="16">
        <f>(I126+halfer*H126/3)/Construction!E126</f>
        <v>0.1</v>
      </c>
    </row>
    <row r="127" spans="1:147" s="16" customFormat="1">
      <c r="A127" s="629">
        <f>Rezone!J127</f>
        <v>125</v>
      </c>
      <c r="B127" s="56">
        <f ca="1">SUM(E127:K127)+SUM(AF119:AG127)+SUM(AH116:AL127)+Z127+Explore!AL127</f>
        <v>5295</v>
      </c>
      <c r="C127" s="97">
        <f ca="1">Population!G127</f>
        <v>0.57305194805194803</v>
      </c>
      <c r="E127" s="52">
        <f t="shared" si="235"/>
        <v>0</v>
      </c>
      <c r="F127" s="16">
        <f t="shared" si="236"/>
        <v>0</v>
      </c>
      <c r="G127" s="16">
        <f t="shared" si="237"/>
        <v>1000</v>
      </c>
      <c r="H127" s="16">
        <f t="shared" si="238"/>
        <v>400</v>
      </c>
      <c r="I127" s="16">
        <f t="shared" si="239"/>
        <v>100</v>
      </c>
      <c r="J127" s="16">
        <f t="shared" si="240"/>
        <v>100</v>
      </c>
      <c r="K127" s="53">
        <f t="shared" si="241"/>
        <v>0</v>
      </c>
      <c r="M127" s="64">
        <f ca="1">Production!G127</f>
        <v>39460</v>
      </c>
      <c r="O127" s="142">
        <f t="shared" ca="1" si="192"/>
        <v>4400</v>
      </c>
      <c r="P127" s="455">
        <f ca="1">race_offense+Imps!AB127+ROUND(MIN(gn_bonus*Construction!BF127/Construction!$E127,gn_bonus_cap),4)+MAX(IF(Magic!$AN127&gt;0,warsong_bonus),IF(Magic!AP127&gt;0,howling_op_bonus),IF(Magic!AS127&gt;0,nightfall_bonus),IF(Magic!AT127&gt;0,crusade_bonus),IF(Magic!AU127&gt;0,killingrage_bonus),IF(Magic!AV127&gt;0,bloodrage_bonus)) + Production!O127/100*prestige_offense_bonus + MAX(tech_military_offense*Techs!AH127,tech_magical_weaponry_op*Techs!AV127)</f>
        <v>0.05</v>
      </c>
      <c r="Q127" s="235">
        <f t="shared" ca="1" si="168"/>
        <v>4620</v>
      </c>
      <c r="R127" s="234">
        <f ca="1">F127*(spec_dp+spirit*DR127)+G127*(elite1_dp+woodie*CV127+sylvan*CY127+gnome*DB127+dark_elf*DD127+icekin*DG127+orc*DJ127+nox*DL127+beast*DN127+sacred*DP127+spirit*DS127+blackorc*DK127)+H127*(elite2_dp+woodie*CX127+beast*DO127+sacred*DQ127) + fh_peas_dp*MIN(Population!C127,20*Construction!BD127)+kobold*DE127</f>
        <v>7200</v>
      </c>
      <c r="S127" s="235">
        <f t="shared" ca="1" si="193"/>
        <v>10895</v>
      </c>
      <c r="T127" s="1052">
        <f ca="1">race_defense+Imps!AC127+ROUND(MIN(gt_bonus*Construction!BH127/Construction!$E127,gt_bonus_cap),4)+MAX(IF(Magic!AM127&gt;0,frenzy_bonus,IF(Magic!AQ127&gt;0,blizzard_bonus,IF(Magic!AP127&gt;0,howling_dp_bonus,IF(Magic!AI127&gt;0,ares_call_bonus)))),IF(Magic!AX127&gt;0,MIN(Construction!DF127/Construction!E127,0.2),0))</f>
        <v>0</v>
      </c>
      <c r="U127" s="1046">
        <f t="shared" ca="1" si="169"/>
        <v>7200</v>
      </c>
      <c r="V127" s="310">
        <f t="shared" ca="1" si="170"/>
        <v>10895</v>
      </c>
      <c r="W127" s="310">
        <f>Construction!E127</f>
        <v>1000</v>
      </c>
      <c r="X127" s="367"/>
      <c r="Y127" s="146">
        <f t="shared" si="191"/>
        <v>0.4</v>
      </c>
      <c r="Z127" s="166">
        <f ca="1">Z126+Population!Z126 - IF(race="Lux",AF127,SUM(AF127:AK127)) - BE127 + SUM(BF127:BL127) - Explore!AI127</f>
        <v>3695</v>
      </c>
      <c r="AA127" s="164"/>
      <c r="AB127" s="91">
        <f>(Construction!$BA127+Construction!BY127)/(Construction!$E127-Explore!S127*20)</f>
        <v>0.2</v>
      </c>
      <c r="AC127" s="529"/>
      <c r="AD127" s="799">
        <f>Rezone!J127</f>
        <v>125</v>
      </c>
      <c r="AE127" s="589">
        <f>Explore!AA127</f>
        <v>43697.166666666366</v>
      </c>
      <c r="AF127" s="356"/>
      <c r="AG127" s="348"/>
      <c r="AH127" s="348"/>
      <c r="AI127" s="348"/>
      <c r="AJ127" s="348"/>
      <c r="AK127" s="348"/>
      <c r="AL127" s="357"/>
      <c r="AN127" s="56">
        <f ca="1">Production!$H127</f>
        <v>4268235</v>
      </c>
      <c r="AO127" s="26">
        <f ca="1">Production!$L127</f>
        <v>231000</v>
      </c>
      <c r="AP127" s="26">
        <f ca="1">Production!J127</f>
        <v>265065</v>
      </c>
      <c r="AQ127" s="26">
        <f ca="1">Production!M127</f>
        <v>20000</v>
      </c>
      <c r="AR127" s="26">
        <f ca="1">Production!K127</f>
        <v>59030</v>
      </c>
      <c r="AS127" s="26">
        <f ca="1">Production!I127</f>
        <v>347199</v>
      </c>
      <c r="AT127" s="26">
        <f ca="1">Production!N127</f>
        <v>200</v>
      </c>
      <c r="AU127" s="152">
        <f t="shared" ca="1" si="194"/>
        <v>0</v>
      </c>
      <c r="AV127" s="164">
        <f t="shared" ca="1" si="195"/>
        <v>0</v>
      </c>
      <c r="AW127" s="164">
        <f t="shared" ca="1" si="171"/>
        <v>0</v>
      </c>
      <c r="AX127" s="164">
        <f t="shared" ca="1" si="172"/>
        <v>0</v>
      </c>
      <c r="AY127" s="164">
        <f t="shared" ca="1" si="173"/>
        <v>0</v>
      </c>
      <c r="AZ127" s="164">
        <f t="shared" ca="1" si="174"/>
        <v>0</v>
      </c>
      <c r="BA127" s="166">
        <f t="shared" ca="1" si="175"/>
        <v>0</v>
      </c>
      <c r="BB127" s="16">
        <v>53</v>
      </c>
      <c r="BC127" s="574">
        <f t="shared" si="176"/>
        <v>43697.166666666366</v>
      </c>
      <c r="BD127" s="148">
        <f t="shared" ca="1" si="177"/>
        <v>3695</v>
      </c>
      <c r="BE127" s="356"/>
      <c r="BF127" s="348"/>
      <c r="BG127" s="348"/>
      <c r="BH127" s="348"/>
      <c r="BI127" s="348"/>
      <c r="BJ127" s="348"/>
      <c r="BK127" s="348"/>
      <c r="BL127" s="357"/>
      <c r="BN127" s="503">
        <f>Construction!BM127/Construction!E127</f>
        <v>0</v>
      </c>
      <c r="BO127" s="171">
        <f>Construction!BD127/Construction!E127</f>
        <v>0</v>
      </c>
      <c r="BP127" s="152">
        <f>ROUNDUP((1-MIN(AB127*smithy_bonus,smithy_bonus_cap))*(1+Techs!AO127*tech_master_of_frugality)*spec_op_plat,0)</f>
        <v>165</v>
      </c>
      <c r="BQ127" s="164">
        <f>ROUNDUP(IF(race="Gnome",1,(1-MIN(AB127*smithy_bonus,smithy_bonus_cap))*(1+Techs!AO127*tech_master_of_frugality))*spec_op_ore,0)</f>
        <v>15</v>
      </c>
      <c r="BR127" s="164">
        <f t="shared" si="196"/>
        <v>0</v>
      </c>
      <c r="BS127" s="164">
        <f t="shared" si="197"/>
        <v>0</v>
      </c>
      <c r="BT127" s="164">
        <f ca="1">ROUNDUP((1-MIN(AB127*smithy_bonus,smithy_bonus_cap))*(1+Techs!AO127*tech_master_of_frugality)*spec_dp_plat,0)</f>
        <v>165</v>
      </c>
      <c r="BU127" s="164">
        <f ca="1">ROUNDUP(IF(OR(race="Gnome",race="Imperial Gnome"),1,(1-MIN(AB127*smithy_bonus,smithy_bonus_cap))*(1+Techs!AO127*tech_master_of_frugality))*spec_dp_ore,0)</f>
        <v>6</v>
      </c>
      <c r="BV127" s="164">
        <f t="shared" ca="1" si="198"/>
        <v>0</v>
      </c>
      <c r="BW127" s="164">
        <f t="shared" ca="1" si="199"/>
        <v>0</v>
      </c>
      <c r="BX127" s="164">
        <f t="shared" ca="1" si="200"/>
        <v>0</v>
      </c>
      <c r="BY127" s="164">
        <f ca="1">ROUNDUP((1-MIN(AB127*smithy_bonus,smithy_bonus_cap))*(1+Techs!AO127*tech_master_of_frugality)*elite1_plat,0)</f>
        <v>600</v>
      </c>
      <c r="BZ127" s="164">
        <f ca="1">ROUNDUP(IF(race="Gnome",1,(1-MIN(AB127*smithy_bonus,smithy_bonus_cap))*(1+Techs!AO127*tech_master_of_frugality))*elite1_ore,0)</f>
        <v>45</v>
      </c>
      <c r="CA127" s="164">
        <f t="shared" ca="1" si="201"/>
        <v>0</v>
      </c>
      <c r="CB127" s="164">
        <f t="shared" ca="1" si="202"/>
        <v>0</v>
      </c>
      <c r="CC127" s="164">
        <f t="shared" ca="1" si="203"/>
        <v>0</v>
      </c>
      <c r="CD127" s="164">
        <f t="shared" ca="1" si="204"/>
        <v>0</v>
      </c>
      <c r="CE127" s="164">
        <f t="shared" ca="1" si="205"/>
        <v>0</v>
      </c>
      <c r="CF127" s="164">
        <f ca="1">ROUNDUP((1-MIN(AB127*smithy_bonus,smithy_bonus_cap))*(1+Techs!AO127*tech_master_of_frugality)*elite2_plat,0)</f>
        <v>750</v>
      </c>
      <c r="CG127" s="164">
        <f ca="1">ROUNDUP(IF(race="Gnome",1,(1-MIN(AB127*smithy_bonus,smithy_bonus_cap))*(1+Techs!AO127*tech_master_of_frugality))*elite2_ore,0)</f>
        <v>60</v>
      </c>
      <c r="CH127" s="164">
        <f t="shared" ca="1" si="206"/>
        <v>0</v>
      </c>
      <c r="CI127" s="164">
        <f t="shared" ca="1" si="207"/>
        <v>0</v>
      </c>
      <c r="CJ127" s="164">
        <f t="shared" ca="1" si="208"/>
        <v>0</v>
      </c>
      <c r="CK127" s="164">
        <f t="shared" ca="1" si="209"/>
        <v>0</v>
      </c>
      <c r="CL127" s="164">
        <f t="shared" ca="1" si="210"/>
        <v>0</v>
      </c>
      <c r="CM127" s="164">
        <f>ROUNDUP((1+tech_spy_cost*Techs!AJ127)*spy_plat,0)</f>
        <v>500</v>
      </c>
      <c r="CN127" s="164">
        <f>ROUNDUP((1+tech_wizard_cost*Techs!AM127-MIN(ROUND(wg_wiz_cost_bonus*BN127,4),wg_wiz_cost_cap))*wizard_plat,0)</f>
        <v>500</v>
      </c>
      <c r="CO127" s="166">
        <f>ROUNDUP((1+tech_wizard_cost*Techs!AM127-MIN(ROUND(wg_wiz_cost_bonus*BN127,4),wg_wiz_cost_cap))*archmage_plat,0)</f>
        <v>1000</v>
      </c>
      <c r="CQ127" s="465">
        <f ca="1">Construction!DF127/Construction!E127</f>
        <v>0.28000000000000003</v>
      </c>
      <c r="CR127" s="466">
        <f t="shared" si="178"/>
        <v>0</v>
      </c>
      <c r="CS127" s="466">
        <f>Construction!BK127/Construction!E127</f>
        <v>0.05</v>
      </c>
      <c r="CT127" s="466">
        <f>Construction!BJ127/Construction!E127</f>
        <v>0</v>
      </c>
      <c r="CU127" s="466">
        <f>Construction!AY127/Construction!E127</f>
        <v>0</v>
      </c>
      <c r="CV127" s="487">
        <f t="shared" ca="1" si="211"/>
        <v>1.4000000000000001</v>
      </c>
      <c r="CW127" s="488">
        <f t="shared" ca="1" si="212"/>
        <v>1.4000000000000001</v>
      </c>
      <c r="CX127" s="488">
        <f t="shared" ca="1" si="213"/>
        <v>1.4000000000000001</v>
      </c>
      <c r="CY127" s="489">
        <f t="shared" ca="1" si="214"/>
        <v>1.4000000000000001</v>
      </c>
      <c r="CZ127" s="489">
        <f t="shared" si="215"/>
        <v>0.1</v>
      </c>
      <c r="DA127" s="489">
        <f t="shared" ca="1" si="216"/>
        <v>3</v>
      </c>
      <c r="DB127" s="489">
        <f t="shared" ca="1" si="217"/>
        <v>1.4000000000000001</v>
      </c>
      <c r="DC127" s="488">
        <f t="shared" si="218"/>
        <v>0</v>
      </c>
      <c r="DD127" s="848">
        <f t="shared" si="219"/>
        <v>0</v>
      </c>
      <c r="DE127" s="442">
        <f t="shared" si="179"/>
        <v>800</v>
      </c>
      <c r="DF127" s="442">
        <f t="shared" si="180"/>
        <v>0</v>
      </c>
      <c r="DG127" s="487">
        <f t="shared" ca="1" si="220"/>
        <v>1.4000000000000001</v>
      </c>
      <c r="DH127" s="452">
        <f t="shared" si="221"/>
        <v>9.0000000000000011E-2</v>
      </c>
      <c r="DI127" s="452">
        <f>MIN(valkyrja_cap,Production!O127/valkyrja_bonus)</f>
        <v>1</v>
      </c>
      <c r="DJ127" s="848">
        <f>MIN(voodoo_magi_cap,Production!O127/voodoo_magi_bonus)</f>
        <v>0.83333333333333337</v>
      </c>
      <c r="DK127" s="848">
        <f>MIN(warlock_cap,Production!O127/warlock_bonus)</f>
        <v>1.25</v>
      </c>
      <c r="DL127" s="848">
        <f ca="1">MIN(nox_nightshade_cap,Construction!DF127/Construction!E127/nox_nightshade_swamp_bonus)</f>
        <v>2.8000000000000003</v>
      </c>
      <c r="DM127" s="488">
        <f t="shared" si="222"/>
        <v>0</v>
      </c>
      <c r="DN127" s="489">
        <f t="shared" ca="1" si="223"/>
        <v>2.8000000000000003</v>
      </c>
      <c r="DO127" s="489">
        <f t="shared" ca="1" si="224"/>
        <v>2.8000000000000003</v>
      </c>
      <c r="DP127" s="489">
        <f t="shared" si="225"/>
        <v>1</v>
      </c>
      <c r="DQ127" s="488">
        <f t="shared" si="226"/>
        <v>0</v>
      </c>
      <c r="DR127" s="489">
        <f t="shared" si="227"/>
        <v>0</v>
      </c>
      <c r="DS127" s="488">
        <f t="shared" si="228"/>
        <v>0</v>
      </c>
      <c r="DT127" s="489">
        <f t="shared" si="229"/>
        <v>0.1</v>
      </c>
      <c r="DX127" s="487">
        <f ca="1">MIN(6,CV127+Races!$F$19)*1.8 +  IF(CV127+Races!$F$19&gt;6,(CV127+Races!$F$19-6)*0.2,0) - Races!$N$19</f>
        <v>2.5200000000000005</v>
      </c>
      <c r="DY127" s="488">
        <f ca="1">1.8 * MIN(MAX(CW127+Races!$E$20,CX127+Races!$F$20),6)  +  0.45 * MIN(MIN(CW127+Races!$E$20,CX127+Races!$F$20),6)  +  0.2 * ( MAX(CW127+Races!$E$20-6,0) + MAX(CX127+Races!$F$20-6,0) )  -  Races!$N$20</f>
        <v>3.1500000000000012</v>
      </c>
      <c r="DZ127" s="57">
        <f t="shared" ca="1" si="230"/>
        <v>3780.0000000000009</v>
      </c>
      <c r="EA127" s="666">
        <f ca="1">MIN(6,CY127+Races!$F$35)*1.8 +  IF(CY127+Races!$F$35&gt;6,(CY127+Races!$F$35-6)*0.2,0) - Races!$N$19</f>
        <v>0.72000000000000064</v>
      </c>
      <c r="EB127" s="57">
        <f t="shared" ca="1" si="231"/>
        <v>0</v>
      </c>
      <c r="EC127" s="666">
        <f ca="1">1.8 * MIN(MAX(Races!$E$27,DB127+Races!$F$27),6)  +  0.45 * MIN(MIN(Races!$E$27,DB127+Races!$F$27),6)  +  0.2 * ( MAX(Races!$E$27-6,0) + MAX(DB127+Races!$F$27-6,0) )  -  Races!$N$20</f>
        <v>4.7700000000000005</v>
      </c>
      <c r="ED127" s="57">
        <f t="shared" ca="1" si="232"/>
        <v>0</v>
      </c>
      <c r="EE127" s="666">
        <f>1.8 * MIN(MAX(DC127+Races!$E$47,DD127+Races!$F$47),6)  +  0.45 * MIN(MIN(DC127+Races!$E$47,DD127+Races!$F$47),6)  +  0.2 * ( MAX(DC127+Races!$E$47-6,0) + MAX(DD127+Races!$F$47-6,0) )  -  Races!$N$47</f>
        <v>0</v>
      </c>
      <c r="EF127" s="57">
        <f t="shared" si="233"/>
        <v>0</v>
      </c>
      <c r="EG127" s="666">
        <f ca="1">1.8 * MIN(MAX(DG127+Races!$F$71,Races!$E$71),6)  +  0.45 * MIN(MIN(DG127+Races!$F$71,Races!$E$71),6)  +  0.2 * ( MAX(DG127+Races!$F$71-6,0) + MAX(Races!$E$71-6,0) )  -  Races!$N$71</f>
        <v>2.5200000000000014</v>
      </c>
      <c r="EH127" s="666">
        <f>1.8 * MIN(MAX(DH127+Races!$E$71,Races!$F$71),6)  +  0.45 * MIN(MIN(DH127+Races!$E$71,Races!$F$71),6)  +  0.2 * ( MAX(DH127+Races!$E$71-6,0) + MAX(Races!$F$71-6,0) )  -  Races!$N$71</f>
        <v>0.16200000000000081</v>
      </c>
      <c r="EI127" s="57">
        <f t="shared" ca="1" si="234"/>
        <v>2584.8000000000015</v>
      </c>
      <c r="EJ127" s="57"/>
      <c r="EK127" s="57"/>
      <c r="EL127" s="57"/>
      <c r="EM127" s="57">
        <f ca="1">Overview!$L$22*E127+Overview!$L$23*F127+Overview!$L$24*G127+Overview!$L$25*H127+Overview!$L$26*I127+Overview!$L$27*J127+Overview!$L$28*K127+Construction!E127*20+Construction!B127*5 + DZ127*$DV$4+EB127*$DV$5+ED127*$DV$6+EF127*$DV$7+EI127*$DV$9</f>
        <v>39460</v>
      </c>
      <c r="EO127" s="738">
        <f>(J127+2*K127)/Construction!E127</f>
        <v>0.1</v>
      </c>
      <c r="EP127" s="734">
        <f ca="1">EO127*(1+race_wizard_strength+tech_magical_weaponry_wiz*Techs!AV199)</f>
        <v>0.1</v>
      </c>
      <c r="EQ127" s="16">
        <f>(I127+halfer*H127/3)/Construction!E127</f>
        <v>0.1</v>
      </c>
    </row>
    <row r="128" spans="1:147" s="16" customFormat="1">
      <c r="A128" s="629">
        <f>Rezone!J128</f>
        <v>126</v>
      </c>
      <c r="B128" s="56">
        <f ca="1">SUM(E128:K128)+SUM(AF120:AG128)+SUM(AH117:AL128)+Z128+Explore!AL128</f>
        <v>5295</v>
      </c>
      <c r="C128" s="97">
        <f ca="1">Population!G128</f>
        <v>0.57305194805194803</v>
      </c>
      <c r="E128" s="52">
        <f t="shared" si="235"/>
        <v>0</v>
      </c>
      <c r="F128" s="16">
        <f t="shared" si="236"/>
        <v>0</v>
      </c>
      <c r="G128" s="16">
        <f t="shared" si="237"/>
        <v>1000</v>
      </c>
      <c r="H128" s="16">
        <f t="shared" si="238"/>
        <v>400</v>
      </c>
      <c r="I128" s="16">
        <f t="shared" si="239"/>
        <v>100</v>
      </c>
      <c r="J128" s="16">
        <f t="shared" si="240"/>
        <v>100</v>
      </c>
      <c r="K128" s="53">
        <f t="shared" si="241"/>
        <v>0</v>
      </c>
      <c r="M128" s="64">
        <f ca="1">Production!G128</f>
        <v>39460</v>
      </c>
      <c r="O128" s="142">
        <f t="shared" ca="1" si="192"/>
        <v>4400</v>
      </c>
      <c r="P128" s="455">
        <f ca="1">race_offense+Imps!AB128+ROUND(MIN(gn_bonus*Construction!BF128/Construction!$E128,gn_bonus_cap),4)+MAX(IF(Magic!$AN128&gt;0,warsong_bonus),IF(Magic!AP128&gt;0,howling_op_bonus),IF(Magic!AS128&gt;0,nightfall_bonus),IF(Magic!AT128&gt;0,crusade_bonus),IF(Magic!AU128&gt;0,killingrage_bonus),IF(Magic!AV128&gt;0,bloodrage_bonus)) + Production!O128/100*prestige_offense_bonus + MAX(tech_military_offense*Techs!AH128,tech_magical_weaponry_op*Techs!AV128)</f>
        <v>0.05</v>
      </c>
      <c r="Q128" s="235">
        <f t="shared" ca="1" si="168"/>
        <v>4620</v>
      </c>
      <c r="R128" s="234">
        <f ca="1">F128*(spec_dp+spirit*DR128)+G128*(elite1_dp+woodie*CV128+sylvan*CY128+gnome*DB128+dark_elf*DD128+icekin*DG128+orc*DJ128+nox*DL128+beast*DN128+sacred*DP128+spirit*DS128+blackorc*DK128)+H128*(elite2_dp+woodie*CX128+beast*DO128+sacred*DQ128) + fh_peas_dp*MIN(Population!C128,20*Construction!BD128)+kobold*DE128</f>
        <v>7200</v>
      </c>
      <c r="S128" s="235">
        <f t="shared" ca="1" si="193"/>
        <v>10895</v>
      </c>
      <c r="T128" s="1052">
        <f ca="1">race_defense+Imps!AC128+ROUND(MIN(gt_bonus*Construction!BH128/Construction!$E128,gt_bonus_cap),4)+MAX(IF(Magic!AM128&gt;0,frenzy_bonus,IF(Magic!AQ128&gt;0,blizzard_bonus,IF(Magic!AP128&gt;0,howling_dp_bonus,IF(Magic!AI128&gt;0,ares_call_bonus)))),IF(Magic!AX128&gt;0,MIN(Construction!DF128/Construction!E128,0.2),0))</f>
        <v>0</v>
      </c>
      <c r="U128" s="1046">
        <f t="shared" ca="1" si="169"/>
        <v>7200</v>
      </c>
      <c r="V128" s="310">
        <f t="shared" ca="1" si="170"/>
        <v>10895</v>
      </c>
      <c r="W128" s="310">
        <f>Construction!E128</f>
        <v>1000</v>
      </c>
      <c r="X128" s="367"/>
      <c r="Y128" s="146">
        <f t="shared" si="191"/>
        <v>0.4</v>
      </c>
      <c r="Z128" s="166">
        <f ca="1">Z127+Population!Z127 - IF(race="Lux",AF128,SUM(AF128:AK128)) - BE128 + SUM(BF128:BL128) - Explore!AI128</f>
        <v>3695</v>
      </c>
      <c r="AA128" s="164"/>
      <c r="AB128" s="91">
        <f>(Construction!$BA128+Construction!BY128)/(Construction!$E128-Explore!S128*20)</f>
        <v>0.2</v>
      </c>
      <c r="AC128" s="529"/>
      <c r="AD128" s="799">
        <f>Rezone!J128</f>
        <v>126</v>
      </c>
      <c r="AE128" s="589">
        <f>Explore!AA128</f>
        <v>43697.20833333303</v>
      </c>
      <c r="AF128" s="356"/>
      <c r="AG128" s="348"/>
      <c r="AH128" s="348"/>
      <c r="AI128" s="348"/>
      <c r="AJ128" s="348"/>
      <c r="AK128" s="348"/>
      <c r="AL128" s="357"/>
      <c r="AN128" s="56">
        <f ca="1">Production!$H128</f>
        <v>4278886</v>
      </c>
      <c r="AO128" s="26">
        <f ca="1">Production!$L128</f>
        <v>231000</v>
      </c>
      <c r="AP128" s="26">
        <f ca="1">Production!J128</f>
        <v>264914</v>
      </c>
      <c r="AQ128" s="26">
        <f ca="1">Production!M128</f>
        <v>20000</v>
      </c>
      <c r="AR128" s="26">
        <f ca="1">Production!K128</f>
        <v>59099</v>
      </c>
      <c r="AS128" s="26">
        <f ca="1">Production!I128</f>
        <v>348457</v>
      </c>
      <c r="AT128" s="26">
        <f ca="1">Production!N128</f>
        <v>200</v>
      </c>
      <c r="AU128" s="152">
        <f t="shared" ca="1" si="194"/>
        <v>0</v>
      </c>
      <c r="AV128" s="164">
        <f t="shared" ca="1" si="195"/>
        <v>0</v>
      </c>
      <c r="AW128" s="164">
        <f t="shared" ca="1" si="171"/>
        <v>0</v>
      </c>
      <c r="AX128" s="164">
        <f t="shared" ca="1" si="172"/>
        <v>0</v>
      </c>
      <c r="AY128" s="164">
        <f t="shared" ca="1" si="173"/>
        <v>0</v>
      </c>
      <c r="AZ128" s="164">
        <f t="shared" ca="1" si="174"/>
        <v>0</v>
      </c>
      <c r="BA128" s="166">
        <f t="shared" ca="1" si="175"/>
        <v>0</v>
      </c>
      <c r="BB128" s="16">
        <v>54</v>
      </c>
      <c r="BC128" s="574">
        <f t="shared" si="176"/>
        <v>43697.20833333303</v>
      </c>
      <c r="BD128" s="148">
        <f t="shared" ca="1" si="177"/>
        <v>3695</v>
      </c>
      <c r="BE128" s="356"/>
      <c r="BF128" s="348"/>
      <c r="BG128" s="348"/>
      <c r="BH128" s="348"/>
      <c r="BI128" s="348"/>
      <c r="BJ128" s="348"/>
      <c r="BK128" s="348"/>
      <c r="BL128" s="357"/>
      <c r="BN128" s="503">
        <f>Construction!BM128/Construction!E128</f>
        <v>0</v>
      </c>
      <c r="BO128" s="171">
        <f>Construction!BD128/Construction!E128</f>
        <v>0</v>
      </c>
      <c r="BP128" s="152">
        <f>ROUNDUP((1-MIN(AB128*smithy_bonus,smithy_bonus_cap))*(1+Techs!AO128*tech_master_of_frugality)*spec_op_plat,0)</f>
        <v>165</v>
      </c>
      <c r="BQ128" s="164">
        <f>ROUNDUP(IF(race="Gnome",1,(1-MIN(AB128*smithy_bonus,smithy_bonus_cap))*(1+Techs!AO128*tech_master_of_frugality))*spec_op_ore,0)</f>
        <v>15</v>
      </c>
      <c r="BR128" s="164">
        <f t="shared" si="196"/>
        <v>0</v>
      </c>
      <c r="BS128" s="164">
        <f t="shared" si="197"/>
        <v>0</v>
      </c>
      <c r="BT128" s="164">
        <f ca="1">ROUNDUP((1-MIN(AB128*smithy_bonus,smithy_bonus_cap))*(1+Techs!AO128*tech_master_of_frugality)*spec_dp_plat,0)</f>
        <v>165</v>
      </c>
      <c r="BU128" s="164">
        <f ca="1">ROUNDUP(IF(OR(race="Gnome",race="Imperial Gnome"),1,(1-MIN(AB128*smithy_bonus,smithy_bonus_cap))*(1+Techs!AO128*tech_master_of_frugality))*spec_dp_ore,0)</f>
        <v>6</v>
      </c>
      <c r="BV128" s="164">
        <f t="shared" ca="1" si="198"/>
        <v>0</v>
      </c>
      <c r="BW128" s="164">
        <f t="shared" ca="1" si="199"/>
        <v>0</v>
      </c>
      <c r="BX128" s="164">
        <f t="shared" ca="1" si="200"/>
        <v>0</v>
      </c>
      <c r="BY128" s="164">
        <f ca="1">ROUNDUP((1-MIN(AB128*smithy_bonus,smithy_bonus_cap))*(1+Techs!AO128*tech_master_of_frugality)*elite1_plat,0)</f>
        <v>600</v>
      </c>
      <c r="BZ128" s="164">
        <f ca="1">ROUNDUP(IF(race="Gnome",1,(1-MIN(AB128*smithy_bonus,smithy_bonus_cap))*(1+Techs!AO128*tech_master_of_frugality))*elite1_ore,0)</f>
        <v>45</v>
      </c>
      <c r="CA128" s="164">
        <f t="shared" ca="1" si="201"/>
        <v>0</v>
      </c>
      <c r="CB128" s="164">
        <f t="shared" ca="1" si="202"/>
        <v>0</v>
      </c>
      <c r="CC128" s="164">
        <f t="shared" ca="1" si="203"/>
        <v>0</v>
      </c>
      <c r="CD128" s="164">
        <f t="shared" ca="1" si="204"/>
        <v>0</v>
      </c>
      <c r="CE128" s="164">
        <f t="shared" ca="1" si="205"/>
        <v>0</v>
      </c>
      <c r="CF128" s="164">
        <f ca="1">ROUNDUP((1-MIN(AB128*smithy_bonus,smithy_bonus_cap))*(1+Techs!AO128*tech_master_of_frugality)*elite2_plat,0)</f>
        <v>750</v>
      </c>
      <c r="CG128" s="164">
        <f ca="1">ROUNDUP(IF(race="Gnome",1,(1-MIN(AB128*smithy_bonus,smithy_bonus_cap))*(1+Techs!AO128*tech_master_of_frugality))*elite2_ore,0)</f>
        <v>60</v>
      </c>
      <c r="CH128" s="164">
        <f t="shared" ca="1" si="206"/>
        <v>0</v>
      </c>
      <c r="CI128" s="164">
        <f t="shared" ca="1" si="207"/>
        <v>0</v>
      </c>
      <c r="CJ128" s="164">
        <f t="shared" ca="1" si="208"/>
        <v>0</v>
      </c>
      <c r="CK128" s="164">
        <f t="shared" ca="1" si="209"/>
        <v>0</v>
      </c>
      <c r="CL128" s="164">
        <f t="shared" ca="1" si="210"/>
        <v>0</v>
      </c>
      <c r="CM128" s="164">
        <f>ROUNDUP((1+tech_spy_cost*Techs!AJ128)*spy_plat,0)</f>
        <v>500</v>
      </c>
      <c r="CN128" s="164">
        <f>ROUNDUP((1+tech_wizard_cost*Techs!AM128-MIN(ROUND(wg_wiz_cost_bonus*BN128,4),wg_wiz_cost_cap))*wizard_plat,0)</f>
        <v>500</v>
      </c>
      <c r="CO128" s="166">
        <f>ROUNDUP((1+tech_wizard_cost*Techs!AM128-MIN(ROUND(wg_wiz_cost_bonus*BN128,4),wg_wiz_cost_cap))*archmage_plat,0)</f>
        <v>1000</v>
      </c>
      <c r="CQ128" s="465">
        <f ca="1">Construction!DF128/Construction!E128</f>
        <v>0.28000000000000003</v>
      </c>
      <c r="CR128" s="466">
        <f t="shared" si="178"/>
        <v>0</v>
      </c>
      <c r="CS128" s="466">
        <f>Construction!BK128/Construction!E128</f>
        <v>0.05</v>
      </c>
      <c r="CT128" s="466">
        <f>Construction!BJ128/Construction!E128</f>
        <v>0</v>
      </c>
      <c r="CU128" s="466">
        <f>Construction!AY128/Construction!E128</f>
        <v>0</v>
      </c>
      <c r="CV128" s="487">
        <f t="shared" ca="1" si="211"/>
        <v>1.4000000000000001</v>
      </c>
      <c r="CW128" s="488">
        <f t="shared" ca="1" si="212"/>
        <v>1.4000000000000001</v>
      </c>
      <c r="CX128" s="488">
        <f t="shared" ca="1" si="213"/>
        <v>1.4000000000000001</v>
      </c>
      <c r="CY128" s="489">
        <f t="shared" ca="1" si="214"/>
        <v>1.4000000000000001</v>
      </c>
      <c r="CZ128" s="489">
        <f t="shared" si="215"/>
        <v>0.1</v>
      </c>
      <c r="DA128" s="489">
        <f t="shared" ca="1" si="216"/>
        <v>3</v>
      </c>
      <c r="DB128" s="489">
        <f t="shared" ca="1" si="217"/>
        <v>1.4000000000000001</v>
      </c>
      <c r="DC128" s="488">
        <f t="shared" si="218"/>
        <v>0</v>
      </c>
      <c r="DD128" s="848">
        <f t="shared" si="219"/>
        <v>0</v>
      </c>
      <c r="DE128" s="442">
        <f t="shared" si="179"/>
        <v>800</v>
      </c>
      <c r="DF128" s="442">
        <f t="shared" si="180"/>
        <v>0</v>
      </c>
      <c r="DG128" s="487">
        <f t="shared" ca="1" si="220"/>
        <v>1.4000000000000001</v>
      </c>
      <c r="DH128" s="452">
        <f t="shared" si="221"/>
        <v>9.0000000000000011E-2</v>
      </c>
      <c r="DI128" s="452">
        <f>MIN(valkyrja_cap,Production!O128/valkyrja_bonus)</f>
        <v>1</v>
      </c>
      <c r="DJ128" s="848">
        <f>MIN(voodoo_magi_cap,Production!O128/voodoo_magi_bonus)</f>
        <v>0.83333333333333337</v>
      </c>
      <c r="DK128" s="848">
        <f>MIN(warlock_cap,Production!O128/warlock_bonus)</f>
        <v>1.25</v>
      </c>
      <c r="DL128" s="848">
        <f ca="1">MIN(nox_nightshade_cap,Construction!DF128/Construction!E128/nox_nightshade_swamp_bonus)</f>
        <v>2.8000000000000003</v>
      </c>
      <c r="DM128" s="488">
        <f t="shared" si="222"/>
        <v>0</v>
      </c>
      <c r="DN128" s="489">
        <f t="shared" ca="1" si="223"/>
        <v>2.8000000000000003</v>
      </c>
      <c r="DO128" s="489">
        <f t="shared" ca="1" si="224"/>
        <v>2.8000000000000003</v>
      </c>
      <c r="DP128" s="489">
        <f t="shared" si="225"/>
        <v>1</v>
      </c>
      <c r="DQ128" s="488">
        <f t="shared" si="226"/>
        <v>0</v>
      </c>
      <c r="DR128" s="489">
        <f t="shared" si="227"/>
        <v>0</v>
      </c>
      <c r="DS128" s="488">
        <f t="shared" si="228"/>
        <v>0</v>
      </c>
      <c r="DT128" s="489">
        <f t="shared" si="229"/>
        <v>0.1</v>
      </c>
      <c r="DX128" s="487">
        <f ca="1">MIN(6,CV128+Races!$F$19)*1.8 +  IF(CV128+Races!$F$19&gt;6,(CV128+Races!$F$19-6)*0.2,0) - Races!$N$19</f>
        <v>2.5200000000000005</v>
      </c>
      <c r="DY128" s="488">
        <f ca="1">1.8 * MIN(MAX(CW128+Races!$E$20,CX128+Races!$F$20),6)  +  0.45 * MIN(MIN(CW128+Races!$E$20,CX128+Races!$F$20),6)  +  0.2 * ( MAX(CW128+Races!$E$20-6,0) + MAX(CX128+Races!$F$20-6,0) )  -  Races!$N$20</f>
        <v>3.1500000000000012</v>
      </c>
      <c r="DZ128" s="57">
        <f t="shared" ca="1" si="230"/>
        <v>3780.0000000000009</v>
      </c>
      <c r="EA128" s="666">
        <f ca="1">MIN(6,CY128+Races!$F$35)*1.8 +  IF(CY128+Races!$F$35&gt;6,(CY128+Races!$F$35-6)*0.2,0) - Races!$N$19</f>
        <v>0.72000000000000064</v>
      </c>
      <c r="EB128" s="57">
        <f t="shared" ca="1" si="231"/>
        <v>0</v>
      </c>
      <c r="EC128" s="666">
        <f ca="1">1.8 * MIN(MAX(Races!$E$27,DB128+Races!$F$27),6)  +  0.45 * MIN(MIN(Races!$E$27,DB128+Races!$F$27),6)  +  0.2 * ( MAX(Races!$E$27-6,0) + MAX(DB128+Races!$F$27-6,0) )  -  Races!$N$20</f>
        <v>4.7700000000000005</v>
      </c>
      <c r="ED128" s="57">
        <f t="shared" ca="1" si="232"/>
        <v>0</v>
      </c>
      <c r="EE128" s="666">
        <f>1.8 * MIN(MAX(DC128+Races!$E$47,DD128+Races!$F$47),6)  +  0.45 * MIN(MIN(DC128+Races!$E$47,DD128+Races!$F$47),6)  +  0.2 * ( MAX(DC128+Races!$E$47-6,0) + MAX(DD128+Races!$F$47-6,0) )  -  Races!$N$47</f>
        <v>0</v>
      </c>
      <c r="EF128" s="57">
        <f t="shared" si="233"/>
        <v>0</v>
      </c>
      <c r="EG128" s="666">
        <f ca="1">1.8 * MIN(MAX(DG128+Races!$F$71,Races!$E$71),6)  +  0.45 * MIN(MIN(DG128+Races!$F$71,Races!$E$71),6)  +  0.2 * ( MAX(DG128+Races!$F$71-6,0) + MAX(Races!$E$71-6,0) )  -  Races!$N$71</f>
        <v>2.5200000000000014</v>
      </c>
      <c r="EH128" s="666">
        <f>1.8 * MIN(MAX(DH128+Races!$E$71,Races!$F$71),6)  +  0.45 * MIN(MIN(DH128+Races!$E$71,Races!$F$71),6)  +  0.2 * ( MAX(DH128+Races!$E$71-6,0) + MAX(Races!$F$71-6,0) )  -  Races!$N$71</f>
        <v>0.16200000000000081</v>
      </c>
      <c r="EI128" s="57">
        <f t="shared" ca="1" si="234"/>
        <v>2584.8000000000015</v>
      </c>
      <c r="EJ128" s="57"/>
      <c r="EK128" s="57"/>
      <c r="EL128" s="57"/>
      <c r="EM128" s="57">
        <f ca="1">Overview!$L$22*E128+Overview!$L$23*F128+Overview!$L$24*G128+Overview!$L$25*H128+Overview!$L$26*I128+Overview!$L$27*J128+Overview!$L$28*K128+Construction!E128*20+Construction!B128*5 + DZ128*$DV$4+EB128*$DV$5+ED128*$DV$6+EF128*$DV$7+EI128*$DV$9</f>
        <v>39460</v>
      </c>
      <c r="EO128" s="738">
        <f>(J128+2*K128)/Construction!E128</f>
        <v>0.1</v>
      </c>
      <c r="EP128" s="734">
        <f ca="1">EO128*(1+race_wizard_strength+tech_magical_weaponry_wiz*Techs!AV200)</f>
        <v>0.1</v>
      </c>
      <c r="EQ128" s="16">
        <f>(I128+halfer*H128/3)/Construction!E128</f>
        <v>0.1</v>
      </c>
    </row>
    <row r="129" spans="1:147" s="16" customFormat="1">
      <c r="A129" s="629">
        <f>Rezone!J129</f>
        <v>127</v>
      </c>
      <c r="B129" s="56">
        <f ca="1">SUM(E129:K129)+SUM(AF121:AG129)+SUM(AH118:AL129)+Z129+Explore!AL129</f>
        <v>5295</v>
      </c>
      <c r="C129" s="97">
        <f ca="1">Population!G129</f>
        <v>0.57305194805194803</v>
      </c>
      <c r="E129" s="52">
        <f t="shared" si="235"/>
        <v>0</v>
      </c>
      <c r="F129" s="16">
        <f t="shared" si="236"/>
        <v>0</v>
      </c>
      <c r="G129" s="16">
        <f t="shared" si="237"/>
        <v>1000</v>
      </c>
      <c r="H129" s="16">
        <f t="shared" si="238"/>
        <v>400</v>
      </c>
      <c r="I129" s="16">
        <f t="shared" si="239"/>
        <v>100</v>
      </c>
      <c r="J129" s="16">
        <f t="shared" si="240"/>
        <v>100</v>
      </c>
      <c r="K129" s="53">
        <f t="shared" si="241"/>
        <v>0</v>
      </c>
      <c r="M129" s="64">
        <f ca="1">Production!G129</f>
        <v>39460</v>
      </c>
      <c r="O129" s="142">
        <f t="shared" ca="1" si="192"/>
        <v>4400</v>
      </c>
      <c r="P129" s="455">
        <f ca="1">race_offense+Imps!AB129+ROUND(MIN(gn_bonus*Construction!BF129/Construction!$E129,gn_bonus_cap),4)+MAX(IF(Magic!$AN129&gt;0,warsong_bonus),IF(Magic!AP129&gt;0,howling_op_bonus),IF(Magic!AS129&gt;0,nightfall_bonus),IF(Magic!AT129&gt;0,crusade_bonus),IF(Magic!AU129&gt;0,killingrage_bonus),IF(Magic!AV129&gt;0,bloodrage_bonus)) + Production!O129/100*prestige_offense_bonus + MAX(tech_military_offense*Techs!AH129,tech_magical_weaponry_op*Techs!AV129)</f>
        <v>0.05</v>
      </c>
      <c r="Q129" s="235">
        <f t="shared" ca="1" si="168"/>
        <v>4620</v>
      </c>
      <c r="R129" s="234">
        <f ca="1">F129*(spec_dp+spirit*DR129)+G129*(elite1_dp+woodie*CV129+sylvan*CY129+gnome*DB129+dark_elf*DD129+icekin*DG129+orc*DJ129+nox*DL129+beast*DN129+sacred*DP129+spirit*DS129+blackorc*DK129)+H129*(elite2_dp+woodie*CX129+beast*DO129+sacred*DQ129) + fh_peas_dp*MIN(Population!C129,20*Construction!BD129)+kobold*DE129</f>
        <v>7200</v>
      </c>
      <c r="S129" s="235">
        <f t="shared" ca="1" si="193"/>
        <v>10895</v>
      </c>
      <c r="T129" s="1052">
        <f ca="1">race_defense+Imps!AC129+ROUND(MIN(gt_bonus*Construction!BH129/Construction!$E129,gt_bonus_cap),4)+MAX(IF(Magic!AM129&gt;0,frenzy_bonus,IF(Magic!AQ129&gt;0,blizzard_bonus,IF(Magic!AP129&gt;0,howling_dp_bonus,IF(Magic!AI129&gt;0,ares_call_bonus)))),IF(Magic!AX129&gt;0,MIN(Construction!DF129/Construction!E129,0.2),0))</f>
        <v>0</v>
      </c>
      <c r="U129" s="1046">
        <f t="shared" ca="1" si="169"/>
        <v>7200</v>
      </c>
      <c r="V129" s="310">
        <f t="shared" ca="1" si="170"/>
        <v>10895</v>
      </c>
      <c r="W129" s="310">
        <f>Construction!E129</f>
        <v>1000</v>
      </c>
      <c r="X129" s="367"/>
      <c r="Y129" s="146">
        <f t="shared" si="191"/>
        <v>0.4</v>
      </c>
      <c r="Z129" s="166">
        <f ca="1">Z128+Population!Z128 - IF(race="Lux",AF129,SUM(AF129:AK129)) - BE129 + SUM(BF129:BL129) - Explore!AI129</f>
        <v>3695</v>
      </c>
      <c r="AA129" s="164"/>
      <c r="AB129" s="91">
        <f>(Construction!$BA129+Construction!BY129)/(Construction!$E129-Explore!S129*20)</f>
        <v>0.2</v>
      </c>
      <c r="AC129" s="529"/>
      <c r="AD129" s="799">
        <f>Rezone!J129</f>
        <v>127</v>
      </c>
      <c r="AE129" s="589">
        <f>Explore!AA129</f>
        <v>43697.249999999694</v>
      </c>
      <c r="AF129" s="356"/>
      <c r="AG129" s="348"/>
      <c r="AH129" s="348"/>
      <c r="AI129" s="348"/>
      <c r="AJ129" s="348"/>
      <c r="AK129" s="348"/>
      <c r="AL129" s="357"/>
      <c r="AN129" s="56">
        <f ca="1">Production!$H129</f>
        <v>4289537</v>
      </c>
      <c r="AO129" s="26">
        <f ca="1">Production!$L129</f>
        <v>231000</v>
      </c>
      <c r="AP129" s="26">
        <f ca="1">Production!J129</f>
        <v>264765</v>
      </c>
      <c r="AQ129" s="26">
        <f ca="1">Production!M129</f>
        <v>20000</v>
      </c>
      <c r="AR129" s="26">
        <f ca="1">Production!K129</f>
        <v>59167</v>
      </c>
      <c r="AS129" s="26">
        <f ca="1">Production!I129</f>
        <v>349702</v>
      </c>
      <c r="AT129" s="26">
        <f ca="1">Production!N129</f>
        <v>200</v>
      </c>
      <c r="AU129" s="152">
        <f t="shared" ca="1" si="194"/>
        <v>0</v>
      </c>
      <c r="AV129" s="164">
        <f t="shared" ca="1" si="195"/>
        <v>0</v>
      </c>
      <c r="AW129" s="164">
        <f t="shared" ca="1" si="171"/>
        <v>0</v>
      </c>
      <c r="AX129" s="164">
        <f t="shared" ca="1" si="172"/>
        <v>0</v>
      </c>
      <c r="AY129" s="164">
        <f t="shared" ca="1" si="173"/>
        <v>0</v>
      </c>
      <c r="AZ129" s="164">
        <f t="shared" ca="1" si="174"/>
        <v>0</v>
      </c>
      <c r="BA129" s="166">
        <f t="shared" ca="1" si="175"/>
        <v>0</v>
      </c>
      <c r="BB129" s="16">
        <v>55</v>
      </c>
      <c r="BC129" s="574">
        <f t="shared" si="176"/>
        <v>43697.249999999694</v>
      </c>
      <c r="BD129" s="148">
        <f t="shared" ca="1" si="177"/>
        <v>3695</v>
      </c>
      <c r="BE129" s="356"/>
      <c r="BF129" s="348"/>
      <c r="BG129" s="348"/>
      <c r="BH129" s="348"/>
      <c r="BI129" s="348"/>
      <c r="BJ129" s="348"/>
      <c r="BK129" s="348"/>
      <c r="BL129" s="357"/>
      <c r="BN129" s="503">
        <f>Construction!BM129/Construction!E129</f>
        <v>0</v>
      </c>
      <c r="BO129" s="171">
        <f>Construction!BD129/Construction!E129</f>
        <v>0</v>
      </c>
      <c r="BP129" s="152">
        <f>ROUNDUP((1-MIN(AB129*smithy_bonus,smithy_bonus_cap))*(1+Techs!AO129*tech_master_of_frugality)*spec_op_plat,0)</f>
        <v>165</v>
      </c>
      <c r="BQ129" s="164">
        <f>ROUNDUP(IF(race="Gnome",1,(1-MIN(AB129*smithy_bonus,smithy_bonus_cap))*(1+Techs!AO129*tech_master_of_frugality))*spec_op_ore,0)</f>
        <v>15</v>
      </c>
      <c r="BR129" s="164">
        <f t="shared" si="196"/>
        <v>0</v>
      </c>
      <c r="BS129" s="164">
        <f t="shared" si="197"/>
        <v>0</v>
      </c>
      <c r="BT129" s="164">
        <f ca="1">ROUNDUP((1-MIN(AB129*smithy_bonus,smithy_bonus_cap))*(1+Techs!AO129*tech_master_of_frugality)*spec_dp_plat,0)</f>
        <v>165</v>
      </c>
      <c r="BU129" s="164">
        <f ca="1">ROUNDUP(IF(OR(race="Gnome",race="Imperial Gnome"),1,(1-MIN(AB129*smithy_bonus,smithy_bonus_cap))*(1+Techs!AO129*tech_master_of_frugality))*spec_dp_ore,0)</f>
        <v>6</v>
      </c>
      <c r="BV129" s="164">
        <f t="shared" ca="1" si="198"/>
        <v>0</v>
      </c>
      <c r="BW129" s="164">
        <f t="shared" ca="1" si="199"/>
        <v>0</v>
      </c>
      <c r="BX129" s="164">
        <f t="shared" ca="1" si="200"/>
        <v>0</v>
      </c>
      <c r="BY129" s="164">
        <f ca="1">ROUNDUP((1-MIN(AB129*smithy_bonus,smithy_bonus_cap))*(1+Techs!AO129*tech_master_of_frugality)*elite1_plat,0)</f>
        <v>600</v>
      </c>
      <c r="BZ129" s="164">
        <f ca="1">ROUNDUP(IF(race="Gnome",1,(1-MIN(AB129*smithy_bonus,smithy_bonus_cap))*(1+Techs!AO129*tech_master_of_frugality))*elite1_ore,0)</f>
        <v>45</v>
      </c>
      <c r="CA129" s="164">
        <f t="shared" ca="1" si="201"/>
        <v>0</v>
      </c>
      <c r="CB129" s="164">
        <f t="shared" ca="1" si="202"/>
        <v>0</v>
      </c>
      <c r="CC129" s="164">
        <f t="shared" ca="1" si="203"/>
        <v>0</v>
      </c>
      <c r="CD129" s="164">
        <f t="shared" ca="1" si="204"/>
        <v>0</v>
      </c>
      <c r="CE129" s="164">
        <f t="shared" ca="1" si="205"/>
        <v>0</v>
      </c>
      <c r="CF129" s="164">
        <f ca="1">ROUNDUP((1-MIN(AB129*smithy_bonus,smithy_bonus_cap))*(1+Techs!AO129*tech_master_of_frugality)*elite2_plat,0)</f>
        <v>750</v>
      </c>
      <c r="CG129" s="164">
        <f ca="1">ROUNDUP(IF(race="Gnome",1,(1-MIN(AB129*smithy_bonus,smithy_bonus_cap))*(1+Techs!AO129*tech_master_of_frugality))*elite2_ore,0)</f>
        <v>60</v>
      </c>
      <c r="CH129" s="164">
        <f t="shared" ca="1" si="206"/>
        <v>0</v>
      </c>
      <c r="CI129" s="164">
        <f t="shared" ca="1" si="207"/>
        <v>0</v>
      </c>
      <c r="CJ129" s="164">
        <f t="shared" ca="1" si="208"/>
        <v>0</v>
      </c>
      <c r="CK129" s="164">
        <f t="shared" ca="1" si="209"/>
        <v>0</v>
      </c>
      <c r="CL129" s="164">
        <f t="shared" ca="1" si="210"/>
        <v>0</v>
      </c>
      <c r="CM129" s="164">
        <f>ROUNDUP((1+tech_spy_cost*Techs!AJ129)*spy_plat,0)</f>
        <v>500</v>
      </c>
      <c r="CN129" s="164">
        <f>ROUNDUP((1+tech_wizard_cost*Techs!AM129-MIN(ROUND(wg_wiz_cost_bonus*BN129,4),wg_wiz_cost_cap))*wizard_plat,0)</f>
        <v>500</v>
      </c>
      <c r="CO129" s="166">
        <f>ROUNDUP((1+tech_wizard_cost*Techs!AM129-MIN(ROUND(wg_wiz_cost_bonus*BN129,4),wg_wiz_cost_cap))*archmage_plat,0)</f>
        <v>1000</v>
      </c>
      <c r="CQ129" s="465">
        <f ca="1">Construction!DF129/Construction!E129</f>
        <v>0.28000000000000003</v>
      </c>
      <c r="CR129" s="466">
        <f t="shared" si="178"/>
        <v>0</v>
      </c>
      <c r="CS129" s="466">
        <f>Construction!BK129/Construction!E129</f>
        <v>0.05</v>
      </c>
      <c r="CT129" s="466">
        <f>Construction!BJ129/Construction!E129</f>
        <v>0</v>
      </c>
      <c r="CU129" s="466">
        <f>Construction!AY129/Construction!E129</f>
        <v>0</v>
      </c>
      <c r="CV129" s="487">
        <f t="shared" ca="1" si="211"/>
        <v>1.4000000000000001</v>
      </c>
      <c r="CW129" s="488">
        <f t="shared" ca="1" si="212"/>
        <v>1.4000000000000001</v>
      </c>
      <c r="CX129" s="488">
        <f t="shared" ca="1" si="213"/>
        <v>1.4000000000000001</v>
      </c>
      <c r="CY129" s="489">
        <f t="shared" ca="1" si="214"/>
        <v>1.4000000000000001</v>
      </c>
      <c r="CZ129" s="489">
        <f t="shared" si="215"/>
        <v>0.1</v>
      </c>
      <c r="DA129" s="489">
        <f t="shared" ca="1" si="216"/>
        <v>3</v>
      </c>
      <c r="DB129" s="489">
        <f t="shared" ca="1" si="217"/>
        <v>1.4000000000000001</v>
      </c>
      <c r="DC129" s="488">
        <f t="shared" si="218"/>
        <v>0</v>
      </c>
      <c r="DD129" s="848">
        <f t="shared" si="219"/>
        <v>0</v>
      </c>
      <c r="DE129" s="442">
        <f t="shared" si="179"/>
        <v>800</v>
      </c>
      <c r="DF129" s="442">
        <f t="shared" si="180"/>
        <v>0</v>
      </c>
      <c r="DG129" s="487">
        <f t="shared" ca="1" si="220"/>
        <v>1.4000000000000001</v>
      </c>
      <c r="DH129" s="452">
        <f t="shared" si="221"/>
        <v>9.0000000000000011E-2</v>
      </c>
      <c r="DI129" s="452">
        <f>MIN(valkyrja_cap,Production!O129/valkyrja_bonus)</f>
        <v>1</v>
      </c>
      <c r="DJ129" s="848">
        <f>MIN(voodoo_magi_cap,Production!O129/voodoo_magi_bonus)</f>
        <v>0.83333333333333337</v>
      </c>
      <c r="DK129" s="848">
        <f>MIN(warlock_cap,Production!O129/warlock_bonus)</f>
        <v>1.25</v>
      </c>
      <c r="DL129" s="848">
        <f ca="1">MIN(nox_nightshade_cap,Construction!DF129/Construction!E129/nox_nightshade_swamp_bonus)</f>
        <v>2.8000000000000003</v>
      </c>
      <c r="DM129" s="488">
        <f t="shared" si="222"/>
        <v>0</v>
      </c>
      <c r="DN129" s="489">
        <f t="shared" ca="1" si="223"/>
        <v>2.8000000000000003</v>
      </c>
      <c r="DO129" s="489">
        <f t="shared" ca="1" si="224"/>
        <v>2.8000000000000003</v>
      </c>
      <c r="DP129" s="489">
        <f t="shared" si="225"/>
        <v>1</v>
      </c>
      <c r="DQ129" s="488">
        <f t="shared" si="226"/>
        <v>0</v>
      </c>
      <c r="DR129" s="489">
        <f t="shared" si="227"/>
        <v>0</v>
      </c>
      <c r="DS129" s="488">
        <f t="shared" si="228"/>
        <v>0</v>
      </c>
      <c r="DT129" s="489">
        <f t="shared" si="229"/>
        <v>0.1</v>
      </c>
      <c r="DX129" s="487">
        <f ca="1">MIN(6,CV129+Races!$F$19)*1.8 +  IF(CV129+Races!$F$19&gt;6,(CV129+Races!$F$19-6)*0.2,0) - Races!$N$19</f>
        <v>2.5200000000000005</v>
      </c>
      <c r="DY129" s="488">
        <f ca="1">1.8 * MIN(MAX(CW129+Races!$E$20,CX129+Races!$F$20),6)  +  0.45 * MIN(MIN(CW129+Races!$E$20,CX129+Races!$F$20),6)  +  0.2 * ( MAX(CW129+Races!$E$20-6,0) + MAX(CX129+Races!$F$20-6,0) )  -  Races!$N$20</f>
        <v>3.1500000000000012</v>
      </c>
      <c r="DZ129" s="57">
        <f t="shared" ca="1" si="230"/>
        <v>3780.0000000000009</v>
      </c>
      <c r="EA129" s="666">
        <f ca="1">MIN(6,CY129+Races!$F$35)*1.8 +  IF(CY129+Races!$F$35&gt;6,(CY129+Races!$F$35-6)*0.2,0) - Races!$N$19</f>
        <v>0.72000000000000064</v>
      </c>
      <c r="EB129" s="57">
        <f t="shared" ca="1" si="231"/>
        <v>0</v>
      </c>
      <c r="EC129" s="666">
        <f ca="1">1.8 * MIN(MAX(Races!$E$27,DB129+Races!$F$27),6)  +  0.45 * MIN(MIN(Races!$E$27,DB129+Races!$F$27),6)  +  0.2 * ( MAX(Races!$E$27-6,0) + MAX(DB129+Races!$F$27-6,0) )  -  Races!$N$20</f>
        <v>4.7700000000000005</v>
      </c>
      <c r="ED129" s="57">
        <f t="shared" ca="1" si="232"/>
        <v>0</v>
      </c>
      <c r="EE129" s="666">
        <f>1.8 * MIN(MAX(DC129+Races!$E$47,DD129+Races!$F$47),6)  +  0.45 * MIN(MIN(DC129+Races!$E$47,DD129+Races!$F$47),6)  +  0.2 * ( MAX(DC129+Races!$E$47-6,0) + MAX(DD129+Races!$F$47-6,0) )  -  Races!$N$47</f>
        <v>0</v>
      </c>
      <c r="EF129" s="57">
        <f t="shared" si="233"/>
        <v>0</v>
      </c>
      <c r="EG129" s="666">
        <f ca="1">1.8 * MIN(MAX(DG129+Races!$F$71,Races!$E$71),6)  +  0.45 * MIN(MIN(DG129+Races!$F$71,Races!$E$71),6)  +  0.2 * ( MAX(DG129+Races!$F$71-6,0) + MAX(Races!$E$71-6,0) )  -  Races!$N$71</f>
        <v>2.5200000000000014</v>
      </c>
      <c r="EH129" s="666">
        <f>1.8 * MIN(MAX(DH129+Races!$E$71,Races!$F$71),6)  +  0.45 * MIN(MIN(DH129+Races!$E$71,Races!$F$71),6)  +  0.2 * ( MAX(DH129+Races!$E$71-6,0) + MAX(Races!$F$71-6,0) )  -  Races!$N$71</f>
        <v>0.16200000000000081</v>
      </c>
      <c r="EI129" s="57">
        <f t="shared" ca="1" si="234"/>
        <v>2584.8000000000015</v>
      </c>
      <c r="EJ129" s="57"/>
      <c r="EK129" s="57"/>
      <c r="EL129" s="57"/>
      <c r="EM129" s="57">
        <f ca="1">Overview!$L$22*E129+Overview!$L$23*F129+Overview!$L$24*G129+Overview!$L$25*H129+Overview!$L$26*I129+Overview!$L$27*J129+Overview!$L$28*K129+Construction!E129*20+Construction!B129*5 + DZ129*$DV$4+EB129*$DV$5+ED129*$DV$6+EF129*$DV$7+EI129*$DV$9</f>
        <v>39460</v>
      </c>
      <c r="EO129" s="738">
        <f>(J129+2*K129)/Construction!E129</f>
        <v>0.1</v>
      </c>
      <c r="EP129" s="734">
        <f ca="1">EO129*(1+race_wizard_strength+tech_magical_weaponry_wiz*Techs!AV201)</f>
        <v>0.1</v>
      </c>
      <c r="EQ129" s="16">
        <f>(I129+halfer*H129/3)/Construction!E129</f>
        <v>0.1</v>
      </c>
    </row>
    <row r="130" spans="1:147" s="16" customFormat="1">
      <c r="A130" s="629">
        <f>Rezone!J130</f>
        <v>128</v>
      </c>
      <c r="B130" s="56">
        <f ca="1">SUM(E130:K130)+SUM(AF122:AG130)+SUM(AH119:AL130)+Z130+Explore!AL130</f>
        <v>5295</v>
      </c>
      <c r="C130" s="97">
        <f ca="1">Population!G130</f>
        <v>0.57305194805194803</v>
      </c>
      <c r="E130" s="52">
        <f t="shared" si="235"/>
        <v>0</v>
      </c>
      <c r="F130" s="16">
        <f t="shared" si="236"/>
        <v>0</v>
      </c>
      <c r="G130" s="16">
        <f t="shared" si="237"/>
        <v>1000</v>
      </c>
      <c r="H130" s="16">
        <f t="shared" si="238"/>
        <v>400</v>
      </c>
      <c r="I130" s="16">
        <f t="shared" si="239"/>
        <v>100</v>
      </c>
      <c r="J130" s="16">
        <f t="shared" si="240"/>
        <v>100</v>
      </c>
      <c r="K130" s="53">
        <f t="shared" si="241"/>
        <v>0</v>
      </c>
      <c r="M130" s="64">
        <f ca="1">Production!G130</f>
        <v>39460</v>
      </c>
      <c r="O130" s="142">
        <f t="shared" ca="1" si="192"/>
        <v>4400</v>
      </c>
      <c r="P130" s="455">
        <f ca="1">race_offense+Imps!AB130+ROUND(MIN(gn_bonus*Construction!BF130/Construction!$E130,gn_bonus_cap),4)+MAX(IF(Magic!$AN130&gt;0,warsong_bonus),IF(Magic!AP130&gt;0,howling_op_bonus),IF(Magic!AS130&gt;0,nightfall_bonus),IF(Magic!AT130&gt;0,crusade_bonus),IF(Magic!AU130&gt;0,killingrage_bonus),IF(Magic!AV130&gt;0,bloodrage_bonus)) + Production!O130/100*prestige_offense_bonus + MAX(tech_military_offense*Techs!AH130,tech_magical_weaponry_op*Techs!AV130)</f>
        <v>0.05</v>
      </c>
      <c r="Q130" s="235">
        <f t="shared" ca="1" si="168"/>
        <v>4620</v>
      </c>
      <c r="R130" s="234">
        <f ca="1">F130*(spec_dp+spirit*DR130)+G130*(elite1_dp+woodie*CV130+sylvan*CY130+gnome*DB130+dark_elf*DD130+icekin*DG130+orc*DJ130+nox*DL130+beast*DN130+sacred*DP130+spirit*DS130+blackorc*DK130)+H130*(elite2_dp+woodie*CX130+beast*DO130+sacred*DQ130) + fh_peas_dp*MIN(Population!C130,20*Construction!BD130)+kobold*DE130</f>
        <v>7200</v>
      </c>
      <c r="S130" s="235">
        <f t="shared" ca="1" si="193"/>
        <v>10895</v>
      </c>
      <c r="T130" s="1052">
        <f ca="1">race_defense+Imps!AC130+ROUND(MIN(gt_bonus*Construction!BH130/Construction!$E130,gt_bonus_cap),4)+MAX(IF(Magic!AM130&gt;0,frenzy_bonus,IF(Magic!AQ130&gt;0,blizzard_bonus,IF(Magic!AP130&gt;0,howling_dp_bonus,IF(Magic!AI130&gt;0,ares_call_bonus)))),IF(Magic!AX130&gt;0,MIN(Construction!DF130/Construction!E130,0.2),0))</f>
        <v>0</v>
      </c>
      <c r="U130" s="1046">
        <f t="shared" ca="1" si="169"/>
        <v>7200</v>
      </c>
      <c r="V130" s="310">
        <f t="shared" ca="1" si="170"/>
        <v>10895</v>
      </c>
      <c r="W130" s="310">
        <f>Construction!E130</f>
        <v>1000</v>
      </c>
      <c r="X130" s="367"/>
      <c r="Y130" s="146">
        <f t="shared" si="191"/>
        <v>0.4</v>
      </c>
      <c r="Z130" s="166">
        <f ca="1">Z129+Population!Z129 - IF(race="Lux",AF130,SUM(AF130:AK130)) - BE130 + SUM(BF130:BL130) - Explore!AI130</f>
        <v>3695</v>
      </c>
      <c r="AA130" s="164"/>
      <c r="AB130" s="91">
        <f>(Construction!$BA130+Construction!BY130)/(Construction!$E130-Explore!S130*20)</f>
        <v>0.2</v>
      </c>
      <c r="AC130" s="529"/>
      <c r="AD130" s="799">
        <f>Rezone!J130</f>
        <v>128</v>
      </c>
      <c r="AE130" s="589">
        <f>Explore!AA130</f>
        <v>43697.291666666359</v>
      </c>
      <c r="AF130" s="356"/>
      <c r="AG130" s="348"/>
      <c r="AH130" s="348"/>
      <c r="AI130" s="348"/>
      <c r="AJ130" s="348"/>
      <c r="AK130" s="348"/>
      <c r="AL130" s="357"/>
      <c r="AN130" s="56">
        <f ca="1">Production!$H130</f>
        <v>4300188</v>
      </c>
      <c r="AO130" s="26">
        <f ca="1">Production!$L130</f>
        <v>231000</v>
      </c>
      <c r="AP130" s="26">
        <f ca="1">Production!J130</f>
        <v>264617</v>
      </c>
      <c r="AQ130" s="26">
        <f ca="1">Production!M130</f>
        <v>20000</v>
      </c>
      <c r="AR130" s="26">
        <f ca="1">Production!K130</f>
        <v>59234</v>
      </c>
      <c r="AS130" s="26">
        <f ca="1">Production!I130</f>
        <v>350935</v>
      </c>
      <c r="AT130" s="26">
        <f ca="1">Production!N130</f>
        <v>200</v>
      </c>
      <c r="AU130" s="152">
        <f t="shared" ca="1" si="194"/>
        <v>0</v>
      </c>
      <c r="AV130" s="164">
        <f t="shared" ca="1" si="195"/>
        <v>0</v>
      </c>
      <c r="AW130" s="164">
        <f t="shared" ca="1" si="171"/>
        <v>0</v>
      </c>
      <c r="AX130" s="164">
        <f t="shared" ca="1" si="172"/>
        <v>0</v>
      </c>
      <c r="AY130" s="164">
        <f t="shared" ca="1" si="173"/>
        <v>0</v>
      </c>
      <c r="AZ130" s="164">
        <f t="shared" ca="1" si="174"/>
        <v>0</v>
      </c>
      <c r="BA130" s="166">
        <f t="shared" ca="1" si="175"/>
        <v>0</v>
      </c>
      <c r="BB130" s="16">
        <v>56</v>
      </c>
      <c r="BC130" s="574">
        <f t="shared" si="176"/>
        <v>43697.291666666359</v>
      </c>
      <c r="BD130" s="148">
        <f t="shared" ca="1" si="177"/>
        <v>3695</v>
      </c>
      <c r="BE130" s="356"/>
      <c r="BF130" s="348"/>
      <c r="BG130" s="348"/>
      <c r="BH130" s="348"/>
      <c r="BI130" s="348"/>
      <c r="BJ130" s="348"/>
      <c r="BK130" s="348"/>
      <c r="BL130" s="357"/>
      <c r="BN130" s="503">
        <f>Construction!BM130/Construction!E130</f>
        <v>0</v>
      </c>
      <c r="BO130" s="171">
        <f>Construction!BD130/Construction!E130</f>
        <v>0</v>
      </c>
      <c r="BP130" s="152">
        <f>ROUNDUP((1-MIN(AB130*smithy_bonus,smithy_bonus_cap))*(1+Techs!AO130*tech_master_of_frugality)*spec_op_plat,0)</f>
        <v>165</v>
      </c>
      <c r="BQ130" s="164">
        <f>ROUNDUP(IF(race="Gnome",1,(1-MIN(AB130*smithy_bonus,smithy_bonus_cap))*(1+Techs!AO130*tech_master_of_frugality))*spec_op_ore,0)</f>
        <v>15</v>
      </c>
      <c r="BR130" s="164">
        <f t="shared" si="196"/>
        <v>0</v>
      </c>
      <c r="BS130" s="164">
        <f t="shared" si="197"/>
        <v>0</v>
      </c>
      <c r="BT130" s="164">
        <f ca="1">ROUNDUP((1-MIN(AB130*smithy_bonus,smithy_bonus_cap))*(1+Techs!AO130*tech_master_of_frugality)*spec_dp_plat,0)</f>
        <v>165</v>
      </c>
      <c r="BU130" s="164">
        <f ca="1">ROUNDUP(IF(OR(race="Gnome",race="Imperial Gnome"),1,(1-MIN(AB130*smithy_bonus,smithy_bonus_cap))*(1+Techs!AO130*tech_master_of_frugality))*spec_dp_ore,0)</f>
        <v>6</v>
      </c>
      <c r="BV130" s="164">
        <f t="shared" ca="1" si="198"/>
        <v>0</v>
      </c>
      <c r="BW130" s="164">
        <f t="shared" ca="1" si="199"/>
        <v>0</v>
      </c>
      <c r="BX130" s="164">
        <f t="shared" ca="1" si="200"/>
        <v>0</v>
      </c>
      <c r="BY130" s="164">
        <f ca="1">ROUNDUP((1-MIN(AB130*smithy_bonus,smithy_bonus_cap))*(1+Techs!AO130*tech_master_of_frugality)*elite1_plat,0)</f>
        <v>600</v>
      </c>
      <c r="BZ130" s="164">
        <f ca="1">ROUNDUP(IF(race="Gnome",1,(1-MIN(AB130*smithy_bonus,smithy_bonus_cap))*(1+Techs!AO130*tech_master_of_frugality))*elite1_ore,0)</f>
        <v>45</v>
      </c>
      <c r="CA130" s="164">
        <f t="shared" ca="1" si="201"/>
        <v>0</v>
      </c>
      <c r="CB130" s="164">
        <f t="shared" ca="1" si="202"/>
        <v>0</v>
      </c>
      <c r="CC130" s="164">
        <f t="shared" ca="1" si="203"/>
        <v>0</v>
      </c>
      <c r="CD130" s="164">
        <f t="shared" ca="1" si="204"/>
        <v>0</v>
      </c>
      <c r="CE130" s="164">
        <f t="shared" ca="1" si="205"/>
        <v>0</v>
      </c>
      <c r="CF130" s="164">
        <f ca="1">ROUNDUP((1-MIN(AB130*smithy_bonus,smithy_bonus_cap))*(1+Techs!AO130*tech_master_of_frugality)*elite2_plat,0)</f>
        <v>750</v>
      </c>
      <c r="CG130" s="164">
        <f ca="1">ROUNDUP(IF(race="Gnome",1,(1-MIN(AB130*smithy_bonus,smithy_bonus_cap))*(1+Techs!AO130*tech_master_of_frugality))*elite2_ore,0)</f>
        <v>60</v>
      </c>
      <c r="CH130" s="164">
        <f t="shared" ca="1" si="206"/>
        <v>0</v>
      </c>
      <c r="CI130" s="164">
        <f t="shared" ca="1" si="207"/>
        <v>0</v>
      </c>
      <c r="CJ130" s="164">
        <f t="shared" ca="1" si="208"/>
        <v>0</v>
      </c>
      <c r="CK130" s="164">
        <f t="shared" ca="1" si="209"/>
        <v>0</v>
      </c>
      <c r="CL130" s="164">
        <f t="shared" ca="1" si="210"/>
        <v>0</v>
      </c>
      <c r="CM130" s="164">
        <f>ROUNDUP((1+tech_spy_cost*Techs!AJ130)*spy_plat,0)</f>
        <v>500</v>
      </c>
      <c r="CN130" s="164">
        <f>ROUNDUP((1+tech_wizard_cost*Techs!AM130-MIN(ROUND(wg_wiz_cost_bonus*BN130,4),wg_wiz_cost_cap))*wizard_plat,0)</f>
        <v>500</v>
      </c>
      <c r="CO130" s="166">
        <f>ROUNDUP((1+tech_wizard_cost*Techs!AM130-MIN(ROUND(wg_wiz_cost_bonus*BN130,4),wg_wiz_cost_cap))*archmage_plat,0)</f>
        <v>1000</v>
      </c>
      <c r="CQ130" s="465">
        <f ca="1">Construction!DF130/Construction!E130</f>
        <v>0.28000000000000003</v>
      </c>
      <c r="CR130" s="466">
        <f t="shared" si="178"/>
        <v>0</v>
      </c>
      <c r="CS130" s="466">
        <f>Construction!BK130/Construction!E130</f>
        <v>0.05</v>
      </c>
      <c r="CT130" s="466">
        <f>Construction!BJ130/Construction!E130</f>
        <v>0</v>
      </c>
      <c r="CU130" s="466">
        <f>Construction!AY130/Construction!E130</f>
        <v>0</v>
      </c>
      <c r="CV130" s="487">
        <f t="shared" ca="1" si="211"/>
        <v>1.4000000000000001</v>
      </c>
      <c r="CW130" s="488">
        <f t="shared" ca="1" si="212"/>
        <v>1.4000000000000001</v>
      </c>
      <c r="CX130" s="488">
        <f t="shared" ca="1" si="213"/>
        <v>1.4000000000000001</v>
      </c>
      <c r="CY130" s="489">
        <f t="shared" ca="1" si="214"/>
        <v>1.4000000000000001</v>
      </c>
      <c r="CZ130" s="489">
        <f t="shared" si="215"/>
        <v>0.1</v>
      </c>
      <c r="DA130" s="489">
        <f t="shared" ca="1" si="216"/>
        <v>3</v>
      </c>
      <c r="DB130" s="489">
        <f t="shared" ca="1" si="217"/>
        <v>1.4000000000000001</v>
      </c>
      <c r="DC130" s="488">
        <f t="shared" si="218"/>
        <v>0</v>
      </c>
      <c r="DD130" s="848">
        <f t="shared" si="219"/>
        <v>0</v>
      </c>
      <c r="DE130" s="442">
        <f t="shared" si="179"/>
        <v>800</v>
      </c>
      <c r="DF130" s="442">
        <f t="shared" si="180"/>
        <v>0</v>
      </c>
      <c r="DG130" s="487">
        <f t="shared" ca="1" si="220"/>
        <v>1.4000000000000001</v>
      </c>
      <c r="DH130" s="452">
        <f t="shared" si="221"/>
        <v>9.0000000000000011E-2</v>
      </c>
      <c r="DI130" s="452">
        <f>MIN(valkyrja_cap,Production!O130/valkyrja_bonus)</f>
        <v>1</v>
      </c>
      <c r="DJ130" s="848">
        <f>MIN(voodoo_magi_cap,Production!O130/voodoo_magi_bonus)</f>
        <v>0.83333333333333337</v>
      </c>
      <c r="DK130" s="848">
        <f>MIN(warlock_cap,Production!O130/warlock_bonus)</f>
        <v>1.25</v>
      </c>
      <c r="DL130" s="848">
        <f ca="1">MIN(nox_nightshade_cap,Construction!DF130/Construction!E130/nox_nightshade_swamp_bonus)</f>
        <v>2.8000000000000003</v>
      </c>
      <c r="DM130" s="488">
        <f t="shared" si="222"/>
        <v>0</v>
      </c>
      <c r="DN130" s="489">
        <f t="shared" ca="1" si="223"/>
        <v>2.8000000000000003</v>
      </c>
      <c r="DO130" s="489">
        <f t="shared" ca="1" si="224"/>
        <v>2.8000000000000003</v>
      </c>
      <c r="DP130" s="489">
        <f t="shared" si="225"/>
        <v>1</v>
      </c>
      <c r="DQ130" s="488">
        <f t="shared" si="226"/>
        <v>0</v>
      </c>
      <c r="DR130" s="489">
        <f t="shared" si="227"/>
        <v>0</v>
      </c>
      <c r="DS130" s="488">
        <f t="shared" si="228"/>
        <v>0</v>
      </c>
      <c r="DT130" s="489">
        <f t="shared" si="229"/>
        <v>0.1</v>
      </c>
      <c r="DX130" s="487">
        <f ca="1">MIN(6,CV130+Races!$F$19)*1.8 +  IF(CV130+Races!$F$19&gt;6,(CV130+Races!$F$19-6)*0.2,0) - Races!$N$19</f>
        <v>2.5200000000000005</v>
      </c>
      <c r="DY130" s="488">
        <f ca="1">1.8 * MIN(MAX(CW130+Races!$E$20,CX130+Races!$F$20),6)  +  0.45 * MIN(MIN(CW130+Races!$E$20,CX130+Races!$F$20),6)  +  0.2 * ( MAX(CW130+Races!$E$20-6,0) + MAX(CX130+Races!$F$20-6,0) )  -  Races!$N$20</f>
        <v>3.1500000000000012</v>
      </c>
      <c r="DZ130" s="57">
        <f t="shared" ca="1" si="230"/>
        <v>3780.0000000000009</v>
      </c>
      <c r="EA130" s="666">
        <f ca="1">MIN(6,CY130+Races!$F$35)*1.8 +  IF(CY130+Races!$F$35&gt;6,(CY130+Races!$F$35-6)*0.2,0) - Races!$N$19</f>
        <v>0.72000000000000064</v>
      </c>
      <c r="EB130" s="57">
        <f t="shared" ca="1" si="231"/>
        <v>0</v>
      </c>
      <c r="EC130" s="666">
        <f ca="1">1.8 * MIN(MAX(Races!$E$27,DB130+Races!$F$27),6)  +  0.45 * MIN(MIN(Races!$E$27,DB130+Races!$F$27),6)  +  0.2 * ( MAX(Races!$E$27-6,0) + MAX(DB130+Races!$F$27-6,0) )  -  Races!$N$20</f>
        <v>4.7700000000000005</v>
      </c>
      <c r="ED130" s="57">
        <f t="shared" ca="1" si="232"/>
        <v>0</v>
      </c>
      <c r="EE130" s="666">
        <f>1.8 * MIN(MAX(DC130+Races!$E$47,DD130+Races!$F$47),6)  +  0.45 * MIN(MIN(DC130+Races!$E$47,DD130+Races!$F$47),6)  +  0.2 * ( MAX(DC130+Races!$E$47-6,0) + MAX(DD130+Races!$F$47-6,0) )  -  Races!$N$47</f>
        <v>0</v>
      </c>
      <c r="EF130" s="57">
        <f t="shared" si="233"/>
        <v>0</v>
      </c>
      <c r="EG130" s="666">
        <f ca="1">1.8 * MIN(MAX(DG130+Races!$F$71,Races!$E$71),6)  +  0.45 * MIN(MIN(DG130+Races!$F$71,Races!$E$71),6)  +  0.2 * ( MAX(DG130+Races!$F$71-6,0) + MAX(Races!$E$71-6,0) )  -  Races!$N$71</f>
        <v>2.5200000000000014</v>
      </c>
      <c r="EH130" s="666">
        <f>1.8 * MIN(MAX(DH130+Races!$E$71,Races!$F$71),6)  +  0.45 * MIN(MIN(DH130+Races!$E$71,Races!$F$71),6)  +  0.2 * ( MAX(DH130+Races!$E$71-6,0) + MAX(Races!$F$71-6,0) )  -  Races!$N$71</f>
        <v>0.16200000000000081</v>
      </c>
      <c r="EI130" s="57">
        <f t="shared" ca="1" si="234"/>
        <v>2584.8000000000015</v>
      </c>
      <c r="EJ130" s="57"/>
      <c r="EK130" s="57"/>
      <c r="EL130" s="57"/>
      <c r="EM130" s="57">
        <f ca="1">Overview!$L$22*E130+Overview!$L$23*F130+Overview!$L$24*G130+Overview!$L$25*H130+Overview!$L$26*I130+Overview!$L$27*J130+Overview!$L$28*K130+Construction!E130*20+Construction!B130*5 + DZ130*$DV$4+EB130*$DV$5+ED130*$DV$6+EF130*$DV$7+EI130*$DV$9</f>
        <v>39460</v>
      </c>
      <c r="EO130" s="738">
        <f>(J130+2*K130)/Construction!E130</f>
        <v>0.1</v>
      </c>
      <c r="EP130" s="734">
        <f ca="1">EO130*(1+race_wizard_strength+tech_magical_weaponry_wiz*Techs!AV202)</f>
        <v>0.1</v>
      </c>
      <c r="EQ130" s="16">
        <f>(I130+halfer*H130/3)/Construction!E130</f>
        <v>0.1</v>
      </c>
    </row>
    <row r="131" spans="1:147" s="16" customFormat="1">
      <c r="A131" s="629">
        <f>Rezone!J131</f>
        <v>129</v>
      </c>
      <c r="B131" s="56">
        <f ca="1">SUM(E131:K131)+SUM(AF123:AG131)+SUM(AH120:AL131)+Z131+Explore!AL131</f>
        <v>5295</v>
      </c>
      <c r="C131" s="97">
        <f ca="1">Population!G131</f>
        <v>0.57305194805194803</v>
      </c>
      <c r="E131" s="52">
        <f t="shared" si="235"/>
        <v>0</v>
      </c>
      <c r="F131" s="16">
        <f t="shared" si="236"/>
        <v>0</v>
      </c>
      <c r="G131" s="16">
        <f t="shared" si="237"/>
        <v>1000</v>
      </c>
      <c r="H131" s="16">
        <f t="shared" si="238"/>
        <v>400</v>
      </c>
      <c r="I131" s="16">
        <f t="shared" si="239"/>
        <v>100</v>
      </c>
      <c r="J131" s="16">
        <f t="shared" si="240"/>
        <v>100</v>
      </c>
      <c r="K131" s="53">
        <f t="shared" si="241"/>
        <v>0</v>
      </c>
      <c r="M131" s="64">
        <f ca="1">Production!G131</f>
        <v>39460</v>
      </c>
      <c r="O131" s="142">
        <f t="shared" ca="1" si="192"/>
        <v>4400</v>
      </c>
      <c r="P131" s="455">
        <f ca="1">race_offense+Imps!AB131+ROUND(MIN(gn_bonus*Construction!BF131/Construction!$E131,gn_bonus_cap),4)+MAX(IF(Magic!$AN131&gt;0,warsong_bonus),IF(Magic!AP131&gt;0,howling_op_bonus),IF(Magic!AS131&gt;0,nightfall_bonus),IF(Magic!AT131&gt;0,crusade_bonus),IF(Magic!AU131&gt;0,killingrage_bonus),IF(Magic!AV131&gt;0,bloodrage_bonus)) + Production!O131/100*prestige_offense_bonus + MAX(tech_military_offense*Techs!AH131,tech_magical_weaponry_op*Techs!AV131)</f>
        <v>0.05</v>
      </c>
      <c r="Q131" s="235">
        <f t="shared" ca="1" si="168"/>
        <v>4620</v>
      </c>
      <c r="R131" s="234">
        <f ca="1">F131*(spec_dp+spirit*DR131)+G131*(elite1_dp+woodie*CV131+sylvan*CY131+gnome*DB131+dark_elf*DD131+icekin*DG131+orc*DJ131+nox*DL131+beast*DN131+sacred*DP131+spirit*DS131+blackorc*DK131)+H131*(elite2_dp+woodie*CX131+beast*DO131+sacred*DQ131) + fh_peas_dp*MIN(Population!C131,20*Construction!BD131)+kobold*DE131</f>
        <v>7200</v>
      </c>
      <c r="S131" s="235">
        <f t="shared" ref="S131:S135" ca="1" si="242">R131+Z131*IF(race="Ants",0.1,IF(race="Growth",0.01,1))</f>
        <v>10895</v>
      </c>
      <c r="T131" s="1052">
        <f ca="1">race_defense+Imps!AC131+ROUND(MIN(gt_bonus*Construction!BH131/Construction!$E131,gt_bonus_cap),4)+MAX(IF(Magic!AM131&gt;0,frenzy_bonus,IF(Magic!AQ131&gt;0,blizzard_bonus,IF(Magic!AP131&gt;0,howling_dp_bonus,IF(Magic!AI131&gt;0,ares_call_bonus)))),IF(Magic!AX131&gt;0,MIN(Construction!DF131/Construction!E131,0.2),0))</f>
        <v>0</v>
      </c>
      <c r="U131" s="1046">
        <f t="shared" ca="1" si="169"/>
        <v>7200</v>
      </c>
      <c r="V131" s="310">
        <f t="shared" ca="1" si="170"/>
        <v>10895</v>
      </c>
      <c r="W131" s="310">
        <f>Construction!E131</f>
        <v>1000</v>
      </c>
      <c r="X131" s="367"/>
      <c r="Y131" s="146">
        <f t="shared" si="191"/>
        <v>0.4</v>
      </c>
      <c r="Z131" s="166">
        <f ca="1">Z130+Population!Z130 - IF(race="Lux",AF131,SUM(AF131:AK131)) - BE131 + SUM(BF131:BL131) - Explore!AI131</f>
        <v>3695</v>
      </c>
      <c r="AA131" s="164"/>
      <c r="AB131" s="91">
        <f>(Construction!$BA131+Construction!BY131)/(Construction!$E131-Explore!S131*20)</f>
        <v>0.2</v>
      </c>
      <c r="AC131" s="529"/>
      <c r="AD131" s="799">
        <f>Rezone!J131</f>
        <v>129</v>
      </c>
      <c r="AE131" s="589">
        <f>Explore!AA131</f>
        <v>43697.333333333023</v>
      </c>
      <c r="AF131" s="356"/>
      <c r="AG131" s="348"/>
      <c r="AH131" s="348"/>
      <c r="AI131" s="348"/>
      <c r="AJ131" s="348"/>
      <c r="AK131" s="348"/>
      <c r="AL131" s="357"/>
      <c r="AN131" s="56">
        <f ca="1">Production!$H131</f>
        <v>4310839</v>
      </c>
      <c r="AO131" s="26">
        <f ca="1">Production!$L131</f>
        <v>231000</v>
      </c>
      <c r="AP131" s="26">
        <f ca="1">Production!J131</f>
        <v>264471</v>
      </c>
      <c r="AQ131" s="26">
        <f ca="1">Production!M131</f>
        <v>20000</v>
      </c>
      <c r="AR131" s="26">
        <f ca="1">Production!K131</f>
        <v>59299</v>
      </c>
      <c r="AS131" s="26">
        <f ca="1">Production!I131</f>
        <v>352156</v>
      </c>
      <c r="AT131" s="26">
        <f ca="1">Production!N131</f>
        <v>200</v>
      </c>
      <c r="AU131" s="152">
        <f t="shared" ca="1" si="194"/>
        <v>0</v>
      </c>
      <c r="AV131" s="164">
        <f t="shared" ca="1" si="195"/>
        <v>0</v>
      </c>
      <c r="AW131" s="164">
        <f t="shared" ca="1" si="171"/>
        <v>0</v>
      </c>
      <c r="AX131" s="164">
        <f t="shared" ca="1" si="172"/>
        <v>0</v>
      </c>
      <c r="AY131" s="164">
        <f t="shared" ca="1" si="173"/>
        <v>0</v>
      </c>
      <c r="AZ131" s="164">
        <f t="shared" ca="1" si="174"/>
        <v>0</v>
      </c>
      <c r="BA131" s="166">
        <f t="shared" ca="1" si="175"/>
        <v>0</v>
      </c>
      <c r="BB131" s="16">
        <v>57</v>
      </c>
      <c r="BC131" s="574">
        <f t="shared" si="176"/>
        <v>43697.333333333023</v>
      </c>
      <c r="BD131" s="148">
        <f t="shared" ca="1" si="177"/>
        <v>3695</v>
      </c>
      <c r="BE131" s="356"/>
      <c r="BF131" s="348"/>
      <c r="BG131" s="348"/>
      <c r="BH131" s="348"/>
      <c r="BI131" s="348"/>
      <c r="BJ131" s="348"/>
      <c r="BK131" s="348"/>
      <c r="BL131" s="357"/>
      <c r="BN131" s="503">
        <f>Construction!BM131/Construction!E131</f>
        <v>0</v>
      </c>
      <c r="BO131" s="171">
        <f>Construction!BD131/Construction!E131</f>
        <v>0</v>
      </c>
      <c r="BP131" s="152">
        <f>ROUNDUP((1-MIN(AB131*smithy_bonus,smithy_bonus_cap))*(1+Techs!AO131*tech_master_of_frugality)*spec_op_plat,0)</f>
        <v>165</v>
      </c>
      <c r="BQ131" s="164">
        <f>ROUNDUP(IF(race="Gnome",1,(1-MIN(AB131*smithy_bonus,smithy_bonus_cap))*(1+Techs!AO131*tech_master_of_frugality))*spec_op_ore,0)</f>
        <v>15</v>
      </c>
      <c r="BR131" s="164">
        <f t="shared" si="196"/>
        <v>0</v>
      </c>
      <c r="BS131" s="164">
        <f t="shared" si="197"/>
        <v>0</v>
      </c>
      <c r="BT131" s="164">
        <f ca="1">ROUNDUP((1-MIN(AB131*smithy_bonus,smithy_bonus_cap))*(1+Techs!AO131*tech_master_of_frugality)*spec_dp_plat,0)</f>
        <v>165</v>
      </c>
      <c r="BU131" s="164">
        <f ca="1">ROUNDUP(IF(OR(race="Gnome",race="Imperial Gnome"),1,(1-MIN(AB131*smithy_bonus,smithy_bonus_cap))*(1+Techs!AO131*tech_master_of_frugality))*spec_dp_ore,0)</f>
        <v>6</v>
      </c>
      <c r="BV131" s="164">
        <f t="shared" ca="1" si="198"/>
        <v>0</v>
      </c>
      <c r="BW131" s="164">
        <f t="shared" ca="1" si="199"/>
        <v>0</v>
      </c>
      <c r="BX131" s="164">
        <f t="shared" ca="1" si="200"/>
        <v>0</v>
      </c>
      <c r="BY131" s="164">
        <f ca="1">ROUNDUP((1-MIN(AB131*smithy_bonus,smithy_bonus_cap))*(1+Techs!AO131*tech_master_of_frugality)*elite1_plat,0)</f>
        <v>600</v>
      </c>
      <c r="BZ131" s="164">
        <f ca="1">ROUNDUP(IF(race="Gnome",1,(1-MIN(AB131*smithy_bonus,smithy_bonus_cap))*(1+Techs!AO131*tech_master_of_frugality))*elite1_ore,0)</f>
        <v>45</v>
      </c>
      <c r="CA131" s="164">
        <f t="shared" ca="1" si="201"/>
        <v>0</v>
      </c>
      <c r="CB131" s="164">
        <f t="shared" ca="1" si="202"/>
        <v>0</v>
      </c>
      <c r="CC131" s="164">
        <f t="shared" ca="1" si="203"/>
        <v>0</v>
      </c>
      <c r="CD131" s="164">
        <f t="shared" ca="1" si="204"/>
        <v>0</v>
      </c>
      <c r="CE131" s="164">
        <f t="shared" ca="1" si="205"/>
        <v>0</v>
      </c>
      <c r="CF131" s="164">
        <f ca="1">ROUNDUP((1-MIN(AB131*smithy_bonus,smithy_bonus_cap))*(1+Techs!AO131*tech_master_of_frugality)*elite2_plat,0)</f>
        <v>750</v>
      </c>
      <c r="CG131" s="164">
        <f ca="1">ROUNDUP(IF(race="Gnome",1,(1-MIN(AB131*smithy_bonus,smithy_bonus_cap))*(1+Techs!AO131*tech_master_of_frugality))*elite2_ore,0)</f>
        <v>60</v>
      </c>
      <c r="CH131" s="164">
        <f t="shared" ca="1" si="206"/>
        <v>0</v>
      </c>
      <c r="CI131" s="164">
        <f t="shared" ca="1" si="207"/>
        <v>0</v>
      </c>
      <c r="CJ131" s="164">
        <f t="shared" ca="1" si="208"/>
        <v>0</v>
      </c>
      <c r="CK131" s="164">
        <f t="shared" ca="1" si="209"/>
        <v>0</v>
      </c>
      <c r="CL131" s="164">
        <f t="shared" ca="1" si="210"/>
        <v>0</v>
      </c>
      <c r="CM131" s="164">
        <f>ROUNDUP((1+tech_spy_cost*Techs!AJ131)*spy_plat,0)</f>
        <v>500</v>
      </c>
      <c r="CN131" s="164">
        <f>ROUNDUP((1+tech_wizard_cost*Techs!AM131-MIN(ROUND(wg_wiz_cost_bonus*BN131,4),wg_wiz_cost_cap))*wizard_plat,0)</f>
        <v>500</v>
      </c>
      <c r="CO131" s="166">
        <f>ROUNDUP((1+tech_wizard_cost*Techs!AM131-MIN(ROUND(wg_wiz_cost_bonus*BN131,4),wg_wiz_cost_cap))*archmage_plat,0)</f>
        <v>1000</v>
      </c>
      <c r="CQ131" s="465">
        <f ca="1">Construction!DF131/Construction!E131</f>
        <v>0.28000000000000003</v>
      </c>
      <c r="CR131" s="466">
        <f t="shared" si="178"/>
        <v>0</v>
      </c>
      <c r="CS131" s="466">
        <f>Construction!BK131/Construction!E131</f>
        <v>0.05</v>
      </c>
      <c r="CT131" s="466">
        <f>Construction!BJ131/Construction!E131</f>
        <v>0</v>
      </c>
      <c r="CU131" s="466">
        <f>Construction!AY131/Construction!E131</f>
        <v>0</v>
      </c>
      <c r="CV131" s="487">
        <f t="shared" ca="1" si="211"/>
        <v>1.4000000000000001</v>
      </c>
      <c r="CW131" s="488">
        <f t="shared" ca="1" si="212"/>
        <v>1.4000000000000001</v>
      </c>
      <c r="CX131" s="488">
        <f t="shared" ca="1" si="213"/>
        <v>1.4000000000000001</v>
      </c>
      <c r="CY131" s="489">
        <f t="shared" ca="1" si="214"/>
        <v>1.4000000000000001</v>
      </c>
      <c r="CZ131" s="489">
        <f t="shared" si="215"/>
        <v>0.1</v>
      </c>
      <c r="DA131" s="489">
        <f t="shared" ca="1" si="216"/>
        <v>3</v>
      </c>
      <c r="DB131" s="489">
        <f t="shared" ca="1" si="217"/>
        <v>1.4000000000000001</v>
      </c>
      <c r="DC131" s="488">
        <f t="shared" si="218"/>
        <v>0</v>
      </c>
      <c r="DD131" s="848">
        <f t="shared" si="219"/>
        <v>0</v>
      </c>
      <c r="DE131" s="442">
        <f t="shared" si="179"/>
        <v>800</v>
      </c>
      <c r="DF131" s="442">
        <f t="shared" si="180"/>
        <v>0</v>
      </c>
      <c r="DG131" s="487">
        <f t="shared" ca="1" si="220"/>
        <v>1.4000000000000001</v>
      </c>
      <c r="DH131" s="452">
        <f t="shared" si="221"/>
        <v>9.0000000000000011E-2</v>
      </c>
      <c r="DI131" s="452">
        <f>MIN(valkyrja_cap,Production!O131/valkyrja_bonus)</f>
        <v>1</v>
      </c>
      <c r="DJ131" s="848">
        <f>MIN(voodoo_magi_cap,Production!O131/voodoo_magi_bonus)</f>
        <v>0.83333333333333337</v>
      </c>
      <c r="DK131" s="848">
        <f>MIN(warlock_cap,Production!O131/warlock_bonus)</f>
        <v>1.25</v>
      </c>
      <c r="DL131" s="848">
        <f ca="1">MIN(nox_nightshade_cap,Construction!DF131/Construction!E131/nox_nightshade_swamp_bonus)</f>
        <v>2.8000000000000003</v>
      </c>
      <c r="DM131" s="488">
        <f t="shared" si="222"/>
        <v>0</v>
      </c>
      <c r="DN131" s="489">
        <f t="shared" ca="1" si="223"/>
        <v>2.8000000000000003</v>
      </c>
      <c r="DO131" s="489">
        <f t="shared" ca="1" si="224"/>
        <v>2.8000000000000003</v>
      </c>
      <c r="DP131" s="489">
        <f t="shared" si="225"/>
        <v>1</v>
      </c>
      <c r="DQ131" s="488">
        <f t="shared" si="226"/>
        <v>0</v>
      </c>
      <c r="DR131" s="489">
        <f t="shared" si="227"/>
        <v>0</v>
      </c>
      <c r="DS131" s="488">
        <f t="shared" si="228"/>
        <v>0</v>
      </c>
      <c r="DT131" s="489">
        <f t="shared" si="229"/>
        <v>0.1</v>
      </c>
      <c r="DX131" s="487">
        <f ca="1">MIN(6,CV131+Races!$F$19)*1.8 +  IF(CV131+Races!$F$19&gt;6,(CV131+Races!$F$19-6)*0.2,0) - Races!$N$19</f>
        <v>2.5200000000000005</v>
      </c>
      <c r="DY131" s="488">
        <f ca="1">1.8 * MIN(MAX(CW131+Races!$E$20,CX131+Races!$F$20),6)  +  0.45 * MIN(MIN(CW131+Races!$E$20,CX131+Races!$F$20),6)  +  0.2 * ( MAX(CW131+Races!$E$20-6,0) + MAX(CX131+Races!$F$20-6,0) )  -  Races!$N$20</f>
        <v>3.1500000000000012</v>
      </c>
      <c r="DZ131" s="57">
        <f t="shared" ref="DZ131:DZ135" ca="1" si="243">DX131*G131+DY131*H131</f>
        <v>3780.0000000000009</v>
      </c>
      <c r="EA131" s="666">
        <f ca="1">MIN(6,CY131+Races!$F$35)*1.8 +  IF(CY131+Races!$F$35&gt;6,(CY131+Races!$F$35-6)*0.2,0) - Races!$N$19</f>
        <v>0.72000000000000064</v>
      </c>
      <c r="EB131" s="57">
        <f t="shared" ca="1" si="231"/>
        <v>0</v>
      </c>
      <c r="EC131" s="666">
        <f ca="1">1.8 * MIN(MAX(Races!$E$27,DB131+Races!$F$27),6)  +  0.45 * MIN(MIN(Races!$E$27,DB131+Races!$F$27),6)  +  0.2 * ( MAX(Races!$E$27-6,0) + MAX(DB131+Races!$F$27-6,0) )  -  Races!$N$20</f>
        <v>4.7700000000000005</v>
      </c>
      <c r="ED131" s="57">
        <f t="shared" ref="ED131:ED135" ca="1" si="244">$DV$6*(EC131*G131)</f>
        <v>0</v>
      </c>
      <c r="EE131" s="666">
        <f>1.8 * MIN(MAX(DC131+Races!$E$47,DD131+Races!$F$47),6)  +  0.45 * MIN(MIN(DC131+Races!$E$47,DD131+Races!$F$47),6)  +  0.2 * ( MAX(DC131+Races!$E$47-6,0) + MAX(DD131+Races!$F$47-6,0) )  -  Races!$N$47</f>
        <v>0</v>
      </c>
      <c r="EF131" s="57">
        <f t="shared" ref="EF131:EF135" si="245">$DV$7*(EE131*G131)</f>
        <v>0</v>
      </c>
      <c r="EG131" s="666">
        <f ca="1">1.8 * MIN(MAX(DG131+Races!$F$71,Races!$E$71),6)  +  0.45 * MIN(MIN(DG131+Races!$F$71,Races!$E$71),6)  +  0.2 * ( MAX(DG131+Races!$F$71-6,0) + MAX(Races!$E$71-6,0) )  -  Races!$N$71</f>
        <v>2.5200000000000014</v>
      </c>
      <c r="EH131" s="666">
        <f>1.8 * MIN(MAX(DH131+Races!$E$71,Races!$F$71),6)  +  0.45 * MIN(MIN(DH131+Races!$E$71,Races!$F$71),6)  +  0.2 * ( MAX(DH131+Races!$E$71-6,0) + MAX(Races!$F$71-6,0) )  -  Races!$N$71</f>
        <v>0.16200000000000081</v>
      </c>
      <c r="EI131" s="57">
        <f t="shared" ref="EI131:EI135" ca="1" si="246">EG131*G131+EH131*H131</f>
        <v>2584.8000000000015</v>
      </c>
      <c r="EJ131" s="57"/>
      <c r="EK131" s="57"/>
      <c r="EL131" s="57"/>
      <c r="EM131" s="57">
        <f ca="1">Overview!$L$22*E131+Overview!$L$23*F131+Overview!$L$24*G131+Overview!$L$25*H131+Overview!$L$26*I131+Overview!$L$27*J131+Overview!$L$28*K131+Construction!E131*20+Construction!B131*5 + DZ131*$DV$4+EB131*$DV$5+ED131*$DV$6+EF131*$DV$7+EI131*$DV$9</f>
        <v>39460</v>
      </c>
      <c r="EO131" s="738">
        <f>(J131+2*K131)/Construction!E131</f>
        <v>0.1</v>
      </c>
      <c r="EP131" s="734">
        <f ca="1">EO131*(1+race_wizard_strength+tech_magical_weaponry_wiz*Techs!AV203)</f>
        <v>0.1</v>
      </c>
      <c r="EQ131" s="16">
        <f>(I131+halfer*H131/3)/Construction!E131</f>
        <v>0.1</v>
      </c>
    </row>
    <row r="132" spans="1:147" s="16" customFormat="1">
      <c r="A132" s="629">
        <f>Rezone!J132</f>
        <v>130</v>
      </c>
      <c r="B132" s="56">
        <f ca="1">SUM(E132:K132)+SUM(AF124:AG132)+SUM(AH121:AL132)+Z132+Explore!AL132</f>
        <v>5295</v>
      </c>
      <c r="C132" s="97">
        <f ca="1">Population!G132</f>
        <v>0.57305194805194803</v>
      </c>
      <c r="E132" s="52">
        <f t="shared" si="235"/>
        <v>0</v>
      </c>
      <c r="F132" s="16">
        <f t="shared" si="236"/>
        <v>0</v>
      </c>
      <c r="G132" s="16">
        <f t="shared" si="237"/>
        <v>1000</v>
      </c>
      <c r="H132" s="16">
        <f t="shared" si="238"/>
        <v>400</v>
      </c>
      <c r="I132" s="16">
        <f t="shared" si="239"/>
        <v>100</v>
      </c>
      <c r="J132" s="16">
        <f t="shared" si="240"/>
        <v>100</v>
      </c>
      <c r="K132" s="53">
        <f t="shared" si="241"/>
        <v>0</v>
      </c>
      <c r="M132" s="64">
        <f ca="1">Production!G132</f>
        <v>39460</v>
      </c>
      <c r="O132" s="142">
        <f t="shared" ca="1" si="192"/>
        <v>4400</v>
      </c>
      <c r="P132" s="455">
        <f ca="1">race_offense+Imps!AB132+ROUND(MIN(gn_bonus*Construction!BF132/Construction!$E132,gn_bonus_cap),4)+MAX(IF(Magic!$AN132&gt;0,warsong_bonus),IF(Magic!AP132&gt;0,howling_op_bonus),IF(Magic!AS132&gt;0,nightfall_bonus),IF(Magic!AT132&gt;0,crusade_bonus),IF(Magic!AU132&gt;0,killingrage_bonus),IF(Magic!AV132&gt;0,bloodrage_bonus)) + Production!O132/100*prestige_offense_bonus + MAX(tech_military_offense*Techs!AH132,tech_magical_weaponry_op*Techs!AV132)</f>
        <v>0.05</v>
      </c>
      <c r="Q132" s="235">
        <f ca="1">O132*(1+P132)</f>
        <v>4620</v>
      </c>
      <c r="R132" s="234">
        <f ca="1">F132*(spec_dp+spirit*DR132)+G132*(elite1_dp+woodie*CV132+sylvan*CY132+gnome*DB132+dark_elf*DD132+icekin*DG132+orc*DJ132+nox*DL132+beast*DN132+sacred*DP132+spirit*DS132+blackorc*DK132)+H132*(elite2_dp+woodie*CX132+beast*DO132+sacred*DQ132) + fh_peas_dp*MIN(Population!C132,20*Construction!BD132)+kobold*DE132</f>
        <v>7200</v>
      </c>
      <c r="S132" s="235">
        <f t="shared" ca="1" si="242"/>
        <v>10895</v>
      </c>
      <c r="T132" s="1052">
        <f ca="1">race_defense+Imps!AC132+ROUND(MIN(gt_bonus*Construction!BH132/Construction!$E132,gt_bonus_cap),4)+MAX(IF(Magic!AM132&gt;0,frenzy_bonus,IF(Magic!AQ132&gt;0,blizzard_bonus,IF(Magic!AP132&gt;0,howling_dp_bonus,IF(Magic!AI132&gt;0,ares_call_bonus)))),IF(Magic!AX132&gt;0,MIN(Construction!DF132/Construction!E132,0.2),0))</f>
        <v>0</v>
      </c>
      <c r="U132" s="1046">
        <f ca="1">R132 * (1 + T132)</f>
        <v>7200</v>
      </c>
      <c r="V132" s="310">
        <f ca="1">S132 * (1 + T132)</f>
        <v>10895</v>
      </c>
      <c r="W132" s="310">
        <f>Construction!E132</f>
        <v>1000</v>
      </c>
      <c r="X132" s="367"/>
      <c r="Y132" s="146">
        <f t="shared" si="191"/>
        <v>0.4</v>
      </c>
      <c r="Z132" s="166">
        <f ca="1">Z131+Population!Z131 - IF(race="Lux",AF132,SUM(AF132:AK132)) - BE132 + SUM(BF132:BL132) - Explore!AI132</f>
        <v>3695</v>
      </c>
      <c r="AA132" s="164"/>
      <c r="AB132" s="91">
        <f>(Construction!$BA132+Construction!BY132)/(Construction!$E132-Explore!S132*20)</f>
        <v>0.2</v>
      </c>
      <c r="AC132" s="529"/>
      <c r="AD132" s="799">
        <f>Rezone!J132</f>
        <v>130</v>
      </c>
      <c r="AE132" s="589">
        <f>Explore!AA132</f>
        <v>43697.374999999687</v>
      </c>
      <c r="AF132" s="356"/>
      <c r="AG132" s="348"/>
      <c r="AH132" s="348"/>
      <c r="AI132" s="348"/>
      <c r="AJ132" s="348"/>
      <c r="AK132" s="348"/>
      <c r="AL132" s="357"/>
      <c r="AN132" s="56">
        <f ca="1">Production!$H132</f>
        <v>4321490</v>
      </c>
      <c r="AO132" s="26">
        <f ca="1">Production!$L132</f>
        <v>231000</v>
      </c>
      <c r="AP132" s="26">
        <f ca="1">Production!J132</f>
        <v>264326</v>
      </c>
      <c r="AQ132" s="26">
        <f ca="1">Production!M132</f>
        <v>20000</v>
      </c>
      <c r="AR132" s="26">
        <f ca="1">Production!K132</f>
        <v>59363</v>
      </c>
      <c r="AS132" s="26">
        <f ca="1">Production!I132</f>
        <v>353364</v>
      </c>
      <c r="AT132" s="26">
        <f ca="1">Production!N132</f>
        <v>200</v>
      </c>
      <c r="AU132" s="152">
        <f t="shared" ca="1" si="194"/>
        <v>0</v>
      </c>
      <c r="AV132" s="164">
        <f t="shared" ca="1" si="195"/>
        <v>0</v>
      </c>
      <c r="AW132" s="164">
        <f t="shared" ref="AW132:AW135" ca="1" si="247">$AH132*CA132+$AI132*CH132</f>
        <v>0</v>
      </c>
      <c r="AX132" s="164">
        <f t="shared" ref="AX132:AX135" ca="1" si="248">$AG132*BW132+$AH132*CB132+$AI132*CI132</f>
        <v>0</v>
      </c>
      <c r="AY132" s="164">
        <f t="shared" ref="AY132:AY135" ca="1" si="249">$AF132*BR132+$AG132*BV132+$AH132*CC132+$AI132*CJ132</f>
        <v>0</v>
      </c>
      <c r="AZ132" s="164">
        <f t="shared" ref="AZ132:AZ135" ca="1" si="250">$AF132*BS132+$AG132*BX132+$AH132*CD132+$AI132*CK132</f>
        <v>0</v>
      </c>
      <c r="BA132" s="166">
        <f t="shared" ref="BA132:BA135" ca="1" si="251">$AH132*CE132+$AI132*CL132</f>
        <v>0</v>
      </c>
      <c r="BB132" s="16">
        <v>58</v>
      </c>
      <c r="BC132" s="574">
        <f>AE132</f>
        <v>43697.374999999687</v>
      </c>
      <c r="BD132" s="148">
        <f ca="1">$Z132</f>
        <v>3695</v>
      </c>
      <c r="BE132" s="356"/>
      <c r="BF132" s="348"/>
      <c r="BG132" s="348"/>
      <c r="BH132" s="348"/>
      <c r="BI132" s="348"/>
      <c r="BJ132" s="348"/>
      <c r="BK132" s="348"/>
      <c r="BL132" s="357"/>
      <c r="BN132" s="503">
        <f>Construction!BM132/Construction!E132</f>
        <v>0</v>
      </c>
      <c r="BO132" s="171">
        <f>Construction!BD132/Construction!E132</f>
        <v>0</v>
      </c>
      <c r="BP132" s="152">
        <f>ROUNDUP((1-MIN(AB132*smithy_bonus,smithy_bonus_cap))*(1+Techs!AO132*tech_master_of_frugality)*spec_op_plat,0)</f>
        <v>165</v>
      </c>
      <c r="BQ132" s="164">
        <f>ROUNDUP(IF(race="Gnome",1,(1-MIN(AB132*smithy_bonus,smithy_bonus_cap))*(1+Techs!AO132*tech_master_of_frugality))*spec_op_ore,0)</f>
        <v>15</v>
      </c>
      <c r="BR132" s="164">
        <f t="shared" si="196"/>
        <v>0</v>
      </c>
      <c r="BS132" s="164">
        <f t="shared" si="197"/>
        <v>0</v>
      </c>
      <c r="BT132" s="164">
        <f ca="1">ROUNDUP((1-MIN(AB132*smithy_bonus,smithy_bonus_cap))*(1+Techs!AO132*tech_master_of_frugality)*spec_dp_plat,0)</f>
        <v>165</v>
      </c>
      <c r="BU132" s="164">
        <f ca="1">ROUNDUP(IF(OR(race="Gnome",race="Imperial Gnome"),1,(1-MIN(AB132*smithy_bonus,smithy_bonus_cap))*(1+Techs!AO132*tech_master_of_frugality))*spec_dp_ore,0)</f>
        <v>6</v>
      </c>
      <c r="BV132" s="164">
        <f t="shared" ca="1" si="198"/>
        <v>0</v>
      </c>
      <c r="BW132" s="164">
        <f t="shared" ca="1" si="199"/>
        <v>0</v>
      </c>
      <c r="BX132" s="164">
        <f t="shared" ca="1" si="200"/>
        <v>0</v>
      </c>
      <c r="BY132" s="164">
        <f ca="1">ROUNDUP((1-MIN(AB132*smithy_bonus,smithy_bonus_cap))*(1+Techs!AO132*tech_master_of_frugality)*elite1_plat,0)</f>
        <v>600</v>
      </c>
      <c r="BZ132" s="164">
        <f ca="1">ROUNDUP(IF(race="Gnome",1,(1-MIN(AB132*smithy_bonus,smithy_bonus_cap))*(1+Techs!AO132*tech_master_of_frugality))*elite1_ore,0)</f>
        <v>45</v>
      </c>
      <c r="CA132" s="164">
        <f t="shared" ca="1" si="201"/>
        <v>0</v>
      </c>
      <c r="CB132" s="164">
        <f t="shared" ca="1" si="202"/>
        <v>0</v>
      </c>
      <c r="CC132" s="164">
        <f t="shared" ca="1" si="203"/>
        <v>0</v>
      </c>
      <c r="CD132" s="164">
        <f t="shared" ca="1" si="204"/>
        <v>0</v>
      </c>
      <c r="CE132" s="164">
        <f t="shared" ca="1" si="205"/>
        <v>0</v>
      </c>
      <c r="CF132" s="164">
        <f ca="1">ROUNDUP((1-MIN(AB132*smithy_bonus,smithy_bonus_cap))*(1+Techs!AO132*tech_master_of_frugality)*elite2_plat,0)</f>
        <v>750</v>
      </c>
      <c r="CG132" s="164">
        <f ca="1">ROUNDUP(IF(race="Gnome",1,(1-MIN(AB132*smithy_bonus,smithy_bonus_cap))*(1+Techs!AO132*tech_master_of_frugality))*elite2_ore,0)</f>
        <v>60</v>
      </c>
      <c r="CH132" s="164">
        <f t="shared" ca="1" si="206"/>
        <v>0</v>
      </c>
      <c r="CI132" s="164">
        <f t="shared" ca="1" si="207"/>
        <v>0</v>
      </c>
      <c r="CJ132" s="164">
        <f t="shared" ca="1" si="208"/>
        <v>0</v>
      </c>
      <c r="CK132" s="164">
        <f t="shared" ca="1" si="209"/>
        <v>0</v>
      </c>
      <c r="CL132" s="164">
        <f t="shared" ca="1" si="210"/>
        <v>0</v>
      </c>
      <c r="CM132" s="164">
        <f>ROUNDUP((1+tech_spy_cost*Techs!AJ132)*spy_plat,0)</f>
        <v>500</v>
      </c>
      <c r="CN132" s="164">
        <f>ROUNDUP((1+tech_wizard_cost*Techs!AM132-MIN(ROUND(wg_wiz_cost_bonus*BN132,4),wg_wiz_cost_cap))*wizard_plat,0)</f>
        <v>500</v>
      </c>
      <c r="CO132" s="166">
        <f>ROUNDUP((1+tech_wizard_cost*Techs!AM132-MIN(ROUND(wg_wiz_cost_bonus*BN132,4),wg_wiz_cost_cap))*archmage_plat,0)</f>
        <v>1000</v>
      </c>
      <c r="CQ132" s="465">
        <f ca="1">Construction!DF132/Construction!E132</f>
        <v>0.28000000000000003</v>
      </c>
      <c r="CR132" s="466">
        <f>BN132</f>
        <v>0</v>
      </c>
      <c r="CS132" s="466">
        <f>Construction!BK132/Construction!E132</f>
        <v>0.05</v>
      </c>
      <c r="CT132" s="466">
        <f>Construction!BJ132/Construction!E132</f>
        <v>0</v>
      </c>
      <c r="CU132" s="466">
        <f>Construction!AY132/Construction!E132</f>
        <v>0</v>
      </c>
      <c r="CV132" s="487">
        <f t="shared" ca="1" si="211"/>
        <v>1.4000000000000001</v>
      </c>
      <c r="CW132" s="488">
        <f t="shared" ca="1" si="212"/>
        <v>1.4000000000000001</v>
      </c>
      <c r="CX132" s="488">
        <f t="shared" ca="1" si="213"/>
        <v>1.4000000000000001</v>
      </c>
      <c r="CY132" s="489">
        <f t="shared" ca="1" si="214"/>
        <v>1.4000000000000001</v>
      </c>
      <c r="CZ132" s="489">
        <f t="shared" si="215"/>
        <v>0.1</v>
      </c>
      <c r="DA132" s="489">
        <f t="shared" ca="1" si="216"/>
        <v>3</v>
      </c>
      <c r="DB132" s="489">
        <f t="shared" ca="1" si="217"/>
        <v>1.4000000000000001</v>
      </c>
      <c r="DC132" s="488">
        <f t="shared" si="218"/>
        <v>0</v>
      </c>
      <c r="DD132" s="848">
        <f t="shared" si="219"/>
        <v>0</v>
      </c>
      <c r="DE132" s="442">
        <f>MIN(G132,H132)*2</f>
        <v>800</v>
      </c>
      <c r="DF132" s="442">
        <f>MIN(E132,H132)*2</f>
        <v>0</v>
      </c>
      <c r="DG132" s="487">
        <f t="shared" ca="1" si="220"/>
        <v>1.4000000000000001</v>
      </c>
      <c r="DH132" s="452">
        <f t="shared" si="221"/>
        <v>9.0000000000000011E-2</v>
      </c>
      <c r="DI132" s="452">
        <f>MIN(valkyrja_cap,Production!O132/valkyrja_bonus)</f>
        <v>1</v>
      </c>
      <c r="DJ132" s="848">
        <f>MIN(voodoo_magi_cap,Production!O132/voodoo_magi_bonus)</f>
        <v>0.83333333333333337</v>
      </c>
      <c r="DK132" s="848">
        <f>MIN(warlock_cap,Production!O132/warlock_bonus)</f>
        <v>1.25</v>
      </c>
      <c r="DL132" s="848">
        <f ca="1">MIN(nox_nightshade_cap,Construction!DF132/Construction!E132/nox_nightshade_swamp_bonus)</f>
        <v>2.8000000000000003</v>
      </c>
      <c r="DM132" s="488">
        <f t="shared" si="222"/>
        <v>0</v>
      </c>
      <c r="DN132" s="489">
        <f t="shared" ca="1" si="223"/>
        <v>2.8000000000000003</v>
      </c>
      <c r="DO132" s="489">
        <f t="shared" ca="1" si="224"/>
        <v>2.8000000000000003</v>
      </c>
      <c r="DP132" s="489">
        <f t="shared" si="225"/>
        <v>1</v>
      </c>
      <c r="DQ132" s="488">
        <f t="shared" si="226"/>
        <v>0</v>
      </c>
      <c r="DR132" s="489">
        <f t="shared" si="227"/>
        <v>0</v>
      </c>
      <c r="DS132" s="488">
        <f t="shared" si="228"/>
        <v>0</v>
      </c>
      <c r="DT132" s="489">
        <f t="shared" si="229"/>
        <v>0.1</v>
      </c>
      <c r="DX132" s="487">
        <f ca="1">MIN(6,CV132+Races!$F$19)*1.8 +  IF(CV132+Races!$F$19&gt;6,(CV132+Races!$F$19-6)*0.2,0) - Races!$N$19</f>
        <v>2.5200000000000005</v>
      </c>
      <c r="DY132" s="488">
        <f ca="1">1.8 * MIN(MAX(CW132+Races!$E$20,CX132+Races!$F$20),6)  +  0.45 * MIN(MIN(CW132+Races!$E$20,CX132+Races!$F$20),6)  +  0.2 * ( MAX(CW132+Races!$E$20-6,0) + MAX(CX132+Races!$F$20-6,0) )  -  Races!$N$20</f>
        <v>3.1500000000000012</v>
      </c>
      <c r="DZ132" s="57">
        <f t="shared" ca="1" si="243"/>
        <v>3780.0000000000009</v>
      </c>
      <c r="EA132" s="666">
        <f ca="1">MIN(6,CY132+Races!$F$35)*1.8 +  IF(CY132+Races!$F$35&gt;6,(CY132+Races!$F$35-6)*0.2,0) - Races!$N$19</f>
        <v>0.72000000000000064</v>
      </c>
      <c r="EB132" s="57">
        <f t="shared" ca="1" si="231"/>
        <v>0</v>
      </c>
      <c r="EC132" s="666">
        <f ca="1">1.8 * MIN(MAX(Races!$E$27,DB132+Races!$F$27),6)  +  0.45 * MIN(MIN(Races!$E$27,DB132+Races!$F$27),6)  +  0.2 * ( MAX(Races!$E$27-6,0) + MAX(DB132+Races!$F$27-6,0) )  -  Races!$N$20</f>
        <v>4.7700000000000005</v>
      </c>
      <c r="ED132" s="57">
        <f t="shared" ca="1" si="244"/>
        <v>0</v>
      </c>
      <c r="EE132" s="666">
        <f>1.8 * MIN(MAX(DC132+Races!$E$47,DD132+Races!$F$47),6)  +  0.45 * MIN(MIN(DC132+Races!$E$47,DD132+Races!$F$47),6)  +  0.2 * ( MAX(DC132+Races!$E$47-6,0) + MAX(DD132+Races!$F$47-6,0) )  -  Races!$N$47</f>
        <v>0</v>
      </c>
      <c r="EF132" s="57">
        <f t="shared" si="245"/>
        <v>0</v>
      </c>
      <c r="EG132" s="666">
        <f ca="1">1.8 * MIN(MAX(DG132+Races!$F$71,Races!$E$71),6)  +  0.45 * MIN(MIN(DG132+Races!$F$71,Races!$E$71),6)  +  0.2 * ( MAX(DG132+Races!$F$71-6,0) + MAX(Races!$E$71-6,0) )  -  Races!$N$71</f>
        <v>2.5200000000000014</v>
      </c>
      <c r="EH132" s="666">
        <f>1.8 * MIN(MAX(DH132+Races!$E$71,Races!$F$71),6)  +  0.45 * MIN(MIN(DH132+Races!$E$71,Races!$F$71),6)  +  0.2 * ( MAX(DH132+Races!$E$71-6,0) + MAX(Races!$F$71-6,0) )  -  Races!$N$71</f>
        <v>0.16200000000000081</v>
      </c>
      <c r="EI132" s="57">
        <f t="shared" ca="1" si="246"/>
        <v>2584.8000000000015</v>
      </c>
      <c r="EJ132" s="57"/>
      <c r="EK132" s="57"/>
      <c r="EL132" s="57"/>
      <c r="EM132" s="57">
        <f ca="1">Overview!$L$22*E132+Overview!$L$23*F132+Overview!$L$24*G132+Overview!$L$25*H132+Overview!$L$26*I132+Overview!$L$27*J132+Overview!$L$28*K132+Construction!E132*20+Construction!B132*5 + DZ132*$DV$4+EB132*$DV$5+ED132*$DV$6+EF132*$DV$7+EI132*$DV$9</f>
        <v>39460</v>
      </c>
      <c r="EO132" s="738">
        <f>(J132+2*K132)/Construction!E132</f>
        <v>0.1</v>
      </c>
      <c r="EP132" s="734">
        <f ca="1">EO132*(1+race_wizard_strength+tech_magical_weaponry_wiz*Techs!AV204)</f>
        <v>0.1</v>
      </c>
      <c r="EQ132" s="16">
        <f>(I132+halfer*H132/3)/Construction!E132</f>
        <v>0.1</v>
      </c>
    </row>
    <row r="133" spans="1:147" s="16" customFormat="1">
      <c r="A133" s="629">
        <f>Rezone!J133</f>
        <v>131</v>
      </c>
      <c r="B133" s="56">
        <f ca="1">SUM(E133:K133)+SUM(AF125:AG133)+SUM(AH122:AL133)+Z133+Explore!AL133</f>
        <v>5295</v>
      </c>
      <c r="C133" s="97">
        <f ca="1">Population!G133</f>
        <v>0.57305194805194803</v>
      </c>
      <c r="E133" s="52">
        <f t="shared" si="235"/>
        <v>0</v>
      </c>
      <c r="F133" s="16">
        <f t="shared" si="236"/>
        <v>0</v>
      </c>
      <c r="G133" s="16">
        <f t="shared" si="237"/>
        <v>1000</v>
      </c>
      <c r="H133" s="16">
        <f t="shared" si="238"/>
        <v>400</v>
      </c>
      <c r="I133" s="16">
        <f t="shared" si="239"/>
        <v>100</v>
      </c>
      <c r="J133" s="16">
        <f t="shared" si="240"/>
        <v>100</v>
      </c>
      <c r="K133" s="53">
        <f t="shared" si="241"/>
        <v>0</v>
      </c>
      <c r="M133" s="64">
        <f ca="1">Production!G133</f>
        <v>39460</v>
      </c>
      <c r="O133" s="142">
        <f t="shared" ca="1" si="192"/>
        <v>4400</v>
      </c>
      <c r="P133" s="455">
        <f ca="1">race_offense+Imps!AB133+ROUND(MIN(gn_bonus*Construction!BF133/Construction!$E133,gn_bonus_cap),4)+MAX(IF(Magic!$AN133&gt;0,warsong_bonus),IF(Magic!AP133&gt;0,howling_op_bonus),IF(Magic!AS133&gt;0,nightfall_bonus),IF(Magic!AT133&gt;0,crusade_bonus),IF(Magic!AU133&gt;0,killingrage_bonus),IF(Magic!AV133&gt;0,bloodrage_bonus)) + Production!O133/100*prestige_offense_bonus + MAX(tech_military_offense*Techs!AH133,tech_magical_weaponry_op*Techs!AV133)</f>
        <v>0.05</v>
      </c>
      <c r="Q133" s="235">
        <f ca="1">O133*(1+P133)</f>
        <v>4620</v>
      </c>
      <c r="R133" s="234">
        <f ca="1">F133*(spec_dp+spirit*DR133)+G133*(elite1_dp+woodie*CV133+sylvan*CY133+gnome*DB133+dark_elf*DD133+icekin*DG133+orc*DJ133+nox*DL133+beast*DN133+sacred*DP133+spirit*DS133+blackorc*DK133)+H133*(elite2_dp+woodie*CX133+beast*DO133+sacred*DQ133) + fh_peas_dp*MIN(Population!C133,20*Construction!BD133)+kobold*DE133</f>
        <v>7200</v>
      </c>
      <c r="S133" s="235">
        <f t="shared" ca="1" si="242"/>
        <v>10895</v>
      </c>
      <c r="T133" s="1052">
        <f ca="1">race_defense+Imps!AC133+ROUND(MIN(gt_bonus*Construction!BH133/Construction!$E133,gt_bonus_cap),4)+MAX(IF(Magic!AM133&gt;0,frenzy_bonus,IF(Magic!AQ133&gt;0,blizzard_bonus,IF(Magic!AP133&gt;0,howling_dp_bonus,IF(Magic!AI133&gt;0,ares_call_bonus)))),IF(Magic!AX133&gt;0,MIN(Construction!DF133/Construction!E133,0.2),0))</f>
        <v>0</v>
      </c>
      <c r="U133" s="1046">
        <f ca="1">R133 * (1 + T133)</f>
        <v>7200</v>
      </c>
      <c r="V133" s="310">
        <f ca="1">S133 * (1 + T133)</f>
        <v>10895</v>
      </c>
      <c r="W133" s="310">
        <f>Construction!E133</f>
        <v>1000</v>
      </c>
      <c r="X133" s="367"/>
      <c r="Y133" s="146">
        <f t="shared" si="191"/>
        <v>0.4</v>
      </c>
      <c r="Z133" s="166">
        <f ca="1">Z132+Population!Z132 - IF(race="Lux",AF133,SUM(AF133:AK133)) - BE133 + SUM(BF133:BL133) - Explore!AI133</f>
        <v>3695</v>
      </c>
      <c r="AA133" s="164"/>
      <c r="AB133" s="91">
        <f>(Construction!$BA133+Construction!BY133)/(Construction!$E133-Explore!S133*20)</f>
        <v>0.2</v>
      </c>
      <c r="AC133" s="529"/>
      <c r="AD133" s="799">
        <f>Rezone!J133</f>
        <v>131</v>
      </c>
      <c r="AE133" s="589">
        <f>Explore!AA133</f>
        <v>43697.416666666351</v>
      </c>
      <c r="AF133" s="356"/>
      <c r="AG133" s="348"/>
      <c r="AH133" s="348"/>
      <c r="AI133" s="348"/>
      <c r="AJ133" s="348"/>
      <c r="AK133" s="348"/>
      <c r="AL133" s="357"/>
      <c r="AN133" s="56">
        <f ca="1">Production!$H133</f>
        <v>4332141</v>
      </c>
      <c r="AO133" s="26">
        <f ca="1">Production!$L133</f>
        <v>231000</v>
      </c>
      <c r="AP133" s="26">
        <f ca="1">Production!J133</f>
        <v>264183</v>
      </c>
      <c r="AQ133" s="26">
        <f ca="1">Production!M133</f>
        <v>20000</v>
      </c>
      <c r="AR133" s="26">
        <f ca="1">Production!K133</f>
        <v>59426</v>
      </c>
      <c r="AS133" s="26">
        <f ca="1">Production!I133</f>
        <v>354560</v>
      </c>
      <c r="AT133" s="26">
        <f ca="1">Production!N133</f>
        <v>200</v>
      </c>
      <c r="AU133" s="152">
        <f t="shared" ca="1" si="194"/>
        <v>0</v>
      </c>
      <c r="AV133" s="164">
        <f t="shared" ca="1" si="195"/>
        <v>0</v>
      </c>
      <c r="AW133" s="164">
        <f t="shared" ca="1" si="247"/>
        <v>0</v>
      </c>
      <c r="AX133" s="164">
        <f t="shared" ca="1" si="248"/>
        <v>0</v>
      </c>
      <c r="AY133" s="164">
        <f t="shared" ca="1" si="249"/>
        <v>0</v>
      </c>
      <c r="AZ133" s="164">
        <f t="shared" ca="1" si="250"/>
        <v>0</v>
      </c>
      <c r="BA133" s="166">
        <f t="shared" ca="1" si="251"/>
        <v>0</v>
      </c>
      <c r="BB133" s="16">
        <v>59</v>
      </c>
      <c r="BC133" s="574">
        <f>AE133</f>
        <v>43697.416666666351</v>
      </c>
      <c r="BD133" s="148">
        <f ca="1">$Z133</f>
        <v>3695</v>
      </c>
      <c r="BE133" s="356"/>
      <c r="BF133" s="348"/>
      <c r="BG133" s="348"/>
      <c r="BH133" s="348"/>
      <c r="BI133" s="348"/>
      <c r="BJ133" s="348"/>
      <c r="BK133" s="348"/>
      <c r="BL133" s="357"/>
      <c r="BN133" s="503">
        <f>Construction!BM133/Construction!E133</f>
        <v>0</v>
      </c>
      <c r="BO133" s="171">
        <f>Construction!BD133/Construction!E133</f>
        <v>0</v>
      </c>
      <c r="BP133" s="152">
        <f>ROUNDUP((1-MIN(AB133*smithy_bonus,smithy_bonus_cap))*(1+Techs!AO133*tech_master_of_frugality)*spec_op_plat,0)</f>
        <v>165</v>
      </c>
      <c r="BQ133" s="164">
        <f>ROUNDUP(IF(race="Gnome",1,(1-MIN(AB133*smithy_bonus,smithy_bonus_cap))*(1+Techs!AO133*tech_master_of_frugality))*spec_op_ore,0)</f>
        <v>15</v>
      </c>
      <c r="BR133" s="164">
        <f t="shared" si="196"/>
        <v>0</v>
      </c>
      <c r="BS133" s="164">
        <f t="shared" si="197"/>
        <v>0</v>
      </c>
      <c r="BT133" s="164">
        <f ca="1">ROUNDUP((1-MIN(AB133*smithy_bonus,smithy_bonus_cap))*(1+Techs!AO133*tech_master_of_frugality)*spec_dp_plat,0)</f>
        <v>165</v>
      </c>
      <c r="BU133" s="164">
        <f ca="1">ROUNDUP(IF(OR(race="Gnome",race="Imperial Gnome"),1,(1-MIN(AB133*smithy_bonus,smithy_bonus_cap))*(1+Techs!AO133*tech_master_of_frugality))*spec_dp_ore,0)</f>
        <v>6</v>
      </c>
      <c r="BV133" s="164">
        <f t="shared" ca="1" si="198"/>
        <v>0</v>
      </c>
      <c r="BW133" s="164">
        <f t="shared" ca="1" si="199"/>
        <v>0</v>
      </c>
      <c r="BX133" s="164">
        <f t="shared" ca="1" si="200"/>
        <v>0</v>
      </c>
      <c r="BY133" s="164">
        <f ca="1">ROUNDUP((1-MIN(AB133*smithy_bonus,smithy_bonus_cap))*(1+Techs!AO133*tech_master_of_frugality)*elite1_plat,0)</f>
        <v>600</v>
      </c>
      <c r="BZ133" s="164">
        <f ca="1">ROUNDUP(IF(race="Gnome",1,(1-MIN(AB133*smithy_bonus,smithy_bonus_cap))*(1+Techs!AO133*tech_master_of_frugality))*elite1_ore,0)</f>
        <v>45</v>
      </c>
      <c r="CA133" s="164">
        <f t="shared" ca="1" si="201"/>
        <v>0</v>
      </c>
      <c r="CB133" s="164">
        <f t="shared" ca="1" si="202"/>
        <v>0</v>
      </c>
      <c r="CC133" s="164">
        <f t="shared" ca="1" si="203"/>
        <v>0</v>
      </c>
      <c r="CD133" s="164">
        <f t="shared" ca="1" si="204"/>
        <v>0</v>
      </c>
      <c r="CE133" s="164">
        <f t="shared" ca="1" si="205"/>
        <v>0</v>
      </c>
      <c r="CF133" s="164">
        <f ca="1">ROUNDUP((1-MIN(AB133*smithy_bonus,smithy_bonus_cap))*(1+Techs!AO133*tech_master_of_frugality)*elite2_plat,0)</f>
        <v>750</v>
      </c>
      <c r="CG133" s="164">
        <f ca="1">ROUNDUP(IF(race="Gnome",1,(1-MIN(AB133*smithy_bonus,smithy_bonus_cap))*(1+Techs!AO133*tech_master_of_frugality))*elite2_ore,0)</f>
        <v>60</v>
      </c>
      <c r="CH133" s="164">
        <f t="shared" ca="1" si="206"/>
        <v>0</v>
      </c>
      <c r="CI133" s="164">
        <f t="shared" ca="1" si="207"/>
        <v>0</v>
      </c>
      <c r="CJ133" s="164">
        <f t="shared" ca="1" si="208"/>
        <v>0</v>
      </c>
      <c r="CK133" s="164">
        <f t="shared" ca="1" si="209"/>
        <v>0</v>
      </c>
      <c r="CL133" s="164">
        <f t="shared" ca="1" si="210"/>
        <v>0</v>
      </c>
      <c r="CM133" s="164">
        <f>ROUNDUP((1+tech_spy_cost*Techs!AJ133)*spy_plat,0)</f>
        <v>500</v>
      </c>
      <c r="CN133" s="164">
        <f>ROUNDUP((1+tech_wizard_cost*Techs!AM133-MIN(ROUND(wg_wiz_cost_bonus*BN133,4),wg_wiz_cost_cap))*wizard_plat,0)</f>
        <v>500</v>
      </c>
      <c r="CO133" s="166">
        <f>ROUNDUP((1+tech_wizard_cost*Techs!AM133-MIN(ROUND(wg_wiz_cost_bonus*BN133,4),wg_wiz_cost_cap))*archmage_plat,0)</f>
        <v>1000</v>
      </c>
      <c r="CQ133" s="465">
        <f ca="1">Construction!DF133/Construction!E133</f>
        <v>0.28000000000000003</v>
      </c>
      <c r="CR133" s="466">
        <f>BN133</f>
        <v>0</v>
      </c>
      <c r="CS133" s="466">
        <f>Construction!BK133/Construction!E133</f>
        <v>0.05</v>
      </c>
      <c r="CT133" s="466">
        <f>Construction!BJ133/Construction!E133</f>
        <v>0</v>
      </c>
      <c r="CU133" s="466">
        <f>Construction!AY133/Construction!E133</f>
        <v>0</v>
      </c>
      <c r="CV133" s="487">
        <f t="shared" ca="1" si="211"/>
        <v>1.4000000000000001</v>
      </c>
      <c r="CW133" s="488">
        <f t="shared" ca="1" si="212"/>
        <v>1.4000000000000001</v>
      </c>
      <c r="CX133" s="488">
        <f t="shared" ca="1" si="213"/>
        <v>1.4000000000000001</v>
      </c>
      <c r="CY133" s="489">
        <f t="shared" ca="1" si="214"/>
        <v>1.4000000000000001</v>
      </c>
      <c r="CZ133" s="489">
        <f t="shared" si="215"/>
        <v>0.1</v>
      </c>
      <c r="DA133" s="489">
        <f t="shared" ca="1" si="216"/>
        <v>3</v>
      </c>
      <c r="DB133" s="489">
        <f t="shared" ca="1" si="217"/>
        <v>1.4000000000000001</v>
      </c>
      <c r="DC133" s="488">
        <f t="shared" si="218"/>
        <v>0</v>
      </c>
      <c r="DD133" s="848">
        <f t="shared" si="219"/>
        <v>0</v>
      </c>
      <c r="DE133" s="442">
        <f>MIN(G133,H133)*2</f>
        <v>800</v>
      </c>
      <c r="DF133" s="442">
        <f>MIN(E133,H133)*2</f>
        <v>0</v>
      </c>
      <c r="DG133" s="487">
        <f t="shared" ca="1" si="220"/>
        <v>1.4000000000000001</v>
      </c>
      <c r="DH133" s="452">
        <f t="shared" si="221"/>
        <v>9.0000000000000011E-2</v>
      </c>
      <c r="DI133" s="452">
        <f>MIN(valkyrja_cap,Production!O133/valkyrja_bonus)</f>
        <v>1</v>
      </c>
      <c r="DJ133" s="848">
        <f>MIN(voodoo_magi_cap,Production!O133/voodoo_magi_bonus)</f>
        <v>0.83333333333333337</v>
      </c>
      <c r="DK133" s="848">
        <f>MIN(warlock_cap,Production!O133/warlock_bonus)</f>
        <v>1.25</v>
      </c>
      <c r="DL133" s="848">
        <f ca="1">MIN(nox_nightshade_cap,Construction!DF133/Construction!E133/nox_nightshade_swamp_bonus)</f>
        <v>2.8000000000000003</v>
      </c>
      <c r="DM133" s="488">
        <f t="shared" si="222"/>
        <v>0</v>
      </c>
      <c r="DN133" s="489">
        <f t="shared" ca="1" si="223"/>
        <v>2.8000000000000003</v>
      </c>
      <c r="DO133" s="489">
        <f t="shared" ca="1" si="224"/>
        <v>2.8000000000000003</v>
      </c>
      <c r="DP133" s="489">
        <f t="shared" si="225"/>
        <v>1</v>
      </c>
      <c r="DQ133" s="488">
        <f t="shared" si="226"/>
        <v>0</v>
      </c>
      <c r="DR133" s="489">
        <f t="shared" si="227"/>
        <v>0</v>
      </c>
      <c r="DS133" s="488">
        <f t="shared" si="228"/>
        <v>0</v>
      </c>
      <c r="DT133" s="489">
        <f t="shared" si="229"/>
        <v>0.1</v>
      </c>
      <c r="DX133" s="487">
        <f ca="1">MIN(6,CV133+Races!$F$19)*1.8 +  IF(CV133+Races!$F$19&gt;6,(CV133+Races!$F$19-6)*0.2,0) - Races!$N$19</f>
        <v>2.5200000000000005</v>
      </c>
      <c r="DY133" s="488">
        <f ca="1">1.8 * MIN(MAX(CW133+Races!$E$20,CX133+Races!$F$20),6)  +  0.45 * MIN(MIN(CW133+Races!$E$20,CX133+Races!$F$20),6)  +  0.2 * ( MAX(CW133+Races!$E$20-6,0) + MAX(CX133+Races!$F$20-6,0) )  -  Races!$N$20</f>
        <v>3.1500000000000012</v>
      </c>
      <c r="DZ133" s="57">
        <f t="shared" ca="1" si="243"/>
        <v>3780.0000000000009</v>
      </c>
      <c r="EA133" s="666">
        <f ca="1">MIN(6,CY133+Races!$F$35)*1.8 +  IF(CY133+Races!$F$35&gt;6,(CY133+Races!$F$35-6)*0.2,0) - Races!$N$19</f>
        <v>0.72000000000000064</v>
      </c>
      <c r="EB133" s="57">
        <f t="shared" ca="1" si="231"/>
        <v>0</v>
      </c>
      <c r="EC133" s="666">
        <f ca="1">1.8 * MIN(MAX(Races!$E$27,DB133+Races!$F$27),6)  +  0.45 * MIN(MIN(Races!$E$27,DB133+Races!$F$27),6)  +  0.2 * ( MAX(Races!$E$27-6,0) + MAX(DB133+Races!$F$27-6,0) )  -  Races!$N$20</f>
        <v>4.7700000000000005</v>
      </c>
      <c r="ED133" s="57">
        <f t="shared" ca="1" si="244"/>
        <v>0</v>
      </c>
      <c r="EE133" s="666">
        <f>1.8 * MIN(MAX(DC133+Races!$E$47,DD133+Races!$F$47),6)  +  0.45 * MIN(MIN(DC133+Races!$E$47,DD133+Races!$F$47),6)  +  0.2 * ( MAX(DC133+Races!$E$47-6,0) + MAX(DD133+Races!$F$47-6,0) )  -  Races!$N$47</f>
        <v>0</v>
      </c>
      <c r="EF133" s="57">
        <f t="shared" si="245"/>
        <v>0</v>
      </c>
      <c r="EG133" s="666">
        <f ca="1">1.8 * MIN(MAX(DG133+Races!$F$71,Races!$E$71),6)  +  0.45 * MIN(MIN(DG133+Races!$F$71,Races!$E$71),6)  +  0.2 * ( MAX(DG133+Races!$F$71-6,0) + MAX(Races!$E$71-6,0) )  -  Races!$N$71</f>
        <v>2.5200000000000014</v>
      </c>
      <c r="EH133" s="666">
        <f>1.8 * MIN(MAX(DH133+Races!$E$71,Races!$F$71),6)  +  0.45 * MIN(MIN(DH133+Races!$E$71,Races!$F$71),6)  +  0.2 * ( MAX(DH133+Races!$E$71-6,0) + MAX(Races!$F$71-6,0) )  -  Races!$N$71</f>
        <v>0.16200000000000081</v>
      </c>
      <c r="EI133" s="57">
        <f t="shared" ca="1" si="246"/>
        <v>2584.8000000000015</v>
      </c>
      <c r="EJ133" s="57"/>
      <c r="EK133" s="57"/>
      <c r="EL133" s="57"/>
      <c r="EM133" s="57">
        <f ca="1">Overview!$L$22*E133+Overview!$L$23*F133+Overview!$L$24*G133+Overview!$L$25*H133+Overview!$L$26*I133+Overview!$L$27*J133+Overview!$L$28*K133+Construction!E133*20+Construction!B133*5 + DZ133*$DV$4+EB133*$DV$5+ED133*$DV$6+EF133*$DV$7+EI133*$DV$9</f>
        <v>39460</v>
      </c>
      <c r="EO133" s="738">
        <f>(J133+2*K133)/Construction!E133</f>
        <v>0.1</v>
      </c>
      <c r="EP133" s="734">
        <f ca="1">EO133*(1+race_wizard_strength+tech_magical_weaponry_wiz*Techs!AV205)</f>
        <v>0.1</v>
      </c>
      <c r="EQ133" s="16">
        <f>(I133+halfer*H133/3)/Construction!E133</f>
        <v>0.1</v>
      </c>
    </row>
    <row r="134" spans="1:147" s="16" customFormat="1">
      <c r="A134" s="629">
        <f>Rezone!J134</f>
        <v>132</v>
      </c>
      <c r="B134" s="56">
        <f ca="1">SUM(E134:K134)+SUM(AF126:AG134)+SUM(AH123:AL134)+Z134+Explore!AL134</f>
        <v>5295</v>
      </c>
      <c r="C134" s="97">
        <f ca="1">Population!G134</f>
        <v>0.57305194805194803</v>
      </c>
      <c r="E134" s="52">
        <f t="shared" si="235"/>
        <v>0</v>
      </c>
      <c r="F134" s="16">
        <f t="shared" si="236"/>
        <v>0</v>
      </c>
      <c r="G134" s="16">
        <f t="shared" si="237"/>
        <v>1000</v>
      </c>
      <c r="H134" s="16">
        <f t="shared" si="238"/>
        <v>400</v>
      </c>
      <c r="I134" s="16">
        <f t="shared" si="239"/>
        <v>100</v>
      </c>
      <c r="J134" s="16">
        <f t="shared" si="240"/>
        <v>100</v>
      </c>
      <c r="K134" s="53">
        <f t="shared" si="241"/>
        <v>0</v>
      </c>
      <c r="M134" s="64">
        <f ca="1">Production!G134</f>
        <v>39460</v>
      </c>
      <c r="O134" s="142">
        <f t="shared" ca="1" si="192"/>
        <v>4400</v>
      </c>
      <c r="P134" s="455">
        <f ca="1">race_offense+Imps!AB134+ROUND(MIN(gn_bonus*Construction!BF134/Construction!$E134,gn_bonus_cap),4)+MAX(IF(Magic!$AN134&gt;0,warsong_bonus),IF(Magic!AP134&gt;0,howling_op_bonus),IF(Magic!AS134&gt;0,nightfall_bonus),IF(Magic!AT134&gt;0,crusade_bonus),IF(Magic!AU134&gt;0,killingrage_bonus),IF(Magic!AV134&gt;0,bloodrage_bonus)) + Production!O134/100*prestige_offense_bonus + MAX(tech_military_offense*Techs!AH134,tech_magical_weaponry_op*Techs!AV134)</f>
        <v>0.05</v>
      </c>
      <c r="Q134" s="235">
        <f ca="1">O134*(1+P134)</f>
        <v>4620</v>
      </c>
      <c r="R134" s="234">
        <f ca="1">F134*(spec_dp+spirit*DR134)+G134*(elite1_dp+woodie*CV134+sylvan*CY134+gnome*DB134+dark_elf*DD134+icekin*DG134+orc*DJ134+nox*DL134+beast*DN134+sacred*DP134+spirit*DS134+blackorc*DK134)+H134*(elite2_dp+woodie*CX134+beast*DO134+sacred*DQ134) + fh_peas_dp*MIN(Population!C134,20*Construction!BD134)+kobold*DE134</f>
        <v>7200</v>
      </c>
      <c r="S134" s="235">
        <f t="shared" ca="1" si="242"/>
        <v>10895</v>
      </c>
      <c r="T134" s="1052">
        <f ca="1">race_defense+Imps!AC134+ROUND(MIN(gt_bonus*Construction!BH134/Construction!$E134,gt_bonus_cap),4)+MAX(IF(Magic!AM134&gt;0,frenzy_bonus,IF(Magic!AQ134&gt;0,blizzard_bonus,IF(Magic!AP134&gt;0,howling_dp_bonus,IF(Magic!AI134&gt;0,ares_call_bonus)))),IF(Magic!AX134&gt;0,MIN(Construction!DF134/Construction!E134,0.2),0))</f>
        <v>0</v>
      </c>
      <c r="U134" s="1046">
        <f ca="1">R134 * (1 + T134)</f>
        <v>7200</v>
      </c>
      <c r="V134" s="310">
        <f ca="1">S134 * (1 + T134)</f>
        <v>10895</v>
      </c>
      <c r="W134" s="310">
        <f>Construction!E134</f>
        <v>1000</v>
      </c>
      <c r="X134" s="367"/>
      <c r="Y134" s="146">
        <f t="shared" si="191"/>
        <v>0.4</v>
      </c>
      <c r="Z134" s="166">
        <f ca="1">Z133+Population!Z133 - IF(race="Lux",AF134,SUM(AF134:AK134)) - BE134 + SUM(BF134:BL134) - Explore!AI134</f>
        <v>3695</v>
      </c>
      <c r="AA134" s="164"/>
      <c r="AB134" s="91">
        <f>(Construction!$BA134+Construction!BY134)/(Construction!$E134-Explore!S134*20)</f>
        <v>0.2</v>
      </c>
      <c r="AC134" s="529"/>
      <c r="AD134" s="799">
        <f>Rezone!J134</f>
        <v>132</v>
      </c>
      <c r="AE134" s="589">
        <f>Explore!AA134</f>
        <v>43697.458333333016</v>
      </c>
      <c r="AF134" s="356"/>
      <c r="AG134" s="348"/>
      <c r="AH134" s="348"/>
      <c r="AI134" s="348"/>
      <c r="AJ134" s="348"/>
      <c r="AK134" s="348"/>
      <c r="AL134" s="357"/>
      <c r="AN134" s="56">
        <f ca="1">Production!$H134</f>
        <v>4342792</v>
      </c>
      <c r="AO134" s="26">
        <f ca="1">Production!$L134</f>
        <v>231000</v>
      </c>
      <c r="AP134" s="26">
        <f ca="1">Production!J134</f>
        <v>264041</v>
      </c>
      <c r="AQ134" s="26">
        <f ca="1">Production!M134</f>
        <v>20000</v>
      </c>
      <c r="AR134" s="26">
        <f ca="1">Production!K134</f>
        <v>59487</v>
      </c>
      <c r="AS134" s="26">
        <f ca="1">Production!I134</f>
        <v>355744</v>
      </c>
      <c r="AT134" s="26">
        <f ca="1">Production!N134</f>
        <v>200</v>
      </c>
      <c r="AU134" s="152">
        <f t="shared" ca="1" si="194"/>
        <v>0</v>
      </c>
      <c r="AV134" s="164">
        <f t="shared" ca="1" si="195"/>
        <v>0</v>
      </c>
      <c r="AW134" s="164">
        <f t="shared" ca="1" si="247"/>
        <v>0</v>
      </c>
      <c r="AX134" s="164">
        <f t="shared" ca="1" si="248"/>
        <v>0</v>
      </c>
      <c r="AY134" s="164">
        <f t="shared" ca="1" si="249"/>
        <v>0</v>
      </c>
      <c r="AZ134" s="164">
        <f t="shared" ca="1" si="250"/>
        <v>0</v>
      </c>
      <c r="BA134" s="166">
        <f t="shared" ca="1" si="251"/>
        <v>0</v>
      </c>
      <c r="BB134" s="16">
        <v>60</v>
      </c>
      <c r="BC134" s="574">
        <f>AE134</f>
        <v>43697.458333333016</v>
      </c>
      <c r="BD134" s="148">
        <f ca="1">$Z134</f>
        <v>3695</v>
      </c>
      <c r="BE134" s="356"/>
      <c r="BF134" s="348"/>
      <c r="BG134" s="348"/>
      <c r="BH134" s="348"/>
      <c r="BI134" s="348"/>
      <c r="BJ134" s="348"/>
      <c r="BK134" s="348"/>
      <c r="BL134" s="357"/>
      <c r="BN134" s="503">
        <f>Construction!BM134/Construction!E134</f>
        <v>0</v>
      </c>
      <c r="BO134" s="171">
        <f>Construction!BD134/Construction!E134</f>
        <v>0</v>
      </c>
      <c r="BP134" s="152">
        <f>ROUNDUP((1-MIN(AB134*smithy_bonus,smithy_bonus_cap))*(1+Techs!AO134*tech_master_of_frugality)*spec_op_plat,0)</f>
        <v>165</v>
      </c>
      <c r="BQ134" s="164">
        <f>ROUNDUP(IF(race="Gnome",1,(1-MIN(AB134*smithy_bonus,smithy_bonus_cap))*(1+Techs!AO134*tech_master_of_frugality))*spec_op_ore,0)</f>
        <v>15</v>
      </c>
      <c r="BR134" s="164">
        <f t="shared" si="196"/>
        <v>0</v>
      </c>
      <c r="BS134" s="164">
        <f t="shared" si="197"/>
        <v>0</v>
      </c>
      <c r="BT134" s="164">
        <f ca="1">ROUNDUP((1-MIN(AB134*smithy_bonus,smithy_bonus_cap))*(1+Techs!AO134*tech_master_of_frugality)*spec_dp_plat,0)</f>
        <v>165</v>
      </c>
      <c r="BU134" s="164">
        <f ca="1">ROUNDUP(IF(OR(race="Gnome",race="Imperial Gnome"),1,(1-MIN(AB134*smithy_bonus,smithy_bonus_cap))*(1+Techs!AO134*tech_master_of_frugality))*spec_dp_ore,0)</f>
        <v>6</v>
      </c>
      <c r="BV134" s="164">
        <f t="shared" ca="1" si="198"/>
        <v>0</v>
      </c>
      <c r="BW134" s="164">
        <f t="shared" ca="1" si="199"/>
        <v>0</v>
      </c>
      <c r="BX134" s="164">
        <f t="shared" ca="1" si="200"/>
        <v>0</v>
      </c>
      <c r="BY134" s="164">
        <f ca="1">ROUNDUP((1-MIN(AB134*smithy_bonus,smithy_bonus_cap))*(1+Techs!AO134*tech_master_of_frugality)*elite1_plat,0)</f>
        <v>600</v>
      </c>
      <c r="BZ134" s="164">
        <f ca="1">ROUNDUP(IF(race="Gnome",1,(1-MIN(AB134*smithy_bonus,smithy_bonus_cap))*(1+Techs!AO134*tech_master_of_frugality))*elite1_ore,0)</f>
        <v>45</v>
      </c>
      <c r="CA134" s="164">
        <f t="shared" ca="1" si="201"/>
        <v>0</v>
      </c>
      <c r="CB134" s="164">
        <f t="shared" ca="1" si="202"/>
        <v>0</v>
      </c>
      <c r="CC134" s="164">
        <f t="shared" ca="1" si="203"/>
        <v>0</v>
      </c>
      <c r="CD134" s="164">
        <f t="shared" ca="1" si="204"/>
        <v>0</v>
      </c>
      <c r="CE134" s="164">
        <f t="shared" ca="1" si="205"/>
        <v>0</v>
      </c>
      <c r="CF134" s="164">
        <f ca="1">ROUNDUP((1-MIN(AB134*smithy_bonus,smithy_bonus_cap))*(1+Techs!AO134*tech_master_of_frugality)*elite2_plat,0)</f>
        <v>750</v>
      </c>
      <c r="CG134" s="164">
        <f ca="1">ROUNDUP(IF(race="Gnome",1,(1-MIN(AB134*smithy_bonus,smithy_bonus_cap))*(1+Techs!AO134*tech_master_of_frugality))*elite2_ore,0)</f>
        <v>60</v>
      </c>
      <c r="CH134" s="164">
        <f t="shared" ca="1" si="206"/>
        <v>0</v>
      </c>
      <c r="CI134" s="164">
        <f t="shared" ca="1" si="207"/>
        <v>0</v>
      </c>
      <c r="CJ134" s="164">
        <f t="shared" ca="1" si="208"/>
        <v>0</v>
      </c>
      <c r="CK134" s="164">
        <f t="shared" ca="1" si="209"/>
        <v>0</v>
      </c>
      <c r="CL134" s="164">
        <f t="shared" ca="1" si="210"/>
        <v>0</v>
      </c>
      <c r="CM134" s="164">
        <f>ROUNDUP((1+tech_spy_cost*Techs!AJ134)*spy_plat,0)</f>
        <v>500</v>
      </c>
      <c r="CN134" s="164">
        <f>ROUNDUP((1+tech_wizard_cost*Techs!AM134-MIN(ROUND(wg_wiz_cost_bonus*BN134,4),wg_wiz_cost_cap))*wizard_plat,0)</f>
        <v>500</v>
      </c>
      <c r="CO134" s="166">
        <f>ROUNDUP((1+tech_wizard_cost*Techs!AM134-MIN(ROUND(wg_wiz_cost_bonus*BN134,4),wg_wiz_cost_cap))*archmage_plat,0)</f>
        <v>1000</v>
      </c>
      <c r="CQ134" s="465">
        <f ca="1">Construction!DF134/Construction!E134</f>
        <v>0.28000000000000003</v>
      </c>
      <c r="CR134" s="466">
        <f>BN134</f>
        <v>0</v>
      </c>
      <c r="CS134" s="466">
        <f>Construction!BK134/Construction!E134</f>
        <v>0.05</v>
      </c>
      <c r="CT134" s="466">
        <f>Construction!BJ134/Construction!E134</f>
        <v>0</v>
      </c>
      <c r="CU134" s="466">
        <f>Construction!AY134/Construction!E134</f>
        <v>0</v>
      </c>
      <c r="CV134" s="487">
        <f t="shared" ca="1" si="211"/>
        <v>1.4000000000000001</v>
      </c>
      <c r="CW134" s="488">
        <f t="shared" ca="1" si="212"/>
        <v>1.4000000000000001</v>
      </c>
      <c r="CX134" s="488">
        <f t="shared" ca="1" si="213"/>
        <v>1.4000000000000001</v>
      </c>
      <c r="CY134" s="489">
        <f t="shared" ca="1" si="214"/>
        <v>1.4000000000000001</v>
      </c>
      <c r="CZ134" s="489">
        <f t="shared" si="215"/>
        <v>0.1</v>
      </c>
      <c r="DA134" s="489">
        <f t="shared" ca="1" si="216"/>
        <v>3</v>
      </c>
      <c r="DB134" s="489">
        <f t="shared" ca="1" si="217"/>
        <v>1.4000000000000001</v>
      </c>
      <c r="DC134" s="488">
        <f t="shared" si="218"/>
        <v>0</v>
      </c>
      <c r="DD134" s="848">
        <f t="shared" si="219"/>
        <v>0</v>
      </c>
      <c r="DE134" s="442">
        <f>MIN(G134,H134)*2</f>
        <v>800</v>
      </c>
      <c r="DF134" s="442">
        <f>MIN(E134,H134)*2</f>
        <v>0</v>
      </c>
      <c r="DG134" s="487">
        <f t="shared" ca="1" si="220"/>
        <v>1.4000000000000001</v>
      </c>
      <c r="DH134" s="452">
        <f t="shared" si="221"/>
        <v>9.0000000000000011E-2</v>
      </c>
      <c r="DI134" s="452">
        <f>MIN(valkyrja_cap,Production!O134/valkyrja_bonus)</f>
        <v>1</v>
      </c>
      <c r="DJ134" s="848">
        <f>MIN(voodoo_magi_cap,Production!O134/voodoo_magi_bonus)</f>
        <v>0.83333333333333337</v>
      </c>
      <c r="DK134" s="848">
        <f>MIN(warlock_cap,Production!O134/warlock_bonus)</f>
        <v>1.25</v>
      </c>
      <c r="DL134" s="848">
        <f ca="1">MIN(nox_nightshade_cap,Construction!DF134/Construction!E134/nox_nightshade_swamp_bonus)</f>
        <v>2.8000000000000003</v>
      </c>
      <c r="DM134" s="488">
        <f t="shared" si="222"/>
        <v>0</v>
      </c>
      <c r="DN134" s="489">
        <f t="shared" ca="1" si="223"/>
        <v>2.8000000000000003</v>
      </c>
      <c r="DO134" s="489">
        <f t="shared" ca="1" si="224"/>
        <v>2.8000000000000003</v>
      </c>
      <c r="DP134" s="489">
        <f t="shared" si="225"/>
        <v>1</v>
      </c>
      <c r="DQ134" s="488">
        <f t="shared" si="226"/>
        <v>0</v>
      </c>
      <c r="DR134" s="489">
        <f t="shared" si="227"/>
        <v>0</v>
      </c>
      <c r="DS134" s="488">
        <f t="shared" si="228"/>
        <v>0</v>
      </c>
      <c r="DT134" s="489">
        <f t="shared" si="229"/>
        <v>0.1</v>
      </c>
      <c r="DX134" s="487">
        <f ca="1">MIN(6,CV134+Races!$F$19)*1.8 +  IF(CV134+Races!$F$19&gt;6,(CV134+Races!$F$19-6)*0.2,0) - Races!$N$19</f>
        <v>2.5200000000000005</v>
      </c>
      <c r="DY134" s="488">
        <f ca="1">1.8 * MIN(MAX(CW134+Races!$E$20,CX134+Races!$F$20),6)  +  0.45 * MIN(MIN(CW134+Races!$E$20,CX134+Races!$F$20),6)  +  0.2 * ( MAX(CW134+Races!$E$20-6,0) + MAX(CX134+Races!$F$20-6,0) )  -  Races!$N$20</f>
        <v>3.1500000000000012</v>
      </c>
      <c r="DZ134" s="57">
        <f t="shared" ca="1" si="243"/>
        <v>3780.0000000000009</v>
      </c>
      <c r="EA134" s="666">
        <f ca="1">MIN(6,CY134+Races!$F$35)*1.8 +  IF(CY134+Races!$F$35&gt;6,(CY134+Races!$F$35-6)*0.2,0) - Races!$N$19</f>
        <v>0.72000000000000064</v>
      </c>
      <c r="EB134" s="57">
        <f t="shared" ca="1" si="231"/>
        <v>0</v>
      </c>
      <c r="EC134" s="666">
        <f ca="1">1.8 * MIN(MAX(Races!$E$27,DB134+Races!$F$27),6)  +  0.45 * MIN(MIN(Races!$E$27,DB134+Races!$F$27),6)  +  0.2 * ( MAX(Races!$E$27-6,0) + MAX(DB134+Races!$F$27-6,0) )  -  Races!$N$20</f>
        <v>4.7700000000000005</v>
      </c>
      <c r="ED134" s="57">
        <f t="shared" ca="1" si="244"/>
        <v>0</v>
      </c>
      <c r="EE134" s="666">
        <f>1.8 * MIN(MAX(DC134+Races!$E$47,DD134+Races!$F$47),6)  +  0.45 * MIN(MIN(DC134+Races!$E$47,DD134+Races!$F$47),6)  +  0.2 * ( MAX(DC134+Races!$E$47-6,0) + MAX(DD134+Races!$F$47-6,0) )  -  Races!$N$47</f>
        <v>0</v>
      </c>
      <c r="EF134" s="57">
        <f t="shared" si="245"/>
        <v>0</v>
      </c>
      <c r="EG134" s="666">
        <f ca="1">1.8 * MIN(MAX(DG134+Races!$F$71,Races!$E$71),6)  +  0.45 * MIN(MIN(DG134+Races!$F$71,Races!$E$71),6)  +  0.2 * ( MAX(DG134+Races!$F$71-6,0) + MAX(Races!$E$71-6,0) )  -  Races!$N$71</f>
        <v>2.5200000000000014</v>
      </c>
      <c r="EH134" s="666">
        <f>1.8 * MIN(MAX(DH134+Races!$E$71,Races!$F$71),6)  +  0.45 * MIN(MIN(DH134+Races!$E$71,Races!$F$71),6)  +  0.2 * ( MAX(DH134+Races!$E$71-6,0) + MAX(Races!$F$71-6,0) )  -  Races!$N$71</f>
        <v>0.16200000000000081</v>
      </c>
      <c r="EI134" s="57">
        <f t="shared" ca="1" si="246"/>
        <v>2584.8000000000015</v>
      </c>
      <c r="EJ134" s="57"/>
      <c r="EK134" s="57"/>
      <c r="EL134" s="57"/>
      <c r="EM134" s="57">
        <f ca="1">Overview!$L$22*E134+Overview!$L$23*F134+Overview!$L$24*G134+Overview!$L$25*H134+Overview!$L$26*I134+Overview!$L$27*J134+Overview!$L$28*K134+Construction!E134*20+Construction!B134*5 + DZ134*$DV$4+EB134*$DV$5+ED134*$DV$6+EF134*$DV$7+EI134*$DV$9</f>
        <v>39460</v>
      </c>
      <c r="EO134" s="738">
        <f>(J134+2*K134)/Construction!E134</f>
        <v>0.1</v>
      </c>
      <c r="EP134" s="734">
        <f ca="1">EO134*(1+race_wizard_strength+tech_magical_weaponry_wiz*Techs!AV206)</f>
        <v>0.1</v>
      </c>
      <c r="EQ134" s="16">
        <f>(I134+halfer*H134/3)/Construction!E134</f>
        <v>0.1</v>
      </c>
    </row>
    <row r="135" spans="1:147" s="12" customFormat="1">
      <c r="A135" s="319">
        <f>Rezone!J135</f>
        <v>133</v>
      </c>
      <c r="B135" s="54">
        <f ca="1">SUM(E135:K135)+SUM(AF127:AG135)+SUM(AH124:AL135)+Z135+Explore!AL135</f>
        <v>5295</v>
      </c>
      <c r="C135" s="96">
        <f ca="1">Population!G135</f>
        <v>0.57305194805194803</v>
      </c>
      <c r="D135" s="286"/>
      <c r="E135" s="50">
        <f t="shared" si="235"/>
        <v>0</v>
      </c>
      <c r="F135" s="12">
        <f t="shared" si="236"/>
        <v>0</v>
      </c>
      <c r="G135" s="12">
        <f t="shared" si="237"/>
        <v>1000</v>
      </c>
      <c r="H135" s="12">
        <f t="shared" si="238"/>
        <v>400</v>
      </c>
      <c r="I135" s="12">
        <f t="shared" si="239"/>
        <v>100</v>
      </c>
      <c r="J135" s="12">
        <f t="shared" si="240"/>
        <v>100</v>
      </c>
      <c r="K135" s="51">
        <f t="shared" si="241"/>
        <v>0</v>
      </c>
      <c r="L135" s="286"/>
      <c r="M135" s="93">
        <f ca="1">Production!G135</f>
        <v>39460</v>
      </c>
      <c r="N135" s="286"/>
      <c r="O135" s="141">
        <f t="shared" ca="1" si="192"/>
        <v>4400</v>
      </c>
      <c r="P135" s="447">
        <f ca="1">race_offense+Imps!AB135+ROUND(MIN(gn_bonus*Construction!BF135/Construction!$E135,gn_bonus_cap),4)+MAX(IF(Magic!$AN135&gt;0,warsong_bonus),IF(Magic!AP135&gt;0,howling_op_bonus),IF(Magic!AS135&gt;0,nightfall_bonus),IF(Magic!AT135&gt;0,crusade_bonus),IF(Magic!AU135&gt;0,killingrage_bonus),IF(Magic!AV135&gt;0,bloodrage_bonus)) + Production!O135/100*prestige_offense_bonus + MAX(tech_military_offense*Techs!AH135,tech_magical_weaponry_op*Techs!AV135)</f>
        <v>0.05</v>
      </c>
      <c r="Q135" s="229">
        <f ca="1">O135*(1+P135)</f>
        <v>4620</v>
      </c>
      <c r="R135" s="227">
        <f ca="1">F135*(spec_dp+spirit*DR135)+G135*(elite1_dp+woodie*CV135+sylvan*CY135+gnome*DB135+dark_elf*DD135+icekin*DG135+orc*DJ135+nox*DL135+beast*DN135+sacred*DP135+spirit*DS135+blackorc*DK135)+H135*(elite2_dp+woodie*CX135+beast*DO135+sacred*DQ135) + fh_peas_dp*MIN(Population!C135,20*Construction!BD135)+kobold*DE135</f>
        <v>7200</v>
      </c>
      <c r="S135" s="229">
        <f t="shared" ca="1" si="242"/>
        <v>10895</v>
      </c>
      <c r="T135" s="1178">
        <f ca="1">race_defense+Imps!AC135+ROUND(MIN(gt_bonus*Construction!BH135/Construction!$E135,gt_bonus_cap),4)+MAX(IF(Magic!AM135&gt;0,frenzy_bonus,IF(Magic!AQ135&gt;0,blizzard_bonus,IF(Magic!AP135&gt;0,howling_dp_bonus,IF(Magic!AI135&gt;0,ares_call_bonus)))),IF(Magic!AX135&gt;0,MIN(Construction!DF135/Construction!E135,0.2),0))</f>
        <v>0</v>
      </c>
      <c r="U135" s="1047">
        <f ca="1">R135 * (1 + T135)</f>
        <v>7200</v>
      </c>
      <c r="V135" s="311">
        <f ca="1">S135 * (1 + T135)</f>
        <v>10895</v>
      </c>
      <c r="W135" s="311">
        <f>Construction!E135</f>
        <v>1000</v>
      </c>
      <c r="X135" s="368"/>
      <c r="Y135" s="145">
        <f t="shared" si="191"/>
        <v>0.4</v>
      </c>
      <c r="Z135" s="158">
        <f ca="1">Z134+Population!Z134 - IF(race="Lux",AF135,SUM(AF135:AK135)) - BE135 + SUM(BF135:BL135) - Explore!AI135</f>
        <v>3695</v>
      </c>
      <c r="AA135" s="153"/>
      <c r="AB135" s="306">
        <f>(Construction!$BA135+Construction!BY135)/(Construction!$E135-Explore!S135*20)</f>
        <v>0.2</v>
      </c>
      <c r="AC135" s="1064"/>
      <c r="AD135" s="1064">
        <f>Rezone!J135</f>
        <v>133</v>
      </c>
      <c r="AE135" s="588">
        <f>Explore!AA135</f>
        <v>43697.49999999968</v>
      </c>
      <c r="AF135" s="373"/>
      <c r="AG135" s="519"/>
      <c r="AH135" s="349"/>
      <c r="AI135" s="519"/>
      <c r="AJ135" s="519"/>
      <c r="AK135" s="519"/>
      <c r="AL135" s="374"/>
      <c r="AM135" s="1063"/>
      <c r="AN135" s="54">
        <f ca="1">Production!$H135</f>
        <v>4353443</v>
      </c>
      <c r="AO135" s="13">
        <f ca="1">Production!$L135</f>
        <v>231000</v>
      </c>
      <c r="AP135" s="13">
        <f ca="1">Production!J135</f>
        <v>263901</v>
      </c>
      <c r="AQ135" s="13">
        <f ca="1">Production!M135</f>
        <v>20000</v>
      </c>
      <c r="AR135" s="13">
        <f ca="1">Production!K135</f>
        <v>59547</v>
      </c>
      <c r="AS135" s="13">
        <f ca="1">Production!I135</f>
        <v>356917</v>
      </c>
      <c r="AT135" s="13">
        <f ca="1">Production!N135</f>
        <v>200</v>
      </c>
      <c r="AU135" s="151">
        <f t="shared" ca="1" si="194"/>
        <v>0</v>
      </c>
      <c r="AV135" s="153">
        <f t="shared" ca="1" si="195"/>
        <v>0</v>
      </c>
      <c r="AW135" s="153">
        <f t="shared" ca="1" si="247"/>
        <v>0</v>
      </c>
      <c r="AX135" s="153">
        <f t="shared" ca="1" si="248"/>
        <v>0</v>
      </c>
      <c r="AY135" s="153">
        <f t="shared" ca="1" si="249"/>
        <v>0</v>
      </c>
      <c r="AZ135" s="153">
        <f t="shared" ca="1" si="250"/>
        <v>0</v>
      </c>
      <c r="BA135" s="158">
        <f t="shared" ca="1" si="251"/>
        <v>0</v>
      </c>
      <c r="BB135" s="12">
        <v>61</v>
      </c>
      <c r="BC135" s="679">
        <f>AE135</f>
        <v>43697.49999999968</v>
      </c>
      <c r="BD135" s="149">
        <f ca="1">$Z135</f>
        <v>3695</v>
      </c>
      <c r="BE135" s="373"/>
      <c r="BF135" s="349"/>
      <c r="BG135" s="349"/>
      <c r="BH135" s="349"/>
      <c r="BI135" s="349"/>
      <c r="BJ135" s="349"/>
      <c r="BK135" s="349"/>
      <c r="BL135" s="374"/>
      <c r="BN135" s="502">
        <f>Construction!BM135/Construction!E135</f>
        <v>0</v>
      </c>
      <c r="BO135" s="162">
        <f>Construction!BD135/Construction!E135</f>
        <v>0</v>
      </c>
      <c r="BP135" s="151">
        <f>ROUNDUP((1-MIN(AB135*smithy_bonus,smithy_bonus_cap))*(1+Techs!AO135*tech_master_of_frugality)*spec_op_plat,0)</f>
        <v>165</v>
      </c>
      <c r="BQ135" s="153">
        <f>ROUNDUP(IF(race="Gnome",1,(1-MIN(AB135*smithy_bonus,smithy_bonus_cap))*(1+Techs!AO135*tech_master_of_frugality))*spec_op_ore,0)</f>
        <v>15</v>
      </c>
      <c r="BR135" s="153">
        <f t="shared" si="196"/>
        <v>0</v>
      </c>
      <c r="BS135" s="153">
        <f t="shared" si="197"/>
        <v>0</v>
      </c>
      <c r="BT135" s="153">
        <f ca="1">ROUNDUP((1-MIN(AB135*smithy_bonus,smithy_bonus_cap))*(1+Techs!AO135*tech_master_of_frugality)*spec_dp_plat,0)</f>
        <v>165</v>
      </c>
      <c r="BU135" s="153">
        <f ca="1">ROUNDUP(IF(OR(race="Gnome",race="Imperial Gnome"),1,(1-MIN(AB135*smithy_bonus,smithy_bonus_cap))*(1+Techs!AO135*tech_master_of_frugality))*spec_dp_ore,0)</f>
        <v>6</v>
      </c>
      <c r="BV135" s="153">
        <f t="shared" ca="1" si="198"/>
        <v>0</v>
      </c>
      <c r="BW135" s="153">
        <f t="shared" ca="1" si="199"/>
        <v>0</v>
      </c>
      <c r="BX135" s="153">
        <f t="shared" ca="1" si="200"/>
        <v>0</v>
      </c>
      <c r="BY135" s="153">
        <f ca="1">ROUNDUP((1-MIN(AB135*smithy_bonus,smithy_bonus_cap))*(1+Techs!AO135*tech_master_of_frugality)*elite1_plat,0)</f>
        <v>600</v>
      </c>
      <c r="BZ135" s="153">
        <f ca="1">ROUNDUP(IF(race="Gnome",1,(1-MIN(AB135*smithy_bonus,smithy_bonus_cap))*(1+Techs!AO135*tech_master_of_frugality))*elite1_ore,0)</f>
        <v>45</v>
      </c>
      <c r="CA135" s="153">
        <f t="shared" ca="1" si="201"/>
        <v>0</v>
      </c>
      <c r="CB135" s="153">
        <f t="shared" ca="1" si="202"/>
        <v>0</v>
      </c>
      <c r="CC135" s="153">
        <f t="shared" ca="1" si="203"/>
        <v>0</v>
      </c>
      <c r="CD135" s="153">
        <f t="shared" ca="1" si="204"/>
        <v>0</v>
      </c>
      <c r="CE135" s="153">
        <f t="shared" ca="1" si="205"/>
        <v>0</v>
      </c>
      <c r="CF135" s="153">
        <f ca="1">ROUNDUP((1-MIN(AB135*smithy_bonus,smithy_bonus_cap))*(1+Techs!AO135*tech_master_of_frugality)*elite2_plat,0)</f>
        <v>750</v>
      </c>
      <c r="CG135" s="153">
        <f ca="1">ROUNDUP(IF(race="Gnome",1,(1-MIN(AB135*smithy_bonus,smithy_bonus_cap))*(1+Techs!AO135*tech_master_of_frugality))*elite2_ore,0)</f>
        <v>60</v>
      </c>
      <c r="CH135" s="153">
        <f t="shared" ca="1" si="206"/>
        <v>0</v>
      </c>
      <c r="CI135" s="153">
        <f t="shared" ca="1" si="207"/>
        <v>0</v>
      </c>
      <c r="CJ135" s="153">
        <f t="shared" ca="1" si="208"/>
        <v>0</v>
      </c>
      <c r="CK135" s="153">
        <f t="shared" ca="1" si="209"/>
        <v>0</v>
      </c>
      <c r="CL135" s="153">
        <f t="shared" ca="1" si="210"/>
        <v>0</v>
      </c>
      <c r="CM135" s="153">
        <f>ROUNDUP((1+tech_spy_cost*Techs!AJ135)*spy_plat,0)</f>
        <v>500</v>
      </c>
      <c r="CN135" s="153">
        <f>ROUNDUP((1+tech_wizard_cost*Techs!AM135-MIN(ROUND(wg_wiz_cost_bonus*BN135,4),wg_wiz_cost_cap))*wizard_plat,0)</f>
        <v>500</v>
      </c>
      <c r="CO135" s="158">
        <f>ROUNDUP((1+tech_wizard_cost*Techs!AM135-MIN(ROUND(wg_wiz_cost_bonus*BN135,4),wg_wiz_cost_cap))*archmage_plat,0)</f>
        <v>1000</v>
      </c>
      <c r="CQ135" s="467">
        <f ca="1">Construction!DF135/Construction!E135</f>
        <v>0.28000000000000003</v>
      </c>
      <c r="CR135" s="468">
        <f>BN135</f>
        <v>0</v>
      </c>
      <c r="CS135" s="468">
        <f>Construction!BK135/Construction!E135</f>
        <v>0.05</v>
      </c>
      <c r="CT135" s="468">
        <f>Construction!BJ135/Construction!E135</f>
        <v>0</v>
      </c>
      <c r="CU135" s="468">
        <f>Construction!AY135/Construction!E135</f>
        <v>0</v>
      </c>
      <c r="CV135" s="490">
        <f t="shared" ca="1" si="211"/>
        <v>1.4000000000000001</v>
      </c>
      <c r="CW135" s="491">
        <f t="shared" ca="1" si="212"/>
        <v>1.4000000000000001</v>
      </c>
      <c r="CX135" s="491">
        <f t="shared" ca="1" si="213"/>
        <v>1.4000000000000001</v>
      </c>
      <c r="CY135" s="492">
        <f t="shared" ca="1" si="214"/>
        <v>1.4000000000000001</v>
      </c>
      <c r="CZ135" s="492">
        <f t="shared" si="215"/>
        <v>0.1</v>
      </c>
      <c r="DA135" s="492">
        <f t="shared" ca="1" si="216"/>
        <v>3</v>
      </c>
      <c r="DB135" s="492">
        <f t="shared" ca="1" si="217"/>
        <v>1.4000000000000001</v>
      </c>
      <c r="DC135" s="491">
        <f t="shared" si="218"/>
        <v>0</v>
      </c>
      <c r="DD135" s="851">
        <f t="shared" si="219"/>
        <v>0</v>
      </c>
      <c r="DE135" s="732">
        <f>MIN(G135,H135)*2</f>
        <v>800</v>
      </c>
      <c r="DF135" s="732">
        <f>MIN(E135,H135)*2</f>
        <v>0</v>
      </c>
      <c r="DG135" s="490">
        <f t="shared" ca="1" si="220"/>
        <v>1.4000000000000001</v>
      </c>
      <c r="DH135" s="453">
        <f t="shared" si="221"/>
        <v>9.0000000000000011E-2</v>
      </c>
      <c r="DI135" s="453">
        <f>MIN(valkyrja_cap,Production!O135/valkyrja_bonus)</f>
        <v>1</v>
      </c>
      <c r="DJ135" s="851">
        <f>MIN(voodoo_magi_cap,Production!O135/voodoo_magi_bonus)</f>
        <v>0.83333333333333337</v>
      </c>
      <c r="DK135" s="851">
        <f>MIN(warlock_cap,Production!O135/warlock_bonus)</f>
        <v>1.25</v>
      </c>
      <c r="DL135" s="851">
        <f ca="1">MIN(nox_nightshade_cap,Construction!DF135/Construction!E135/nox_nightshade_swamp_bonus)</f>
        <v>2.8000000000000003</v>
      </c>
      <c r="DM135" s="491">
        <f t="shared" si="222"/>
        <v>0</v>
      </c>
      <c r="DN135" s="492">
        <f t="shared" ca="1" si="223"/>
        <v>2.8000000000000003</v>
      </c>
      <c r="DO135" s="492">
        <f t="shared" ca="1" si="224"/>
        <v>2.8000000000000003</v>
      </c>
      <c r="DP135" s="492">
        <f t="shared" si="225"/>
        <v>1</v>
      </c>
      <c r="DQ135" s="491">
        <f t="shared" si="226"/>
        <v>0</v>
      </c>
      <c r="DR135" s="492">
        <f t="shared" si="227"/>
        <v>0</v>
      </c>
      <c r="DS135" s="491">
        <f t="shared" si="228"/>
        <v>0</v>
      </c>
      <c r="DT135" s="492">
        <f t="shared" si="229"/>
        <v>0.1</v>
      </c>
      <c r="DX135" s="490">
        <f ca="1">MIN(6,CV135+Races!$F$19)*1.8 +  IF(CV135+Races!$F$19&gt;6,(CV135+Races!$F$19-6)*0.2,0) - Races!$N$19</f>
        <v>2.5200000000000005</v>
      </c>
      <c r="DY135" s="491">
        <f ca="1">1.8 * MIN(MAX(CW135+Races!$E$20,CX135+Races!$F$20),6)  +  0.45 * MIN(MIN(CW135+Races!$E$20,CX135+Races!$F$20),6)  +  0.2 * ( MAX(CW135+Races!$E$20-6,0) + MAX(CX135+Races!$F$20-6,0) )  -  Races!$N$20</f>
        <v>3.1500000000000012</v>
      </c>
      <c r="DZ135" s="55">
        <f t="shared" ca="1" si="243"/>
        <v>3780.0000000000009</v>
      </c>
      <c r="EA135" s="668">
        <f ca="1">MIN(6,CY135+Races!$F$35)*1.8 +  IF(CY135+Races!$F$35&gt;6,(CY135+Races!$F$35-6)*0.2,0) - Races!$N$19</f>
        <v>0.72000000000000064</v>
      </c>
      <c r="EB135" s="55">
        <f t="shared" ca="1" si="231"/>
        <v>0</v>
      </c>
      <c r="EC135" s="668">
        <f ca="1">1.8 * MIN(MAX(Races!$E$27,DB135+Races!$F$27),6)  +  0.45 * MIN(MIN(Races!$E$27,DB135+Races!$F$27),6)  +  0.2 * ( MAX(Races!$E$27-6,0) + MAX(DB135+Races!$F$27-6,0) )  -  Races!$N$20</f>
        <v>4.7700000000000005</v>
      </c>
      <c r="ED135" s="55">
        <f t="shared" ca="1" si="244"/>
        <v>0</v>
      </c>
      <c r="EE135" s="668">
        <f>1.8 * MIN(MAX(DC135+Races!$E$47,DD135+Races!$F$47),6)  +  0.45 * MIN(MIN(DC135+Races!$E$47,DD135+Races!$F$47),6)  +  0.2 * ( MAX(DC135+Races!$E$47-6,0) + MAX(DD135+Races!$F$47-6,0) )  -  Races!$N$47</f>
        <v>0</v>
      </c>
      <c r="EF135" s="55">
        <f t="shared" si="245"/>
        <v>0</v>
      </c>
      <c r="EG135" s="668">
        <f ca="1">1.8 * MIN(MAX(DG135+Races!$F$71,Races!$E$71),6)  +  0.45 * MIN(MIN(DG135+Races!$F$71,Races!$E$71),6)  +  0.2 * ( MAX(DG135+Races!$F$71-6,0) + MAX(Races!$E$71-6,0) )  -  Races!$N$71</f>
        <v>2.5200000000000014</v>
      </c>
      <c r="EH135" s="668">
        <f>1.8 * MIN(MAX(DH135+Races!$E$71,Races!$F$71),6)  +  0.45 * MIN(MIN(DH135+Races!$E$71,Races!$F$71),6)  +  0.2 * ( MAX(DH135+Races!$E$71-6,0) + MAX(Races!$F$71-6,0) )  -  Races!$N$71</f>
        <v>0.16200000000000081</v>
      </c>
      <c r="EI135" s="55">
        <f t="shared" ca="1" si="246"/>
        <v>2584.8000000000015</v>
      </c>
      <c r="EJ135" s="55"/>
      <c r="EK135" s="55"/>
      <c r="EL135" s="55"/>
      <c r="EM135" s="55">
        <f ca="1">Overview!$L$22*E135+Overview!$L$23*F135+Overview!$L$24*G135+Overview!$L$25*H135+Overview!$L$26*I135+Overview!$L$27*J135+Overview!$L$28*K135+Construction!E135*20+Construction!B135*5 + DZ135*$DV$4+EB135*$DV$5+ED135*$DV$6+EF135*$DV$7+EI135*$DV$9</f>
        <v>39460</v>
      </c>
      <c r="EO135" s="741">
        <f>(J135+2*K135)/Construction!E135</f>
        <v>0.1</v>
      </c>
      <c r="EP135" s="735">
        <f ca="1">EO135*(1+race_wizard_strength+tech_magical_weaponry_wiz*Techs!AV207)</f>
        <v>0.1</v>
      </c>
      <c r="EQ135" s="12">
        <f>(I135+halfer*H135/3)/Construction!E135</f>
        <v>0.1</v>
      </c>
    </row>
    <row r="1268" spans="2:3">
      <c r="B1268" s="1463" t="s">
        <v>332</v>
      </c>
      <c r="C1268" s="1463"/>
    </row>
    <row r="1269" spans="2:3">
      <c r="B1269" s="672">
        <f ca="1">Overview!E17</f>
        <v>1185</v>
      </c>
      <c r="C1269" s="672"/>
    </row>
  </sheetData>
  <dataConsolidate/>
  <mergeCells count="11">
    <mergeCell ref="EO1:EP1"/>
    <mergeCell ref="B1268:C1268"/>
    <mergeCell ref="DX1:EF1"/>
    <mergeCell ref="O1:Q1"/>
    <mergeCell ref="X1:Z1"/>
    <mergeCell ref="CW2:CX2"/>
    <mergeCell ref="DC2:DD2"/>
    <mergeCell ref="CQ1:CV1"/>
    <mergeCell ref="BP1:CO1"/>
    <mergeCell ref="R1:S1"/>
    <mergeCell ref="U1:V1"/>
  </mergeCells>
  <phoneticPr fontId="0" type="noConversion"/>
  <conditionalFormatting sqref="EQ1270:JY60114 A6993:A65052 A1270:EP60142 A136:XFD1267">
    <cfRule type="expression" dxfId="68" priority="1" stopIfTrue="1">
      <formula>ROW()-2=#REF!</formula>
    </cfRule>
  </conditionalFormatting>
  <conditionalFormatting sqref="A1268:XFD1269">
    <cfRule type="expression" dxfId="67" priority="2" stopIfTrue="1">
      <formula>$B$1269&gt;144</formula>
    </cfRule>
  </conditionalFormatting>
  <conditionalFormatting sqref="A3:A135 BB3:BC135 AC3:AE135 CV3:JY135">
    <cfRule type="expression" dxfId="66" priority="3" stopIfTrue="1">
      <formula>ROW()-3=$B$1269</formula>
    </cfRule>
  </conditionalFormatting>
  <conditionalFormatting sqref="B3:AB135 BD3:CU135 AF3:BA135">
    <cfRule type="expression" dxfId="65" priority="4" stopIfTrue="1">
      <formula>OR(ROW()-3=$B$1269,B3&lt;0)</formula>
    </cfRule>
  </conditionalFormatting>
  <conditionalFormatting sqref="A1:Q2 S2:W2 X1:JY2">
    <cfRule type="expression" dxfId="64" priority="5" stopIfTrue="1">
      <formula>$B$1269&lt;0</formula>
    </cfRule>
  </conditionalFormatting>
  <conditionalFormatting sqref="W1">
    <cfRule type="expression" dxfId="63" priority="6" stopIfTrue="1">
      <formula>$B$1269&lt;0</formula>
    </cfRule>
  </conditionalFormatting>
  <conditionalFormatting sqref="R1:V1 R2">
    <cfRule type="expression" dxfId="62" priority="7" stopIfTrue="1">
      <formula>$B$1269&lt;0</formula>
    </cfRule>
  </conditionalFormatting>
  <pageMargins left="0.75" right="0.75" top="1" bottom="1" header="0.5" footer="0.5"/>
  <pageSetup paperSize="9"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sheetPr codeName="Sheet7"/>
  <dimension ref="A1:AC1269"/>
  <sheetViews>
    <sheetView zoomScale="85" workbookViewId="0">
      <pane ySplit="2" topLeftCell="A3" activePane="bottomLeft" state="frozenSplit"/>
      <selection activeCell="A3" sqref="A3"/>
      <selection pane="bottomLeft" activeCell="L4" sqref="L4"/>
    </sheetView>
  </sheetViews>
  <sheetFormatPr defaultRowHeight="12.75"/>
  <cols>
    <col min="1" max="1" width="5.140625" customWidth="1"/>
    <col min="2" max="2" width="7.42578125" style="2" bestFit="1" customWidth="1"/>
    <col min="3" max="3" width="6.42578125" style="3" bestFit="1" customWidth="1"/>
    <col min="4" max="4" width="9.5703125" style="4" customWidth="1"/>
    <col min="5" max="5" width="4.5703125" style="5" customWidth="1"/>
    <col min="6" max="6" width="7.42578125" style="6" bestFit="1" customWidth="1"/>
    <col min="7" max="7" width="8" style="7" bestFit="1" customWidth="1"/>
    <col min="8" max="8" width="6" style="8" customWidth="1"/>
    <col min="9" max="9" width="2.5703125" customWidth="1"/>
    <col min="10" max="10" width="5.140625" style="320" bestFit="1" customWidth="1"/>
    <col min="11" max="11" width="6" customWidth="1"/>
    <col min="12" max="12" width="8.7109375" bestFit="1" customWidth="1"/>
    <col min="13" max="13" width="6.42578125" bestFit="1" customWidth="1"/>
    <col min="14" max="14" width="8.5703125" bestFit="1" customWidth="1"/>
    <col min="15" max="15" width="3.85546875" bestFit="1" customWidth="1"/>
    <col min="16" max="16" width="7.42578125" bestFit="1" customWidth="1"/>
    <col min="17" max="17" width="7" bestFit="1" customWidth="1"/>
    <col min="18" max="18" width="6" bestFit="1" customWidth="1"/>
    <col min="19" max="19" width="10.28515625" bestFit="1" customWidth="1"/>
    <col min="20" max="20" width="5.140625" customWidth="1"/>
    <col min="21" max="21" width="2.85546875" customWidth="1"/>
    <col min="22" max="22" width="11" bestFit="1" customWidth="1"/>
    <col min="23" max="23" width="2.5703125" customWidth="1"/>
    <col min="24" max="24" width="8.42578125" bestFit="1" customWidth="1"/>
    <col min="25" max="25" width="8.28515625" bestFit="1" customWidth="1"/>
    <col min="26" max="26" width="3.85546875" customWidth="1"/>
    <col min="27" max="27" width="9.42578125" bestFit="1" customWidth="1"/>
    <col min="28" max="28" width="3.5703125" customWidth="1"/>
    <col min="29" max="29" width="7.42578125" bestFit="1" customWidth="1"/>
  </cols>
  <sheetData>
    <row r="1" spans="1:29" s="34" customFormat="1">
      <c r="B1" s="76" t="s">
        <v>56</v>
      </c>
      <c r="C1" s="77"/>
      <c r="D1" s="78"/>
      <c r="E1" s="79"/>
      <c r="F1" s="80"/>
      <c r="G1" s="81"/>
      <c r="H1" s="82"/>
      <c r="J1" s="446"/>
      <c r="L1" s="521" t="s">
        <v>320</v>
      </c>
      <c r="V1" s="34" t="s">
        <v>205</v>
      </c>
      <c r="X1" s="34" t="s">
        <v>33</v>
      </c>
      <c r="AA1" s="34" t="s">
        <v>204</v>
      </c>
    </row>
    <row r="2" spans="1:29" s="523" customFormat="1" ht="13.5" thickBot="1">
      <c r="A2" s="523" t="s">
        <v>1</v>
      </c>
      <c r="B2" s="653" t="s">
        <v>57</v>
      </c>
      <c r="C2" s="654" t="s">
        <v>60</v>
      </c>
      <c r="D2" s="655" t="s">
        <v>189</v>
      </c>
      <c r="E2" s="656" t="s">
        <v>62</v>
      </c>
      <c r="F2" s="657" t="s">
        <v>63</v>
      </c>
      <c r="G2" s="658" t="s">
        <v>64</v>
      </c>
      <c r="H2" s="659" t="s">
        <v>65</v>
      </c>
      <c r="J2" s="523" t="s">
        <v>0</v>
      </c>
      <c r="K2" s="523" t="s">
        <v>327</v>
      </c>
      <c r="L2" s="653" t="s">
        <v>259</v>
      </c>
      <c r="M2" s="654" t="s">
        <v>60</v>
      </c>
      <c r="N2" s="655" t="s">
        <v>261</v>
      </c>
      <c r="O2" s="656" t="s">
        <v>260</v>
      </c>
      <c r="P2" s="657" t="s">
        <v>63</v>
      </c>
      <c r="Q2" s="658" t="s">
        <v>258</v>
      </c>
      <c r="R2" s="659" t="s">
        <v>65</v>
      </c>
      <c r="S2" s="523" t="s">
        <v>318</v>
      </c>
      <c r="T2" s="660" t="s">
        <v>206</v>
      </c>
      <c r="V2" s="523" t="s">
        <v>2</v>
      </c>
      <c r="X2" s="523" t="s">
        <v>59</v>
      </c>
      <c r="Y2" s="523" t="s">
        <v>2</v>
      </c>
      <c r="AA2" s="523" t="s">
        <v>275</v>
      </c>
      <c r="AC2" s="523" t="s">
        <v>202</v>
      </c>
    </row>
    <row r="3" spans="1:29" s="689" customFormat="1">
      <c r="A3" s="689">
        <f>Construction!E3</f>
        <v>1000</v>
      </c>
      <c r="B3" s="692">
        <f>Construction!F3</f>
        <v>0</v>
      </c>
      <c r="C3" s="693">
        <f>Construction!G3</f>
        <v>100</v>
      </c>
      <c r="D3" s="694">
        <f>Construction!H3</f>
        <v>150</v>
      </c>
      <c r="E3" s="695">
        <f>Construction!I3</f>
        <v>150</v>
      </c>
      <c r="F3" s="696">
        <f>Construction!J3</f>
        <v>100</v>
      </c>
      <c r="G3" s="697">
        <f>Construction!K3</f>
        <v>20</v>
      </c>
      <c r="H3" s="698">
        <f>Construction!L3</f>
        <v>100</v>
      </c>
      <c r="J3" s="691">
        <v>1</v>
      </c>
      <c r="K3" s="704">
        <f>Imps!BY3</f>
        <v>43692</v>
      </c>
      <c r="L3" s="826">
        <v>130</v>
      </c>
      <c r="M3" s="827"/>
      <c r="N3" s="699"/>
      <c r="O3" s="827"/>
      <c r="P3" s="827"/>
      <c r="Q3" s="827">
        <v>-130</v>
      </c>
      <c r="R3" s="794"/>
      <c r="S3" s="687">
        <f t="shared" ref="S3:S66" si="0">SUMIF(L3:R3,"&gt;0")</f>
        <v>130</v>
      </c>
      <c r="T3" s="701" t="str">
        <f t="shared" ref="T3:T66" si="1">IF(SUM(L3:R3)=0,"Ok","Nope")</f>
        <v>Ok</v>
      </c>
      <c r="V3" s="701">
        <f ca="1">Production!H3</f>
        <v>3936000</v>
      </c>
      <c r="X3" s="685">
        <f ca="1">ROUND( (1-MIN(ROUND(facs_rezone_factor*AC3,4),facs_rezone_max)) * (1+MIN(tech_construction_rezone*Techs!AD3,tech_conquerors_crafts*Techs!AS3)) * AA3*(1+race_rezone_cost),0)</f>
        <v>700</v>
      </c>
      <c r="Y3" s="687">
        <f t="shared" ref="Y3:Y34" ca="1" si="2">S3*X3</f>
        <v>91000</v>
      </c>
      <c r="AA3" s="701">
        <f>250+0.6*(A3-Explore!S3*20-250)</f>
        <v>700</v>
      </c>
      <c r="AC3" s="702">
        <f>Construction!AH3</f>
        <v>0</v>
      </c>
    </row>
    <row r="4" spans="1:29" s="170" customFormat="1">
      <c r="A4" s="170">
        <f>Construction!E4</f>
        <v>1000</v>
      </c>
      <c r="B4" s="205">
        <f>Construction!F4</f>
        <v>0</v>
      </c>
      <c r="C4" s="206">
        <f>Construction!G4</f>
        <v>100</v>
      </c>
      <c r="D4" s="207">
        <f>Construction!H4</f>
        <v>150</v>
      </c>
      <c r="E4" s="208">
        <f>Construction!I4</f>
        <v>150</v>
      </c>
      <c r="F4" s="209">
        <f>Construction!J4</f>
        <v>100</v>
      </c>
      <c r="G4" s="210">
        <f>Construction!K4</f>
        <v>20</v>
      </c>
      <c r="H4" s="211">
        <f>Construction!L4</f>
        <v>100</v>
      </c>
      <c r="J4" s="629">
        <f t="shared" ref="J4:J14" si="3">J3+1</f>
        <v>2</v>
      </c>
      <c r="K4" s="532">
        <f>Imps!BY4</f>
        <v>43692.041666666664</v>
      </c>
      <c r="L4" s="352"/>
      <c r="M4" s="345"/>
      <c r="N4" s="345"/>
      <c r="O4" s="345"/>
      <c r="P4" s="345"/>
      <c r="Q4" s="345"/>
      <c r="R4" s="353"/>
      <c r="S4" s="166">
        <f t="shared" si="0"/>
        <v>0</v>
      </c>
      <c r="T4" s="160" t="str">
        <f t="shared" si="1"/>
        <v>Ok</v>
      </c>
      <c r="V4" s="160">
        <f ca="1">Production!H4</f>
        <v>3945720</v>
      </c>
      <c r="X4" s="152">
        <f ca="1">ROUND( (1-MIN(ROUND(facs_rezone_factor*AC4,4),facs_rezone_max)) * (1+MIN(tech_construction_rezone*Techs!AD4,tech_conquerors_crafts*Techs!AS4)) * AA4*(1+race_rezone_cost),0)</f>
        <v>700</v>
      </c>
      <c r="Y4" s="166">
        <f t="shared" ca="1" si="2"/>
        <v>0</v>
      </c>
      <c r="AA4" s="160">
        <f t="shared" ref="AA4:AA66" si="4">250+0.6*(A4-250)</f>
        <v>700</v>
      </c>
      <c r="AC4" s="212">
        <f>Construction!AH4</f>
        <v>0</v>
      </c>
    </row>
    <row r="5" spans="1:29" s="170" customFormat="1">
      <c r="A5" s="170">
        <f>Construction!E5</f>
        <v>1000</v>
      </c>
      <c r="B5" s="205">
        <f>Construction!F5</f>
        <v>0</v>
      </c>
      <c r="C5" s="206">
        <f>Construction!G5</f>
        <v>100</v>
      </c>
      <c r="D5" s="207">
        <f>Construction!H5</f>
        <v>150</v>
      </c>
      <c r="E5" s="208">
        <f>Construction!I5</f>
        <v>150</v>
      </c>
      <c r="F5" s="209">
        <f>Construction!J5</f>
        <v>100</v>
      </c>
      <c r="G5" s="210">
        <f>Construction!K5</f>
        <v>20</v>
      </c>
      <c r="H5" s="211">
        <f>Construction!L5</f>
        <v>100</v>
      </c>
      <c r="J5" s="629">
        <f t="shared" si="3"/>
        <v>3</v>
      </c>
      <c r="K5" s="532">
        <f>Imps!BY5</f>
        <v>43692.083333333328</v>
      </c>
      <c r="L5" s="352"/>
      <c r="M5" s="345"/>
      <c r="N5" s="345"/>
      <c r="O5" s="345"/>
      <c r="P5" s="345"/>
      <c r="Q5" s="345"/>
      <c r="R5" s="353"/>
      <c r="S5" s="166">
        <f t="shared" si="0"/>
        <v>0</v>
      </c>
      <c r="T5" s="160" t="str">
        <f t="shared" si="1"/>
        <v>Ok</v>
      </c>
      <c r="V5" s="160">
        <f ca="1">Production!H5</f>
        <v>3955440</v>
      </c>
      <c r="X5" s="152">
        <f ca="1">ROUND( (1-MIN(ROUND(facs_rezone_factor*AC5,4),facs_rezone_max)) * (1+MIN(tech_construction_rezone*Techs!AD5,tech_conquerors_crafts*Techs!AS5)) * AA5*(1+race_rezone_cost),0)</f>
        <v>700</v>
      </c>
      <c r="Y5" s="166">
        <f t="shared" ca="1" si="2"/>
        <v>0</v>
      </c>
      <c r="AA5" s="160">
        <f t="shared" si="4"/>
        <v>700</v>
      </c>
      <c r="AC5" s="212">
        <f>Construction!AH5</f>
        <v>0</v>
      </c>
    </row>
    <row r="6" spans="1:29" s="16" customFormat="1">
      <c r="A6" s="16">
        <f>Construction!E6</f>
        <v>1000</v>
      </c>
      <c r="B6" s="68">
        <f>Construction!F6</f>
        <v>0</v>
      </c>
      <c r="C6" s="29">
        <f>Construction!G6</f>
        <v>100</v>
      </c>
      <c r="D6" s="30">
        <f>Construction!H6</f>
        <v>150</v>
      </c>
      <c r="E6" s="31">
        <f>Construction!I6</f>
        <v>150</v>
      </c>
      <c r="F6" s="32">
        <f>Construction!J6</f>
        <v>100</v>
      </c>
      <c r="G6" s="33">
        <f>Construction!K6</f>
        <v>20</v>
      </c>
      <c r="H6" s="69">
        <f>Construction!L6</f>
        <v>100</v>
      </c>
      <c r="J6" s="529">
        <f t="shared" si="3"/>
        <v>4</v>
      </c>
      <c r="K6" s="574">
        <f>Imps!BY6</f>
        <v>43692.124999999993</v>
      </c>
      <c r="L6" s="356"/>
      <c r="M6" s="348"/>
      <c r="N6" s="348"/>
      <c r="O6" s="348"/>
      <c r="P6" s="348"/>
      <c r="Q6" s="348"/>
      <c r="R6" s="357"/>
      <c r="S6" s="166">
        <f t="shared" si="0"/>
        <v>0</v>
      </c>
      <c r="T6" s="160" t="str">
        <f t="shared" si="1"/>
        <v>Ok</v>
      </c>
      <c r="V6" s="64">
        <f ca="1">Production!H6</f>
        <v>3965160</v>
      </c>
      <c r="X6" s="152">
        <f ca="1">ROUND( (1-MIN(ROUND(facs_rezone_factor*AC6,4),facs_rezone_max)) * (1+MIN(tech_construction_rezone*Techs!AD6,tech_conquerors_crafts*Techs!AS6)) * AA6*(1+race_rezone_cost),0)</f>
        <v>700</v>
      </c>
      <c r="Y6" s="166">
        <f t="shared" ca="1" si="2"/>
        <v>0</v>
      </c>
      <c r="AA6" s="160">
        <f t="shared" si="4"/>
        <v>700</v>
      </c>
      <c r="AC6" s="95">
        <f>Construction!AH6</f>
        <v>0</v>
      </c>
    </row>
    <row r="7" spans="1:29" s="16" customFormat="1">
      <c r="A7" s="16">
        <f>Construction!E7</f>
        <v>1000</v>
      </c>
      <c r="B7" s="68">
        <f>Construction!F7</f>
        <v>0</v>
      </c>
      <c r="C7" s="29">
        <f>Construction!G7</f>
        <v>100</v>
      </c>
      <c r="D7" s="30">
        <f>Construction!H7</f>
        <v>150</v>
      </c>
      <c r="E7" s="31">
        <f>Construction!I7</f>
        <v>150</v>
      </c>
      <c r="F7" s="32">
        <f>Construction!J7</f>
        <v>100</v>
      </c>
      <c r="G7" s="33">
        <f>Construction!K7</f>
        <v>20</v>
      </c>
      <c r="H7" s="69">
        <f>Construction!L7</f>
        <v>100</v>
      </c>
      <c r="J7" s="529">
        <f t="shared" si="3"/>
        <v>5</v>
      </c>
      <c r="K7" s="574">
        <f>Imps!BY7</f>
        <v>43692.166666666657</v>
      </c>
      <c r="L7" s="356"/>
      <c r="M7" s="348"/>
      <c r="N7" s="348"/>
      <c r="O7" s="348"/>
      <c r="P7" s="348"/>
      <c r="Q7" s="348"/>
      <c r="R7" s="357"/>
      <c r="S7" s="166">
        <f t="shared" si="0"/>
        <v>0</v>
      </c>
      <c r="T7" s="160" t="str">
        <f t="shared" si="1"/>
        <v>Ok</v>
      </c>
      <c r="V7" s="64">
        <f ca="1">Production!H7</f>
        <v>3974880</v>
      </c>
      <c r="X7" s="152">
        <f ca="1">ROUND( (1-MIN(ROUND(facs_rezone_factor*AC7,4),facs_rezone_max)) * (1+MIN(tech_construction_rezone*Techs!AD7,tech_conquerors_crafts*Techs!AS7)) * AA7*(1+race_rezone_cost),0)</f>
        <v>700</v>
      </c>
      <c r="Y7" s="166">
        <f t="shared" ca="1" si="2"/>
        <v>0</v>
      </c>
      <c r="AA7" s="160">
        <f t="shared" si="4"/>
        <v>700</v>
      </c>
      <c r="AC7" s="95">
        <f>Construction!AH7</f>
        <v>0</v>
      </c>
    </row>
    <row r="8" spans="1:29" s="16" customFormat="1">
      <c r="A8" s="16">
        <f>Construction!E8</f>
        <v>1000</v>
      </c>
      <c r="B8" s="68">
        <f>Construction!F8</f>
        <v>0</v>
      </c>
      <c r="C8" s="29">
        <f>Construction!G8</f>
        <v>100</v>
      </c>
      <c r="D8" s="30">
        <f>Construction!H8</f>
        <v>150</v>
      </c>
      <c r="E8" s="31">
        <f>Construction!I8</f>
        <v>150</v>
      </c>
      <c r="F8" s="32">
        <f>Construction!J8</f>
        <v>100</v>
      </c>
      <c r="G8" s="33">
        <f>Construction!K8</f>
        <v>20</v>
      </c>
      <c r="H8" s="69">
        <f>Construction!L8</f>
        <v>100</v>
      </c>
      <c r="J8" s="529">
        <f t="shared" si="3"/>
        <v>6</v>
      </c>
      <c r="K8" s="574">
        <f>Imps!BY8</f>
        <v>43692.208333333321</v>
      </c>
      <c r="L8" s="356"/>
      <c r="M8" s="348"/>
      <c r="N8" s="348"/>
      <c r="O8" s="348"/>
      <c r="P8" s="348"/>
      <c r="Q8" s="348"/>
      <c r="R8" s="357"/>
      <c r="S8" s="166">
        <f t="shared" si="0"/>
        <v>0</v>
      </c>
      <c r="T8" s="160" t="str">
        <f t="shared" si="1"/>
        <v>Ok</v>
      </c>
      <c r="V8" s="64">
        <f ca="1">Production!H8</f>
        <v>3984600</v>
      </c>
      <c r="X8" s="152">
        <f ca="1">ROUND( (1-MIN(ROUND(facs_rezone_factor*AC8,4),facs_rezone_max)) * (1+MIN(tech_construction_rezone*Techs!AD8,tech_conquerors_crafts*Techs!AS8)) * AA8*(1+race_rezone_cost),0)</f>
        <v>700</v>
      </c>
      <c r="Y8" s="166">
        <f t="shared" ca="1" si="2"/>
        <v>0</v>
      </c>
      <c r="AA8" s="160">
        <f t="shared" si="4"/>
        <v>700</v>
      </c>
      <c r="AC8" s="95">
        <f>Construction!AH8</f>
        <v>0</v>
      </c>
    </row>
    <row r="9" spans="1:29" s="16" customFormat="1">
      <c r="A9" s="16">
        <f>Construction!E9</f>
        <v>1000</v>
      </c>
      <c r="B9" s="68">
        <f>Construction!F9</f>
        <v>0</v>
      </c>
      <c r="C9" s="29">
        <f>Construction!G9</f>
        <v>100</v>
      </c>
      <c r="D9" s="30">
        <f>Construction!H9</f>
        <v>150</v>
      </c>
      <c r="E9" s="31">
        <f>Construction!I9</f>
        <v>150</v>
      </c>
      <c r="F9" s="32">
        <f>Construction!J9</f>
        <v>100</v>
      </c>
      <c r="G9" s="33">
        <f>Construction!K9</f>
        <v>20</v>
      </c>
      <c r="H9" s="69">
        <f>Construction!L9</f>
        <v>100</v>
      </c>
      <c r="J9" s="529">
        <f t="shared" si="3"/>
        <v>7</v>
      </c>
      <c r="K9" s="574">
        <f>Imps!BY9</f>
        <v>43692.249999999985</v>
      </c>
      <c r="L9" s="356"/>
      <c r="M9" s="348"/>
      <c r="N9" s="348"/>
      <c r="O9" s="348"/>
      <c r="P9" s="348"/>
      <c r="Q9" s="348"/>
      <c r="R9" s="357"/>
      <c r="S9" s="166">
        <f t="shared" si="0"/>
        <v>0</v>
      </c>
      <c r="T9" s="160" t="str">
        <f t="shared" si="1"/>
        <v>Ok</v>
      </c>
      <c r="V9" s="64">
        <f ca="1">Production!H9</f>
        <v>3994320</v>
      </c>
      <c r="X9" s="152">
        <f ca="1">ROUND( (1-MIN(ROUND(facs_rezone_factor*AC9,4),facs_rezone_max)) * (1+MIN(tech_construction_rezone*Techs!AD9,tech_conquerors_crafts*Techs!AS9)) * AA9*(1+race_rezone_cost),0)</f>
        <v>700</v>
      </c>
      <c r="Y9" s="166">
        <f t="shared" ca="1" si="2"/>
        <v>0</v>
      </c>
      <c r="AA9" s="160">
        <f t="shared" si="4"/>
        <v>700</v>
      </c>
      <c r="AC9" s="95">
        <f>Construction!AH9</f>
        <v>0</v>
      </c>
    </row>
    <row r="10" spans="1:29" s="16" customFormat="1">
      <c r="A10" s="16">
        <f>Construction!E10</f>
        <v>1000</v>
      </c>
      <c r="B10" s="68">
        <f>Construction!F10</f>
        <v>0</v>
      </c>
      <c r="C10" s="29">
        <f>Construction!G10</f>
        <v>100</v>
      </c>
      <c r="D10" s="30">
        <f>Construction!H10</f>
        <v>150</v>
      </c>
      <c r="E10" s="31">
        <f>Construction!I10</f>
        <v>150</v>
      </c>
      <c r="F10" s="32">
        <f>Construction!J10</f>
        <v>100</v>
      </c>
      <c r="G10" s="33">
        <f>Construction!K10</f>
        <v>20</v>
      </c>
      <c r="H10" s="69">
        <f>Construction!L10</f>
        <v>100</v>
      </c>
      <c r="J10" s="529">
        <f t="shared" si="3"/>
        <v>8</v>
      </c>
      <c r="K10" s="574">
        <f>Imps!BY10</f>
        <v>43692.29166666665</v>
      </c>
      <c r="L10" s="356"/>
      <c r="M10" s="348"/>
      <c r="N10" s="348"/>
      <c r="O10" s="348"/>
      <c r="P10" s="348"/>
      <c r="Q10" s="348"/>
      <c r="R10" s="357"/>
      <c r="S10" s="166">
        <f t="shared" si="0"/>
        <v>0</v>
      </c>
      <c r="T10" s="160" t="str">
        <f t="shared" si="1"/>
        <v>Ok</v>
      </c>
      <c r="V10" s="64">
        <f ca="1">Production!H10</f>
        <v>4004040</v>
      </c>
      <c r="X10" s="152">
        <f ca="1">ROUND( (1-MIN(ROUND(facs_rezone_factor*AC10,4),facs_rezone_max)) * (1+MIN(tech_construction_rezone*Techs!AD10,tech_conquerors_crafts*Techs!AS10)) * AA10*(1+race_rezone_cost),0)</f>
        <v>700</v>
      </c>
      <c r="Y10" s="166">
        <f t="shared" ca="1" si="2"/>
        <v>0</v>
      </c>
      <c r="AA10" s="160">
        <f t="shared" si="4"/>
        <v>700</v>
      </c>
      <c r="AC10" s="95">
        <f>Construction!AH10</f>
        <v>0</v>
      </c>
    </row>
    <row r="11" spans="1:29" s="16" customFormat="1">
      <c r="A11" s="16">
        <f>Construction!E11</f>
        <v>1000</v>
      </c>
      <c r="B11" s="68">
        <f>Construction!F11</f>
        <v>0</v>
      </c>
      <c r="C11" s="29">
        <f>Construction!G11</f>
        <v>100</v>
      </c>
      <c r="D11" s="30">
        <f>Construction!H11</f>
        <v>150</v>
      </c>
      <c r="E11" s="31">
        <f>Construction!I11</f>
        <v>150</v>
      </c>
      <c r="F11" s="32">
        <f>Construction!J11</f>
        <v>100</v>
      </c>
      <c r="G11" s="33">
        <f>Construction!K11</f>
        <v>20</v>
      </c>
      <c r="H11" s="69">
        <f>Construction!L11</f>
        <v>100</v>
      </c>
      <c r="J11" s="529">
        <f t="shared" si="3"/>
        <v>9</v>
      </c>
      <c r="K11" s="574">
        <f>Imps!BY11</f>
        <v>43692.333333333314</v>
      </c>
      <c r="L11" s="356"/>
      <c r="M11" s="348"/>
      <c r="N11" s="348"/>
      <c r="O11" s="348"/>
      <c r="P11" s="348"/>
      <c r="Q11" s="348"/>
      <c r="R11" s="357"/>
      <c r="S11" s="166">
        <f t="shared" si="0"/>
        <v>0</v>
      </c>
      <c r="T11" s="160" t="str">
        <f t="shared" si="1"/>
        <v>Ok</v>
      </c>
      <c r="V11" s="64">
        <f ca="1">Production!H11</f>
        <v>4013760</v>
      </c>
      <c r="X11" s="152">
        <f ca="1">ROUND( (1-MIN(ROUND(facs_rezone_factor*AC11,4),facs_rezone_max)) * (1+MIN(tech_construction_rezone*Techs!AD11,tech_conquerors_crafts*Techs!AS11)) * AA11*(1+race_rezone_cost),0)</f>
        <v>700</v>
      </c>
      <c r="Y11" s="166">
        <f t="shared" ca="1" si="2"/>
        <v>0</v>
      </c>
      <c r="AA11" s="160">
        <f t="shared" si="4"/>
        <v>700</v>
      </c>
      <c r="AC11" s="95">
        <f>Construction!AH11</f>
        <v>0</v>
      </c>
    </row>
    <row r="12" spans="1:29" s="16" customFormat="1">
      <c r="A12" s="16">
        <f>Construction!E12</f>
        <v>1000</v>
      </c>
      <c r="B12" s="68">
        <f>Construction!F12</f>
        <v>0</v>
      </c>
      <c r="C12" s="29">
        <f>Construction!G12</f>
        <v>100</v>
      </c>
      <c r="D12" s="30">
        <f>Construction!H12</f>
        <v>150</v>
      </c>
      <c r="E12" s="31">
        <f>Construction!I12</f>
        <v>150</v>
      </c>
      <c r="F12" s="32">
        <f>Construction!J12</f>
        <v>100</v>
      </c>
      <c r="G12" s="33">
        <f>Construction!K12</f>
        <v>20</v>
      </c>
      <c r="H12" s="69">
        <f>Construction!L12</f>
        <v>100</v>
      </c>
      <c r="J12" s="529">
        <f t="shared" si="3"/>
        <v>10</v>
      </c>
      <c r="K12" s="574">
        <f>Imps!BY12</f>
        <v>43692.374999999978</v>
      </c>
      <c r="L12" s="356"/>
      <c r="M12" s="348"/>
      <c r="N12" s="348"/>
      <c r="O12" s="348"/>
      <c r="P12" s="348"/>
      <c r="Q12" s="348"/>
      <c r="R12" s="357"/>
      <c r="S12" s="166">
        <f t="shared" si="0"/>
        <v>0</v>
      </c>
      <c r="T12" s="160" t="str">
        <f t="shared" si="1"/>
        <v>Ok</v>
      </c>
      <c r="V12" s="64">
        <f ca="1">Production!H12</f>
        <v>4023480</v>
      </c>
      <c r="X12" s="152">
        <f ca="1">ROUND( (1-MIN(ROUND(facs_rezone_factor*AC12,4),facs_rezone_max)) * (1+MIN(tech_construction_rezone*Techs!AD12,tech_conquerors_crafts*Techs!AS12)) * AA12*(1+race_rezone_cost),0)</f>
        <v>700</v>
      </c>
      <c r="Y12" s="166">
        <f t="shared" ca="1" si="2"/>
        <v>0</v>
      </c>
      <c r="AA12" s="160">
        <f t="shared" si="4"/>
        <v>700</v>
      </c>
      <c r="AC12" s="95">
        <f>Construction!AH12</f>
        <v>0</v>
      </c>
    </row>
    <row r="13" spans="1:29" s="16" customFormat="1">
      <c r="A13" s="16">
        <f>Construction!E13</f>
        <v>1000</v>
      </c>
      <c r="B13" s="68">
        <f>Construction!F13</f>
        <v>0</v>
      </c>
      <c r="C13" s="29">
        <f>Construction!G13</f>
        <v>100</v>
      </c>
      <c r="D13" s="30">
        <f>Construction!H13</f>
        <v>150</v>
      </c>
      <c r="E13" s="31">
        <f>Construction!I13</f>
        <v>150</v>
      </c>
      <c r="F13" s="32">
        <f>Construction!J13</f>
        <v>100</v>
      </c>
      <c r="G13" s="33">
        <f>Construction!K13</f>
        <v>20</v>
      </c>
      <c r="H13" s="69">
        <f>Construction!L13</f>
        <v>100</v>
      </c>
      <c r="J13" s="529">
        <f t="shared" si="3"/>
        <v>11</v>
      </c>
      <c r="K13" s="574">
        <f>Imps!BY13</f>
        <v>43692.416666666642</v>
      </c>
      <c r="L13" s="356"/>
      <c r="M13" s="348"/>
      <c r="N13" s="348"/>
      <c r="O13" s="348"/>
      <c r="P13" s="348"/>
      <c r="Q13" s="348"/>
      <c r="R13" s="357"/>
      <c r="S13" s="166">
        <f t="shared" si="0"/>
        <v>0</v>
      </c>
      <c r="T13" s="160" t="str">
        <f t="shared" si="1"/>
        <v>Ok</v>
      </c>
      <c r="V13" s="64">
        <f ca="1">Production!H13</f>
        <v>4033200</v>
      </c>
      <c r="X13" s="152">
        <f ca="1">ROUND( (1-MIN(ROUND(facs_rezone_factor*AC13,4),facs_rezone_max)) * (1+MIN(tech_construction_rezone*Techs!AD13,tech_conquerors_crafts*Techs!AS13)) * AA13*(1+race_rezone_cost),0)</f>
        <v>700</v>
      </c>
      <c r="Y13" s="166">
        <f t="shared" ca="1" si="2"/>
        <v>0</v>
      </c>
      <c r="AA13" s="160">
        <f t="shared" si="4"/>
        <v>700</v>
      </c>
      <c r="AC13" s="95">
        <f>Construction!AH13</f>
        <v>0</v>
      </c>
    </row>
    <row r="14" spans="1:29" s="170" customFormat="1">
      <c r="A14" s="170">
        <f>Construction!E14</f>
        <v>1000</v>
      </c>
      <c r="B14" s="205">
        <f>Construction!F14</f>
        <v>0</v>
      </c>
      <c r="C14" s="206">
        <f>Construction!G14</f>
        <v>100</v>
      </c>
      <c r="D14" s="207">
        <f>Construction!H14</f>
        <v>150</v>
      </c>
      <c r="E14" s="208">
        <f>Construction!I14</f>
        <v>150</v>
      </c>
      <c r="F14" s="209">
        <f>Construction!J14</f>
        <v>100</v>
      </c>
      <c r="G14" s="210">
        <f>Construction!K14</f>
        <v>20</v>
      </c>
      <c r="H14" s="211">
        <f>Construction!L14</f>
        <v>100</v>
      </c>
      <c r="J14" s="629">
        <f t="shared" si="3"/>
        <v>12</v>
      </c>
      <c r="K14" s="532">
        <f>Imps!BY14</f>
        <v>43692.458333333307</v>
      </c>
      <c r="L14" s="352"/>
      <c r="M14" s="345"/>
      <c r="N14" s="345"/>
      <c r="O14" s="345"/>
      <c r="P14" s="345"/>
      <c r="Q14" s="345"/>
      <c r="R14" s="353"/>
      <c r="S14" s="166">
        <f t="shared" si="0"/>
        <v>0</v>
      </c>
      <c r="T14" s="160" t="str">
        <f t="shared" si="1"/>
        <v>Ok</v>
      </c>
      <c r="V14" s="160">
        <f ca="1">Production!H14</f>
        <v>4042920</v>
      </c>
      <c r="X14" s="152">
        <f ca="1">ROUND( (1-MIN(ROUND(facs_rezone_factor*AC14,4),facs_rezone_max)) * (1+MIN(tech_construction_rezone*Techs!AD14,tech_conquerors_crafts*Techs!AS14)) * AA14*(1+race_rezone_cost),0)</f>
        <v>700</v>
      </c>
      <c r="Y14" s="166">
        <f t="shared" ca="1" si="2"/>
        <v>0</v>
      </c>
      <c r="AA14" s="160">
        <f t="shared" si="4"/>
        <v>700</v>
      </c>
      <c r="AC14" s="212">
        <f>Construction!AH14</f>
        <v>0</v>
      </c>
    </row>
    <row r="15" spans="1:29" s="163" customFormat="1">
      <c r="A15" s="163">
        <f>Construction!E15</f>
        <v>1000</v>
      </c>
      <c r="B15" s="196">
        <f>Construction!F15</f>
        <v>0</v>
      </c>
      <c r="C15" s="197">
        <f>Construction!G15</f>
        <v>100</v>
      </c>
      <c r="D15" s="198">
        <f>Construction!H15</f>
        <v>150</v>
      </c>
      <c r="E15" s="199">
        <f>Construction!I15</f>
        <v>150</v>
      </c>
      <c r="F15" s="200">
        <f>Construction!J15</f>
        <v>100</v>
      </c>
      <c r="G15" s="201">
        <f>Construction!K15</f>
        <v>20</v>
      </c>
      <c r="H15" s="202">
        <f>Construction!L15</f>
        <v>100</v>
      </c>
      <c r="J15" s="627">
        <f>J14+1</f>
        <v>13</v>
      </c>
      <c r="K15" s="677">
        <f>Imps!BY15</f>
        <v>43692.499999999971</v>
      </c>
      <c r="L15" s="828"/>
      <c r="M15" s="771"/>
      <c r="N15" s="346"/>
      <c r="O15" s="346"/>
      <c r="P15" s="346"/>
      <c r="Q15" s="771"/>
      <c r="R15" s="795"/>
      <c r="S15" s="158">
        <f t="shared" si="0"/>
        <v>0</v>
      </c>
      <c r="T15" s="203" t="str">
        <f t="shared" si="1"/>
        <v>Ok</v>
      </c>
      <c r="V15" s="203">
        <f ca="1">Production!H15</f>
        <v>3058809</v>
      </c>
      <c r="X15" s="151">
        <f ca="1">ROUND( (1-MIN(ROUND(facs_rezone_factor*AC15,4),facs_rezone_max)) * (1+MIN(tech_construction_rezone*Techs!AD15,tech_conquerors_crafts*Techs!AS15)) * AA15*(1+race_rezone_cost),0)</f>
        <v>700</v>
      </c>
      <c r="Y15" s="158">
        <f t="shared" ca="1" si="2"/>
        <v>0</v>
      </c>
      <c r="AA15" s="203">
        <f t="shared" si="4"/>
        <v>700</v>
      </c>
      <c r="AC15" s="204">
        <f>Construction!AH15</f>
        <v>0</v>
      </c>
    </row>
    <row r="16" spans="1:29" s="170" customFormat="1">
      <c r="A16" s="170">
        <f>Construction!E16</f>
        <v>1000</v>
      </c>
      <c r="B16" s="205">
        <f>Construction!F16</f>
        <v>0</v>
      </c>
      <c r="C16" s="206">
        <f>Construction!G16</f>
        <v>100</v>
      </c>
      <c r="D16" s="207">
        <f>Construction!H16</f>
        <v>150</v>
      </c>
      <c r="E16" s="208">
        <f>Construction!I16</f>
        <v>150</v>
      </c>
      <c r="F16" s="209">
        <f>Construction!J16</f>
        <v>100</v>
      </c>
      <c r="G16" s="210">
        <f>Construction!K16</f>
        <v>20</v>
      </c>
      <c r="H16" s="211">
        <f>Construction!L16</f>
        <v>100</v>
      </c>
      <c r="J16" s="629">
        <f t="shared" ref="J16:J75" si="5">J15+1</f>
        <v>14</v>
      </c>
      <c r="K16" s="532">
        <f>Imps!BY16</f>
        <v>43692.541666666635</v>
      </c>
      <c r="L16" s="352"/>
      <c r="M16" s="345"/>
      <c r="N16" s="345"/>
      <c r="O16" s="345"/>
      <c r="P16" s="345"/>
      <c r="Q16" s="345"/>
      <c r="R16" s="353"/>
      <c r="S16" s="166">
        <f t="shared" si="0"/>
        <v>0</v>
      </c>
      <c r="T16" s="160" t="str">
        <f t="shared" si="1"/>
        <v>Ok</v>
      </c>
      <c r="V16" s="160">
        <f ca="1">Production!H16</f>
        <v>3073904</v>
      </c>
      <c r="X16" s="152">
        <f ca="1">ROUND( (1-MIN(ROUND(facs_rezone_factor*AC16,4),facs_rezone_max)) * (1+MIN(tech_construction_rezone*Techs!AD16,tech_conquerors_crafts*Techs!AS16)) * AA16*(1+race_rezone_cost),0)</f>
        <v>700</v>
      </c>
      <c r="Y16" s="166">
        <f t="shared" ca="1" si="2"/>
        <v>0</v>
      </c>
      <c r="AA16" s="160">
        <f t="shared" si="4"/>
        <v>700</v>
      </c>
      <c r="AC16" s="212">
        <f>Construction!AH16</f>
        <v>0</v>
      </c>
    </row>
    <row r="17" spans="1:29" s="170" customFormat="1">
      <c r="A17" s="170">
        <f>Construction!E17</f>
        <v>1000</v>
      </c>
      <c r="B17" s="205">
        <f>Construction!F17</f>
        <v>0</v>
      </c>
      <c r="C17" s="206">
        <f>Construction!G17</f>
        <v>100</v>
      </c>
      <c r="D17" s="207">
        <f>Construction!H17</f>
        <v>150</v>
      </c>
      <c r="E17" s="208">
        <f>Construction!I17</f>
        <v>150</v>
      </c>
      <c r="F17" s="209">
        <f>Construction!J17</f>
        <v>100</v>
      </c>
      <c r="G17" s="210">
        <f>Construction!K17</f>
        <v>20</v>
      </c>
      <c r="H17" s="211">
        <f>Construction!L17</f>
        <v>100</v>
      </c>
      <c r="J17" s="629">
        <f t="shared" si="5"/>
        <v>15</v>
      </c>
      <c r="K17" s="532">
        <f>Imps!BY17</f>
        <v>43692.583333333299</v>
      </c>
      <c r="L17" s="352"/>
      <c r="M17" s="345"/>
      <c r="N17" s="345"/>
      <c r="O17" s="345"/>
      <c r="P17" s="345"/>
      <c r="Q17" s="345"/>
      <c r="R17" s="353"/>
      <c r="S17" s="166">
        <f t="shared" si="0"/>
        <v>0</v>
      </c>
      <c r="T17" s="160" t="str">
        <f t="shared" si="1"/>
        <v>Ok</v>
      </c>
      <c r="V17" s="160">
        <f ca="1">Production!H17</f>
        <v>3088244</v>
      </c>
      <c r="X17" s="152">
        <f ca="1">ROUND( (1-MIN(ROUND(facs_rezone_factor*AC17,4),facs_rezone_max)) * (1+MIN(tech_construction_rezone*Techs!AD17,tech_conquerors_crafts*Techs!AS17)) * AA17*(1+race_rezone_cost),0)</f>
        <v>700</v>
      </c>
      <c r="Y17" s="166">
        <f t="shared" ca="1" si="2"/>
        <v>0</v>
      </c>
      <c r="AA17" s="160">
        <f t="shared" si="4"/>
        <v>700</v>
      </c>
      <c r="AC17" s="212">
        <f>Construction!AH17</f>
        <v>0</v>
      </c>
    </row>
    <row r="18" spans="1:29" s="16" customFormat="1">
      <c r="A18" s="16">
        <f>Construction!E18</f>
        <v>1000</v>
      </c>
      <c r="B18" s="68">
        <f>Construction!F18</f>
        <v>0</v>
      </c>
      <c r="C18" s="29">
        <f>Construction!G18</f>
        <v>100</v>
      </c>
      <c r="D18" s="30">
        <f>Construction!H18</f>
        <v>150</v>
      </c>
      <c r="E18" s="31">
        <f>Construction!I18</f>
        <v>150</v>
      </c>
      <c r="F18" s="32">
        <f>Construction!J18</f>
        <v>100</v>
      </c>
      <c r="G18" s="33">
        <f>Construction!K18</f>
        <v>20</v>
      </c>
      <c r="H18" s="69">
        <f>Construction!L18</f>
        <v>100</v>
      </c>
      <c r="J18" s="529">
        <f t="shared" si="5"/>
        <v>16</v>
      </c>
      <c r="K18" s="574">
        <f>Imps!BY18</f>
        <v>43692.624999999964</v>
      </c>
      <c r="L18" s="356"/>
      <c r="M18" s="348"/>
      <c r="N18" s="348"/>
      <c r="O18" s="348"/>
      <c r="P18" s="348"/>
      <c r="Q18" s="348"/>
      <c r="R18" s="357"/>
      <c r="S18" s="166">
        <f t="shared" si="0"/>
        <v>0</v>
      </c>
      <c r="T18" s="160" t="str">
        <f t="shared" si="1"/>
        <v>Ok</v>
      </c>
      <c r="V18" s="64">
        <f ca="1">Production!H18</f>
        <v>3101867</v>
      </c>
      <c r="X18" s="152">
        <f ca="1">ROUND( (1-MIN(ROUND(facs_rezone_factor*AC18,4),facs_rezone_max)) * (1+MIN(tech_construction_rezone*Techs!AD18,tech_conquerors_crafts*Techs!AS18)) * AA18*(1+race_rezone_cost),0)</f>
        <v>700</v>
      </c>
      <c r="Y18" s="166">
        <f t="shared" ca="1" si="2"/>
        <v>0</v>
      </c>
      <c r="AA18" s="160">
        <f t="shared" si="4"/>
        <v>700</v>
      </c>
      <c r="AC18" s="95">
        <f>Construction!AH18</f>
        <v>0</v>
      </c>
    </row>
    <row r="19" spans="1:29" s="16" customFormat="1">
      <c r="A19" s="16">
        <f>Construction!E19</f>
        <v>1000</v>
      </c>
      <c r="B19" s="68">
        <f>Construction!F19</f>
        <v>0</v>
      </c>
      <c r="C19" s="29">
        <f>Construction!G19</f>
        <v>100</v>
      </c>
      <c r="D19" s="30">
        <f>Construction!H19</f>
        <v>150</v>
      </c>
      <c r="E19" s="31">
        <f>Construction!I19</f>
        <v>150</v>
      </c>
      <c r="F19" s="32">
        <f>Construction!J19</f>
        <v>100</v>
      </c>
      <c r="G19" s="33">
        <f>Construction!K19</f>
        <v>20</v>
      </c>
      <c r="H19" s="69">
        <f>Construction!L19</f>
        <v>100</v>
      </c>
      <c r="J19" s="529">
        <f t="shared" si="5"/>
        <v>17</v>
      </c>
      <c r="K19" s="574">
        <f>Imps!BY19</f>
        <v>43692.666666666628</v>
      </c>
      <c r="L19" s="356"/>
      <c r="M19" s="348"/>
      <c r="N19" s="348"/>
      <c r="O19" s="348"/>
      <c r="P19" s="348"/>
      <c r="Q19" s="348"/>
      <c r="R19" s="357"/>
      <c r="S19" s="166">
        <f t="shared" si="0"/>
        <v>0</v>
      </c>
      <c r="T19" s="160" t="str">
        <f t="shared" si="1"/>
        <v>Ok</v>
      </c>
      <c r="V19" s="64">
        <f ca="1">Production!H19</f>
        <v>3114809</v>
      </c>
      <c r="X19" s="152">
        <f ca="1">ROUND( (1-MIN(ROUND(facs_rezone_factor*AC19,4),facs_rezone_max)) * (1+MIN(tech_construction_rezone*Techs!AD19,tech_conquerors_crafts*Techs!AS19)) * AA19*(1+race_rezone_cost),0)</f>
        <v>700</v>
      </c>
      <c r="Y19" s="166">
        <f t="shared" ca="1" si="2"/>
        <v>0</v>
      </c>
      <c r="AA19" s="160">
        <f t="shared" si="4"/>
        <v>700</v>
      </c>
      <c r="AC19" s="95">
        <f>Construction!AH19</f>
        <v>0</v>
      </c>
    </row>
    <row r="20" spans="1:29" s="16" customFormat="1">
      <c r="A20" s="16">
        <f>Construction!E20</f>
        <v>1000</v>
      </c>
      <c r="B20" s="68">
        <f>Construction!F20</f>
        <v>0</v>
      </c>
      <c r="C20" s="29">
        <f>Construction!G20</f>
        <v>100</v>
      </c>
      <c r="D20" s="30">
        <f>Construction!H20</f>
        <v>150</v>
      </c>
      <c r="E20" s="31">
        <f>Construction!I20</f>
        <v>150</v>
      </c>
      <c r="F20" s="32">
        <f>Construction!J20</f>
        <v>100</v>
      </c>
      <c r="G20" s="33">
        <f>Construction!K20</f>
        <v>20</v>
      </c>
      <c r="H20" s="69">
        <f>Construction!L20</f>
        <v>100</v>
      </c>
      <c r="J20" s="529">
        <f t="shared" si="5"/>
        <v>18</v>
      </c>
      <c r="K20" s="574">
        <f>Imps!BY20</f>
        <v>43692.708333333292</v>
      </c>
      <c r="L20" s="356"/>
      <c r="M20" s="348"/>
      <c r="N20" s="348"/>
      <c r="O20" s="348"/>
      <c r="P20" s="348"/>
      <c r="Q20" s="348"/>
      <c r="R20" s="357"/>
      <c r="S20" s="166">
        <f t="shared" si="0"/>
        <v>0</v>
      </c>
      <c r="T20" s="160" t="str">
        <f t="shared" si="1"/>
        <v>Ok</v>
      </c>
      <c r="V20" s="64">
        <f ca="1">Production!H20</f>
        <v>3127104</v>
      </c>
      <c r="X20" s="152">
        <f ca="1">ROUND( (1-MIN(ROUND(facs_rezone_factor*AC20,4),facs_rezone_max)) * (1+MIN(tech_construction_rezone*Techs!AD20,tech_conquerors_crafts*Techs!AS20)) * AA20*(1+race_rezone_cost),0)</f>
        <v>700</v>
      </c>
      <c r="Y20" s="166">
        <f t="shared" ca="1" si="2"/>
        <v>0</v>
      </c>
      <c r="AA20" s="160">
        <f t="shared" si="4"/>
        <v>700</v>
      </c>
      <c r="AC20" s="95">
        <f>Construction!AH20</f>
        <v>0</v>
      </c>
    </row>
    <row r="21" spans="1:29" s="16" customFormat="1">
      <c r="A21" s="16">
        <f>Construction!E21</f>
        <v>1000</v>
      </c>
      <c r="B21" s="68">
        <f>Construction!F21</f>
        <v>0</v>
      </c>
      <c r="C21" s="29">
        <f>Construction!G21</f>
        <v>100</v>
      </c>
      <c r="D21" s="30">
        <f>Construction!H21</f>
        <v>150</v>
      </c>
      <c r="E21" s="31">
        <f>Construction!I21</f>
        <v>150</v>
      </c>
      <c r="F21" s="32">
        <f>Construction!J21</f>
        <v>100</v>
      </c>
      <c r="G21" s="33">
        <f>Construction!K21</f>
        <v>20</v>
      </c>
      <c r="H21" s="69">
        <f>Construction!L21</f>
        <v>100</v>
      </c>
      <c r="J21" s="529">
        <f t="shared" si="5"/>
        <v>19</v>
      </c>
      <c r="K21" s="574">
        <f>Imps!BY21</f>
        <v>43692.749999999956</v>
      </c>
      <c r="L21" s="356"/>
      <c r="M21" s="348"/>
      <c r="N21" s="348"/>
      <c r="O21" s="348"/>
      <c r="P21" s="348"/>
      <c r="Q21" s="348"/>
      <c r="R21" s="357"/>
      <c r="S21" s="166">
        <f t="shared" si="0"/>
        <v>0</v>
      </c>
      <c r="T21" s="160" t="str">
        <f t="shared" si="1"/>
        <v>Ok</v>
      </c>
      <c r="V21" s="64">
        <f ca="1">Production!H21</f>
        <v>3138784</v>
      </c>
      <c r="X21" s="152">
        <f ca="1">ROUND( (1-MIN(ROUND(facs_rezone_factor*AC21,4),facs_rezone_max)) * (1+MIN(tech_construction_rezone*Techs!AD21,tech_conquerors_crafts*Techs!AS21)) * AA21*(1+race_rezone_cost),0)</f>
        <v>700</v>
      </c>
      <c r="Y21" s="166">
        <f t="shared" ca="1" si="2"/>
        <v>0</v>
      </c>
      <c r="AA21" s="160">
        <f t="shared" si="4"/>
        <v>700</v>
      </c>
      <c r="AC21" s="95">
        <f>Construction!AH21</f>
        <v>0</v>
      </c>
    </row>
    <row r="22" spans="1:29" s="16" customFormat="1">
      <c r="A22" s="16">
        <f>Construction!E22</f>
        <v>1000</v>
      </c>
      <c r="B22" s="68">
        <f>Construction!F22</f>
        <v>0</v>
      </c>
      <c r="C22" s="29">
        <f>Construction!G22</f>
        <v>100</v>
      </c>
      <c r="D22" s="30">
        <f>Construction!H22</f>
        <v>150</v>
      </c>
      <c r="E22" s="31">
        <f>Construction!I22</f>
        <v>150</v>
      </c>
      <c r="F22" s="32">
        <f>Construction!J22</f>
        <v>100</v>
      </c>
      <c r="G22" s="33">
        <f>Construction!K22</f>
        <v>20</v>
      </c>
      <c r="H22" s="69">
        <f>Construction!L22</f>
        <v>100</v>
      </c>
      <c r="J22" s="529">
        <f t="shared" si="5"/>
        <v>20</v>
      </c>
      <c r="K22" s="574">
        <f>Imps!BY22</f>
        <v>43692.791666666621</v>
      </c>
      <c r="L22" s="356"/>
      <c r="M22" s="348"/>
      <c r="N22" s="348"/>
      <c r="O22" s="348"/>
      <c r="P22" s="348"/>
      <c r="Q22" s="348"/>
      <c r="R22" s="357"/>
      <c r="S22" s="166">
        <f t="shared" si="0"/>
        <v>0</v>
      </c>
      <c r="T22" s="160" t="str">
        <f t="shared" si="1"/>
        <v>Ok</v>
      </c>
      <c r="V22" s="64">
        <f ca="1">Production!H22</f>
        <v>3149880</v>
      </c>
      <c r="X22" s="152">
        <f ca="1">ROUND( (1-MIN(ROUND(facs_rezone_factor*AC22,4),facs_rezone_max)) * (1+MIN(tech_construction_rezone*Techs!AD22,tech_conquerors_crafts*Techs!AS22)) * AA22*(1+race_rezone_cost),0)</f>
        <v>700</v>
      </c>
      <c r="Y22" s="166">
        <f t="shared" ca="1" si="2"/>
        <v>0</v>
      </c>
      <c r="AA22" s="160">
        <f t="shared" si="4"/>
        <v>700</v>
      </c>
      <c r="AC22" s="95">
        <f>Construction!AH22</f>
        <v>0</v>
      </c>
    </row>
    <row r="23" spans="1:29" s="16" customFormat="1">
      <c r="A23" s="16">
        <f>Construction!E23</f>
        <v>1000</v>
      </c>
      <c r="B23" s="68">
        <f>Construction!F23</f>
        <v>0</v>
      </c>
      <c r="C23" s="29">
        <f>Construction!G23</f>
        <v>100</v>
      </c>
      <c r="D23" s="30">
        <f>Construction!H23</f>
        <v>150</v>
      </c>
      <c r="E23" s="31">
        <f>Construction!I23</f>
        <v>150</v>
      </c>
      <c r="F23" s="32">
        <f>Construction!J23</f>
        <v>100</v>
      </c>
      <c r="G23" s="33">
        <f>Construction!K23</f>
        <v>20</v>
      </c>
      <c r="H23" s="69">
        <f>Construction!L23</f>
        <v>100</v>
      </c>
      <c r="J23" s="529">
        <f t="shared" si="5"/>
        <v>21</v>
      </c>
      <c r="K23" s="574">
        <f>Imps!BY23</f>
        <v>43692.833333333285</v>
      </c>
      <c r="L23" s="356"/>
      <c r="M23" s="348"/>
      <c r="N23" s="348"/>
      <c r="O23" s="348"/>
      <c r="P23" s="348"/>
      <c r="Q23" s="348"/>
      <c r="R23" s="357"/>
      <c r="S23" s="166">
        <f t="shared" si="0"/>
        <v>0</v>
      </c>
      <c r="T23" s="160" t="str">
        <f t="shared" si="1"/>
        <v>Ok</v>
      </c>
      <c r="V23" s="64">
        <f ca="1">Production!H23</f>
        <v>3160531</v>
      </c>
      <c r="X23" s="152">
        <f ca="1">ROUND( (1-MIN(ROUND(facs_rezone_factor*AC23,4),facs_rezone_max)) * (1+MIN(tech_construction_rezone*Techs!AD23,tech_conquerors_crafts*Techs!AS23)) * AA23*(1+race_rezone_cost),0)</f>
        <v>700</v>
      </c>
      <c r="Y23" s="166">
        <f t="shared" ca="1" si="2"/>
        <v>0</v>
      </c>
      <c r="AA23" s="160">
        <f t="shared" si="4"/>
        <v>700</v>
      </c>
      <c r="AC23" s="95">
        <f>Construction!AH23</f>
        <v>0</v>
      </c>
    </row>
    <row r="24" spans="1:29" s="16" customFormat="1">
      <c r="A24" s="16">
        <f>Construction!E24</f>
        <v>1000</v>
      </c>
      <c r="B24" s="68">
        <f>Construction!F24</f>
        <v>0</v>
      </c>
      <c r="C24" s="29">
        <f>Construction!G24</f>
        <v>100</v>
      </c>
      <c r="D24" s="30">
        <f>Construction!H24</f>
        <v>150</v>
      </c>
      <c r="E24" s="31">
        <f>Construction!I24</f>
        <v>150</v>
      </c>
      <c r="F24" s="32">
        <f>Construction!J24</f>
        <v>100</v>
      </c>
      <c r="G24" s="33">
        <f>Construction!K24</f>
        <v>20</v>
      </c>
      <c r="H24" s="69">
        <f>Construction!L24</f>
        <v>100</v>
      </c>
      <c r="J24" s="529">
        <f t="shared" si="5"/>
        <v>22</v>
      </c>
      <c r="K24" s="574">
        <f>Imps!BY24</f>
        <v>43692.874999999949</v>
      </c>
      <c r="L24" s="356"/>
      <c r="M24" s="348"/>
      <c r="N24" s="348"/>
      <c r="O24" s="348"/>
      <c r="P24" s="348"/>
      <c r="Q24" s="348"/>
      <c r="R24" s="357"/>
      <c r="S24" s="166">
        <f t="shared" si="0"/>
        <v>0</v>
      </c>
      <c r="T24" s="160" t="str">
        <f t="shared" si="1"/>
        <v>Ok</v>
      </c>
      <c r="V24" s="64">
        <f ca="1">Production!H24</f>
        <v>3171182</v>
      </c>
      <c r="X24" s="152">
        <f ca="1">ROUND( (1-MIN(ROUND(facs_rezone_factor*AC24,4),facs_rezone_max)) * (1+MIN(tech_construction_rezone*Techs!AD24,tech_conquerors_crafts*Techs!AS24)) * AA24*(1+race_rezone_cost),0)</f>
        <v>700</v>
      </c>
      <c r="Y24" s="166">
        <f t="shared" ca="1" si="2"/>
        <v>0</v>
      </c>
      <c r="AA24" s="160">
        <f t="shared" si="4"/>
        <v>700</v>
      </c>
      <c r="AC24" s="95">
        <f>Construction!AH24</f>
        <v>0</v>
      </c>
    </row>
    <row r="25" spans="1:29" s="16" customFormat="1">
      <c r="A25" s="16">
        <f>Construction!E25</f>
        <v>1000</v>
      </c>
      <c r="B25" s="68">
        <f>Construction!F25</f>
        <v>0</v>
      </c>
      <c r="C25" s="29">
        <f>Construction!G25</f>
        <v>100</v>
      </c>
      <c r="D25" s="30">
        <f>Construction!H25</f>
        <v>150</v>
      </c>
      <c r="E25" s="31">
        <f>Construction!I25</f>
        <v>150</v>
      </c>
      <c r="F25" s="32">
        <f>Construction!J25</f>
        <v>100</v>
      </c>
      <c r="G25" s="33">
        <f>Construction!K25</f>
        <v>20</v>
      </c>
      <c r="H25" s="69">
        <f>Construction!L25</f>
        <v>100</v>
      </c>
      <c r="J25" s="529">
        <f t="shared" si="5"/>
        <v>23</v>
      </c>
      <c r="K25" s="574">
        <f>Imps!BY25</f>
        <v>43692.916666666613</v>
      </c>
      <c r="L25" s="356"/>
      <c r="M25" s="348"/>
      <c r="N25" s="348"/>
      <c r="O25" s="348"/>
      <c r="P25" s="348"/>
      <c r="Q25" s="348"/>
      <c r="R25" s="357"/>
      <c r="S25" s="166">
        <f t="shared" si="0"/>
        <v>0</v>
      </c>
      <c r="T25" s="160" t="str">
        <f t="shared" si="1"/>
        <v>Ok</v>
      </c>
      <c r="V25" s="64">
        <f ca="1">Production!H25</f>
        <v>3181833</v>
      </c>
      <c r="X25" s="152">
        <f ca="1">ROUND( (1-MIN(ROUND(facs_rezone_factor*AC25,4),facs_rezone_max)) * (1+MIN(tech_construction_rezone*Techs!AD25,tech_conquerors_crafts*Techs!AS25)) * AA25*(1+race_rezone_cost),0)</f>
        <v>700</v>
      </c>
      <c r="Y25" s="166">
        <f t="shared" ca="1" si="2"/>
        <v>0</v>
      </c>
      <c r="AA25" s="160">
        <f t="shared" si="4"/>
        <v>700</v>
      </c>
      <c r="AC25" s="95">
        <f>Construction!AH25</f>
        <v>0</v>
      </c>
    </row>
    <row r="26" spans="1:29" s="170" customFormat="1" ht="13.5" thickBot="1">
      <c r="A26" s="170">
        <f>Construction!E26</f>
        <v>1000</v>
      </c>
      <c r="B26" s="205">
        <f>Construction!F26</f>
        <v>0</v>
      </c>
      <c r="C26" s="206">
        <f>Construction!G26</f>
        <v>100</v>
      </c>
      <c r="D26" s="207">
        <f>Construction!H26</f>
        <v>150</v>
      </c>
      <c r="E26" s="208">
        <f>Construction!I26</f>
        <v>150</v>
      </c>
      <c r="F26" s="209">
        <f>Construction!J26</f>
        <v>100</v>
      </c>
      <c r="G26" s="210">
        <f>Construction!K26</f>
        <v>20</v>
      </c>
      <c r="H26" s="211">
        <f>Construction!L26</f>
        <v>100</v>
      </c>
      <c r="J26" s="629">
        <f t="shared" si="5"/>
        <v>24</v>
      </c>
      <c r="K26" s="532">
        <f>Imps!BY26</f>
        <v>43692.958333333278</v>
      </c>
      <c r="L26" s="352"/>
      <c r="M26" s="345"/>
      <c r="N26" s="345"/>
      <c r="O26" s="345"/>
      <c r="P26" s="345"/>
      <c r="Q26" s="345"/>
      <c r="R26" s="353"/>
      <c r="S26" s="166">
        <f t="shared" si="0"/>
        <v>0</v>
      </c>
      <c r="T26" s="160" t="str">
        <f t="shared" si="1"/>
        <v>Ok</v>
      </c>
      <c r="V26" s="160">
        <f ca="1">Production!H26</f>
        <v>3192484</v>
      </c>
      <c r="X26" s="152">
        <f ca="1">ROUND( (1-MIN(ROUND(facs_rezone_factor*AC26,4),facs_rezone_max)) * (1+MIN(tech_construction_rezone*Techs!AD26,tech_conquerors_crafts*Techs!AS26)) * AA26*(1+race_rezone_cost),0)</f>
        <v>700</v>
      </c>
      <c r="Y26" s="166">
        <f t="shared" ca="1" si="2"/>
        <v>0</v>
      </c>
      <c r="AA26" s="160">
        <f t="shared" si="4"/>
        <v>700</v>
      </c>
      <c r="AC26" s="212">
        <f>Construction!AH26</f>
        <v>0</v>
      </c>
    </row>
    <row r="27" spans="1:29" s="1210" customFormat="1" ht="14.25" thickTop="1" thickBot="1">
      <c r="A27" s="1210">
        <f>Construction!E27</f>
        <v>1000</v>
      </c>
      <c r="B27" s="1206">
        <f>Construction!F27</f>
        <v>0</v>
      </c>
      <c r="C27" s="1210">
        <f>Construction!G27</f>
        <v>100</v>
      </c>
      <c r="D27" s="1210">
        <f>Construction!H27</f>
        <v>150</v>
      </c>
      <c r="E27" s="1210">
        <f>Construction!I27</f>
        <v>150</v>
      </c>
      <c r="F27" s="1210">
        <f>Construction!J27</f>
        <v>100</v>
      </c>
      <c r="G27" s="1210">
        <f>Construction!K27</f>
        <v>20</v>
      </c>
      <c r="H27" s="1229">
        <f>Construction!L27</f>
        <v>100</v>
      </c>
      <c r="J27" s="1245">
        <f t="shared" si="5"/>
        <v>25</v>
      </c>
      <c r="K27" s="1211">
        <f>Imps!BY27</f>
        <v>43692.999999999942</v>
      </c>
      <c r="L27" s="1224"/>
      <c r="M27" s="1207"/>
      <c r="N27" s="1207"/>
      <c r="O27" s="1207"/>
      <c r="P27" s="1207"/>
      <c r="Q27" s="1207"/>
      <c r="R27" s="1230"/>
      <c r="S27" s="1205">
        <f>SUMIF(L27:R27,"&gt;0")</f>
        <v>0</v>
      </c>
      <c r="T27" s="1237" t="str">
        <f>IF(SUM(L27:R27)=0,"Ok","Nope")</f>
        <v>Ok</v>
      </c>
      <c r="V27" s="1237">
        <f ca="1">Production!H27</f>
        <v>3203135</v>
      </c>
      <c r="X27" s="1199">
        <f ca="1">ROUND( (1-MIN(ROUND(facs_rezone_factor*AC27,4),facs_rezone_max)) * (1+MIN(tech_construction_rezone*Techs!AD27,tech_conquerors_crafts*Techs!AS27)) * AA27*(1+race_rezone_cost),0)</f>
        <v>700</v>
      </c>
      <c r="Y27" s="1205">
        <f t="shared" ca="1" si="2"/>
        <v>0</v>
      </c>
      <c r="AA27" s="1237">
        <f t="shared" si="4"/>
        <v>700</v>
      </c>
      <c r="AC27" s="1256">
        <f>Construction!AH27</f>
        <v>0</v>
      </c>
    </row>
    <row r="28" spans="1:29" s="170" customFormat="1" ht="13.5" thickTop="1">
      <c r="A28" s="170">
        <f>Construction!E28</f>
        <v>1000</v>
      </c>
      <c r="B28" s="205">
        <f>Construction!F28</f>
        <v>0</v>
      </c>
      <c r="C28" s="206">
        <f>Construction!G28</f>
        <v>100</v>
      </c>
      <c r="D28" s="207">
        <f>Construction!H28</f>
        <v>150</v>
      </c>
      <c r="E28" s="208">
        <f>Construction!I28</f>
        <v>150</v>
      </c>
      <c r="F28" s="209">
        <f>Construction!J28</f>
        <v>100</v>
      </c>
      <c r="G28" s="210">
        <f>Construction!K28</f>
        <v>20</v>
      </c>
      <c r="H28" s="211">
        <f>Construction!L28</f>
        <v>100</v>
      </c>
      <c r="J28" s="629">
        <f t="shared" si="5"/>
        <v>26</v>
      </c>
      <c r="K28" s="532">
        <f>Imps!BY28</f>
        <v>43693.041666666606</v>
      </c>
      <c r="L28" s="352"/>
      <c r="M28" s="345"/>
      <c r="N28" s="345"/>
      <c r="O28" s="345"/>
      <c r="P28" s="345"/>
      <c r="Q28" s="345"/>
      <c r="R28" s="353"/>
      <c r="S28" s="166">
        <f t="shared" si="0"/>
        <v>0</v>
      </c>
      <c r="T28" s="160" t="str">
        <f t="shared" si="1"/>
        <v>Ok</v>
      </c>
      <c r="V28" s="160">
        <f ca="1">Production!H28</f>
        <v>3213786</v>
      </c>
      <c r="X28" s="152">
        <f ca="1">ROUND( (1-MIN(ROUND(facs_rezone_factor*AC28,4),facs_rezone_max)) * (1+MIN(tech_construction_rezone*Techs!AD28,tech_conquerors_crafts*Techs!AS28)) * AA28*(1+race_rezone_cost),0)</f>
        <v>700</v>
      </c>
      <c r="Y28" s="166">
        <f t="shared" ca="1" si="2"/>
        <v>0</v>
      </c>
      <c r="AA28" s="160">
        <f t="shared" si="4"/>
        <v>700</v>
      </c>
      <c r="AC28" s="212">
        <f>Construction!AH28</f>
        <v>0</v>
      </c>
    </row>
    <row r="29" spans="1:29" s="170" customFormat="1">
      <c r="A29" s="170">
        <f>Construction!E29</f>
        <v>1000</v>
      </c>
      <c r="B29" s="205">
        <f>Construction!F29</f>
        <v>0</v>
      </c>
      <c r="C29" s="206">
        <f>Construction!G29</f>
        <v>100</v>
      </c>
      <c r="D29" s="207">
        <f>Construction!H29</f>
        <v>150</v>
      </c>
      <c r="E29" s="208">
        <f>Construction!I29</f>
        <v>150</v>
      </c>
      <c r="F29" s="209">
        <f>Construction!J29</f>
        <v>100</v>
      </c>
      <c r="G29" s="210">
        <f>Construction!K29</f>
        <v>20</v>
      </c>
      <c r="H29" s="211">
        <f>Construction!L29</f>
        <v>100</v>
      </c>
      <c r="J29" s="629">
        <f t="shared" si="5"/>
        <v>27</v>
      </c>
      <c r="K29" s="532">
        <f>Imps!BY29</f>
        <v>43693.08333333327</v>
      </c>
      <c r="L29" s="352"/>
      <c r="M29" s="345"/>
      <c r="N29" s="345"/>
      <c r="O29" s="345"/>
      <c r="P29" s="345"/>
      <c r="Q29" s="345"/>
      <c r="R29" s="353"/>
      <c r="S29" s="166">
        <f t="shared" si="0"/>
        <v>0</v>
      </c>
      <c r="T29" s="160" t="str">
        <f t="shared" si="1"/>
        <v>Ok</v>
      </c>
      <c r="V29" s="160">
        <f ca="1">Production!H29</f>
        <v>3224437</v>
      </c>
      <c r="X29" s="152">
        <f ca="1">ROUND( (1-MIN(ROUND(facs_rezone_factor*AC29,4),facs_rezone_max)) * (1+MIN(tech_construction_rezone*Techs!AD29,tech_conquerors_crafts*Techs!AS29)) * AA29*(1+race_rezone_cost),0)</f>
        <v>700</v>
      </c>
      <c r="Y29" s="166">
        <f t="shared" ca="1" si="2"/>
        <v>0</v>
      </c>
      <c r="AA29" s="160">
        <f t="shared" si="4"/>
        <v>700</v>
      </c>
      <c r="AC29" s="212">
        <f>Construction!AH29</f>
        <v>0</v>
      </c>
    </row>
    <row r="30" spans="1:29" s="16" customFormat="1">
      <c r="A30" s="16">
        <f>Construction!E30</f>
        <v>1000</v>
      </c>
      <c r="B30" s="68">
        <f>Construction!F30</f>
        <v>0</v>
      </c>
      <c r="C30" s="29">
        <f>Construction!G30</f>
        <v>100</v>
      </c>
      <c r="D30" s="30">
        <f>Construction!H30</f>
        <v>150</v>
      </c>
      <c r="E30" s="31">
        <f>Construction!I30</f>
        <v>150</v>
      </c>
      <c r="F30" s="32">
        <f>Construction!J30</f>
        <v>100</v>
      </c>
      <c r="G30" s="33">
        <f>Construction!K30</f>
        <v>20</v>
      </c>
      <c r="H30" s="69">
        <f>Construction!L30</f>
        <v>100</v>
      </c>
      <c r="J30" s="529">
        <f t="shared" si="5"/>
        <v>28</v>
      </c>
      <c r="K30" s="574">
        <f>Imps!BY30</f>
        <v>43693.124999999935</v>
      </c>
      <c r="L30" s="356"/>
      <c r="M30" s="348"/>
      <c r="N30" s="348"/>
      <c r="O30" s="348"/>
      <c r="P30" s="348"/>
      <c r="Q30" s="348"/>
      <c r="R30" s="357"/>
      <c r="S30" s="166">
        <f t="shared" si="0"/>
        <v>0</v>
      </c>
      <c r="T30" s="160" t="str">
        <f t="shared" si="1"/>
        <v>Ok</v>
      </c>
      <c r="V30" s="64">
        <f ca="1">Production!H30</f>
        <v>3235088</v>
      </c>
      <c r="X30" s="152">
        <f ca="1">ROUND( (1-MIN(ROUND(facs_rezone_factor*AC30,4),facs_rezone_max)) * (1+MIN(tech_construction_rezone*Techs!AD30,tech_conquerors_crafts*Techs!AS30)) * AA30*(1+race_rezone_cost),0)</f>
        <v>700</v>
      </c>
      <c r="Y30" s="166">
        <f t="shared" ca="1" si="2"/>
        <v>0</v>
      </c>
      <c r="AA30" s="160">
        <f t="shared" si="4"/>
        <v>700</v>
      </c>
      <c r="AC30" s="95">
        <f>Construction!AH30</f>
        <v>0</v>
      </c>
    </row>
    <row r="31" spans="1:29" s="16" customFormat="1">
      <c r="A31" s="16">
        <f>Construction!E31</f>
        <v>1000</v>
      </c>
      <c r="B31" s="68">
        <f>Construction!F31</f>
        <v>0</v>
      </c>
      <c r="C31" s="29">
        <f>Construction!G31</f>
        <v>100</v>
      </c>
      <c r="D31" s="30">
        <f>Construction!H31</f>
        <v>150</v>
      </c>
      <c r="E31" s="31">
        <f>Construction!I31</f>
        <v>150</v>
      </c>
      <c r="F31" s="32">
        <f>Construction!J31</f>
        <v>100</v>
      </c>
      <c r="G31" s="33">
        <f>Construction!K31</f>
        <v>20</v>
      </c>
      <c r="H31" s="69">
        <f>Construction!L31</f>
        <v>100</v>
      </c>
      <c r="J31" s="529">
        <f t="shared" si="5"/>
        <v>29</v>
      </c>
      <c r="K31" s="574">
        <f>Imps!BY31</f>
        <v>43693.166666666599</v>
      </c>
      <c r="L31" s="356"/>
      <c r="M31" s="348"/>
      <c r="N31" s="348"/>
      <c r="O31" s="348"/>
      <c r="P31" s="348"/>
      <c r="Q31" s="348"/>
      <c r="R31" s="357"/>
      <c r="S31" s="166">
        <f t="shared" si="0"/>
        <v>0</v>
      </c>
      <c r="T31" s="160" t="str">
        <f t="shared" si="1"/>
        <v>Ok</v>
      </c>
      <c r="V31" s="64">
        <f ca="1">Production!H31</f>
        <v>3245739</v>
      </c>
      <c r="X31" s="152">
        <f ca="1">ROUND( (1-MIN(ROUND(facs_rezone_factor*AC31,4),facs_rezone_max)) * (1+MIN(tech_construction_rezone*Techs!AD31,tech_conquerors_crafts*Techs!AS31)) * AA31*(1+race_rezone_cost),0)</f>
        <v>700</v>
      </c>
      <c r="Y31" s="166">
        <f t="shared" ca="1" si="2"/>
        <v>0</v>
      </c>
      <c r="AA31" s="160">
        <f t="shared" si="4"/>
        <v>700</v>
      </c>
      <c r="AC31" s="95">
        <f>Construction!AH31</f>
        <v>0</v>
      </c>
    </row>
    <row r="32" spans="1:29" s="16" customFormat="1">
      <c r="A32" s="16">
        <f>Construction!E32</f>
        <v>1000</v>
      </c>
      <c r="B32" s="68">
        <f>Construction!F32</f>
        <v>0</v>
      </c>
      <c r="C32" s="29">
        <f>Construction!G32</f>
        <v>100</v>
      </c>
      <c r="D32" s="30">
        <f>Construction!H32</f>
        <v>150</v>
      </c>
      <c r="E32" s="31">
        <f>Construction!I32</f>
        <v>150</v>
      </c>
      <c r="F32" s="32">
        <f>Construction!J32</f>
        <v>100</v>
      </c>
      <c r="G32" s="33">
        <f>Construction!K32</f>
        <v>20</v>
      </c>
      <c r="H32" s="69">
        <f>Construction!L32</f>
        <v>100</v>
      </c>
      <c r="J32" s="529">
        <f t="shared" si="5"/>
        <v>30</v>
      </c>
      <c r="K32" s="574">
        <f>Imps!BY32</f>
        <v>43693.208333333263</v>
      </c>
      <c r="L32" s="356"/>
      <c r="M32" s="348"/>
      <c r="N32" s="348"/>
      <c r="O32" s="348"/>
      <c r="P32" s="348"/>
      <c r="Q32" s="348"/>
      <c r="R32" s="357"/>
      <c r="S32" s="166">
        <f t="shared" si="0"/>
        <v>0</v>
      </c>
      <c r="T32" s="160" t="str">
        <f t="shared" si="1"/>
        <v>Ok</v>
      </c>
      <c r="V32" s="64">
        <f ca="1">Production!H32</f>
        <v>3256390</v>
      </c>
      <c r="X32" s="152">
        <f ca="1">ROUND( (1-MIN(ROUND(facs_rezone_factor*AC32,4),facs_rezone_max)) * (1+MIN(tech_construction_rezone*Techs!AD32,tech_conquerors_crafts*Techs!AS32)) * AA32*(1+race_rezone_cost),0)</f>
        <v>700</v>
      </c>
      <c r="Y32" s="166">
        <f t="shared" ca="1" si="2"/>
        <v>0</v>
      </c>
      <c r="AA32" s="160">
        <f t="shared" si="4"/>
        <v>700</v>
      </c>
      <c r="AC32" s="95">
        <f>Construction!AH32</f>
        <v>0</v>
      </c>
    </row>
    <row r="33" spans="1:29" s="16" customFormat="1">
      <c r="A33" s="16">
        <f>Construction!E33</f>
        <v>1000</v>
      </c>
      <c r="B33" s="68">
        <f>Construction!F33</f>
        <v>0</v>
      </c>
      <c r="C33" s="29">
        <f>Construction!G33</f>
        <v>100</v>
      </c>
      <c r="D33" s="30">
        <f>Construction!H33</f>
        <v>150</v>
      </c>
      <c r="E33" s="31">
        <f>Construction!I33</f>
        <v>150</v>
      </c>
      <c r="F33" s="32">
        <f>Construction!J33</f>
        <v>100</v>
      </c>
      <c r="G33" s="33">
        <f>Construction!K33</f>
        <v>20</v>
      </c>
      <c r="H33" s="69">
        <f>Construction!L33</f>
        <v>100</v>
      </c>
      <c r="J33" s="529">
        <f t="shared" si="5"/>
        <v>31</v>
      </c>
      <c r="K33" s="574">
        <f>Imps!BY33</f>
        <v>43693.249999999927</v>
      </c>
      <c r="L33" s="356"/>
      <c r="M33" s="348"/>
      <c r="N33" s="348"/>
      <c r="O33" s="348"/>
      <c r="P33" s="348"/>
      <c r="Q33" s="348"/>
      <c r="R33" s="357"/>
      <c r="S33" s="166">
        <f t="shared" si="0"/>
        <v>0</v>
      </c>
      <c r="T33" s="160" t="str">
        <f t="shared" si="1"/>
        <v>Ok</v>
      </c>
      <c r="V33" s="64">
        <f ca="1">Production!H33</f>
        <v>3267041</v>
      </c>
      <c r="X33" s="152">
        <f ca="1">ROUND( (1-MIN(ROUND(facs_rezone_factor*AC33,4),facs_rezone_max)) * (1+MIN(tech_construction_rezone*Techs!AD33,tech_conquerors_crafts*Techs!AS33)) * AA33*(1+race_rezone_cost),0)</f>
        <v>700</v>
      </c>
      <c r="Y33" s="166">
        <f t="shared" ca="1" si="2"/>
        <v>0</v>
      </c>
      <c r="AA33" s="160">
        <f t="shared" si="4"/>
        <v>700</v>
      </c>
      <c r="AC33" s="95">
        <f>Construction!AH33</f>
        <v>0</v>
      </c>
    </row>
    <row r="34" spans="1:29" s="16" customFormat="1">
      <c r="A34" s="16">
        <f>Construction!E34</f>
        <v>1000</v>
      </c>
      <c r="B34" s="68">
        <f>Construction!F34</f>
        <v>0</v>
      </c>
      <c r="C34" s="29">
        <f>Construction!G34</f>
        <v>100</v>
      </c>
      <c r="D34" s="30">
        <f>Construction!H34</f>
        <v>150</v>
      </c>
      <c r="E34" s="31">
        <f>Construction!I34</f>
        <v>150</v>
      </c>
      <c r="F34" s="32">
        <f>Construction!J34</f>
        <v>100</v>
      </c>
      <c r="G34" s="33">
        <f>Construction!K34</f>
        <v>20</v>
      </c>
      <c r="H34" s="69">
        <f>Construction!L34</f>
        <v>100</v>
      </c>
      <c r="J34" s="529">
        <f t="shared" si="5"/>
        <v>32</v>
      </c>
      <c r="K34" s="574">
        <f>Imps!BY34</f>
        <v>43693.291666666591</v>
      </c>
      <c r="L34" s="356"/>
      <c r="M34" s="348"/>
      <c r="N34" s="348"/>
      <c r="O34" s="348"/>
      <c r="P34" s="348"/>
      <c r="Q34" s="348"/>
      <c r="R34" s="357"/>
      <c r="S34" s="166">
        <f t="shared" si="0"/>
        <v>0</v>
      </c>
      <c r="T34" s="160" t="str">
        <f t="shared" si="1"/>
        <v>Ok</v>
      </c>
      <c r="V34" s="64">
        <f ca="1">Production!H34</f>
        <v>3277692</v>
      </c>
      <c r="X34" s="152">
        <f ca="1">ROUND( (1-MIN(ROUND(facs_rezone_factor*AC34,4),facs_rezone_max)) * (1+MIN(tech_construction_rezone*Techs!AD34,tech_conquerors_crafts*Techs!AS34)) * AA34*(1+race_rezone_cost),0)</f>
        <v>700</v>
      </c>
      <c r="Y34" s="166">
        <f t="shared" ca="1" si="2"/>
        <v>0</v>
      </c>
      <c r="AA34" s="160">
        <f t="shared" si="4"/>
        <v>700</v>
      </c>
      <c r="AC34" s="95">
        <f>Construction!AH34</f>
        <v>0</v>
      </c>
    </row>
    <row r="35" spans="1:29" s="16" customFormat="1">
      <c r="A35" s="16">
        <f>Construction!E35</f>
        <v>1000</v>
      </c>
      <c r="B35" s="68">
        <f>Construction!F35</f>
        <v>0</v>
      </c>
      <c r="C35" s="29">
        <f>Construction!G35</f>
        <v>100</v>
      </c>
      <c r="D35" s="30">
        <f>Construction!H35</f>
        <v>150</v>
      </c>
      <c r="E35" s="31">
        <f>Construction!I35</f>
        <v>150</v>
      </c>
      <c r="F35" s="32">
        <f>Construction!J35</f>
        <v>100</v>
      </c>
      <c r="G35" s="33">
        <f>Construction!K35</f>
        <v>20</v>
      </c>
      <c r="H35" s="69">
        <f>Construction!L35</f>
        <v>100</v>
      </c>
      <c r="J35" s="529">
        <f t="shared" si="5"/>
        <v>33</v>
      </c>
      <c r="K35" s="574">
        <f>Imps!BY35</f>
        <v>43693.333333333256</v>
      </c>
      <c r="L35" s="356"/>
      <c r="M35" s="348"/>
      <c r="N35" s="348"/>
      <c r="O35" s="348"/>
      <c r="P35" s="348"/>
      <c r="Q35" s="348"/>
      <c r="R35" s="357"/>
      <c r="S35" s="166">
        <f t="shared" si="0"/>
        <v>0</v>
      </c>
      <c r="T35" s="160" t="str">
        <f t="shared" si="1"/>
        <v>Ok</v>
      </c>
      <c r="V35" s="64">
        <f ca="1">Production!H35</f>
        <v>3288343</v>
      </c>
      <c r="X35" s="152">
        <f ca="1">ROUND( (1-MIN(ROUND(facs_rezone_factor*AC35,4),facs_rezone_max)) * (1+MIN(tech_construction_rezone*Techs!AD35,tech_conquerors_crafts*Techs!AS35)) * AA35*(1+race_rezone_cost),0)</f>
        <v>700</v>
      </c>
      <c r="Y35" s="166">
        <f t="shared" ref="Y35:Y66" ca="1" si="6">S35*X35</f>
        <v>0</v>
      </c>
      <c r="AA35" s="160">
        <f t="shared" si="4"/>
        <v>700</v>
      </c>
      <c r="AC35" s="95">
        <f>Construction!AH35</f>
        <v>0</v>
      </c>
    </row>
    <row r="36" spans="1:29" s="16" customFormat="1">
      <c r="A36" s="16">
        <f>Construction!E36</f>
        <v>1000</v>
      </c>
      <c r="B36" s="68">
        <f>Construction!F36</f>
        <v>0</v>
      </c>
      <c r="C36" s="29">
        <f>Construction!G36</f>
        <v>100</v>
      </c>
      <c r="D36" s="30">
        <f>Construction!H36</f>
        <v>150</v>
      </c>
      <c r="E36" s="31">
        <f>Construction!I36</f>
        <v>150</v>
      </c>
      <c r="F36" s="32">
        <f>Construction!J36</f>
        <v>100</v>
      </c>
      <c r="G36" s="33">
        <f>Construction!K36</f>
        <v>20</v>
      </c>
      <c r="H36" s="69">
        <f>Construction!L36</f>
        <v>100</v>
      </c>
      <c r="J36" s="529">
        <f t="shared" si="5"/>
        <v>34</v>
      </c>
      <c r="K36" s="574">
        <f>Imps!BY36</f>
        <v>43693.37499999992</v>
      </c>
      <c r="L36" s="356"/>
      <c r="M36" s="348"/>
      <c r="N36" s="348"/>
      <c r="O36" s="348"/>
      <c r="P36" s="348"/>
      <c r="Q36" s="348"/>
      <c r="R36" s="357"/>
      <c r="S36" s="166">
        <f t="shared" si="0"/>
        <v>0</v>
      </c>
      <c r="T36" s="160" t="str">
        <f t="shared" si="1"/>
        <v>Ok</v>
      </c>
      <c r="V36" s="64">
        <f ca="1">Production!H36</f>
        <v>3298994</v>
      </c>
      <c r="X36" s="152">
        <f ca="1">ROUND( (1-MIN(ROUND(facs_rezone_factor*AC36,4),facs_rezone_max)) * (1+MIN(tech_construction_rezone*Techs!AD36,tech_conquerors_crafts*Techs!AS36)) * AA36*(1+race_rezone_cost),0)</f>
        <v>700</v>
      </c>
      <c r="Y36" s="166">
        <f t="shared" ca="1" si="6"/>
        <v>0</v>
      </c>
      <c r="AA36" s="160">
        <f t="shared" si="4"/>
        <v>700</v>
      </c>
      <c r="AC36" s="95">
        <f>Construction!AH36</f>
        <v>0</v>
      </c>
    </row>
    <row r="37" spans="1:29" s="16" customFormat="1">
      <c r="A37" s="16">
        <f>Construction!E37</f>
        <v>1000</v>
      </c>
      <c r="B37" s="68">
        <f>Construction!F37</f>
        <v>0</v>
      </c>
      <c r="C37" s="29">
        <f>Construction!G37</f>
        <v>100</v>
      </c>
      <c r="D37" s="30">
        <f>Construction!H37</f>
        <v>150</v>
      </c>
      <c r="E37" s="31">
        <f>Construction!I37</f>
        <v>150</v>
      </c>
      <c r="F37" s="32">
        <f>Construction!J37</f>
        <v>100</v>
      </c>
      <c r="G37" s="33">
        <f>Construction!K37</f>
        <v>20</v>
      </c>
      <c r="H37" s="69">
        <f>Construction!L37</f>
        <v>100</v>
      </c>
      <c r="J37" s="529">
        <f t="shared" si="5"/>
        <v>35</v>
      </c>
      <c r="K37" s="574">
        <f>Imps!BY37</f>
        <v>43693.416666666584</v>
      </c>
      <c r="L37" s="356"/>
      <c r="M37" s="348"/>
      <c r="N37" s="348"/>
      <c r="O37" s="348"/>
      <c r="P37" s="348"/>
      <c r="Q37" s="348"/>
      <c r="R37" s="357"/>
      <c r="S37" s="166">
        <f t="shared" si="0"/>
        <v>0</v>
      </c>
      <c r="T37" s="160" t="str">
        <f t="shared" si="1"/>
        <v>Ok</v>
      </c>
      <c r="V37" s="64">
        <f ca="1">Production!H37</f>
        <v>3309645</v>
      </c>
      <c r="X37" s="152">
        <f ca="1">ROUND( (1-MIN(ROUND(facs_rezone_factor*AC37,4),facs_rezone_max)) * (1+MIN(tech_construction_rezone*Techs!AD37,tech_conquerors_crafts*Techs!AS37)) * AA37*(1+race_rezone_cost),0)</f>
        <v>700</v>
      </c>
      <c r="Y37" s="166">
        <f t="shared" ca="1" si="6"/>
        <v>0</v>
      </c>
      <c r="AA37" s="160">
        <f t="shared" si="4"/>
        <v>700</v>
      </c>
      <c r="AC37" s="95">
        <f>Construction!AH37</f>
        <v>0</v>
      </c>
    </row>
    <row r="38" spans="1:29" s="16" customFormat="1">
      <c r="A38" s="16">
        <f>Construction!E38</f>
        <v>1000</v>
      </c>
      <c r="B38" s="68">
        <f>Construction!F38</f>
        <v>0</v>
      </c>
      <c r="C38" s="29">
        <f>Construction!G38</f>
        <v>100</v>
      </c>
      <c r="D38" s="30">
        <f>Construction!H38</f>
        <v>150</v>
      </c>
      <c r="E38" s="31">
        <f>Construction!I38</f>
        <v>150</v>
      </c>
      <c r="F38" s="32">
        <f>Construction!J38</f>
        <v>100</v>
      </c>
      <c r="G38" s="33">
        <f>Construction!K38</f>
        <v>20</v>
      </c>
      <c r="H38" s="69">
        <f>Construction!L38</f>
        <v>100</v>
      </c>
      <c r="J38" s="529">
        <f t="shared" si="5"/>
        <v>36</v>
      </c>
      <c r="K38" s="574">
        <f>Imps!BY38</f>
        <v>43693.458333333248</v>
      </c>
      <c r="L38" s="356"/>
      <c r="M38" s="348"/>
      <c r="N38" s="348"/>
      <c r="O38" s="348"/>
      <c r="P38" s="348"/>
      <c r="Q38" s="348"/>
      <c r="R38" s="357"/>
      <c r="S38" s="166">
        <f t="shared" si="0"/>
        <v>0</v>
      </c>
      <c r="T38" s="160" t="str">
        <f t="shared" si="1"/>
        <v>Ok</v>
      </c>
      <c r="V38" s="64">
        <f ca="1">Production!H38</f>
        <v>3320296</v>
      </c>
      <c r="X38" s="152">
        <f ca="1">ROUND( (1-MIN(ROUND(facs_rezone_factor*AC38,4),facs_rezone_max)) * (1+MIN(tech_construction_rezone*Techs!AD38,tech_conquerors_crafts*Techs!AS38)) * AA38*(1+race_rezone_cost),0)</f>
        <v>700</v>
      </c>
      <c r="Y38" s="166">
        <f t="shared" ca="1" si="6"/>
        <v>0</v>
      </c>
      <c r="AA38" s="160">
        <f t="shared" si="4"/>
        <v>700</v>
      </c>
      <c r="AC38" s="95">
        <f>Construction!AH38</f>
        <v>0</v>
      </c>
    </row>
    <row r="39" spans="1:29" s="12" customFormat="1">
      <c r="A39" s="12">
        <f>Construction!E39</f>
        <v>1000</v>
      </c>
      <c r="B39" s="66">
        <f>Construction!F39</f>
        <v>0</v>
      </c>
      <c r="C39" s="18">
        <f>Construction!G39</f>
        <v>100</v>
      </c>
      <c r="D39" s="19">
        <f>Construction!H39</f>
        <v>150</v>
      </c>
      <c r="E39" s="20">
        <f>Construction!I39</f>
        <v>150</v>
      </c>
      <c r="F39" s="200">
        <f>Construction!J39</f>
        <v>100</v>
      </c>
      <c r="G39" s="22">
        <f>Construction!K39</f>
        <v>20</v>
      </c>
      <c r="H39" s="67">
        <f>Construction!L39</f>
        <v>100</v>
      </c>
      <c r="J39" s="631">
        <f t="shared" si="5"/>
        <v>37</v>
      </c>
      <c r="K39" s="679">
        <f>Imps!BY39</f>
        <v>43693.499999999913</v>
      </c>
      <c r="L39" s="373"/>
      <c r="M39" s="349"/>
      <c r="N39" s="349"/>
      <c r="O39" s="349"/>
      <c r="P39" s="349"/>
      <c r="Q39" s="349"/>
      <c r="R39" s="374"/>
      <c r="S39" s="158">
        <f t="shared" si="0"/>
        <v>0</v>
      </c>
      <c r="T39" s="203" t="str">
        <f t="shared" si="1"/>
        <v>Ok</v>
      </c>
      <c r="V39" s="93">
        <f ca="1">Production!H39</f>
        <v>3330947</v>
      </c>
      <c r="X39" s="151">
        <f ca="1">ROUND( (1-MIN(ROUND(facs_rezone_factor*AC39,4),facs_rezone_max)) * (1+MIN(tech_construction_rezone*Techs!AD39,tech_conquerors_crafts*Techs!AS39)) * AA39*(1+race_rezone_cost),0)</f>
        <v>700</v>
      </c>
      <c r="Y39" s="158">
        <f t="shared" ca="1" si="6"/>
        <v>0</v>
      </c>
      <c r="AA39" s="203">
        <f t="shared" si="4"/>
        <v>700</v>
      </c>
      <c r="AC39" s="94">
        <f>Construction!AH39</f>
        <v>0</v>
      </c>
    </row>
    <row r="40" spans="1:29" s="16" customFormat="1">
      <c r="A40" s="16">
        <f>Construction!E40</f>
        <v>1000</v>
      </c>
      <c r="B40" s="68">
        <f>Construction!F40</f>
        <v>0</v>
      </c>
      <c r="C40" s="29">
        <f>Construction!G40</f>
        <v>100</v>
      </c>
      <c r="D40" s="30">
        <f>Construction!H40</f>
        <v>150</v>
      </c>
      <c r="E40" s="31">
        <f>Construction!I40</f>
        <v>150</v>
      </c>
      <c r="F40" s="32">
        <f>Construction!J40</f>
        <v>100</v>
      </c>
      <c r="G40" s="33">
        <f>Construction!K40</f>
        <v>20</v>
      </c>
      <c r="H40" s="69">
        <f>Construction!L40</f>
        <v>100</v>
      </c>
      <c r="J40" s="529">
        <f t="shared" si="5"/>
        <v>38</v>
      </c>
      <c r="K40" s="574">
        <f>Imps!BY40</f>
        <v>43693.541666666577</v>
      </c>
      <c r="L40" s="356"/>
      <c r="M40" s="348"/>
      <c r="N40" s="348"/>
      <c r="O40" s="348"/>
      <c r="P40" s="348"/>
      <c r="Q40" s="348"/>
      <c r="R40" s="357"/>
      <c r="S40" s="166">
        <f t="shared" si="0"/>
        <v>0</v>
      </c>
      <c r="T40" s="160" t="str">
        <f t="shared" si="1"/>
        <v>Ok</v>
      </c>
      <c r="V40" s="64">
        <f ca="1">Production!H40</f>
        <v>3341598</v>
      </c>
      <c r="X40" s="152">
        <f ca="1">ROUND( (1-MIN(ROUND(facs_rezone_factor*AC40,4),facs_rezone_max)) * (1+MIN(tech_construction_rezone*Techs!AD40,tech_conquerors_crafts*Techs!AS40)) * AA40*(1+race_rezone_cost),0)</f>
        <v>700</v>
      </c>
      <c r="Y40" s="166">
        <f t="shared" ca="1" si="6"/>
        <v>0</v>
      </c>
      <c r="AA40" s="160">
        <f t="shared" si="4"/>
        <v>700</v>
      </c>
      <c r="AC40" s="95">
        <f>Construction!AH40</f>
        <v>0</v>
      </c>
    </row>
    <row r="41" spans="1:29" s="16" customFormat="1">
      <c r="A41" s="16">
        <f>Construction!E41</f>
        <v>1000</v>
      </c>
      <c r="B41" s="68">
        <f>Construction!F41</f>
        <v>0</v>
      </c>
      <c r="C41" s="29">
        <f>Construction!G41</f>
        <v>100</v>
      </c>
      <c r="D41" s="30">
        <f>Construction!H41</f>
        <v>150</v>
      </c>
      <c r="E41" s="31">
        <f>Construction!I41</f>
        <v>150</v>
      </c>
      <c r="F41" s="32">
        <f>Construction!J41</f>
        <v>100</v>
      </c>
      <c r="G41" s="33">
        <f>Construction!K41</f>
        <v>20</v>
      </c>
      <c r="H41" s="69">
        <f>Construction!L41</f>
        <v>100</v>
      </c>
      <c r="J41" s="529">
        <f t="shared" si="5"/>
        <v>39</v>
      </c>
      <c r="K41" s="574">
        <f>Imps!BY41</f>
        <v>43693.583333333241</v>
      </c>
      <c r="L41" s="356"/>
      <c r="M41" s="348"/>
      <c r="N41" s="348"/>
      <c r="O41" s="348"/>
      <c r="P41" s="348"/>
      <c r="Q41" s="348"/>
      <c r="R41" s="357"/>
      <c r="S41" s="166">
        <f t="shared" si="0"/>
        <v>0</v>
      </c>
      <c r="T41" s="160" t="str">
        <f t="shared" si="1"/>
        <v>Ok</v>
      </c>
      <c r="V41" s="64">
        <f ca="1">Production!H41</f>
        <v>3352249</v>
      </c>
      <c r="X41" s="152">
        <f ca="1">ROUND( (1-MIN(ROUND(facs_rezone_factor*AC41,4),facs_rezone_max)) * (1+MIN(tech_construction_rezone*Techs!AD41,tech_conquerors_crafts*Techs!AS41)) * AA41*(1+race_rezone_cost),0)</f>
        <v>700</v>
      </c>
      <c r="Y41" s="166">
        <f t="shared" ca="1" si="6"/>
        <v>0</v>
      </c>
      <c r="AA41" s="160">
        <f t="shared" si="4"/>
        <v>700</v>
      </c>
      <c r="AC41" s="95">
        <f>Construction!AH41</f>
        <v>0</v>
      </c>
    </row>
    <row r="42" spans="1:29" s="16" customFormat="1">
      <c r="A42" s="16">
        <f>Construction!E42</f>
        <v>1000</v>
      </c>
      <c r="B42" s="68">
        <f>Construction!F42</f>
        <v>0</v>
      </c>
      <c r="C42" s="29">
        <f>Construction!G42</f>
        <v>100</v>
      </c>
      <c r="D42" s="30">
        <f>Construction!H42</f>
        <v>150</v>
      </c>
      <c r="E42" s="31">
        <f>Construction!I42</f>
        <v>150</v>
      </c>
      <c r="F42" s="32">
        <f>Construction!J42</f>
        <v>100</v>
      </c>
      <c r="G42" s="33">
        <f>Construction!K42</f>
        <v>20</v>
      </c>
      <c r="H42" s="69">
        <f>Construction!L42</f>
        <v>100</v>
      </c>
      <c r="J42" s="529">
        <f t="shared" si="5"/>
        <v>40</v>
      </c>
      <c r="K42" s="574">
        <f>Imps!BY42</f>
        <v>43693.624999999905</v>
      </c>
      <c r="L42" s="356"/>
      <c r="M42" s="348"/>
      <c r="N42" s="348"/>
      <c r="O42" s="348"/>
      <c r="P42" s="348"/>
      <c r="Q42" s="348"/>
      <c r="R42" s="357"/>
      <c r="S42" s="166">
        <f t="shared" si="0"/>
        <v>0</v>
      </c>
      <c r="T42" s="160" t="str">
        <f t="shared" si="1"/>
        <v>Ok</v>
      </c>
      <c r="V42" s="64">
        <f ca="1">Production!H42</f>
        <v>3362900</v>
      </c>
      <c r="X42" s="152">
        <f ca="1">ROUND( (1-MIN(ROUND(facs_rezone_factor*AC42,4),facs_rezone_max)) * (1+MIN(tech_construction_rezone*Techs!AD42,tech_conquerors_crafts*Techs!AS42)) * AA42*(1+race_rezone_cost),0)</f>
        <v>700</v>
      </c>
      <c r="Y42" s="166">
        <f t="shared" ca="1" si="6"/>
        <v>0</v>
      </c>
      <c r="AA42" s="160">
        <f t="shared" si="4"/>
        <v>700</v>
      </c>
      <c r="AC42" s="95">
        <f>Construction!AH42</f>
        <v>0</v>
      </c>
    </row>
    <row r="43" spans="1:29" s="16" customFormat="1">
      <c r="A43" s="16">
        <f>Construction!E43</f>
        <v>1000</v>
      </c>
      <c r="B43" s="68">
        <f>Construction!F43</f>
        <v>0</v>
      </c>
      <c r="C43" s="29">
        <f>Construction!G43</f>
        <v>100</v>
      </c>
      <c r="D43" s="30">
        <f>Construction!H43</f>
        <v>150</v>
      </c>
      <c r="E43" s="31">
        <f>Construction!I43</f>
        <v>150</v>
      </c>
      <c r="F43" s="32">
        <f>Construction!J43</f>
        <v>100</v>
      </c>
      <c r="G43" s="33">
        <f>Construction!K43</f>
        <v>20</v>
      </c>
      <c r="H43" s="69">
        <f>Construction!L43</f>
        <v>100</v>
      </c>
      <c r="J43" s="529">
        <f t="shared" si="5"/>
        <v>41</v>
      </c>
      <c r="K43" s="574">
        <f>Imps!BY43</f>
        <v>43693.66666666657</v>
      </c>
      <c r="L43" s="356"/>
      <c r="M43" s="348"/>
      <c r="N43" s="348"/>
      <c r="O43" s="348"/>
      <c r="P43" s="348"/>
      <c r="Q43" s="348"/>
      <c r="R43" s="357"/>
      <c r="S43" s="166">
        <f t="shared" si="0"/>
        <v>0</v>
      </c>
      <c r="T43" s="160" t="str">
        <f t="shared" si="1"/>
        <v>Ok</v>
      </c>
      <c r="V43" s="64">
        <f ca="1">Production!H43</f>
        <v>3373551</v>
      </c>
      <c r="X43" s="152">
        <f ca="1">ROUND( (1-MIN(ROUND(facs_rezone_factor*AC43,4),facs_rezone_max)) * (1+MIN(tech_construction_rezone*Techs!AD43,tech_conquerors_crafts*Techs!AS43)) * AA43*(1+race_rezone_cost),0)</f>
        <v>700</v>
      </c>
      <c r="Y43" s="166">
        <f t="shared" ca="1" si="6"/>
        <v>0</v>
      </c>
      <c r="AA43" s="160">
        <f t="shared" si="4"/>
        <v>700</v>
      </c>
      <c r="AC43" s="95">
        <f>Construction!AH43</f>
        <v>0</v>
      </c>
    </row>
    <row r="44" spans="1:29" s="16" customFormat="1">
      <c r="A44" s="16">
        <f>Construction!E44</f>
        <v>1000</v>
      </c>
      <c r="B44" s="68">
        <f>Construction!F44</f>
        <v>0</v>
      </c>
      <c r="C44" s="29">
        <f>Construction!G44</f>
        <v>100</v>
      </c>
      <c r="D44" s="30">
        <f>Construction!H44</f>
        <v>150</v>
      </c>
      <c r="E44" s="31">
        <f>Construction!I44</f>
        <v>150</v>
      </c>
      <c r="F44" s="32">
        <f>Construction!J44</f>
        <v>100</v>
      </c>
      <c r="G44" s="33">
        <f>Construction!K44</f>
        <v>20</v>
      </c>
      <c r="H44" s="69">
        <f>Construction!L44</f>
        <v>100</v>
      </c>
      <c r="J44" s="529">
        <f t="shared" si="5"/>
        <v>42</v>
      </c>
      <c r="K44" s="574">
        <f>Imps!BY44</f>
        <v>43693.708333333234</v>
      </c>
      <c r="L44" s="356"/>
      <c r="M44" s="348"/>
      <c r="N44" s="348"/>
      <c r="O44" s="348"/>
      <c r="P44" s="348"/>
      <c r="Q44" s="348"/>
      <c r="R44" s="357"/>
      <c r="S44" s="166">
        <f t="shared" si="0"/>
        <v>0</v>
      </c>
      <c r="T44" s="160" t="str">
        <f t="shared" si="1"/>
        <v>Ok</v>
      </c>
      <c r="V44" s="64">
        <f ca="1">Production!H44</f>
        <v>3384202</v>
      </c>
      <c r="X44" s="152">
        <f ca="1">ROUND( (1-MIN(ROUND(facs_rezone_factor*AC44,4),facs_rezone_max)) * (1+MIN(tech_construction_rezone*Techs!AD44,tech_conquerors_crafts*Techs!AS44)) * AA44*(1+race_rezone_cost),0)</f>
        <v>700</v>
      </c>
      <c r="Y44" s="166">
        <f t="shared" ca="1" si="6"/>
        <v>0</v>
      </c>
      <c r="AA44" s="160">
        <f t="shared" si="4"/>
        <v>700</v>
      </c>
      <c r="AC44" s="95">
        <f>Construction!AH44</f>
        <v>0</v>
      </c>
    </row>
    <row r="45" spans="1:29" s="16" customFormat="1">
      <c r="A45" s="16">
        <f>Construction!E45</f>
        <v>1000</v>
      </c>
      <c r="B45" s="68">
        <f>Construction!F45</f>
        <v>0</v>
      </c>
      <c r="C45" s="29">
        <f>Construction!G45</f>
        <v>100</v>
      </c>
      <c r="D45" s="30">
        <f>Construction!H45</f>
        <v>150</v>
      </c>
      <c r="E45" s="31">
        <f>Construction!I45</f>
        <v>150</v>
      </c>
      <c r="F45" s="32">
        <f>Construction!J45</f>
        <v>100</v>
      </c>
      <c r="G45" s="33">
        <f>Construction!K45</f>
        <v>20</v>
      </c>
      <c r="H45" s="69">
        <f>Construction!L45</f>
        <v>100</v>
      </c>
      <c r="J45" s="529">
        <f t="shared" si="5"/>
        <v>43</v>
      </c>
      <c r="K45" s="574">
        <f>Imps!BY45</f>
        <v>43693.749999999898</v>
      </c>
      <c r="L45" s="356"/>
      <c r="M45" s="348"/>
      <c r="N45" s="348"/>
      <c r="O45" s="348"/>
      <c r="P45" s="348"/>
      <c r="Q45" s="348"/>
      <c r="R45" s="357"/>
      <c r="S45" s="166">
        <f t="shared" si="0"/>
        <v>0</v>
      </c>
      <c r="T45" s="160" t="str">
        <f t="shared" si="1"/>
        <v>Ok</v>
      </c>
      <c r="V45" s="64">
        <f ca="1">Production!H45</f>
        <v>3394853</v>
      </c>
      <c r="X45" s="152">
        <f ca="1">ROUND( (1-MIN(ROUND(facs_rezone_factor*AC45,4),facs_rezone_max)) * (1+MIN(tech_construction_rezone*Techs!AD45,tech_conquerors_crafts*Techs!AS45)) * AA45*(1+race_rezone_cost),0)</f>
        <v>700</v>
      </c>
      <c r="Y45" s="166">
        <f t="shared" ca="1" si="6"/>
        <v>0</v>
      </c>
      <c r="AA45" s="160">
        <f t="shared" si="4"/>
        <v>700</v>
      </c>
      <c r="AC45" s="95">
        <f>Construction!AH45</f>
        <v>0</v>
      </c>
    </row>
    <row r="46" spans="1:29" s="16" customFormat="1">
      <c r="A46" s="16">
        <f>Construction!E46</f>
        <v>1000</v>
      </c>
      <c r="B46" s="68">
        <f>Construction!F46</f>
        <v>0</v>
      </c>
      <c r="C46" s="29">
        <f>Construction!G46</f>
        <v>100</v>
      </c>
      <c r="D46" s="30">
        <f>Construction!H46</f>
        <v>150</v>
      </c>
      <c r="E46" s="31">
        <f>Construction!I46</f>
        <v>150</v>
      </c>
      <c r="F46" s="32">
        <f>Construction!J46</f>
        <v>100</v>
      </c>
      <c r="G46" s="33">
        <f>Construction!K46</f>
        <v>20</v>
      </c>
      <c r="H46" s="69">
        <f>Construction!L46</f>
        <v>100</v>
      </c>
      <c r="J46" s="529">
        <f t="shared" si="5"/>
        <v>44</v>
      </c>
      <c r="K46" s="574">
        <f>Imps!BY46</f>
        <v>43693.791666666562</v>
      </c>
      <c r="L46" s="356"/>
      <c r="M46" s="348"/>
      <c r="N46" s="348"/>
      <c r="O46" s="348"/>
      <c r="P46" s="348"/>
      <c r="Q46" s="348"/>
      <c r="R46" s="357"/>
      <c r="S46" s="166">
        <f t="shared" si="0"/>
        <v>0</v>
      </c>
      <c r="T46" s="160" t="str">
        <f t="shared" si="1"/>
        <v>Ok</v>
      </c>
      <c r="V46" s="64">
        <f ca="1">Production!H46</f>
        <v>3405504</v>
      </c>
      <c r="X46" s="152">
        <f ca="1">ROUND( (1-MIN(ROUND(facs_rezone_factor*AC46,4),facs_rezone_max)) * (1+MIN(tech_construction_rezone*Techs!AD46,tech_conquerors_crafts*Techs!AS46)) * AA46*(1+race_rezone_cost),0)</f>
        <v>700</v>
      </c>
      <c r="Y46" s="166">
        <f t="shared" ca="1" si="6"/>
        <v>0</v>
      </c>
      <c r="AA46" s="160">
        <f t="shared" si="4"/>
        <v>700</v>
      </c>
      <c r="AC46" s="95">
        <f>Construction!AH46</f>
        <v>0</v>
      </c>
    </row>
    <row r="47" spans="1:29" s="16" customFormat="1">
      <c r="A47" s="16">
        <f>Construction!E47</f>
        <v>1000</v>
      </c>
      <c r="B47" s="68">
        <f>Construction!F47</f>
        <v>0</v>
      </c>
      <c r="C47" s="29">
        <f>Construction!G47</f>
        <v>100</v>
      </c>
      <c r="D47" s="30">
        <f>Construction!H47</f>
        <v>150</v>
      </c>
      <c r="E47" s="31">
        <f>Construction!I47</f>
        <v>150</v>
      </c>
      <c r="F47" s="32">
        <f>Construction!J47</f>
        <v>100</v>
      </c>
      <c r="G47" s="33">
        <f>Construction!K47</f>
        <v>20</v>
      </c>
      <c r="H47" s="69">
        <f>Construction!L47</f>
        <v>100</v>
      </c>
      <c r="J47" s="529">
        <f t="shared" si="5"/>
        <v>45</v>
      </c>
      <c r="K47" s="574">
        <f>Imps!BY47</f>
        <v>43693.833333333227</v>
      </c>
      <c r="L47" s="356"/>
      <c r="M47" s="348"/>
      <c r="N47" s="348"/>
      <c r="O47" s="348"/>
      <c r="P47" s="348"/>
      <c r="Q47" s="348"/>
      <c r="R47" s="357"/>
      <c r="S47" s="166">
        <f t="shared" si="0"/>
        <v>0</v>
      </c>
      <c r="T47" s="160" t="str">
        <f t="shared" si="1"/>
        <v>Ok</v>
      </c>
      <c r="V47" s="64">
        <f ca="1">Production!H47</f>
        <v>3416155</v>
      </c>
      <c r="X47" s="152">
        <f ca="1">ROUND( (1-MIN(ROUND(facs_rezone_factor*AC47,4),facs_rezone_max)) * (1+MIN(tech_construction_rezone*Techs!AD47,tech_conquerors_crafts*Techs!AS47)) * AA47*(1+race_rezone_cost),0)</f>
        <v>700</v>
      </c>
      <c r="Y47" s="166">
        <f t="shared" ca="1" si="6"/>
        <v>0</v>
      </c>
      <c r="AA47" s="160">
        <f t="shared" si="4"/>
        <v>700</v>
      </c>
      <c r="AC47" s="95">
        <f>Construction!AH47</f>
        <v>0</v>
      </c>
    </row>
    <row r="48" spans="1:29" s="16" customFormat="1">
      <c r="A48" s="16">
        <f>Construction!E48</f>
        <v>1000</v>
      </c>
      <c r="B48" s="68">
        <f>Construction!F48</f>
        <v>0</v>
      </c>
      <c r="C48" s="29">
        <f>Construction!G48</f>
        <v>100</v>
      </c>
      <c r="D48" s="30">
        <f>Construction!H48</f>
        <v>150</v>
      </c>
      <c r="E48" s="31">
        <f>Construction!I48</f>
        <v>150</v>
      </c>
      <c r="F48" s="32">
        <f>Construction!J48</f>
        <v>100</v>
      </c>
      <c r="G48" s="33">
        <f>Construction!K48</f>
        <v>20</v>
      </c>
      <c r="H48" s="69">
        <f>Construction!L48</f>
        <v>100</v>
      </c>
      <c r="J48" s="529">
        <f t="shared" si="5"/>
        <v>46</v>
      </c>
      <c r="K48" s="574">
        <f>Imps!BY48</f>
        <v>43693.874999999891</v>
      </c>
      <c r="L48" s="356"/>
      <c r="M48" s="348"/>
      <c r="N48" s="348"/>
      <c r="O48" s="348"/>
      <c r="P48" s="348"/>
      <c r="Q48" s="348"/>
      <c r="R48" s="357"/>
      <c r="S48" s="166">
        <f t="shared" si="0"/>
        <v>0</v>
      </c>
      <c r="T48" s="160" t="str">
        <f t="shared" si="1"/>
        <v>Ok</v>
      </c>
      <c r="V48" s="64">
        <f ca="1">Production!H48</f>
        <v>3426806</v>
      </c>
      <c r="X48" s="152">
        <f ca="1">ROUND( (1-MIN(ROUND(facs_rezone_factor*AC48,4),facs_rezone_max)) * (1+MIN(tech_construction_rezone*Techs!AD48,tech_conquerors_crafts*Techs!AS48)) * AA48*(1+race_rezone_cost),0)</f>
        <v>700</v>
      </c>
      <c r="Y48" s="166">
        <f t="shared" ca="1" si="6"/>
        <v>0</v>
      </c>
      <c r="AA48" s="160">
        <f t="shared" si="4"/>
        <v>700</v>
      </c>
      <c r="AC48" s="95">
        <f>Construction!AH48</f>
        <v>0</v>
      </c>
    </row>
    <row r="49" spans="1:29" s="16" customFormat="1">
      <c r="A49" s="16">
        <f>Construction!E49</f>
        <v>1000</v>
      </c>
      <c r="B49" s="68">
        <f>Construction!F49</f>
        <v>0</v>
      </c>
      <c r="C49" s="29">
        <f>Construction!G49</f>
        <v>100</v>
      </c>
      <c r="D49" s="30">
        <f>Construction!H49</f>
        <v>150</v>
      </c>
      <c r="E49" s="31">
        <f>Construction!I49</f>
        <v>150</v>
      </c>
      <c r="F49" s="32">
        <f>Construction!J49</f>
        <v>100</v>
      </c>
      <c r="G49" s="33">
        <f>Construction!K49</f>
        <v>20</v>
      </c>
      <c r="H49" s="69">
        <f>Construction!L49</f>
        <v>100</v>
      </c>
      <c r="J49" s="529">
        <f t="shared" si="5"/>
        <v>47</v>
      </c>
      <c r="K49" s="574">
        <f>Imps!BY49</f>
        <v>43693.916666666555</v>
      </c>
      <c r="L49" s="356"/>
      <c r="M49" s="348"/>
      <c r="N49" s="348"/>
      <c r="O49" s="348"/>
      <c r="P49" s="348"/>
      <c r="Q49" s="348"/>
      <c r="R49" s="357"/>
      <c r="S49" s="166">
        <f t="shared" si="0"/>
        <v>0</v>
      </c>
      <c r="T49" s="160" t="str">
        <f t="shared" si="1"/>
        <v>Ok</v>
      </c>
      <c r="V49" s="64">
        <f ca="1">Production!H49</f>
        <v>3437457</v>
      </c>
      <c r="X49" s="152">
        <f ca="1">ROUND( (1-MIN(ROUND(facs_rezone_factor*AC49,4),facs_rezone_max)) * (1+MIN(tech_construction_rezone*Techs!AD49,tech_conquerors_crafts*Techs!AS49)) * AA49*(1+race_rezone_cost),0)</f>
        <v>700</v>
      </c>
      <c r="Y49" s="166">
        <f t="shared" ca="1" si="6"/>
        <v>0</v>
      </c>
      <c r="AA49" s="160">
        <f t="shared" si="4"/>
        <v>700</v>
      </c>
      <c r="AC49" s="95">
        <f>Construction!AH49</f>
        <v>0</v>
      </c>
    </row>
    <row r="50" spans="1:29" s="16" customFormat="1" ht="13.5" thickBot="1">
      <c r="A50" s="16">
        <f>Construction!E50</f>
        <v>1000</v>
      </c>
      <c r="B50" s="68">
        <f>Construction!F50</f>
        <v>0</v>
      </c>
      <c r="C50" s="29">
        <f>Construction!G50</f>
        <v>100</v>
      </c>
      <c r="D50" s="30">
        <f>Construction!H50</f>
        <v>150</v>
      </c>
      <c r="E50" s="31">
        <f>Construction!I50</f>
        <v>150</v>
      </c>
      <c r="F50" s="32">
        <f>Construction!J50</f>
        <v>100</v>
      </c>
      <c r="G50" s="33">
        <f>Construction!K50</f>
        <v>20</v>
      </c>
      <c r="H50" s="69">
        <f>Construction!L50</f>
        <v>100</v>
      </c>
      <c r="J50" s="529">
        <f t="shared" si="5"/>
        <v>48</v>
      </c>
      <c r="K50" s="574">
        <f>Imps!BY50</f>
        <v>43693.958333333219</v>
      </c>
      <c r="L50" s="356"/>
      <c r="M50" s="348"/>
      <c r="N50" s="348"/>
      <c r="O50" s="348"/>
      <c r="P50" s="348"/>
      <c r="Q50" s="348"/>
      <c r="R50" s="357"/>
      <c r="S50" s="166">
        <f t="shared" si="0"/>
        <v>0</v>
      </c>
      <c r="T50" s="160" t="str">
        <f t="shared" si="1"/>
        <v>Ok</v>
      </c>
      <c r="V50" s="64">
        <f ca="1">Production!H50</f>
        <v>3448108</v>
      </c>
      <c r="X50" s="152">
        <f ca="1">ROUND( (1-MIN(ROUND(facs_rezone_factor*AC50,4),facs_rezone_max)) * (1+MIN(tech_construction_rezone*Techs!AD50,tech_conquerors_crafts*Techs!AS50)) * AA50*(1+race_rezone_cost),0)</f>
        <v>700</v>
      </c>
      <c r="Y50" s="166">
        <f t="shared" ca="1" si="6"/>
        <v>0</v>
      </c>
      <c r="AA50" s="160">
        <f t="shared" si="4"/>
        <v>700</v>
      </c>
      <c r="AC50" s="95">
        <f>Construction!AH50</f>
        <v>0</v>
      </c>
    </row>
    <row r="51" spans="1:29" s="111" customFormat="1" ht="14.25" thickTop="1" thickBot="1">
      <c r="A51" s="111">
        <f>Construction!E51</f>
        <v>1000</v>
      </c>
      <c r="B51" s="118">
        <f>Construction!F51</f>
        <v>0</v>
      </c>
      <c r="C51" s="119">
        <f>Construction!G51</f>
        <v>100</v>
      </c>
      <c r="D51" s="120">
        <f>Construction!H51</f>
        <v>150</v>
      </c>
      <c r="E51" s="121">
        <f>Construction!I51</f>
        <v>150</v>
      </c>
      <c r="F51" s="122">
        <f>Construction!J51</f>
        <v>100</v>
      </c>
      <c r="G51" s="123">
        <f>Construction!K51</f>
        <v>20</v>
      </c>
      <c r="H51" s="124">
        <f>Construction!L51</f>
        <v>100</v>
      </c>
      <c r="J51" s="633">
        <f t="shared" si="5"/>
        <v>49</v>
      </c>
      <c r="K51" s="575">
        <f>Imps!BY51</f>
        <v>43693.999999999884</v>
      </c>
      <c r="L51" s="358"/>
      <c r="M51" s="350"/>
      <c r="N51" s="350"/>
      <c r="O51" s="350"/>
      <c r="P51" s="350"/>
      <c r="Q51" s="350"/>
      <c r="R51" s="359"/>
      <c r="S51" s="274">
        <f t="shared" si="0"/>
        <v>0</v>
      </c>
      <c r="T51" s="506" t="str">
        <f t="shared" si="1"/>
        <v>Ok</v>
      </c>
      <c r="V51" s="117">
        <f ca="1">Production!H51</f>
        <v>3458759</v>
      </c>
      <c r="X51" s="273">
        <f ca="1">ROUND( (1-MIN(ROUND(facs_rezone_factor*AC51,4),facs_rezone_max)) * (1+MIN(tech_construction_rezone*Techs!AD51,tech_conquerors_crafts*Techs!AS51)) * AA51*(1+race_rezone_cost),0)</f>
        <v>700</v>
      </c>
      <c r="Y51" s="274">
        <f t="shared" ca="1" si="6"/>
        <v>0</v>
      </c>
      <c r="AA51" s="506">
        <f t="shared" si="4"/>
        <v>700</v>
      </c>
      <c r="AC51" s="134">
        <f>Construction!AH51</f>
        <v>0</v>
      </c>
    </row>
    <row r="52" spans="1:29" s="16" customFormat="1" ht="13.5" thickTop="1">
      <c r="A52" s="16">
        <f>Construction!E52</f>
        <v>1000</v>
      </c>
      <c r="B52" s="68">
        <f>Construction!F52</f>
        <v>0</v>
      </c>
      <c r="C52" s="29">
        <f>Construction!G52</f>
        <v>100</v>
      </c>
      <c r="D52" s="30">
        <f>Construction!H52</f>
        <v>150</v>
      </c>
      <c r="E52" s="31">
        <f>Construction!I52</f>
        <v>150</v>
      </c>
      <c r="F52" s="32">
        <f>Construction!J52</f>
        <v>100</v>
      </c>
      <c r="G52" s="33">
        <f>Construction!K52</f>
        <v>20</v>
      </c>
      <c r="H52" s="69">
        <f>Construction!L52</f>
        <v>100</v>
      </c>
      <c r="J52" s="529">
        <f t="shared" si="5"/>
        <v>50</v>
      </c>
      <c r="K52" s="574">
        <f>Imps!BY52</f>
        <v>43694.041666666548</v>
      </c>
      <c r="L52" s="356"/>
      <c r="M52" s="348"/>
      <c r="N52" s="348"/>
      <c r="O52" s="348"/>
      <c r="P52" s="348"/>
      <c r="Q52" s="348"/>
      <c r="R52" s="357"/>
      <c r="S52" s="166">
        <f t="shared" si="0"/>
        <v>0</v>
      </c>
      <c r="T52" s="160" t="str">
        <f t="shared" si="1"/>
        <v>Ok</v>
      </c>
      <c r="V52" s="64">
        <f ca="1">Production!H52</f>
        <v>3469410</v>
      </c>
      <c r="X52" s="152">
        <f ca="1">ROUND( (1-MIN(ROUND(facs_rezone_factor*AC52,4),facs_rezone_max)) * (1+MIN(tech_construction_rezone*Techs!AD52,tech_conquerors_crafts*Techs!AS52)) * AA52*(1+race_rezone_cost),0)</f>
        <v>700</v>
      </c>
      <c r="Y52" s="166">
        <f t="shared" ca="1" si="6"/>
        <v>0</v>
      </c>
      <c r="AA52" s="160">
        <f t="shared" si="4"/>
        <v>700</v>
      </c>
      <c r="AC52" s="95">
        <f>Construction!AH52</f>
        <v>0</v>
      </c>
    </row>
    <row r="53" spans="1:29" s="16" customFormat="1">
      <c r="A53" s="16">
        <f>Construction!E53</f>
        <v>1000</v>
      </c>
      <c r="B53" s="68">
        <f>Construction!F53</f>
        <v>0</v>
      </c>
      <c r="C53" s="29">
        <f>Construction!G53</f>
        <v>100</v>
      </c>
      <c r="D53" s="30">
        <f>Construction!H53</f>
        <v>150</v>
      </c>
      <c r="E53" s="31">
        <f>Construction!I53</f>
        <v>150</v>
      </c>
      <c r="F53" s="32">
        <f>Construction!J53</f>
        <v>100</v>
      </c>
      <c r="G53" s="33">
        <f>Construction!K53</f>
        <v>20</v>
      </c>
      <c r="H53" s="69">
        <f>Construction!L53</f>
        <v>100</v>
      </c>
      <c r="J53" s="529">
        <f t="shared" si="5"/>
        <v>51</v>
      </c>
      <c r="K53" s="574">
        <f>Imps!BY53</f>
        <v>43694.083333333212</v>
      </c>
      <c r="L53" s="356"/>
      <c r="M53" s="348"/>
      <c r="N53" s="348"/>
      <c r="O53" s="348"/>
      <c r="P53" s="348"/>
      <c r="Q53" s="348"/>
      <c r="R53" s="357"/>
      <c r="S53" s="166">
        <f t="shared" si="0"/>
        <v>0</v>
      </c>
      <c r="T53" s="160" t="str">
        <f t="shared" si="1"/>
        <v>Ok</v>
      </c>
      <c r="V53" s="64">
        <f ca="1">Production!H53</f>
        <v>3480061</v>
      </c>
      <c r="X53" s="152">
        <f ca="1">ROUND( (1-MIN(ROUND(facs_rezone_factor*AC53,4),facs_rezone_max)) * (1+MIN(tech_construction_rezone*Techs!AD53,tech_conquerors_crafts*Techs!AS53)) * AA53*(1+race_rezone_cost),0)</f>
        <v>700</v>
      </c>
      <c r="Y53" s="166">
        <f t="shared" ca="1" si="6"/>
        <v>0</v>
      </c>
      <c r="AA53" s="160">
        <f t="shared" si="4"/>
        <v>700</v>
      </c>
      <c r="AC53" s="95">
        <f>Construction!AH53</f>
        <v>0</v>
      </c>
    </row>
    <row r="54" spans="1:29" s="16" customFormat="1">
      <c r="A54" s="16">
        <f>Construction!E54</f>
        <v>1000</v>
      </c>
      <c r="B54" s="68">
        <f>Construction!F54</f>
        <v>0</v>
      </c>
      <c r="C54" s="29">
        <f>Construction!G54</f>
        <v>100</v>
      </c>
      <c r="D54" s="30">
        <f>Construction!H54</f>
        <v>150</v>
      </c>
      <c r="E54" s="31">
        <f>Construction!I54</f>
        <v>150</v>
      </c>
      <c r="F54" s="32">
        <f>Construction!J54</f>
        <v>100</v>
      </c>
      <c r="G54" s="33">
        <f>Construction!K54</f>
        <v>20</v>
      </c>
      <c r="H54" s="69">
        <f>Construction!L54</f>
        <v>100</v>
      </c>
      <c r="J54" s="529">
        <f t="shared" si="5"/>
        <v>52</v>
      </c>
      <c r="K54" s="574">
        <f>Imps!BY54</f>
        <v>43694.124999999876</v>
      </c>
      <c r="L54" s="356"/>
      <c r="M54" s="348"/>
      <c r="N54" s="348"/>
      <c r="O54" s="348"/>
      <c r="P54" s="348"/>
      <c r="Q54" s="348"/>
      <c r="R54" s="357"/>
      <c r="S54" s="166">
        <f t="shared" si="0"/>
        <v>0</v>
      </c>
      <c r="T54" s="160" t="str">
        <f t="shared" si="1"/>
        <v>Ok</v>
      </c>
      <c r="V54" s="64">
        <f ca="1">Production!H54</f>
        <v>3490712</v>
      </c>
      <c r="X54" s="152">
        <f ca="1">ROUND( (1-MIN(ROUND(facs_rezone_factor*AC54,4),facs_rezone_max)) * (1+MIN(tech_construction_rezone*Techs!AD54,tech_conquerors_crafts*Techs!AS54)) * AA54*(1+race_rezone_cost),0)</f>
        <v>700</v>
      </c>
      <c r="Y54" s="166">
        <f t="shared" ca="1" si="6"/>
        <v>0</v>
      </c>
      <c r="AA54" s="160">
        <f t="shared" si="4"/>
        <v>700</v>
      </c>
      <c r="AC54" s="95">
        <f>Construction!AH54</f>
        <v>0</v>
      </c>
    </row>
    <row r="55" spans="1:29" s="16" customFormat="1">
      <c r="A55" s="16">
        <f>Construction!E55</f>
        <v>1000</v>
      </c>
      <c r="B55" s="68">
        <f>Construction!F55</f>
        <v>0</v>
      </c>
      <c r="C55" s="29">
        <f>Construction!G55</f>
        <v>100</v>
      </c>
      <c r="D55" s="30">
        <f>Construction!H55</f>
        <v>150</v>
      </c>
      <c r="E55" s="31">
        <f>Construction!I55</f>
        <v>150</v>
      </c>
      <c r="F55" s="32">
        <f>Construction!J55</f>
        <v>100</v>
      </c>
      <c r="G55" s="33">
        <f>Construction!K55</f>
        <v>20</v>
      </c>
      <c r="H55" s="69">
        <f>Construction!L55</f>
        <v>100</v>
      </c>
      <c r="J55" s="529">
        <f t="shared" si="5"/>
        <v>53</v>
      </c>
      <c r="K55" s="574">
        <f>Imps!BY55</f>
        <v>43694.166666666541</v>
      </c>
      <c r="L55" s="356"/>
      <c r="M55" s="348"/>
      <c r="N55" s="348"/>
      <c r="O55" s="348"/>
      <c r="P55" s="348"/>
      <c r="Q55" s="348"/>
      <c r="R55" s="357"/>
      <c r="S55" s="166">
        <f t="shared" si="0"/>
        <v>0</v>
      </c>
      <c r="T55" s="160" t="str">
        <f t="shared" si="1"/>
        <v>Ok</v>
      </c>
      <c r="V55" s="64">
        <f ca="1">Production!H55</f>
        <v>3501363</v>
      </c>
      <c r="X55" s="152">
        <f ca="1">ROUND( (1-MIN(ROUND(facs_rezone_factor*AC55,4),facs_rezone_max)) * (1+MIN(tech_construction_rezone*Techs!AD55,tech_conquerors_crafts*Techs!AS55)) * AA55*(1+race_rezone_cost),0)</f>
        <v>700</v>
      </c>
      <c r="Y55" s="166">
        <f t="shared" ca="1" si="6"/>
        <v>0</v>
      </c>
      <c r="AA55" s="160">
        <f t="shared" si="4"/>
        <v>700</v>
      </c>
      <c r="AC55" s="95">
        <f>Construction!AH55</f>
        <v>0</v>
      </c>
    </row>
    <row r="56" spans="1:29" s="16" customFormat="1">
      <c r="A56" s="16">
        <f>Construction!E56</f>
        <v>1000</v>
      </c>
      <c r="B56" s="68">
        <f>Construction!F56</f>
        <v>0</v>
      </c>
      <c r="C56" s="29">
        <f>Construction!G56</f>
        <v>100</v>
      </c>
      <c r="D56" s="30">
        <f>Construction!H56</f>
        <v>150</v>
      </c>
      <c r="E56" s="31">
        <f>Construction!I56</f>
        <v>150</v>
      </c>
      <c r="F56" s="32">
        <f>Construction!J56</f>
        <v>100</v>
      </c>
      <c r="G56" s="33">
        <f>Construction!K56</f>
        <v>20</v>
      </c>
      <c r="H56" s="69">
        <f>Construction!L56</f>
        <v>100</v>
      </c>
      <c r="J56" s="529">
        <f t="shared" si="5"/>
        <v>54</v>
      </c>
      <c r="K56" s="574">
        <f>Imps!BY56</f>
        <v>43694.208333333205</v>
      </c>
      <c r="L56" s="356"/>
      <c r="M56" s="348"/>
      <c r="N56" s="348"/>
      <c r="O56" s="348"/>
      <c r="P56" s="348"/>
      <c r="Q56" s="348"/>
      <c r="R56" s="357"/>
      <c r="S56" s="166">
        <f t="shared" si="0"/>
        <v>0</v>
      </c>
      <c r="T56" s="160" t="str">
        <f t="shared" si="1"/>
        <v>Ok</v>
      </c>
      <c r="V56" s="64">
        <f ca="1">Production!H56</f>
        <v>3512014</v>
      </c>
      <c r="X56" s="152">
        <f ca="1">ROUND( (1-MIN(ROUND(facs_rezone_factor*AC56,4),facs_rezone_max)) * (1+MIN(tech_construction_rezone*Techs!AD56,tech_conquerors_crafts*Techs!AS56)) * AA56*(1+race_rezone_cost),0)</f>
        <v>700</v>
      </c>
      <c r="Y56" s="166">
        <f t="shared" ca="1" si="6"/>
        <v>0</v>
      </c>
      <c r="AA56" s="160">
        <f t="shared" si="4"/>
        <v>700</v>
      </c>
      <c r="AC56" s="95">
        <f>Construction!AH56</f>
        <v>0</v>
      </c>
    </row>
    <row r="57" spans="1:29" s="16" customFormat="1">
      <c r="A57" s="16">
        <f>Construction!E57</f>
        <v>1000</v>
      </c>
      <c r="B57" s="68">
        <f>Construction!F57</f>
        <v>0</v>
      </c>
      <c r="C57" s="29">
        <f>Construction!G57</f>
        <v>100</v>
      </c>
      <c r="D57" s="30">
        <f>Construction!H57</f>
        <v>150</v>
      </c>
      <c r="E57" s="31">
        <f>Construction!I57</f>
        <v>150</v>
      </c>
      <c r="F57" s="32">
        <f>Construction!J57</f>
        <v>100</v>
      </c>
      <c r="G57" s="33">
        <f>Construction!K57</f>
        <v>20</v>
      </c>
      <c r="H57" s="69">
        <f>Construction!L57</f>
        <v>100</v>
      </c>
      <c r="J57" s="529">
        <f t="shared" si="5"/>
        <v>55</v>
      </c>
      <c r="K57" s="574">
        <f>Imps!BY57</f>
        <v>43694.249999999869</v>
      </c>
      <c r="L57" s="356"/>
      <c r="M57" s="348"/>
      <c r="N57" s="348"/>
      <c r="O57" s="348"/>
      <c r="P57" s="348"/>
      <c r="Q57" s="348"/>
      <c r="R57" s="357"/>
      <c r="S57" s="166">
        <f t="shared" si="0"/>
        <v>0</v>
      </c>
      <c r="T57" s="160" t="str">
        <f t="shared" si="1"/>
        <v>Ok</v>
      </c>
      <c r="V57" s="64">
        <f ca="1">Production!H57</f>
        <v>3522665</v>
      </c>
      <c r="X57" s="152">
        <f ca="1">ROUND( (1-MIN(ROUND(facs_rezone_factor*AC57,4),facs_rezone_max)) * (1+MIN(tech_construction_rezone*Techs!AD57,tech_conquerors_crafts*Techs!AS57)) * AA57*(1+race_rezone_cost),0)</f>
        <v>700</v>
      </c>
      <c r="Y57" s="166">
        <f t="shared" ca="1" si="6"/>
        <v>0</v>
      </c>
      <c r="AA57" s="160">
        <f t="shared" si="4"/>
        <v>700</v>
      </c>
      <c r="AC57" s="95">
        <f>Construction!AH57</f>
        <v>0</v>
      </c>
    </row>
    <row r="58" spans="1:29" s="16" customFormat="1">
      <c r="A58" s="16">
        <f>Construction!E58</f>
        <v>1000</v>
      </c>
      <c r="B58" s="68">
        <f>Construction!F58</f>
        <v>0</v>
      </c>
      <c r="C58" s="29">
        <f>Construction!G58</f>
        <v>100</v>
      </c>
      <c r="D58" s="30">
        <f>Construction!H58</f>
        <v>150</v>
      </c>
      <c r="E58" s="31">
        <f>Construction!I58</f>
        <v>150</v>
      </c>
      <c r="F58" s="32">
        <f>Construction!J58</f>
        <v>100</v>
      </c>
      <c r="G58" s="33">
        <f>Construction!K58</f>
        <v>20</v>
      </c>
      <c r="H58" s="69">
        <f>Construction!L58</f>
        <v>100</v>
      </c>
      <c r="J58" s="529">
        <f t="shared" si="5"/>
        <v>56</v>
      </c>
      <c r="K58" s="574">
        <f>Imps!BY58</f>
        <v>43694.291666666533</v>
      </c>
      <c r="L58" s="356"/>
      <c r="M58" s="348"/>
      <c r="N58" s="348"/>
      <c r="O58" s="348"/>
      <c r="P58" s="348"/>
      <c r="Q58" s="348"/>
      <c r="R58" s="357"/>
      <c r="S58" s="166">
        <f t="shared" si="0"/>
        <v>0</v>
      </c>
      <c r="T58" s="160" t="str">
        <f t="shared" si="1"/>
        <v>Ok</v>
      </c>
      <c r="V58" s="64">
        <f ca="1">Production!H58</f>
        <v>3533316</v>
      </c>
      <c r="X58" s="152">
        <f ca="1">ROUND( (1-MIN(ROUND(facs_rezone_factor*AC58,4),facs_rezone_max)) * (1+MIN(tech_construction_rezone*Techs!AD58,tech_conquerors_crafts*Techs!AS58)) * AA58*(1+race_rezone_cost),0)</f>
        <v>700</v>
      </c>
      <c r="Y58" s="166">
        <f t="shared" ca="1" si="6"/>
        <v>0</v>
      </c>
      <c r="AA58" s="160">
        <f t="shared" si="4"/>
        <v>700</v>
      </c>
      <c r="AC58" s="95">
        <f>Construction!AH58</f>
        <v>0</v>
      </c>
    </row>
    <row r="59" spans="1:29" s="16" customFormat="1">
      <c r="A59" s="16">
        <f>Construction!E59</f>
        <v>1000</v>
      </c>
      <c r="B59" s="68">
        <f>Construction!F59</f>
        <v>0</v>
      </c>
      <c r="C59" s="29">
        <f>Construction!G59</f>
        <v>100</v>
      </c>
      <c r="D59" s="30">
        <f>Construction!H59</f>
        <v>150</v>
      </c>
      <c r="E59" s="31">
        <f>Construction!I59</f>
        <v>150</v>
      </c>
      <c r="F59" s="32">
        <f>Construction!J59</f>
        <v>100</v>
      </c>
      <c r="G59" s="33">
        <f>Construction!K59</f>
        <v>20</v>
      </c>
      <c r="H59" s="69">
        <f>Construction!L59</f>
        <v>100</v>
      </c>
      <c r="J59" s="529">
        <f t="shared" si="5"/>
        <v>57</v>
      </c>
      <c r="K59" s="574">
        <f>Imps!BY59</f>
        <v>43694.333333333198</v>
      </c>
      <c r="L59" s="356"/>
      <c r="M59" s="348"/>
      <c r="N59" s="348"/>
      <c r="O59" s="348"/>
      <c r="P59" s="348"/>
      <c r="Q59" s="348"/>
      <c r="R59" s="357"/>
      <c r="S59" s="166">
        <f t="shared" si="0"/>
        <v>0</v>
      </c>
      <c r="T59" s="160" t="str">
        <f t="shared" si="1"/>
        <v>Ok</v>
      </c>
      <c r="V59" s="64">
        <f ca="1">Production!H59</f>
        <v>3543967</v>
      </c>
      <c r="X59" s="152">
        <f ca="1">ROUND( (1-MIN(ROUND(facs_rezone_factor*AC59,4),facs_rezone_max)) * (1+MIN(tech_construction_rezone*Techs!AD59,tech_conquerors_crafts*Techs!AS59)) * AA59*(1+race_rezone_cost),0)</f>
        <v>700</v>
      </c>
      <c r="Y59" s="166">
        <f t="shared" ca="1" si="6"/>
        <v>0</v>
      </c>
      <c r="AA59" s="160">
        <f t="shared" si="4"/>
        <v>700</v>
      </c>
      <c r="AC59" s="95">
        <f>Construction!AH59</f>
        <v>0</v>
      </c>
    </row>
    <row r="60" spans="1:29" s="16" customFormat="1">
      <c r="A60" s="16">
        <f>Construction!E60</f>
        <v>1000</v>
      </c>
      <c r="B60" s="68">
        <f>Construction!F60</f>
        <v>0</v>
      </c>
      <c r="C60" s="29">
        <f>Construction!G60</f>
        <v>100</v>
      </c>
      <c r="D60" s="30">
        <f>Construction!H60</f>
        <v>150</v>
      </c>
      <c r="E60" s="31">
        <f>Construction!I60</f>
        <v>150</v>
      </c>
      <c r="F60" s="32">
        <f>Construction!J60</f>
        <v>100</v>
      </c>
      <c r="G60" s="33">
        <f>Construction!K60</f>
        <v>20</v>
      </c>
      <c r="H60" s="69">
        <f>Construction!L60</f>
        <v>100</v>
      </c>
      <c r="J60" s="529">
        <f t="shared" si="5"/>
        <v>58</v>
      </c>
      <c r="K60" s="574">
        <f>Imps!BY60</f>
        <v>43694.374999999862</v>
      </c>
      <c r="L60" s="356"/>
      <c r="M60" s="348"/>
      <c r="N60" s="348"/>
      <c r="O60" s="348"/>
      <c r="P60" s="348"/>
      <c r="Q60" s="348"/>
      <c r="R60" s="357"/>
      <c r="S60" s="166">
        <f t="shared" si="0"/>
        <v>0</v>
      </c>
      <c r="T60" s="160" t="str">
        <f t="shared" si="1"/>
        <v>Ok</v>
      </c>
      <c r="V60" s="64">
        <f ca="1">Production!H60</f>
        <v>3554618</v>
      </c>
      <c r="X60" s="152">
        <f ca="1">ROUND( (1-MIN(ROUND(facs_rezone_factor*AC60,4),facs_rezone_max)) * (1+MIN(tech_construction_rezone*Techs!AD60,tech_conquerors_crafts*Techs!AS60)) * AA60*(1+race_rezone_cost),0)</f>
        <v>700</v>
      </c>
      <c r="Y60" s="166">
        <f t="shared" ca="1" si="6"/>
        <v>0</v>
      </c>
      <c r="AA60" s="160">
        <f t="shared" si="4"/>
        <v>700</v>
      </c>
      <c r="AC60" s="95">
        <f>Construction!AH60</f>
        <v>0</v>
      </c>
    </row>
    <row r="61" spans="1:29" s="16" customFormat="1">
      <c r="A61" s="16">
        <f>Construction!E61</f>
        <v>1000</v>
      </c>
      <c r="B61" s="68">
        <f>Construction!F61</f>
        <v>0</v>
      </c>
      <c r="C61" s="29">
        <f>Construction!G61</f>
        <v>100</v>
      </c>
      <c r="D61" s="30">
        <f>Construction!H61</f>
        <v>150</v>
      </c>
      <c r="E61" s="31">
        <f>Construction!I61</f>
        <v>150</v>
      </c>
      <c r="F61" s="32">
        <f>Construction!J61</f>
        <v>100</v>
      </c>
      <c r="G61" s="33">
        <f>Construction!K61</f>
        <v>20</v>
      </c>
      <c r="H61" s="69">
        <f>Construction!L61</f>
        <v>100</v>
      </c>
      <c r="J61" s="529">
        <f t="shared" si="5"/>
        <v>59</v>
      </c>
      <c r="K61" s="574">
        <f>Imps!BY61</f>
        <v>43694.416666666526</v>
      </c>
      <c r="L61" s="356"/>
      <c r="M61" s="348"/>
      <c r="N61" s="348"/>
      <c r="O61" s="348"/>
      <c r="P61" s="348"/>
      <c r="Q61" s="348"/>
      <c r="R61" s="357"/>
      <c r="S61" s="166">
        <f t="shared" si="0"/>
        <v>0</v>
      </c>
      <c r="T61" s="160" t="str">
        <f t="shared" si="1"/>
        <v>Ok</v>
      </c>
      <c r="V61" s="64">
        <f ca="1">Production!H61</f>
        <v>3565269</v>
      </c>
      <c r="X61" s="152">
        <f ca="1">ROUND( (1-MIN(ROUND(facs_rezone_factor*AC61,4),facs_rezone_max)) * (1+MIN(tech_construction_rezone*Techs!AD61,tech_conquerors_crafts*Techs!AS61)) * AA61*(1+race_rezone_cost),0)</f>
        <v>700</v>
      </c>
      <c r="Y61" s="166">
        <f t="shared" ca="1" si="6"/>
        <v>0</v>
      </c>
      <c r="AA61" s="160">
        <f t="shared" si="4"/>
        <v>700</v>
      </c>
      <c r="AC61" s="95">
        <f>Construction!AH61</f>
        <v>0</v>
      </c>
    </row>
    <row r="62" spans="1:29" s="16" customFormat="1">
      <c r="A62" s="16">
        <f>Construction!E62</f>
        <v>1000</v>
      </c>
      <c r="B62" s="68">
        <f>Construction!F62</f>
        <v>0</v>
      </c>
      <c r="C62" s="29">
        <f>Construction!G62</f>
        <v>100</v>
      </c>
      <c r="D62" s="30">
        <f>Construction!H62</f>
        <v>150</v>
      </c>
      <c r="E62" s="31">
        <f>Construction!I62</f>
        <v>150</v>
      </c>
      <c r="F62" s="32">
        <f>Construction!J62</f>
        <v>100</v>
      </c>
      <c r="G62" s="33">
        <f>Construction!K62</f>
        <v>20</v>
      </c>
      <c r="H62" s="69">
        <f>Construction!L62</f>
        <v>100</v>
      </c>
      <c r="J62" s="529">
        <f t="shared" si="5"/>
        <v>60</v>
      </c>
      <c r="K62" s="574">
        <f>Imps!BY62</f>
        <v>43694.45833333319</v>
      </c>
      <c r="L62" s="356"/>
      <c r="M62" s="348"/>
      <c r="N62" s="348"/>
      <c r="O62" s="348"/>
      <c r="P62" s="348"/>
      <c r="Q62" s="348"/>
      <c r="R62" s="357"/>
      <c r="S62" s="166">
        <f t="shared" si="0"/>
        <v>0</v>
      </c>
      <c r="T62" s="160" t="str">
        <f t="shared" si="1"/>
        <v>Ok</v>
      </c>
      <c r="V62" s="64">
        <f ca="1">Production!H62</f>
        <v>3575920</v>
      </c>
      <c r="X62" s="152">
        <f ca="1">ROUND( (1-MIN(ROUND(facs_rezone_factor*AC62,4),facs_rezone_max)) * (1+MIN(tech_construction_rezone*Techs!AD62,tech_conquerors_crafts*Techs!AS62)) * AA62*(1+race_rezone_cost),0)</f>
        <v>700</v>
      </c>
      <c r="Y62" s="166">
        <f t="shared" ca="1" si="6"/>
        <v>0</v>
      </c>
      <c r="AA62" s="160">
        <f t="shared" si="4"/>
        <v>700</v>
      </c>
      <c r="AC62" s="95">
        <f>Construction!AH62</f>
        <v>0</v>
      </c>
    </row>
    <row r="63" spans="1:29" s="12" customFormat="1">
      <c r="A63" s="12">
        <f>Construction!E63</f>
        <v>1000</v>
      </c>
      <c r="B63" s="66">
        <f>Construction!F63</f>
        <v>0</v>
      </c>
      <c r="C63" s="18">
        <f>Construction!G63</f>
        <v>100</v>
      </c>
      <c r="D63" s="19">
        <f>Construction!H63</f>
        <v>150</v>
      </c>
      <c r="E63" s="20">
        <f>Construction!I63</f>
        <v>150</v>
      </c>
      <c r="F63" s="200">
        <f>Construction!J63</f>
        <v>100</v>
      </c>
      <c r="G63" s="22">
        <f>Construction!K63</f>
        <v>20</v>
      </c>
      <c r="H63" s="67">
        <f>Construction!L63</f>
        <v>100</v>
      </c>
      <c r="J63" s="631">
        <f t="shared" si="5"/>
        <v>61</v>
      </c>
      <c r="K63" s="679">
        <f>Imps!BY63</f>
        <v>43694.499999999854</v>
      </c>
      <c r="L63" s="373"/>
      <c r="M63" s="349"/>
      <c r="N63" s="349"/>
      <c r="O63" s="349"/>
      <c r="P63" s="349"/>
      <c r="Q63" s="349"/>
      <c r="R63" s="374"/>
      <c r="S63" s="158">
        <f t="shared" si="0"/>
        <v>0</v>
      </c>
      <c r="T63" s="203" t="str">
        <f t="shared" si="1"/>
        <v>Ok</v>
      </c>
      <c r="V63" s="93">
        <f ca="1">Production!H63</f>
        <v>3586571</v>
      </c>
      <c r="X63" s="151">
        <f ca="1">ROUND( (1-MIN(ROUND(facs_rezone_factor*AC63,4),facs_rezone_max)) * (1+MIN(tech_construction_rezone*Techs!AD63,tech_conquerors_crafts*Techs!AS63)) * AA63*(1+race_rezone_cost),0)</f>
        <v>700</v>
      </c>
      <c r="Y63" s="158">
        <f t="shared" ca="1" si="6"/>
        <v>0</v>
      </c>
      <c r="AA63" s="203">
        <f t="shared" si="4"/>
        <v>700</v>
      </c>
      <c r="AC63" s="94">
        <f>Construction!AH63</f>
        <v>0</v>
      </c>
    </row>
    <row r="64" spans="1:29" s="16" customFormat="1">
      <c r="A64" s="16">
        <f>Construction!E64</f>
        <v>1000</v>
      </c>
      <c r="B64" s="68">
        <f>Construction!F64</f>
        <v>0</v>
      </c>
      <c r="C64" s="29">
        <f>Construction!G64</f>
        <v>100</v>
      </c>
      <c r="D64" s="30">
        <f>Construction!H64</f>
        <v>150</v>
      </c>
      <c r="E64" s="31">
        <f>Construction!I64</f>
        <v>150</v>
      </c>
      <c r="F64" s="32">
        <f>Construction!J64</f>
        <v>100</v>
      </c>
      <c r="G64" s="33">
        <f>Construction!K64</f>
        <v>20</v>
      </c>
      <c r="H64" s="69">
        <f>Construction!L64</f>
        <v>100</v>
      </c>
      <c r="J64" s="529">
        <f t="shared" si="5"/>
        <v>62</v>
      </c>
      <c r="K64" s="574">
        <f>Imps!BY64</f>
        <v>43694.541666666519</v>
      </c>
      <c r="L64" s="356"/>
      <c r="M64" s="348"/>
      <c r="N64" s="348"/>
      <c r="O64" s="348"/>
      <c r="P64" s="348"/>
      <c r="Q64" s="348"/>
      <c r="R64" s="357"/>
      <c r="S64" s="166">
        <f t="shared" si="0"/>
        <v>0</v>
      </c>
      <c r="T64" s="160" t="str">
        <f t="shared" si="1"/>
        <v>Ok</v>
      </c>
      <c r="V64" s="64">
        <f ca="1">Production!H64</f>
        <v>3597222</v>
      </c>
      <c r="X64" s="152">
        <f ca="1">ROUND( (1-MIN(ROUND(facs_rezone_factor*AC64,4),facs_rezone_max)) * (1+MIN(tech_construction_rezone*Techs!AD64,tech_conquerors_crafts*Techs!AS64)) * AA64*(1+race_rezone_cost),0)</f>
        <v>700</v>
      </c>
      <c r="Y64" s="166">
        <f t="shared" ca="1" si="6"/>
        <v>0</v>
      </c>
      <c r="AA64" s="160">
        <f t="shared" si="4"/>
        <v>700</v>
      </c>
      <c r="AC64" s="95">
        <f>Construction!AH64</f>
        <v>0</v>
      </c>
    </row>
    <row r="65" spans="1:29" s="16" customFormat="1">
      <c r="A65" s="16">
        <f>Construction!E65</f>
        <v>1000</v>
      </c>
      <c r="B65" s="68">
        <f>Construction!F65</f>
        <v>0</v>
      </c>
      <c r="C65" s="29">
        <f>Construction!G65</f>
        <v>100</v>
      </c>
      <c r="D65" s="30">
        <f>Construction!H65</f>
        <v>150</v>
      </c>
      <c r="E65" s="31">
        <f>Construction!I65</f>
        <v>150</v>
      </c>
      <c r="F65" s="32">
        <f>Construction!J65</f>
        <v>100</v>
      </c>
      <c r="G65" s="33">
        <f>Construction!K65</f>
        <v>20</v>
      </c>
      <c r="H65" s="69">
        <f>Construction!L65</f>
        <v>100</v>
      </c>
      <c r="J65" s="529">
        <f t="shared" si="5"/>
        <v>63</v>
      </c>
      <c r="K65" s="574">
        <f>Imps!BY65</f>
        <v>43694.583333333183</v>
      </c>
      <c r="L65" s="356"/>
      <c r="M65" s="348"/>
      <c r="N65" s="348"/>
      <c r="O65" s="348"/>
      <c r="P65" s="348"/>
      <c r="Q65" s="348"/>
      <c r="R65" s="357"/>
      <c r="S65" s="166">
        <f t="shared" si="0"/>
        <v>0</v>
      </c>
      <c r="T65" s="160" t="str">
        <f t="shared" si="1"/>
        <v>Ok</v>
      </c>
      <c r="V65" s="64">
        <f ca="1">Production!H65</f>
        <v>3607873</v>
      </c>
      <c r="X65" s="152">
        <f ca="1">ROUND( (1-MIN(ROUND(facs_rezone_factor*AC65,4),facs_rezone_max)) * (1+MIN(tech_construction_rezone*Techs!AD65,tech_conquerors_crafts*Techs!AS65)) * AA65*(1+race_rezone_cost),0)</f>
        <v>700</v>
      </c>
      <c r="Y65" s="166">
        <f t="shared" ca="1" si="6"/>
        <v>0</v>
      </c>
      <c r="AA65" s="160">
        <f t="shared" si="4"/>
        <v>700</v>
      </c>
      <c r="AC65" s="95">
        <f>Construction!AH65</f>
        <v>0</v>
      </c>
    </row>
    <row r="66" spans="1:29" s="16" customFormat="1">
      <c r="A66" s="16">
        <f>Construction!E66</f>
        <v>1000</v>
      </c>
      <c r="B66" s="68">
        <f>Construction!F66</f>
        <v>0</v>
      </c>
      <c r="C66" s="29">
        <f>Construction!G66</f>
        <v>100</v>
      </c>
      <c r="D66" s="30">
        <f>Construction!H66</f>
        <v>150</v>
      </c>
      <c r="E66" s="31">
        <f>Construction!I66</f>
        <v>150</v>
      </c>
      <c r="F66" s="32">
        <f>Construction!J66</f>
        <v>100</v>
      </c>
      <c r="G66" s="33">
        <f>Construction!K66</f>
        <v>20</v>
      </c>
      <c r="H66" s="69">
        <f>Construction!L66</f>
        <v>100</v>
      </c>
      <c r="J66" s="529">
        <f t="shared" si="5"/>
        <v>64</v>
      </c>
      <c r="K66" s="574">
        <f>Imps!BY66</f>
        <v>43694.624999999847</v>
      </c>
      <c r="L66" s="356"/>
      <c r="M66" s="348"/>
      <c r="N66" s="348"/>
      <c r="O66" s="348"/>
      <c r="P66" s="348"/>
      <c r="Q66" s="348"/>
      <c r="R66" s="357"/>
      <c r="S66" s="166">
        <f t="shared" si="0"/>
        <v>0</v>
      </c>
      <c r="T66" s="160" t="str">
        <f t="shared" si="1"/>
        <v>Ok</v>
      </c>
      <c r="V66" s="64">
        <f ca="1">Production!H66</f>
        <v>3618524</v>
      </c>
      <c r="X66" s="152">
        <f ca="1">ROUND( (1-MIN(ROUND(facs_rezone_factor*AC66,4),facs_rezone_max)) * (1+MIN(tech_construction_rezone*Techs!AD66,tech_conquerors_crafts*Techs!AS66)) * AA66*(1+race_rezone_cost),0)</f>
        <v>700</v>
      </c>
      <c r="Y66" s="166">
        <f t="shared" ca="1" si="6"/>
        <v>0</v>
      </c>
      <c r="AA66" s="160">
        <f t="shared" si="4"/>
        <v>700</v>
      </c>
      <c r="AC66" s="95">
        <f>Construction!AH66</f>
        <v>0</v>
      </c>
    </row>
    <row r="67" spans="1:29" s="16" customFormat="1">
      <c r="A67" s="16">
        <f>Construction!E67</f>
        <v>1000</v>
      </c>
      <c r="B67" s="68">
        <f>Construction!F67</f>
        <v>0</v>
      </c>
      <c r="C67" s="29">
        <f>Construction!G67</f>
        <v>100</v>
      </c>
      <c r="D67" s="30">
        <f>Construction!H67</f>
        <v>150</v>
      </c>
      <c r="E67" s="31">
        <f>Construction!I67</f>
        <v>150</v>
      </c>
      <c r="F67" s="32">
        <f>Construction!J67</f>
        <v>100</v>
      </c>
      <c r="G67" s="33">
        <f>Construction!K67</f>
        <v>20</v>
      </c>
      <c r="H67" s="69">
        <f>Construction!L67</f>
        <v>100</v>
      </c>
      <c r="J67" s="529">
        <f t="shared" si="5"/>
        <v>65</v>
      </c>
      <c r="K67" s="574">
        <f>Imps!BY67</f>
        <v>43694.666666666511</v>
      </c>
      <c r="L67" s="356"/>
      <c r="M67" s="348"/>
      <c r="N67" s="348"/>
      <c r="O67" s="348"/>
      <c r="P67" s="348"/>
      <c r="Q67" s="348"/>
      <c r="R67" s="357"/>
      <c r="S67" s="166">
        <f t="shared" ref="S67:S98" si="7">SUMIF(L67:R67,"&gt;0")</f>
        <v>0</v>
      </c>
      <c r="T67" s="160" t="str">
        <f t="shared" ref="T67:T98" si="8">IF(SUM(L67:R67)=0,"Ok","Nope")</f>
        <v>Ok</v>
      </c>
      <c r="V67" s="64">
        <f ca="1">Production!H67</f>
        <v>3629175</v>
      </c>
      <c r="X67" s="152">
        <f ca="1">ROUND( (1-MIN(ROUND(facs_rezone_factor*AC67,4),facs_rezone_max)) * (1+MIN(tech_construction_rezone*Techs!AD67,tech_conquerors_crafts*Techs!AS67)) * AA67*(1+race_rezone_cost),0)</f>
        <v>700</v>
      </c>
      <c r="Y67" s="166">
        <f t="shared" ref="Y67:Y130" ca="1" si="9">S67*X67</f>
        <v>0</v>
      </c>
      <c r="AA67" s="160">
        <f t="shared" ref="AA67:AA130" si="10">250+0.6*(A67-250)</f>
        <v>700</v>
      </c>
      <c r="AC67" s="95">
        <f>Construction!AH67</f>
        <v>0</v>
      </c>
    </row>
    <row r="68" spans="1:29" s="16" customFormat="1">
      <c r="A68" s="16">
        <f>Construction!E68</f>
        <v>1000</v>
      </c>
      <c r="B68" s="68">
        <f>Construction!F68</f>
        <v>0</v>
      </c>
      <c r="C68" s="29">
        <f>Construction!G68</f>
        <v>100</v>
      </c>
      <c r="D68" s="30">
        <f>Construction!H68</f>
        <v>150</v>
      </c>
      <c r="E68" s="31">
        <f>Construction!I68</f>
        <v>150</v>
      </c>
      <c r="F68" s="32">
        <f>Construction!J68</f>
        <v>100</v>
      </c>
      <c r="G68" s="33">
        <f>Construction!K68</f>
        <v>20</v>
      </c>
      <c r="H68" s="69">
        <f>Construction!L68</f>
        <v>100</v>
      </c>
      <c r="J68" s="529">
        <f t="shared" si="5"/>
        <v>66</v>
      </c>
      <c r="K68" s="574">
        <f>Imps!BY68</f>
        <v>43694.708333333176</v>
      </c>
      <c r="L68" s="356"/>
      <c r="M68" s="348"/>
      <c r="N68" s="348"/>
      <c r="O68" s="348"/>
      <c r="P68" s="348"/>
      <c r="Q68" s="348"/>
      <c r="R68" s="357"/>
      <c r="S68" s="166">
        <f t="shared" si="7"/>
        <v>0</v>
      </c>
      <c r="T68" s="160" t="str">
        <f t="shared" si="8"/>
        <v>Ok</v>
      </c>
      <c r="V68" s="64">
        <f ca="1">Production!H68</f>
        <v>3639826</v>
      </c>
      <c r="X68" s="152">
        <f ca="1">ROUND( (1-MIN(ROUND(facs_rezone_factor*AC68,4),facs_rezone_max)) * (1+MIN(tech_construction_rezone*Techs!AD68,tech_conquerors_crafts*Techs!AS68)) * AA68*(1+race_rezone_cost),0)</f>
        <v>700</v>
      </c>
      <c r="Y68" s="166">
        <f t="shared" ca="1" si="9"/>
        <v>0</v>
      </c>
      <c r="AA68" s="160">
        <f t="shared" si="10"/>
        <v>700</v>
      </c>
      <c r="AC68" s="95">
        <f>Construction!AH68</f>
        <v>0</v>
      </c>
    </row>
    <row r="69" spans="1:29" s="16" customFormat="1">
      <c r="A69" s="16">
        <f>Construction!E69</f>
        <v>1000</v>
      </c>
      <c r="B69" s="68">
        <f>Construction!F69</f>
        <v>0</v>
      </c>
      <c r="C69" s="29">
        <f>Construction!G69</f>
        <v>100</v>
      </c>
      <c r="D69" s="30">
        <f>Construction!H69</f>
        <v>150</v>
      </c>
      <c r="E69" s="31">
        <f>Construction!I69</f>
        <v>150</v>
      </c>
      <c r="F69" s="32">
        <f>Construction!J69</f>
        <v>100</v>
      </c>
      <c r="G69" s="33">
        <f>Construction!K69</f>
        <v>20</v>
      </c>
      <c r="H69" s="69">
        <f>Construction!L69</f>
        <v>100</v>
      </c>
      <c r="J69" s="529">
        <f t="shared" si="5"/>
        <v>67</v>
      </c>
      <c r="K69" s="574">
        <f>Imps!BY69</f>
        <v>43694.74999999984</v>
      </c>
      <c r="L69" s="356"/>
      <c r="M69" s="348"/>
      <c r="N69" s="348"/>
      <c r="O69" s="348"/>
      <c r="P69" s="348"/>
      <c r="Q69" s="348"/>
      <c r="R69" s="357"/>
      <c r="S69" s="166">
        <f t="shared" si="7"/>
        <v>0</v>
      </c>
      <c r="T69" s="160" t="str">
        <f t="shared" si="8"/>
        <v>Ok</v>
      </c>
      <c r="V69" s="64">
        <f ca="1">Production!H69</f>
        <v>3650477</v>
      </c>
      <c r="X69" s="152">
        <f ca="1">ROUND( (1-MIN(ROUND(facs_rezone_factor*AC69,4),facs_rezone_max)) * (1+MIN(tech_construction_rezone*Techs!AD69,tech_conquerors_crafts*Techs!AS69)) * AA69*(1+race_rezone_cost),0)</f>
        <v>700</v>
      </c>
      <c r="Y69" s="166">
        <f t="shared" ca="1" si="9"/>
        <v>0</v>
      </c>
      <c r="AA69" s="160">
        <f t="shared" si="10"/>
        <v>700</v>
      </c>
      <c r="AC69" s="95">
        <f>Construction!AH69</f>
        <v>0</v>
      </c>
    </row>
    <row r="70" spans="1:29" s="16" customFormat="1">
      <c r="A70" s="16">
        <f>Construction!E70</f>
        <v>1000</v>
      </c>
      <c r="B70" s="68">
        <f>Construction!F70</f>
        <v>0</v>
      </c>
      <c r="C70" s="29">
        <f>Construction!G70</f>
        <v>100</v>
      </c>
      <c r="D70" s="30">
        <f>Construction!H70</f>
        <v>150</v>
      </c>
      <c r="E70" s="31">
        <f>Construction!I70</f>
        <v>150</v>
      </c>
      <c r="F70" s="32">
        <f>Construction!J70</f>
        <v>100</v>
      </c>
      <c r="G70" s="33">
        <f>Construction!K70</f>
        <v>20</v>
      </c>
      <c r="H70" s="69">
        <f>Construction!L70</f>
        <v>100</v>
      </c>
      <c r="J70" s="529">
        <f t="shared" si="5"/>
        <v>68</v>
      </c>
      <c r="K70" s="574">
        <f>Imps!BY70</f>
        <v>43694.791666666504</v>
      </c>
      <c r="L70" s="356"/>
      <c r="M70" s="348"/>
      <c r="N70" s="348"/>
      <c r="O70" s="348"/>
      <c r="P70" s="348"/>
      <c r="Q70" s="348"/>
      <c r="R70" s="357"/>
      <c r="S70" s="166">
        <f t="shared" si="7"/>
        <v>0</v>
      </c>
      <c r="T70" s="160" t="str">
        <f t="shared" si="8"/>
        <v>Ok</v>
      </c>
      <c r="V70" s="64">
        <f ca="1">Production!H70</f>
        <v>3661128</v>
      </c>
      <c r="X70" s="152">
        <f ca="1">ROUND( (1-MIN(ROUND(facs_rezone_factor*AC70,4),facs_rezone_max)) * (1+MIN(tech_construction_rezone*Techs!AD70,tech_conquerors_crafts*Techs!AS70)) * AA70*(1+race_rezone_cost),0)</f>
        <v>700</v>
      </c>
      <c r="Y70" s="166">
        <f t="shared" ca="1" si="9"/>
        <v>0</v>
      </c>
      <c r="AA70" s="160">
        <f t="shared" si="10"/>
        <v>700</v>
      </c>
      <c r="AC70" s="95">
        <f>Construction!AH70</f>
        <v>0</v>
      </c>
    </row>
    <row r="71" spans="1:29" s="16" customFormat="1">
      <c r="A71" s="16">
        <f>Construction!E71</f>
        <v>1000</v>
      </c>
      <c r="B71" s="68">
        <f>Construction!F71</f>
        <v>0</v>
      </c>
      <c r="C71" s="29">
        <f>Construction!G71</f>
        <v>100</v>
      </c>
      <c r="D71" s="30">
        <f>Construction!H71</f>
        <v>150</v>
      </c>
      <c r="E71" s="31">
        <f>Construction!I71</f>
        <v>150</v>
      </c>
      <c r="F71" s="32">
        <f>Construction!J71</f>
        <v>100</v>
      </c>
      <c r="G71" s="33">
        <f>Construction!K71</f>
        <v>20</v>
      </c>
      <c r="H71" s="69">
        <f>Construction!L71</f>
        <v>100</v>
      </c>
      <c r="J71" s="529">
        <f t="shared" si="5"/>
        <v>69</v>
      </c>
      <c r="K71" s="574">
        <f>Imps!BY71</f>
        <v>43694.833333333168</v>
      </c>
      <c r="L71" s="356"/>
      <c r="M71" s="348"/>
      <c r="N71" s="348"/>
      <c r="O71" s="348"/>
      <c r="P71" s="348"/>
      <c r="Q71" s="348"/>
      <c r="R71" s="357"/>
      <c r="S71" s="166">
        <f t="shared" si="7"/>
        <v>0</v>
      </c>
      <c r="T71" s="160" t="str">
        <f t="shared" si="8"/>
        <v>Ok</v>
      </c>
      <c r="V71" s="64">
        <f ca="1">Production!H71</f>
        <v>3671779</v>
      </c>
      <c r="X71" s="152">
        <f ca="1">ROUND( (1-MIN(ROUND(facs_rezone_factor*AC71,4),facs_rezone_max)) * (1+MIN(tech_construction_rezone*Techs!AD71,tech_conquerors_crafts*Techs!AS71)) * AA71*(1+race_rezone_cost),0)</f>
        <v>700</v>
      </c>
      <c r="Y71" s="166">
        <f t="shared" ca="1" si="9"/>
        <v>0</v>
      </c>
      <c r="AA71" s="160">
        <f t="shared" si="10"/>
        <v>700</v>
      </c>
      <c r="AC71" s="95">
        <f>Construction!AH71</f>
        <v>0</v>
      </c>
    </row>
    <row r="72" spans="1:29" s="16" customFormat="1">
      <c r="A72" s="16">
        <f>Construction!E72</f>
        <v>1000</v>
      </c>
      <c r="B72" s="68">
        <f>Construction!F72</f>
        <v>0</v>
      </c>
      <c r="C72" s="29">
        <f>Construction!G72</f>
        <v>100</v>
      </c>
      <c r="D72" s="30">
        <f>Construction!H72</f>
        <v>150</v>
      </c>
      <c r="E72" s="31">
        <f>Construction!I72</f>
        <v>150</v>
      </c>
      <c r="F72" s="32">
        <f>Construction!J72</f>
        <v>100</v>
      </c>
      <c r="G72" s="33">
        <f>Construction!K72</f>
        <v>20</v>
      </c>
      <c r="H72" s="69">
        <f>Construction!L72</f>
        <v>100</v>
      </c>
      <c r="J72" s="529">
        <f t="shared" si="5"/>
        <v>70</v>
      </c>
      <c r="K72" s="574">
        <f>Imps!BY72</f>
        <v>43694.874999999833</v>
      </c>
      <c r="L72" s="356"/>
      <c r="M72" s="348"/>
      <c r="N72" s="348"/>
      <c r="O72" s="348"/>
      <c r="P72" s="348"/>
      <c r="Q72" s="348"/>
      <c r="R72" s="357"/>
      <c r="S72" s="166">
        <f t="shared" si="7"/>
        <v>0</v>
      </c>
      <c r="T72" s="160" t="str">
        <f t="shared" si="8"/>
        <v>Ok</v>
      </c>
      <c r="V72" s="64">
        <f ca="1">Production!H72</f>
        <v>3682430</v>
      </c>
      <c r="X72" s="152">
        <f ca="1">ROUND( (1-MIN(ROUND(facs_rezone_factor*AC72,4),facs_rezone_max)) * (1+MIN(tech_construction_rezone*Techs!AD72,tech_conquerors_crafts*Techs!AS72)) * AA72*(1+race_rezone_cost),0)</f>
        <v>700</v>
      </c>
      <c r="Y72" s="166">
        <f t="shared" ca="1" si="9"/>
        <v>0</v>
      </c>
      <c r="AA72" s="160">
        <f t="shared" si="10"/>
        <v>700</v>
      </c>
      <c r="AC72" s="95">
        <f>Construction!AH72</f>
        <v>0</v>
      </c>
    </row>
    <row r="73" spans="1:29" s="16" customFormat="1">
      <c r="A73" s="16">
        <f>Construction!E73</f>
        <v>1000</v>
      </c>
      <c r="B73" s="68">
        <f>Construction!F73</f>
        <v>0</v>
      </c>
      <c r="C73" s="29">
        <f>Construction!G73</f>
        <v>100</v>
      </c>
      <c r="D73" s="30">
        <f>Construction!H73</f>
        <v>150</v>
      </c>
      <c r="E73" s="31">
        <f>Construction!I73</f>
        <v>150</v>
      </c>
      <c r="F73" s="32">
        <f>Construction!J73</f>
        <v>100</v>
      </c>
      <c r="G73" s="33">
        <f>Construction!K73</f>
        <v>20</v>
      </c>
      <c r="H73" s="69">
        <f>Construction!L73</f>
        <v>100</v>
      </c>
      <c r="J73" s="529">
        <f t="shared" si="5"/>
        <v>71</v>
      </c>
      <c r="K73" s="574">
        <f>Imps!BY73</f>
        <v>43694.916666666497</v>
      </c>
      <c r="L73" s="356"/>
      <c r="M73" s="348"/>
      <c r="N73" s="348"/>
      <c r="O73" s="348"/>
      <c r="P73" s="348"/>
      <c r="Q73" s="348"/>
      <c r="R73" s="357"/>
      <c r="S73" s="166">
        <f t="shared" si="7"/>
        <v>0</v>
      </c>
      <c r="T73" s="160" t="str">
        <f t="shared" si="8"/>
        <v>Ok</v>
      </c>
      <c r="V73" s="64">
        <f ca="1">Production!H73</f>
        <v>3693081</v>
      </c>
      <c r="X73" s="152">
        <f ca="1">ROUND( (1-MIN(ROUND(facs_rezone_factor*AC73,4),facs_rezone_max)) * (1+MIN(tech_construction_rezone*Techs!AD73,tech_conquerors_crafts*Techs!AS73)) * AA73*(1+race_rezone_cost),0)</f>
        <v>700</v>
      </c>
      <c r="Y73" s="166">
        <f t="shared" ca="1" si="9"/>
        <v>0</v>
      </c>
      <c r="AA73" s="160">
        <f t="shared" si="10"/>
        <v>700</v>
      </c>
      <c r="AC73" s="95">
        <f>Construction!AH73</f>
        <v>0</v>
      </c>
    </row>
    <row r="74" spans="1:29" s="16" customFormat="1" ht="13.5" thickBot="1">
      <c r="A74" s="16">
        <f>Construction!E74</f>
        <v>1000</v>
      </c>
      <c r="B74" s="68">
        <f>Construction!F74</f>
        <v>0</v>
      </c>
      <c r="C74" s="29">
        <f>Construction!G74</f>
        <v>100</v>
      </c>
      <c r="D74" s="30">
        <f>Construction!H74</f>
        <v>150</v>
      </c>
      <c r="E74" s="31">
        <f>Construction!I74</f>
        <v>150</v>
      </c>
      <c r="F74" s="32">
        <f>Construction!J74</f>
        <v>100</v>
      </c>
      <c r="G74" s="33">
        <f>Construction!K74</f>
        <v>20</v>
      </c>
      <c r="H74" s="69">
        <f>Construction!L74</f>
        <v>100</v>
      </c>
      <c r="J74" s="529">
        <f t="shared" si="5"/>
        <v>72</v>
      </c>
      <c r="K74" s="574">
        <f>Imps!BY74</f>
        <v>43694.958333333161</v>
      </c>
      <c r="L74" s="356"/>
      <c r="M74" s="348"/>
      <c r="N74" s="348"/>
      <c r="O74" s="348"/>
      <c r="P74" s="348"/>
      <c r="Q74" s="348"/>
      <c r="R74" s="357"/>
      <c r="S74" s="166">
        <f t="shared" si="7"/>
        <v>0</v>
      </c>
      <c r="T74" s="160" t="str">
        <f t="shared" si="8"/>
        <v>Ok</v>
      </c>
      <c r="V74" s="64">
        <f ca="1">Production!H74</f>
        <v>3703732</v>
      </c>
      <c r="X74" s="152">
        <f ca="1">ROUND( (1-MIN(ROUND(facs_rezone_factor*AC74,4),facs_rezone_max)) * (1+MIN(tech_construction_rezone*Techs!AD74,tech_conquerors_crafts*Techs!AS74)) * AA74*(1+race_rezone_cost),0)</f>
        <v>700</v>
      </c>
      <c r="Y74" s="166">
        <f t="shared" ca="1" si="9"/>
        <v>0</v>
      </c>
      <c r="AA74" s="160">
        <f t="shared" si="10"/>
        <v>700</v>
      </c>
      <c r="AC74" s="95">
        <f>Construction!AH74</f>
        <v>0</v>
      </c>
    </row>
    <row r="75" spans="1:29" s="936" customFormat="1" ht="13.5" thickBot="1">
      <c r="A75" s="1319">
        <f>Construction!E75</f>
        <v>1000</v>
      </c>
      <c r="B75" s="1320">
        <f>Construction!F75</f>
        <v>0</v>
      </c>
      <c r="C75" s="1321">
        <f>Construction!G75</f>
        <v>100</v>
      </c>
      <c r="D75" s="1322">
        <f>Construction!H75</f>
        <v>150</v>
      </c>
      <c r="E75" s="1323">
        <f>Construction!I75</f>
        <v>150</v>
      </c>
      <c r="F75" s="1324">
        <f>Construction!J75</f>
        <v>100</v>
      </c>
      <c r="G75" s="1325">
        <f>Construction!K75</f>
        <v>20</v>
      </c>
      <c r="H75" s="1326">
        <f>Construction!L75</f>
        <v>100</v>
      </c>
      <c r="J75" s="1301">
        <f t="shared" si="5"/>
        <v>73</v>
      </c>
      <c r="K75" s="1327">
        <f>Imps!BY75</f>
        <v>43694.999999999825</v>
      </c>
      <c r="L75" s="1328"/>
      <c r="M75" s="539"/>
      <c r="N75" s="539"/>
      <c r="O75" s="539"/>
      <c r="P75" s="539"/>
      <c r="Q75" s="539"/>
      <c r="R75" s="1329"/>
      <c r="S75" s="179">
        <f t="shared" si="7"/>
        <v>0</v>
      </c>
      <c r="T75" s="181" t="str">
        <f t="shared" si="8"/>
        <v>Ok</v>
      </c>
      <c r="V75" s="1306">
        <f ca="1">Production!H75</f>
        <v>3714383</v>
      </c>
      <c r="X75" s="175">
        <f ca="1">ROUND( (1-MIN(ROUND(facs_rezone_factor*AC75,4),facs_rezone_max)) * (1+MIN(tech_construction_rezone*Techs!AD75,tech_conquerors_crafts*Techs!AS75)) * AA75*(1+race_rezone_cost),0)</f>
        <v>700</v>
      </c>
      <c r="Y75" s="179">
        <f t="shared" ca="1" si="9"/>
        <v>0</v>
      </c>
      <c r="AA75" s="181">
        <f t="shared" si="10"/>
        <v>700</v>
      </c>
      <c r="AC75" s="1330">
        <f>Construction!AH75</f>
        <v>0</v>
      </c>
    </row>
    <row r="76" spans="1:29" s="170" customFormat="1">
      <c r="A76" s="170">
        <f>Construction!E76</f>
        <v>1000</v>
      </c>
      <c r="B76" s="205">
        <f>Construction!F76</f>
        <v>0</v>
      </c>
      <c r="C76" s="206">
        <f>Construction!G76</f>
        <v>100</v>
      </c>
      <c r="D76" s="207">
        <f>Construction!H76</f>
        <v>150</v>
      </c>
      <c r="E76" s="208">
        <f>Construction!I76</f>
        <v>150</v>
      </c>
      <c r="F76" s="209">
        <f>Construction!J76</f>
        <v>100</v>
      </c>
      <c r="G76" s="210">
        <f>Construction!K76</f>
        <v>20</v>
      </c>
      <c r="H76" s="211">
        <f>Construction!L76</f>
        <v>100</v>
      </c>
      <c r="J76" s="629">
        <f t="shared" ref="J76:J86" si="11">J75+1</f>
        <v>74</v>
      </c>
      <c r="K76" s="532">
        <f>Imps!BY76</f>
        <v>43695.04166666649</v>
      </c>
      <c r="L76" s="352"/>
      <c r="M76" s="345"/>
      <c r="N76" s="345"/>
      <c r="O76" s="345"/>
      <c r="P76" s="345"/>
      <c r="Q76" s="345"/>
      <c r="R76" s="353"/>
      <c r="S76" s="166">
        <f t="shared" si="7"/>
        <v>0</v>
      </c>
      <c r="T76" s="160" t="str">
        <f t="shared" si="8"/>
        <v>Ok</v>
      </c>
      <c r="V76" s="160">
        <f ca="1">Production!H76</f>
        <v>3725034</v>
      </c>
      <c r="X76" s="152">
        <f ca="1">ROUND( (1-MIN(ROUND(facs_rezone_factor*AC76,4),facs_rezone_max)) * (1+MIN(tech_construction_rezone*Techs!AD76,tech_conquerors_crafts*Techs!AS76)) * AA76*(1+race_rezone_cost),0)</f>
        <v>700</v>
      </c>
      <c r="Y76" s="166">
        <f t="shared" ca="1" si="9"/>
        <v>0</v>
      </c>
      <c r="AA76" s="160">
        <f t="shared" si="10"/>
        <v>700</v>
      </c>
      <c r="AC76" s="212">
        <f>Construction!AH76</f>
        <v>0</v>
      </c>
    </row>
    <row r="77" spans="1:29" s="170" customFormat="1">
      <c r="A77" s="170">
        <f>Construction!E77</f>
        <v>1000</v>
      </c>
      <c r="B77" s="205">
        <f>Construction!F77</f>
        <v>0</v>
      </c>
      <c r="C77" s="206">
        <f>Construction!G77</f>
        <v>100</v>
      </c>
      <c r="D77" s="207">
        <f>Construction!H77</f>
        <v>150</v>
      </c>
      <c r="E77" s="208">
        <f>Construction!I77</f>
        <v>150</v>
      </c>
      <c r="F77" s="209">
        <f>Construction!J77</f>
        <v>100</v>
      </c>
      <c r="G77" s="210">
        <f>Construction!K77</f>
        <v>20</v>
      </c>
      <c r="H77" s="211">
        <f>Construction!L77</f>
        <v>100</v>
      </c>
      <c r="J77" s="629">
        <f t="shared" si="11"/>
        <v>75</v>
      </c>
      <c r="K77" s="532">
        <f>Imps!BY77</f>
        <v>43695.083333333154</v>
      </c>
      <c r="L77" s="352"/>
      <c r="M77" s="345"/>
      <c r="N77" s="345"/>
      <c r="O77" s="345"/>
      <c r="P77" s="345"/>
      <c r="Q77" s="345"/>
      <c r="R77" s="353"/>
      <c r="S77" s="166">
        <f t="shared" si="7"/>
        <v>0</v>
      </c>
      <c r="T77" s="160" t="str">
        <f t="shared" si="8"/>
        <v>Ok</v>
      </c>
      <c r="V77" s="160">
        <f ca="1">Production!H77</f>
        <v>3735685</v>
      </c>
      <c r="X77" s="152">
        <f ca="1">ROUND( (1-MIN(ROUND(facs_rezone_factor*AC77,4),facs_rezone_max)) * (1+MIN(tech_construction_rezone*Techs!AD77,tech_conquerors_crafts*Techs!AS77)) * AA77*(1+race_rezone_cost),0)</f>
        <v>700</v>
      </c>
      <c r="Y77" s="166">
        <f t="shared" ca="1" si="9"/>
        <v>0</v>
      </c>
      <c r="AA77" s="160">
        <f t="shared" si="10"/>
        <v>700</v>
      </c>
      <c r="AC77" s="212">
        <f>Construction!AH77</f>
        <v>0</v>
      </c>
    </row>
    <row r="78" spans="1:29" s="16" customFormat="1">
      <c r="A78" s="16">
        <f>Construction!E78</f>
        <v>1000</v>
      </c>
      <c r="B78" s="68">
        <f>Construction!F78</f>
        <v>0</v>
      </c>
      <c r="C78" s="29">
        <f>Construction!G78</f>
        <v>100</v>
      </c>
      <c r="D78" s="30">
        <f>Construction!H78</f>
        <v>150</v>
      </c>
      <c r="E78" s="31">
        <f>Construction!I78</f>
        <v>150</v>
      </c>
      <c r="F78" s="32">
        <f>Construction!J78</f>
        <v>100</v>
      </c>
      <c r="G78" s="33">
        <f>Construction!K78</f>
        <v>20</v>
      </c>
      <c r="H78" s="69">
        <f>Construction!L78</f>
        <v>100</v>
      </c>
      <c r="J78" s="529">
        <f t="shared" si="11"/>
        <v>76</v>
      </c>
      <c r="K78" s="574">
        <f>Imps!BY78</f>
        <v>43695.124999999818</v>
      </c>
      <c r="L78" s="356"/>
      <c r="M78" s="348"/>
      <c r="N78" s="348"/>
      <c r="O78" s="348"/>
      <c r="P78" s="348"/>
      <c r="Q78" s="348"/>
      <c r="R78" s="357"/>
      <c r="S78" s="166">
        <f t="shared" si="7"/>
        <v>0</v>
      </c>
      <c r="T78" s="160" t="str">
        <f t="shared" si="8"/>
        <v>Ok</v>
      </c>
      <c r="V78" s="64">
        <f ca="1">Production!H78</f>
        <v>3746336</v>
      </c>
      <c r="X78" s="152">
        <f ca="1">ROUND( (1-MIN(ROUND(facs_rezone_factor*AC78,4),facs_rezone_max)) * (1+MIN(tech_construction_rezone*Techs!AD78,tech_conquerors_crafts*Techs!AS78)) * AA78*(1+race_rezone_cost),0)</f>
        <v>700</v>
      </c>
      <c r="Y78" s="166">
        <f t="shared" ca="1" si="9"/>
        <v>0</v>
      </c>
      <c r="AA78" s="160">
        <f t="shared" si="10"/>
        <v>700</v>
      </c>
      <c r="AC78" s="95">
        <f>Construction!AH78</f>
        <v>0</v>
      </c>
    </row>
    <row r="79" spans="1:29" s="16" customFormat="1">
      <c r="A79" s="16">
        <f>Construction!E79</f>
        <v>1000</v>
      </c>
      <c r="B79" s="68">
        <f>Construction!F79</f>
        <v>0</v>
      </c>
      <c r="C79" s="29">
        <f>Construction!G79</f>
        <v>100</v>
      </c>
      <c r="D79" s="30">
        <f>Construction!H79</f>
        <v>150</v>
      </c>
      <c r="E79" s="31">
        <f>Construction!I79</f>
        <v>150</v>
      </c>
      <c r="F79" s="32">
        <f>Construction!J79</f>
        <v>100</v>
      </c>
      <c r="G79" s="33">
        <f>Construction!K79</f>
        <v>20</v>
      </c>
      <c r="H79" s="69">
        <f>Construction!L79</f>
        <v>100</v>
      </c>
      <c r="J79" s="529">
        <f t="shared" si="11"/>
        <v>77</v>
      </c>
      <c r="K79" s="574">
        <f>Imps!BY79</f>
        <v>43695.166666666482</v>
      </c>
      <c r="L79" s="356"/>
      <c r="M79" s="348"/>
      <c r="N79" s="348"/>
      <c r="O79" s="348"/>
      <c r="P79" s="348"/>
      <c r="Q79" s="348"/>
      <c r="R79" s="357"/>
      <c r="S79" s="166">
        <f t="shared" si="7"/>
        <v>0</v>
      </c>
      <c r="T79" s="160" t="str">
        <f t="shared" si="8"/>
        <v>Ok</v>
      </c>
      <c r="V79" s="64">
        <f ca="1">Production!H79</f>
        <v>3756987</v>
      </c>
      <c r="X79" s="152">
        <f ca="1">ROUND( (1-MIN(ROUND(facs_rezone_factor*AC79,4),facs_rezone_max)) * (1+MIN(tech_construction_rezone*Techs!AD79,tech_conquerors_crafts*Techs!AS79)) * AA79*(1+race_rezone_cost),0)</f>
        <v>700</v>
      </c>
      <c r="Y79" s="166">
        <f t="shared" ca="1" si="9"/>
        <v>0</v>
      </c>
      <c r="AA79" s="160">
        <f t="shared" si="10"/>
        <v>700</v>
      </c>
      <c r="AC79" s="95">
        <f>Construction!AH79</f>
        <v>0</v>
      </c>
    </row>
    <row r="80" spans="1:29" s="16" customFormat="1">
      <c r="A80" s="16">
        <f>Construction!E80</f>
        <v>1000</v>
      </c>
      <c r="B80" s="68">
        <f>Construction!F80</f>
        <v>0</v>
      </c>
      <c r="C80" s="29">
        <f>Construction!G80</f>
        <v>100</v>
      </c>
      <c r="D80" s="30">
        <f>Construction!H80</f>
        <v>150</v>
      </c>
      <c r="E80" s="31">
        <f>Construction!I80</f>
        <v>150</v>
      </c>
      <c r="F80" s="32">
        <f>Construction!J80</f>
        <v>100</v>
      </c>
      <c r="G80" s="33">
        <f>Construction!K80</f>
        <v>20</v>
      </c>
      <c r="H80" s="69">
        <f>Construction!L80</f>
        <v>100</v>
      </c>
      <c r="J80" s="529">
        <f t="shared" si="11"/>
        <v>78</v>
      </c>
      <c r="K80" s="574">
        <f>Imps!BY80</f>
        <v>43695.208333333147</v>
      </c>
      <c r="L80" s="356"/>
      <c r="M80" s="348"/>
      <c r="N80" s="348"/>
      <c r="O80" s="348"/>
      <c r="P80" s="348"/>
      <c r="Q80" s="348"/>
      <c r="R80" s="357"/>
      <c r="S80" s="166">
        <f t="shared" si="7"/>
        <v>0</v>
      </c>
      <c r="T80" s="160" t="str">
        <f t="shared" si="8"/>
        <v>Ok</v>
      </c>
      <c r="V80" s="64">
        <f ca="1">Production!H80</f>
        <v>3767638</v>
      </c>
      <c r="X80" s="152">
        <f ca="1">ROUND( (1-MIN(ROUND(facs_rezone_factor*AC80,4),facs_rezone_max)) * (1+MIN(tech_construction_rezone*Techs!AD80,tech_conquerors_crafts*Techs!AS80)) * AA80*(1+race_rezone_cost),0)</f>
        <v>700</v>
      </c>
      <c r="Y80" s="166">
        <f t="shared" ca="1" si="9"/>
        <v>0</v>
      </c>
      <c r="AA80" s="160">
        <f t="shared" si="10"/>
        <v>700</v>
      </c>
      <c r="AC80" s="95">
        <f>Construction!AH80</f>
        <v>0</v>
      </c>
    </row>
    <row r="81" spans="1:29" s="16" customFormat="1">
      <c r="A81" s="16">
        <f>Construction!E81</f>
        <v>1000</v>
      </c>
      <c r="B81" s="68">
        <f>Construction!F81</f>
        <v>0</v>
      </c>
      <c r="C81" s="29">
        <f>Construction!G81</f>
        <v>100</v>
      </c>
      <c r="D81" s="30">
        <f>Construction!H81</f>
        <v>150</v>
      </c>
      <c r="E81" s="31">
        <f>Construction!I81</f>
        <v>150</v>
      </c>
      <c r="F81" s="32">
        <f>Construction!J81</f>
        <v>100</v>
      </c>
      <c r="G81" s="33">
        <f>Construction!K81</f>
        <v>20</v>
      </c>
      <c r="H81" s="69">
        <f>Construction!L81</f>
        <v>100</v>
      </c>
      <c r="J81" s="529">
        <f t="shared" si="11"/>
        <v>79</v>
      </c>
      <c r="K81" s="574">
        <f>Imps!BY81</f>
        <v>43695.249999999811</v>
      </c>
      <c r="L81" s="356"/>
      <c r="M81" s="348"/>
      <c r="N81" s="348"/>
      <c r="O81" s="348"/>
      <c r="P81" s="348"/>
      <c r="Q81" s="348"/>
      <c r="R81" s="357"/>
      <c r="S81" s="166">
        <f t="shared" si="7"/>
        <v>0</v>
      </c>
      <c r="T81" s="160" t="str">
        <f t="shared" si="8"/>
        <v>Ok</v>
      </c>
      <c r="V81" s="64">
        <f ca="1">Production!H81</f>
        <v>3778289</v>
      </c>
      <c r="X81" s="152">
        <f ca="1">ROUND( (1-MIN(ROUND(facs_rezone_factor*AC81,4),facs_rezone_max)) * (1+MIN(tech_construction_rezone*Techs!AD81,tech_conquerors_crafts*Techs!AS81)) * AA81*(1+race_rezone_cost),0)</f>
        <v>700</v>
      </c>
      <c r="Y81" s="166">
        <f t="shared" ca="1" si="9"/>
        <v>0</v>
      </c>
      <c r="AA81" s="160">
        <f t="shared" si="10"/>
        <v>700</v>
      </c>
      <c r="AC81" s="95">
        <f>Construction!AH81</f>
        <v>0</v>
      </c>
    </row>
    <row r="82" spans="1:29" s="16" customFormat="1">
      <c r="A82" s="16">
        <f>Construction!E82</f>
        <v>1000</v>
      </c>
      <c r="B82" s="68">
        <f>Construction!F82</f>
        <v>0</v>
      </c>
      <c r="C82" s="29">
        <f>Construction!G82</f>
        <v>100</v>
      </c>
      <c r="D82" s="30">
        <f>Construction!H82</f>
        <v>150</v>
      </c>
      <c r="E82" s="31">
        <f>Construction!I82</f>
        <v>150</v>
      </c>
      <c r="F82" s="32">
        <f>Construction!J82</f>
        <v>100</v>
      </c>
      <c r="G82" s="33">
        <f>Construction!K82</f>
        <v>20</v>
      </c>
      <c r="H82" s="69">
        <f>Construction!L82</f>
        <v>100</v>
      </c>
      <c r="J82" s="529">
        <f t="shared" si="11"/>
        <v>80</v>
      </c>
      <c r="K82" s="574">
        <f>Imps!BY82</f>
        <v>43695.291666666475</v>
      </c>
      <c r="L82" s="356"/>
      <c r="M82" s="348"/>
      <c r="N82" s="348"/>
      <c r="O82" s="348"/>
      <c r="P82" s="348"/>
      <c r="Q82" s="348"/>
      <c r="R82" s="357"/>
      <c r="S82" s="166">
        <f t="shared" si="7"/>
        <v>0</v>
      </c>
      <c r="T82" s="160" t="str">
        <f t="shared" si="8"/>
        <v>Ok</v>
      </c>
      <c r="V82" s="64">
        <f ca="1">Production!H82</f>
        <v>3788940</v>
      </c>
      <c r="X82" s="152">
        <f ca="1">ROUND( (1-MIN(ROUND(facs_rezone_factor*AC82,4),facs_rezone_max)) * (1+MIN(tech_construction_rezone*Techs!AD82,tech_conquerors_crafts*Techs!AS82)) * AA82*(1+race_rezone_cost),0)</f>
        <v>700</v>
      </c>
      <c r="Y82" s="166">
        <f t="shared" ca="1" si="9"/>
        <v>0</v>
      </c>
      <c r="AA82" s="160">
        <f t="shared" si="10"/>
        <v>700</v>
      </c>
      <c r="AC82" s="95">
        <f>Construction!AH82</f>
        <v>0</v>
      </c>
    </row>
    <row r="83" spans="1:29" s="16" customFormat="1">
      <c r="A83" s="16">
        <f>Construction!E83</f>
        <v>1000</v>
      </c>
      <c r="B83" s="68">
        <f>Construction!F83</f>
        <v>0</v>
      </c>
      <c r="C83" s="29">
        <f>Construction!G83</f>
        <v>100</v>
      </c>
      <c r="D83" s="30">
        <f>Construction!H83</f>
        <v>150</v>
      </c>
      <c r="E83" s="31">
        <f>Construction!I83</f>
        <v>150</v>
      </c>
      <c r="F83" s="32">
        <f>Construction!J83</f>
        <v>100</v>
      </c>
      <c r="G83" s="33">
        <f>Construction!K83</f>
        <v>20</v>
      </c>
      <c r="H83" s="69">
        <f>Construction!L83</f>
        <v>100</v>
      </c>
      <c r="J83" s="529">
        <f t="shared" si="11"/>
        <v>81</v>
      </c>
      <c r="K83" s="574">
        <f>Imps!BY83</f>
        <v>43695.333333333139</v>
      </c>
      <c r="L83" s="356"/>
      <c r="M83" s="348"/>
      <c r="N83" s="348"/>
      <c r="O83" s="348"/>
      <c r="P83" s="348"/>
      <c r="Q83" s="348"/>
      <c r="R83" s="357"/>
      <c r="S83" s="166">
        <f t="shared" si="7"/>
        <v>0</v>
      </c>
      <c r="T83" s="160" t="str">
        <f t="shared" si="8"/>
        <v>Ok</v>
      </c>
      <c r="V83" s="64">
        <f ca="1">Production!H83</f>
        <v>3799591</v>
      </c>
      <c r="X83" s="152">
        <f ca="1">ROUND( (1-MIN(ROUND(facs_rezone_factor*AC83,4),facs_rezone_max)) * (1+MIN(tech_construction_rezone*Techs!AD83,tech_conquerors_crafts*Techs!AS83)) * AA83*(1+race_rezone_cost),0)</f>
        <v>700</v>
      </c>
      <c r="Y83" s="166">
        <f t="shared" ca="1" si="9"/>
        <v>0</v>
      </c>
      <c r="AA83" s="160">
        <f t="shared" si="10"/>
        <v>700</v>
      </c>
      <c r="AC83" s="95">
        <f>Construction!AH83</f>
        <v>0</v>
      </c>
    </row>
    <row r="84" spans="1:29" s="16" customFormat="1">
      <c r="A84" s="16">
        <f>Construction!E84</f>
        <v>1000</v>
      </c>
      <c r="B84" s="68">
        <f>Construction!F84</f>
        <v>0</v>
      </c>
      <c r="C84" s="29">
        <f>Construction!G84</f>
        <v>100</v>
      </c>
      <c r="D84" s="30">
        <f>Construction!H84</f>
        <v>150</v>
      </c>
      <c r="E84" s="31">
        <f>Construction!I84</f>
        <v>150</v>
      </c>
      <c r="F84" s="32">
        <f>Construction!J84</f>
        <v>100</v>
      </c>
      <c r="G84" s="33">
        <f>Construction!K84</f>
        <v>20</v>
      </c>
      <c r="H84" s="69">
        <f>Construction!L84</f>
        <v>100</v>
      </c>
      <c r="J84" s="529">
        <f t="shared" si="11"/>
        <v>82</v>
      </c>
      <c r="K84" s="574">
        <f>Imps!BY84</f>
        <v>43695.374999999804</v>
      </c>
      <c r="L84" s="356"/>
      <c r="M84" s="348"/>
      <c r="N84" s="348"/>
      <c r="O84" s="348"/>
      <c r="P84" s="348"/>
      <c r="Q84" s="348"/>
      <c r="R84" s="357"/>
      <c r="S84" s="166">
        <f t="shared" si="7"/>
        <v>0</v>
      </c>
      <c r="T84" s="160" t="str">
        <f t="shared" si="8"/>
        <v>Ok</v>
      </c>
      <c r="V84" s="64">
        <f ca="1">Production!H84</f>
        <v>3810242</v>
      </c>
      <c r="X84" s="152">
        <f ca="1">ROUND( (1-MIN(ROUND(facs_rezone_factor*AC84,4),facs_rezone_max)) * (1+MIN(tech_construction_rezone*Techs!AD84,tech_conquerors_crafts*Techs!AS84)) * AA84*(1+race_rezone_cost),0)</f>
        <v>700</v>
      </c>
      <c r="Y84" s="166">
        <f t="shared" ca="1" si="9"/>
        <v>0</v>
      </c>
      <c r="AA84" s="160">
        <f t="shared" si="10"/>
        <v>700</v>
      </c>
      <c r="AC84" s="95">
        <f>Construction!AH84</f>
        <v>0</v>
      </c>
    </row>
    <row r="85" spans="1:29" s="16" customFormat="1">
      <c r="A85" s="16">
        <f>Construction!E85</f>
        <v>1000</v>
      </c>
      <c r="B85" s="68">
        <f>Construction!F85</f>
        <v>0</v>
      </c>
      <c r="C85" s="29">
        <f>Construction!G85</f>
        <v>100</v>
      </c>
      <c r="D85" s="30">
        <f>Construction!H85</f>
        <v>150</v>
      </c>
      <c r="E85" s="31">
        <f>Construction!I85</f>
        <v>150</v>
      </c>
      <c r="F85" s="32">
        <f>Construction!J85</f>
        <v>100</v>
      </c>
      <c r="G85" s="33">
        <f>Construction!K85</f>
        <v>20</v>
      </c>
      <c r="H85" s="69">
        <f>Construction!L85</f>
        <v>100</v>
      </c>
      <c r="J85" s="529">
        <f t="shared" si="11"/>
        <v>83</v>
      </c>
      <c r="K85" s="574">
        <f>Imps!BY85</f>
        <v>43695.416666666468</v>
      </c>
      <c r="L85" s="356"/>
      <c r="M85" s="348"/>
      <c r="N85" s="348"/>
      <c r="O85" s="348"/>
      <c r="P85" s="348"/>
      <c r="Q85" s="348"/>
      <c r="R85" s="357"/>
      <c r="S85" s="166">
        <f t="shared" si="7"/>
        <v>0</v>
      </c>
      <c r="T85" s="160" t="str">
        <f t="shared" si="8"/>
        <v>Ok</v>
      </c>
      <c r="V85" s="64">
        <f ca="1">Production!H85</f>
        <v>3820893</v>
      </c>
      <c r="X85" s="152">
        <f ca="1">ROUND( (1-MIN(ROUND(facs_rezone_factor*AC85,4),facs_rezone_max)) * (1+MIN(tech_construction_rezone*Techs!AD85,tech_conquerors_crafts*Techs!AS85)) * AA85*(1+race_rezone_cost),0)</f>
        <v>700</v>
      </c>
      <c r="Y85" s="166">
        <f t="shared" ca="1" si="9"/>
        <v>0</v>
      </c>
      <c r="AA85" s="160">
        <f t="shared" si="10"/>
        <v>700</v>
      </c>
      <c r="AC85" s="95">
        <f>Construction!AH85</f>
        <v>0</v>
      </c>
    </row>
    <row r="86" spans="1:29" s="170" customFormat="1">
      <c r="A86" s="170">
        <f>Construction!E86</f>
        <v>1000</v>
      </c>
      <c r="B86" s="205">
        <f>Construction!F86</f>
        <v>0</v>
      </c>
      <c r="C86" s="206">
        <f>Construction!G86</f>
        <v>100</v>
      </c>
      <c r="D86" s="207">
        <f>Construction!H86</f>
        <v>150</v>
      </c>
      <c r="E86" s="208">
        <f>Construction!I86</f>
        <v>150</v>
      </c>
      <c r="F86" s="209">
        <f>Construction!J86</f>
        <v>100</v>
      </c>
      <c r="G86" s="210">
        <f>Construction!K86</f>
        <v>20</v>
      </c>
      <c r="H86" s="211">
        <f>Construction!L86</f>
        <v>100</v>
      </c>
      <c r="J86" s="629">
        <f t="shared" si="11"/>
        <v>84</v>
      </c>
      <c r="K86" s="532">
        <f>Imps!BY86</f>
        <v>43695.458333333132</v>
      </c>
      <c r="L86" s="352"/>
      <c r="M86" s="345"/>
      <c r="N86" s="345"/>
      <c r="O86" s="345"/>
      <c r="P86" s="345"/>
      <c r="Q86" s="345"/>
      <c r="R86" s="353"/>
      <c r="S86" s="166">
        <f t="shared" si="7"/>
        <v>0</v>
      </c>
      <c r="T86" s="160" t="str">
        <f t="shared" si="8"/>
        <v>Ok</v>
      </c>
      <c r="V86" s="160">
        <f ca="1">Production!H86</f>
        <v>3831544</v>
      </c>
      <c r="X86" s="152">
        <f ca="1">ROUND( (1-MIN(ROUND(facs_rezone_factor*AC86,4),facs_rezone_max)) * (1+MIN(tech_construction_rezone*Techs!AD86,tech_conquerors_crafts*Techs!AS86)) * AA86*(1+race_rezone_cost),0)</f>
        <v>700</v>
      </c>
      <c r="Y86" s="166">
        <f t="shared" ca="1" si="9"/>
        <v>0</v>
      </c>
      <c r="AA86" s="160">
        <f t="shared" si="10"/>
        <v>700</v>
      </c>
      <c r="AC86" s="212">
        <f>Construction!AH86</f>
        <v>0</v>
      </c>
    </row>
    <row r="87" spans="1:29" s="163" customFormat="1">
      <c r="A87" s="163">
        <f>Construction!E87</f>
        <v>1000</v>
      </c>
      <c r="B87" s="196">
        <f>Construction!F87</f>
        <v>0</v>
      </c>
      <c r="C87" s="197">
        <f>Construction!G87</f>
        <v>100</v>
      </c>
      <c r="D87" s="198">
        <f>Construction!H87</f>
        <v>150</v>
      </c>
      <c r="E87" s="199">
        <f>Construction!I87</f>
        <v>150</v>
      </c>
      <c r="F87" s="200">
        <f>Construction!J87</f>
        <v>100</v>
      </c>
      <c r="G87" s="201">
        <f>Construction!K87</f>
        <v>20</v>
      </c>
      <c r="H87" s="202">
        <f>Construction!L87</f>
        <v>100</v>
      </c>
      <c r="J87" s="627">
        <f>J86+1</f>
        <v>85</v>
      </c>
      <c r="K87" s="677">
        <f>Imps!BY87</f>
        <v>43695.499999999796</v>
      </c>
      <c r="L87" s="828"/>
      <c r="M87" s="771"/>
      <c r="N87" s="346"/>
      <c r="O87" s="346"/>
      <c r="P87" s="346"/>
      <c r="Q87" s="346"/>
      <c r="R87" s="795"/>
      <c r="S87" s="158">
        <f t="shared" si="7"/>
        <v>0</v>
      </c>
      <c r="T87" s="203" t="str">
        <f t="shared" si="8"/>
        <v>Ok</v>
      </c>
      <c r="V87" s="203">
        <f ca="1">Production!H87</f>
        <v>3842195</v>
      </c>
      <c r="X87" s="151">
        <f ca="1">ROUND( (1-MIN(ROUND(facs_rezone_factor*AC87,4),facs_rezone_max)) * (1+MIN(tech_construction_rezone*Techs!AD87,tech_conquerors_crafts*Techs!AS87)) * AA87*(1+race_rezone_cost),0)</f>
        <v>700</v>
      </c>
      <c r="Y87" s="158">
        <f t="shared" ca="1" si="9"/>
        <v>0</v>
      </c>
      <c r="AA87" s="203">
        <f t="shared" si="10"/>
        <v>700</v>
      </c>
      <c r="AC87" s="204">
        <f>Construction!AH87</f>
        <v>0</v>
      </c>
    </row>
    <row r="88" spans="1:29" s="170" customFormat="1">
      <c r="A88" s="170">
        <f>Construction!E88</f>
        <v>1000</v>
      </c>
      <c r="B88" s="205">
        <f>Construction!F88</f>
        <v>0</v>
      </c>
      <c r="C88" s="206">
        <f>Construction!G88</f>
        <v>100</v>
      </c>
      <c r="D88" s="207">
        <f>Construction!H88</f>
        <v>150</v>
      </c>
      <c r="E88" s="208">
        <f>Construction!I88</f>
        <v>150</v>
      </c>
      <c r="F88" s="209">
        <f>Construction!J88</f>
        <v>100</v>
      </c>
      <c r="G88" s="210">
        <f>Construction!K88</f>
        <v>20</v>
      </c>
      <c r="H88" s="211">
        <f>Construction!L88</f>
        <v>100</v>
      </c>
      <c r="J88" s="629">
        <f t="shared" ref="J88:J135" si="12">J87+1</f>
        <v>86</v>
      </c>
      <c r="K88" s="532">
        <f>Imps!BY88</f>
        <v>43695.541666666461</v>
      </c>
      <c r="L88" s="352"/>
      <c r="M88" s="345"/>
      <c r="N88" s="345"/>
      <c r="O88" s="345"/>
      <c r="P88" s="345"/>
      <c r="Q88" s="345"/>
      <c r="R88" s="353"/>
      <c r="S88" s="166">
        <f t="shared" si="7"/>
        <v>0</v>
      </c>
      <c r="T88" s="160" t="str">
        <f t="shared" si="8"/>
        <v>Ok</v>
      </c>
      <c r="V88" s="160">
        <f ca="1">Production!H88</f>
        <v>3852846</v>
      </c>
      <c r="X88" s="152">
        <f ca="1">ROUND( (1-MIN(ROUND(facs_rezone_factor*AC88,4),facs_rezone_max)) * (1+MIN(tech_construction_rezone*Techs!AD88,tech_conquerors_crafts*Techs!AS88)) * AA88*(1+race_rezone_cost),0)</f>
        <v>700</v>
      </c>
      <c r="Y88" s="166">
        <f t="shared" ca="1" si="9"/>
        <v>0</v>
      </c>
      <c r="AA88" s="160">
        <f t="shared" si="10"/>
        <v>700</v>
      </c>
      <c r="AC88" s="212">
        <f>Construction!AH88</f>
        <v>0</v>
      </c>
    </row>
    <row r="89" spans="1:29" s="170" customFormat="1">
      <c r="A89" s="170">
        <f>Construction!E89</f>
        <v>1000</v>
      </c>
      <c r="B89" s="205">
        <f>Construction!F89</f>
        <v>0</v>
      </c>
      <c r="C89" s="206">
        <f>Construction!G89</f>
        <v>100</v>
      </c>
      <c r="D89" s="207">
        <f>Construction!H89</f>
        <v>150</v>
      </c>
      <c r="E89" s="208">
        <f>Construction!I89</f>
        <v>150</v>
      </c>
      <c r="F89" s="209">
        <f>Construction!J89</f>
        <v>100</v>
      </c>
      <c r="G89" s="210">
        <f>Construction!K89</f>
        <v>20</v>
      </c>
      <c r="H89" s="211">
        <f>Construction!L89</f>
        <v>100</v>
      </c>
      <c r="J89" s="629">
        <f t="shared" si="12"/>
        <v>87</v>
      </c>
      <c r="K89" s="532">
        <f>Imps!BY89</f>
        <v>43695.583333333125</v>
      </c>
      <c r="L89" s="352"/>
      <c r="M89" s="345"/>
      <c r="N89" s="345"/>
      <c r="O89" s="345"/>
      <c r="P89" s="345"/>
      <c r="Q89" s="345"/>
      <c r="R89" s="353"/>
      <c r="S89" s="166">
        <f t="shared" si="7"/>
        <v>0</v>
      </c>
      <c r="T89" s="160" t="str">
        <f t="shared" si="8"/>
        <v>Ok</v>
      </c>
      <c r="V89" s="160">
        <f ca="1">Production!H89</f>
        <v>3863497</v>
      </c>
      <c r="X89" s="152">
        <f ca="1">ROUND( (1-MIN(ROUND(facs_rezone_factor*AC89,4),facs_rezone_max)) * (1+MIN(tech_construction_rezone*Techs!AD89,tech_conquerors_crafts*Techs!AS89)) * AA89*(1+race_rezone_cost),0)</f>
        <v>700</v>
      </c>
      <c r="Y89" s="166">
        <f t="shared" ca="1" si="9"/>
        <v>0</v>
      </c>
      <c r="AA89" s="160">
        <f t="shared" si="10"/>
        <v>700</v>
      </c>
      <c r="AC89" s="212">
        <f>Construction!AH89</f>
        <v>0</v>
      </c>
    </row>
    <row r="90" spans="1:29" s="16" customFormat="1">
      <c r="A90" s="16">
        <f>Construction!E90</f>
        <v>1000</v>
      </c>
      <c r="B90" s="68">
        <f>Construction!F90</f>
        <v>0</v>
      </c>
      <c r="C90" s="29">
        <f>Construction!G90</f>
        <v>100</v>
      </c>
      <c r="D90" s="30">
        <f>Construction!H90</f>
        <v>150</v>
      </c>
      <c r="E90" s="31">
        <f>Construction!I90</f>
        <v>150</v>
      </c>
      <c r="F90" s="32">
        <f>Construction!J90</f>
        <v>100</v>
      </c>
      <c r="G90" s="33">
        <f>Construction!K90</f>
        <v>20</v>
      </c>
      <c r="H90" s="69">
        <f>Construction!L90</f>
        <v>100</v>
      </c>
      <c r="J90" s="529">
        <f t="shared" si="12"/>
        <v>88</v>
      </c>
      <c r="K90" s="574">
        <f>Imps!BY90</f>
        <v>43695.624999999789</v>
      </c>
      <c r="L90" s="356"/>
      <c r="M90" s="348"/>
      <c r="N90" s="348"/>
      <c r="O90" s="348"/>
      <c r="P90" s="348"/>
      <c r="Q90" s="348"/>
      <c r="R90" s="357"/>
      <c r="S90" s="166">
        <f t="shared" si="7"/>
        <v>0</v>
      </c>
      <c r="T90" s="160" t="str">
        <f t="shared" si="8"/>
        <v>Ok</v>
      </c>
      <c r="V90" s="64">
        <f ca="1">Production!H90</f>
        <v>3874148</v>
      </c>
      <c r="X90" s="152">
        <f ca="1">ROUND( (1-MIN(ROUND(facs_rezone_factor*AC90,4),facs_rezone_max)) * (1+MIN(tech_construction_rezone*Techs!AD90,tech_conquerors_crafts*Techs!AS90)) * AA90*(1+race_rezone_cost),0)</f>
        <v>700</v>
      </c>
      <c r="Y90" s="166">
        <f t="shared" ca="1" si="9"/>
        <v>0</v>
      </c>
      <c r="AA90" s="160">
        <f t="shared" si="10"/>
        <v>700</v>
      </c>
      <c r="AC90" s="95">
        <f>Construction!AH90</f>
        <v>0</v>
      </c>
    </row>
    <row r="91" spans="1:29" s="16" customFormat="1">
      <c r="A91" s="16">
        <f>Construction!E91</f>
        <v>1000</v>
      </c>
      <c r="B91" s="68">
        <f>Construction!F91</f>
        <v>0</v>
      </c>
      <c r="C91" s="29">
        <f>Construction!G91</f>
        <v>100</v>
      </c>
      <c r="D91" s="30">
        <f>Construction!H91</f>
        <v>150</v>
      </c>
      <c r="E91" s="31">
        <f>Construction!I91</f>
        <v>150</v>
      </c>
      <c r="F91" s="32">
        <f>Construction!J91</f>
        <v>100</v>
      </c>
      <c r="G91" s="33">
        <f>Construction!K91</f>
        <v>20</v>
      </c>
      <c r="H91" s="69">
        <f>Construction!L91</f>
        <v>100</v>
      </c>
      <c r="J91" s="529">
        <f t="shared" si="12"/>
        <v>89</v>
      </c>
      <c r="K91" s="574">
        <f>Imps!BY91</f>
        <v>43695.666666666453</v>
      </c>
      <c r="L91" s="356"/>
      <c r="M91" s="348"/>
      <c r="N91" s="348"/>
      <c r="O91" s="348"/>
      <c r="P91" s="348"/>
      <c r="Q91" s="348"/>
      <c r="R91" s="357"/>
      <c r="S91" s="166">
        <f t="shared" si="7"/>
        <v>0</v>
      </c>
      <c r="T91" s="160" t="str">
        <f t="shared" si="8"/>
        <v>Ok</v>
      </c>
      <c r="V91" s="64">
        <f ca="1">Production!H91</f>
        <v>3884799</v>
      </c>
      <c r="X91" s="152">
        <f ca="1">ROUND( (1-MIN(ROUND(facs_rezone_factor*AC91,4),facs_rezone_max)) * (1+MIN(tech_construction_rezone*Techs!AD91,tech_conquerors_crafts*Techs!AS91)) * AA91*(1+race_rezone_cost),0)</f>
        <v>700</v>
      </c>
      <c r="Y91" s="166">
        <f t="shared" ca="1" si="9"/>
        <v>0</v>
      </c>
      <c r="AA91" s="160">
        <f t="shared" si="10"/>
        <v>700</v>
      </c>
      <c r="AC91" s="95">
        <f>Construction!AH91</f>
        <v>0</v>
      </c>
    </row>
    <row r="92" spans="1:29" s="16" customFormat="1">
      <c r="A92" s="16">
        <f>Construction!E92</f>
        <v>1000</v>
      </c>
      <c r="B92" s="68">
        <f>Construction!F92</f>
        <v>0</v>
      </c>
      <c r="C92" s="29">
        <f>Construction!G92</f>
        <v>100</v>
      </c>
      <c r="D92" s="30">
        <f>Construction!H92</f>
        <v>150</v>
      </c>
      <c r="E92" s="31">
        <f>Construction!I92</f>
        <v>150</v>
      </c>
      <c r="F92" s="32">
        <f>Construction!J92</f>
        <v>100</v>
      </c>
      <c r="G92" s="33">
        <f>Construction!K92</f>
        <v>20</v>
      </c>
      <c r="H92" s="69">
        <f>Construction!L92</f>
        <v>100</v>
      </c>
      <c r="J92" s="529">
        <f t="shared" si="12"/>
        <v>90</v>
      </c>
      <c r="K92" s="574">
        <f>Imps!BY92</f>
        <v>43695.708333333117</v>
      </c>
      <c r="L92" s="356"/>
      <c r="M92" s="348"/>
      <c r="N92" s="348"/>
      <c r="O92" s="348"/>
      <c r="P92" s="348"/>
      <c r="Q92" s="348"/>
      <c r="R92" s="357"/>
      <c r="S92" s="166">
        <f t="shared" si="7"/>
        <v>0</v>
      </c>
      <c r="T92" s="160" t="str">
        <f t="shared" si="8"/>
        <v>Ok</v>
      </c>
      <c r="V92" s="64">
        <f ca="1">Production!H92</f>
        <v>3895450</v>
      </c>
      <c r="X92" s="152">
        <f ca="1">ROUND( (1-MIN(ROUND(facs_rezone_factor*AC92,4),facs_rezone_max)) * (1+MIN(tech_construction_rezone*Techs!AD92,tech_conquerors_crafts*Techs!AS92)) * AA92*(1+race_rezone_cost),0)</f>
        <v>700</v>
      </c>
      <c r="Y92" s="166">
        <f t="shared" ca="1" si="9"/>
        <v>0</v>
      </c>
      <c r="AA92" s="160">
        <f t="shared" si="10"/>
        <v>700</v>
      </c>
      <c r="AC92" s="95">
        <f>Construction!AH92</f>
        <v>0</v>
      </c>
    </row>
    <row r="93" spans="1:29" s="16" customFormat="1">
      <c r="A93" s="16">
        <f>Construction!E93</f>
        <v>1000</v>
      </c>
      <c r="B93" s="68">
        <f>Construction!F93</f>
        <v>0</v>
      </c>
      <c r="C93" s="29">
        <f>Construction!G93</f>
        <v>100</v>
      </c>
      <c r="D93" s="30">
        <f>Construction!H93</f>
        <v>150</v>
      </c>
      <c r="E93" s="31">
        <f>Construction!I93</f>
        <v>150</v>
      </c>
      <c r="F93" s="32">
        <f>Construction!J93</f>
        <v>100</v>
      </c>
      <c r="G93" s="33">
        <f>Construction!K93</f>
        <v>20</v>
      </c>
      <c r="H93" s="69">
        <f>Construction!L93</f>
        <v>100</v>
      </c>
      <c r="J93" s="529">
        <f t="shared" si="12"/>
        <v>91</v>
      </c>
      <c r="K93" s="574">
        <f>Imps!BY93</f>
        <v>43695.749999999782</v>
      </c>
      <c r="L93" s="356"/>
      <c r="M93" s="348"/>
      <c r="N93" s="348"/>
      <c r="O93" s="348"/>
      <c r="P93" s="348"/>
      <c r="Q93" s="348"/>
      <c r="R93" s="357"/>
      <c r="S93" s="166">
        <f t="shared" si="7"/>
        <v>0</v>
      </c>
      <c r="T93" s="160" t="str">
        <f t="shared" si="8"/>
        <v>Ok</v>
      </c>
      <c r="V93" s="64">
        <f ca="1">Production!H93</f>
        <v>3906101</v>
      </c>
      <c r="X93" s="152">
        <f ca="1">ROUND( (1-MIN(ROUND(facs_rezone_factor*AC93,4),facs_rezone_max)) * (1+MIN(tech_construction_rezone*Techs!AD93,tech_conquerors_crafts*Techs!AS93)) * AA93*(1+race_rezone_cost),0)</f>
        <v>700</v>
      </c>
      <c r="Y93" s="166">
        <f t="shared" ca="1" si="9"/>
        <v>0</v>
      </c>
      <c r="AA93" s="160">
        <f t="shared" si="10"/>
        <v>700</v>
      </c>
      <c r="AC93" s="95">
        <f>Construction!AH93</f>
        <v>0</v>
      </c>
    </row>
    <row r="94" spans="1:29" s="16" customFormat="1">
      <c r="A94" s="16">
        <f>Construction!E94</f>
        <v>1000</v>
      </c>
      <c r="B94" s="68">
        <f>Construction!F94</f>
        <v>0</v>
      </c>
      <c r="C94" s="29">
        <f>Construction!G94</f>
        <v>100</v>
      </c>
      <c r="D94" s="30">
        <f>Construction!H94</f>
        <v>150</v>
      </c>
      <c r="E94" s="31">
        <f>Construction!I94</f>
        <v>150</v>
      </c>
      <c r="F94" s="32">
        <f>Construction!J94</f>
        <v>100</v>
      </c>
      <c r="G94" s="33">
        <f>Construction!K94</f>
        <v>20</v>
      </c>
      <c r="H94" s="69">
        <f>Construction!L94</f>
        <v>100</v>
      </c>
      <c r="J94" s="529">
        <f t="shared" si="12"/>
        <v>92</v>
      </c>
      <c r="K94" s="574">
        <f>Imps!BY94</f>
        <v>43695.791666666446</v>
      </c>
      <c r="L94" s="356"/>
      <c r="M94" s="348"/>
      <c r="N94" s="348"/>
      <c r="O94" s="348"/>
      <c r="P94" s="348"/>
      <c r="Q94" s="348"/>
      <c r="R94" s="357"/>
      <c r="S94" s="166">
        <f t="shared" si="7"/>
        <v>0</v>
      </c>
      <c r="T94" s="160" t="str">
        <f t="shared" si="8"/>
        <v>Ok</v>
      </c>
      <c r="V94" s="64">
        <f ca="1">Production!H94</f>
        <v>3916752</v>
      </c>
      <c r="X94" s="152">
        <f ca="1">ROUND( (1-MIN(ROUND(facs_rezone_factor*AC94,4),facs_rezone_max)) * (1+MIN(tech_construction_rezone*Techs!AD94,tech_conquerors_crafts*Techs!AS94)) * AA94*(1+race_rezone_cost),0)</f>
        <v>700</v>
      </c>
      <c r="Y94" s="166">
        <f t="shared" ca="1" si="9"/>
        <v>0</v>
      </c>
      <c r="AA94" s="160">
        <f t="shared" si="10"/>
        <v>700</v>
      </c>
      <c r="AC94" s="95">
        <f>Construction!AH94</f>
        <v>0</v>
      </c>
    </row>
    <row r="95" spans="1:29" s="16" customFormat="1">
      <c r="A95" s="16">
        <f>Construction!E95</f>
        <v>1000</v>
      </c>
      <c r="B95" s="68">
        <f>Construction!F95</f>
        <v>0</v>
      </c>
      <c r="C95" s="29">
        <f>Construction!G95</f>
        <v>100</v>
      </c>
      <c r="D95" s="30">
        <f>Construction!H95</f>
        <v>150</v>
      </c>
      <c r="E95" s="31">
        <f>Construction!I95</f>
        <v>150</v>
      </c>
      <c r="F95" s="32">
        <f>Construction!J95</f>
        <v>100</v>
      </c>
      <c r="G95" s="33">
        <f>Construction!K95</f>
        <v>20</v>
      </c>
      <c r="H95" s="69">
        <f>Construction!L95</f>
        <v>100</v>
      </c>
      <c r="J95" s="529">
        <f t="shared" si="12"/>
        <v>93</v>
      </c>
      <c r="K95" s="574">
        <f>Imps!BY95</f>
        <v>43695.83333333311</v>
      </c>
      <c r="L95" s="356"/>
      <c r="M95" s="348"/>
      <c r="N95" s="348"/>
      <c r="O95" s="348"/>
      <c r="P95" s="348"/>
      <c r="Q95" s="348"/>
      <c r="R95" s="357"/>
      <c r="S95" s="166">
        <f t="shared" si="7"/>
        <v>0</v>
      </c>
      <c r="T95" s="160" t="str">
        <f t="shared" si="8"/>
        <v>Ok</v>
      </c>
      <c r="V95" s="64">
        <f ca="1">Production!H95</f>
        <v>3927403</v>
      </c>
      <c r="X95" s="152">
        <f ca="1">ROUND( (1-MIN(ROUND(facs_rezone_factor*AC95,4),facs_rezone_max)) * (1+MIN(tech_construction_rezone*Techs!AD95,tech_conquerors_crafts*Techs!AS95)) * AA95*(1+race_rezone_cost),0)</f>
        <v>700</v>
      </c>
      <c r="Y95" s="166">
        <f t="shared" ca="1" si="9"/>
        <v>0</v>
      </c>
      <c r="AA95" s="160">
        <f t="shared" si="10"/>
        <v>700</v>
      </c>
      <c r="AC95" s="95">
        <f>Construction!AH95</f>
        <v>0</v>
      </c>
    </row>
    <row r="96" spans="1:29" s="16" customFormat="1">
      <c r="A96" s="16">
        <f>Construction!E96</f>
        <v>1000</v>
      </c>
      <c r="B96" s="68">
        <f>Construction!F96</f>
        <v>0</v>
      </c>
      <c r="C96" s="29">
        <f>Construction!G96</f>
        <v>100</v>
      </c>
      <c r="D96" s="30">
        <f>Construction!H96</f>
        <v>150</v>
      </c>
      <c r="E96" s="31">
        <f>Construction!I96</f>
        <v>150</v>
      </c>
      <c r="F96" s="32">
        <f>Construction!J96</f>
        <v>100</v>
      </c>
      <c r="G96" s="33">
        <f>Construction!K96</f>
        <v>20</v>
      </c>
      <c r="H96" s="69">
        <f>Construction!L96</f>
        <v>100</v>
      </c>
      <c r="J96" s="529">
        <f t="shared" si="12"/>
        <v>94</v>
      </c>
      <c r="K96" s="574">
        <f>Imps!BY96</f>
        <v>43695.874999999774</v>
      </c>
      <c r="L96" s="356"/>
      <c r="M96" s="348"/>
      <c r="N96" s="348"/>
      <c r="O96" s="348"/>
      <c r="P96" s="348"/>
      <c r="Q96" s="348"/>
      <c r="R96" s="357"/>
      <c r="S96" s="166">
        <f t="shared" si="7"/>
        <v>0</v>
      </c>
      <c r="T96" s="160" t="str">
        <f t="shared" si="8"/>
        <v>Ok</v>
      </c>
      <c r="V96" s="64">
        <f ca="1">Production!H96</f>
        <v>3938054</v>
      </c>
      <c r="X96" s="152">
        <f ca="1">ROUND( (1-MIN(ROUND(facs_rezone_factor*AC96,4),facs_rezone_max)) * (1+MIN(tech_construction_rezone*Techs!AD96,tech_conquerors_crafts*Techs!AS96)) * AA96*(1+race_rezone_cost),0)</f>
        <v>700</v>
      </c>
      <c r="Y96" s="166">
        <f t="shared" ca="1" si="9"/>
        <v>0</v>
      </c>
      <c r="AA96" s="160">
        <f t="shared" si="10"/>
        <v>700</v>
      </c>
      <c r="AC96" s="95">
        <f>Construction!AH96</f>
        <v>0</v>
      </c>
    </row>
    <row r="97" spans="1:29" s="16" customFormat="1">
      <c r="A97" s="16">
        <f>Construction!E97</f>
        <v>1000</v>
      </c>
      <c r="B97" s="68">
        <f>Construction!F97</f>
        <v>0</v>
      </c>
      <c r="C97" s="29">
        <f>Construction!G97</f>
        <v>100</v>
      </c>
      <c r="D97" s="30">
        <f>Construction!H97</f>
        <v>150</v>
      </c>
      <c r="E97" s="31">
        <f>Construction!I97</f>
        <v>150</v>
      </c>
      <c r="F97" s="32">
        <f>Construction!J97</f>
        <v>100</v>
      </c>
      <c r="G97" s="33">
        <f>Construction!K97</f>
        <v>20</v>
      </c>
      <c r="H97" s="69">
        <f>Construction!L97</f>
        <v>100</v>
      </c>
      <c r="J97" s="529">
        <f t="shared" si="12"/>
        <v>95</v>
      </c>
      <c r="K97" s="574">
        <f>Imps!BY97</f>
        <v>43695.916666666439</v>
      </c>
      <c r="L97" s="356"/>
      <c r="M97" s="348"/>
      <c r="N97" s="348"/>
      <c r="O97" s="348"/>
      <c r="P97" s="348"/>
      <c r="Q97" s="348"/>
      <c r="R97" s="357"/>
      <c r="S97" s="166">
        <f t="shared" si="7"/>
        <v>0</v>
      </c>
      <c r="T97" s="160" t="str">
        <f t="shared" si="8"/>
        <v>Ok</v>
      </c>
      <c r="V97" s="64">
        <f ca="1">Production!H97</f>
        <v>3948705</v>
      </c>
      <c r="X97" s="152">
        <f ca="1">ROUND( (1-MIN(ROUND(facs_rezone_factor*AC97,4),facs_rezone_max)) * (1+MIN(tech_construction_rezone*Techs!AD97,tech_conquerors_crafts*Techs!AS97)) * AA97*(1+race_rezone_cost),0)</f>
        <v>700</v>
      </c>
      <c r="Y97" s="166">
        <f t="shared" ca="1" si="9"/>
        <v>0</v>
      </c>
      <c r="AA97" s="160">
        <f t="shared" si="10"/>
        <v>700</v>
      </c>
      <c r="AC97" s="95">
        <f>Construction!AH97</f>
        <v>0</v>
      </c>
    </row>
    <row r="98" spans="1:29" s="170" customFormat="1" ht="13.5" thickBot="1">
      <c r="A98" s="170">
        <f>Construction!E98</f>
        <v>1000</v>
      </c>
      <c r="B98" s="205">
        <f>Construction!F98</f>
        <v>0</v>
      </c>
      <c r="C98" s="206">
        <f>Construction!G98</f>
        <v>100</v>
      </c>
      <c r="D98" s="207">
        <f>Construction!H98</f>
        <v>150</v>
      </c>
      <c r="E98" s="208">
        <f>Construction!I98</f>
        <v>150</v>
      </c>
      <c r="F98" s="209">
        <f>Construction!J98</f>
        <v>100</v>
      </c>
      <c r="G98" s="210">
        <f>Construction!K98</f>
        <v>20</v>
      </c>
      <c r="H98" s="211">
        <f>Construction!L98</f>
        <v>100</v>
      </c>
      <c r="J98" s="629">
        <f t="shared" si="12"/>
        <v>96</v>
      </c>
      <c r="K98" s="532">
        <f>Imps!BY98</f>
        <v>43695.958333333103</v>
      </c>
      <c r="L98" s="352"/>
      <c r="M98" s="345"/>
      <c r="N98" s="345"/>
      <c r="O98" s="345"/>
      <c r="P98" s="345"/>
      <c r="Q98" s="345"/>
      <c r="R98" s="353"/>
      <c r="S98" s="166">
        <f t="shared" si="7"/>
        <v>0</v>
      </c>
      <c r="T98" s="160" t="str">
        <f t="shared" si="8"/>
        <v>Ok</v>
      </c>
      <c r="V98" s="160">
        <f ca="1">Production!H98</f>
        <v>3959356</v>
      </c>
      <c r="X98" s="152">
        <f ca="1">ROUND( (1-MIN(ROUND(facs_rezone_factor*AC98,4),facs_rezone_max)) * (1+MIN(tech_construction_rezone*Techs!AD98,tech_conquerors_crafts*Techs!AS98)) * AA98*(1+race_rezone_cost),0)</f>
        <v>700</v>
      </c>
      <c r="Y98" s="166">
        <f t="shared" ca="1" si="9"/>
        <v>0</v>
      </c>
      <c r="AA98" s="160">
        <f t="shared" si="10"/>
        <v>700</v>
      </c>
      <c r="AC98" s="212">
        <f>Construction!AH98</f>
        <v>0</v>
      </c>
    </row>
    <row r="99" spans="1:29" s="173" customFormat="1" ht="13.5" thickBot="1">
      <c r="A99" s="173">
        <f>Construction!E99</f>
        <v>1000</v>
      </c>
      <c r="B99" s="219">
        <f>Construction!F99</f>
        <v>0</v>
      </c>
      <c r="C99" s="220">
        <f>Construction!G99</f>
        <v>100</v>
      </c>
      <c r="D99" s="221">
        <f>Construction!H99</f>
        <v>150</v>
      </c>
      <c r="E99" s="222">
        <f>Construction!I99</f>
        <v>150</v>
      </c>
      <c r="F99" s="223">
        <f>Construction!J99</f>
        <v>100</v>
      </c>
      <c r="G99" s="224">
        <f>Construction!K99</f>
        <v>20</v>
      </c>
      <c r="H99" s="225">
        <f>Construction!L99</f>
        <v>100</v>
      </c>
      <c r="J99" s="630">
        <f t="shared" si="12"/>
        <v>97</v>
      </c>
      <c r="K99" s="573">
        <f>Imps!BY99</f>
        <v>43695.999999999767</v>
      </c>
      <c r="L99" s="354"/>
      <c r="M99" s="347"/>
      <c r="N99" s="347"/>
      <c r="O99" s="347"/>
      <c r="P99" s="347"/>
      <c r="Q99" s="347"/>
      <c r="R99" s="355"/>
      <c r="S99" s="179">
        <f>SUMIF(L99:R99,"&gt;0")</f>
        <v>0</v>
      </c>
      <c r="T99" s="181" t="str">
        <f>IF(SUM(L99:R99)=0,"Ok","Nope")</f>
        <v>Ok</v>
      </c>
      <c r="V99" s="181">
        <f ca="1">Production!H99</f>
        <v>3970007</v>
      </c>
      <c r="X99" s="175">
        <f ca="1">ROUND( (1-MIN(ROUND(facs_rezone_factor*AC99,4),facs_rezone_max)) * (1+MIN(tech_construction_rezone*Techs!AD99,tech_conquerors_crafts*Techs!AS99)) * AA99*(1+race_rezone_cost),0)</f>
        <v>700</v>
      </c>
      <c r="Y99" s="179">
        <f t="shared" ca="1" si="9"/>
        <v>0</v>
      </c>
      <c r="AA99" s="181">
        <f t="shared" si="10"/>
        <v>700</v>
      </c>
      <c r="AC99" s="226">
        <f>Construction!AH99</f>
        <v>0</v>
      </c>
    </row>
    <row r="100" spans="1:29" s="170" customFormat="1">
      <c r="A100" s="170">
        <f>Construction!E100</f>
        <v>1000</v>
      </c>
      <c r="B100" s="205">
        <f>Construction!F100</f>
        <v>0</v>
      </c>
      <c r="C100" s="206">
        <f>Construction!G100</f>
        <v>100</v>
      </c>
      <c r="D100" s="207">
        <f>Construction!H100</f>
        <v>150</v>
      </c>
      <c r="E100" s="208">
        <f>Construction!I100</f>
        <v>150</v>
      </c>
      <c r="F100" s="209">
        <f>Construction!J100</f>
        <v>100</v>
      </c>
      <c r="G100" s="210">
        <f>Construction!K100</f>
        <v>20</v>
      </c>
      <c r="H100" s="211">
        <f>Construction!L100</f>
        <v>100</v>
      </c>
      <c r="J100" s="629">
        <f t="shared" si="12"/>
        <v>98</v>
      </c>
      <c r="K100" s="532">
        <f>Imps!BY100</f>
        <v>43696.041666666431</v>
      </c>
      <c r="L100" s="352"/>
      <c r="M100" s="345"/>
      <c r="N100" s="345"/>
      <c r="O100" s="345"/>
      <c r="P100" s="345"/>
      <c r="Q100" s="345"/>
      <c r="R100" s="353"/>
      <c r="S100" s="166">
        <f t="shared" ref="S100:S135" si="13">SUMIF(L100:R100,"&gt;0")</f>
        <v>0</v>
      </c>
      <c r="T100" s="160" t="str">
        <f t="shared" ref="T100:T135" si="14">IF(SUM(L100:R100)=0,"Ok","Nope")</f>
        <v>Ok</v>
      </c>
      <c r="V100" s="160">
        <f ca="1">Production!H100</f>
        <v>3980658</v>
      </c>
      <c r="X100" s="152">
        <f ca="1">ROUND( (1-MIN(ROUND(facs_rezone_factor*AC100,4),facs_rezone_max)) * (1+MIN(tech_construction_rezone*Techs!AD100,tech_conquerors_crafts*Techs!AS100)) * AA100*(1+race_rezone_cost),0)</f>
        <v>700</v>
      </c>
      <c r="Y100" s="166">
        <f t="shared" ca="1" si="9"/>
        <v>0</v>
      </c>
      <c r="AA100" s="160">
        <f t="shared" si="10"/>
        <v>700</v>
      </c>
      <c r="AC100" s="212">
        <f>Construction!AH100</f>
        <v>0</v>
      </c>
    </row>
    <row r="101" spans="1:29" s="170" customFormat="1">
      <c r="A101" s="170">
        <f>Construction!E101</f>
        <v>1000</v>
      </c>
      <c r="B101" s="205">
        <f>Construction!F101</f>
        <v>0</v>
      </c>
      <c r="C101" s="206">
        <f>Construction!G101</f>
        <v>100</v>
      </c>
      <c r="D101" s="207">
        <f>Construction!H101</f>
        <v>150</v>
      </c>
      <c r="E101" s="208">
        <f>Construction!I101</f>
        <v>150</v>
      </c>
      <c r="F101" s="209">
        <f>Construction!J101</f>
        <v>100</v>
      </c>
      <c r="G101" s="210">
        <f>Construction!K101</f>
        <v>20</v>
      </c>
      <c r="H101" s="211">
        <f>Construction!L101</f>
        <v>100</v>
      </c>
      <c r="J101" s="629">
        <f t="shared" si="12"/>
        <v>99</v>
      </c>
      <c r="K101" s="532">
        <f>Imps!BY101</f>
        <v>43696.083333333096</v>
      </c>
      <c r="L101" s="352"/>
      <c r="M101" s="345"/>
      <c r="N101" s="345"/>
      <c r="O101" s="345"/>
      <c r="P101" s="345"/>
      <c r="Q101" s="345"/>
      <c r="R101" s="353"/>
      <c r="S101" s="166">
        <f t="shared" si="13"/>
        <v>0</v>
      </c>
      <c r="T101" s="160" t="str">
        <f t="shared" si="14"/>
        <v>Ok</v>
      </c>
      <c r="V101" s="160">
        <f ca="1">Production!H101</f>
        <v>3991309</v>
      </c>
      <c r="X101" s="152">
        <f ca="1">ROUND( (1-MIN(ROUND(facs_rezone_factor*AC101,4),facs_rezone_max)) * (1+MIN(tech_construction_rezone*Techs!AD101,tech_conquerors_crafts*Techs!AS101)) * AA101*(1+race_rezone_cost),0)</f>
        <v>700</v>
      </c>
      <c r="Y101" s="166">
        <f t="shared" ca="1" si="9"/>
        <v>0</v>
      </c>
      <c r="AA101" s="160">
        <f t="shared" si="10"/>
        <v>700</v>
      </c>
      <c r="AC101" s="212">
        <f>Construction!AH101</f>
        <v>0</v>
      </c>
    </row>
    <row r="102" spans="1:29" s="16" customFormat="1">
      <c r="A102" s="16">
        <f>Construction!E102</f>
        <v>1000</v>
      </c>
      <c r="B102" s="68">
        <f>Construction!F102</f>
        <v>0</v>
      </c>
      <c r="C102" s="29">
        <f>Construction!G102</f>
        <v>100</v>
      </c>
      <c r="D102" s="30">
        <f>Construction!H102</f>
        <v>150</v>
      </c>
      <c r="E102" s="31">
        <f>Construction!I102</f>
        <v>150</v>
      </c>
      <c r="F102" s="32">
        <f>Construction!J102</f>
        <v>100</v>
      </c>
      <c r="G102" s="33">
        <f>Construction!K102</f>
        <v>20</v>
      </c>
      <c r="H102" s="69">
        <f>Construction!L102</f>
        <v>100</v>
      </c>
      <c r="J102" s="529">
        <f t="shared" si="12"/>
        <v>100</v>
      </c>
      <c r="K102" s="574">
        <f>Imps!BY102</f>
        <v>43696.12499999976</v>
      </c>
      <c r="L102" s="356"/>
      <c r="M102" s="348"/>
      <c r="N102" s="348"/>
      <c r="O102" s="348"/>
      <c r="P102" s="348"/>
      <c r="Q102" s="348"/>
      <c r="R102" s="357"/>
      <c r="S102" s="166">
        <f t="shared" si="13"/>
        <v>0</v>
      </c>
      <c r="T102" s="160" t="str">
        <f t="shared" si="14"/>
        <v>Ok</v>
      </c>
      <c r="V102" s="64">
        <f ca="1">Production!H102</f>
        <v>4001960</v>
      </c>
      <c r="X102" s="152">
        <f ca="1">ROUND( (1-MIN(ROUND(facs_rezone_factor*AC102,4),facs_rezone_max)) * (1+MIN(tech_construction_rezone*Techs!AD102,tech_conquerors_crafts*Techs!AS102)) * AA102*(1+race_rezone_cost),0)</f>
        <v>700</v>
      </c>
      <c r="Y102" s="166">
        <f t="shared" ca="1" si="9"/>
        <v>0</v>
      </c>
      <c r="AA102" s="160">
        <f t="shared" si="10"/>
        <v>700</v>
      </c>
      <c r="AC102" s="95">
        <f>Construction!AH102</f>
        <v>0</v>
      </c>
    </row>
    <row r="103" spans="1:29" s="16" customFormat="1">
      <c r="A103" s="16">
        <f>Construction!E103</f>
        <v>1000</v>
      </c>
      <c r="B103" s="68">
        <f>Construction!F103</f>
        <v>0</v>
      </c>
      <c r="C103" s="29">
        <f>Construction!G103</f>
        <v>100</v>
      </c>
      <c r="D103" s="30">
        <f>Construction!H103</f>
        <v>150</v>
      </c>
      <c r="E103" s="31">
        <f>Construction!I103</f>
        <v>150</v>
      </c>
      <c r="F103" s="32">
        <f>Construction!J103</f>
        <v>100</v>
      </c>
      <c r="G103" s="33">
        <f>Construction!K103</f>
        <v>20</v>
      </c>
      <c r="H103" s="69">
        <f>Construction!L103</f>
        <v>100</v>
      </c>
      <c r="J103" s="529">
        <f t="shared" si="12"/>
        <v>101</v>
      </c>
      <c r="K103" s="574">
        <f>Imps!BY103</f>
        <v>43696.166666666424</v>
      </c>
      <c r="L103" s="356"/>
      <c r="M103" s="348"/>
      <c r="N103" s="348"/>
      <c r="O103" s="348"/>
      <c r="P103" s="348"/>
      <c r="Q103" s="348"/>
      <c r="R103" s="357"/>
      <c r="S103" s="166">
        <f t="shared" si="13"/>
        <v>0</v>
      </c>
      <c r="T103" s="160" t="str">
        <f t="shared" si="14"/>
        <v>Ok</v>
      </c>
      <c r="V103" s="64">
        <f ca="1">Production!H103</f>
        <v>4012611</v>
      </c>
      <c r="X103" s="152">
        <f ca="1">ROUND( (1-MIN(ROUND(facs_rezone_factor*AC103,4),facs_rezone_max)) * (1+MIN(tech_construction_rezone*Techs!AD103,tech_conquerors_crafts*Techs!AS103)) * AA103*(1+race_rezone_cost),0)</f>
        <v>700</v>
      </c>
      <c r="Y103" s="166">
        <f t="shared" ca="1" si="9"/>
        <v>0</v>
      </c>
      <c r="AA103" s="160">
        <f t="shared" si="10"/>
        <v>700</v>
      </c>
      <c r="AC103" s="95">
        <f>Construction!AH103</f>
        <v>0</v>
      </c>
    </row>
    <row r="104" spans="1:29" s="16" customFormat="1">
      <c r="A104" s="16">
        <f>Construction!E104</f>
        <v>1000</v>
      </c>
      <c r="B104" s="68">
        <f>Construction!F104</f>
        <v>0</v>
      </c>
      <c r="C104" s="29">
        <f>Construction!G104</f>
        <v>100</v>
      </c>
      <c r="D104" s="30">
        <f>Construction!H104</f>
        <v>150</v>
      </c>
      <c r="E104" s="31">
        <f>Construction!I104</f>
        <v>150</v>
      </c>
      <c r="F104" s="32">
        <f>Construction!J104</f>
        <v>100</v>
      </c>
      <c r="G104" s="33">
        <f>Construction!K104</f>
        <v>20</v>
      </c>
      <c r="H104" s="69">
        <f>Construction!L104</f>
        <v>100</v>
      </c>
      <c r="J104" s="529">
        <f t="shared" si="12"/>
        <v>102</v>
      </c>
      <c r="K104" s="574">
        <f>Imps!BY104</f>
        <v>43696.208333333088</v>
      </c>
      <c r="L104" s="356"/>
      <c r="M104" s="348"/>
      <c r="N104" s="348"/>
      <c r="O104" s="348"/>
      <c r="P104" s="348"/>
      <c r="Q104" s="348"/>
      <c r="R104" s="357"/>
      <c r="S104" s="166">
        <f t="shared" si="13"/>
        <v>0</v>
      </c>
      <c r="T104" s="160" t="str">
        <f t="shared" si="14"/>
        <v>Ok</v>
      </c>
      <c r="V104" s="64">
        <f ca="1">Production!H104</f>
        <v>4023262</v>
      </c>
      <c r="X104" s="152">
        <f ca="1">ROUND( (1-MIN(ROUND(facs_rezone_factor*AC104,4),facs_rezone_max)) * (1+MIN(tech_construction_rezone*Techs!AD104,tech_conquerors_crafts*Techs!AS104)) * AA104*(1+race_rezone_cost),0)</f>
        <v>700</v>
      </c>
      <c r="Y104" s="166">
        <f t="shared" ca="1" si="9"/>
        <v>0</v>
      </c>
      <c r="AA104" s="160">
        <f t="shared" si="10"/>
        <v>700</v>
      </c>
      <c r="AC104" s="95">
        <f>Construction!AH104</f>
        <v>0</v>
      </c>
    </row>
    <row r="105" spans="1:29" s="16" customFormat="1">
      <c r="A105" s="16">
        <f>Construction!E105</f>
        <v>1000</v>
      </c>
      <c r="B105" s="68">
        <f>Construction!F105</f>
        <v>0</v>
      </c>
      <c r="C105" s="29">
        <f>Construction!G105</f>
        <v>100</v>
      </c>
      <c r="D105" s="30">
        <f>Construction!H105</f>
        <v>150</v>
      </c>
      <c r="E105" s="31">
        <f>Construction!I105</f>
        <v>150</v>
      </c>
      <c r="F105" s="32">
        <f>Construction!J105</f>
        <v>100</v>
      </c>
      <c r="G105" s="33">
        <f>Construction!K105</f>
        <v>20</v>
      </c>
      <c r="H105" s="69">
        <f>Construction!L105</f>
        <v>100</v>
      </c>
      <c r="J105" s="529">
        <f t="shared" si="12"/>
        <v>103</v>
      </c>
      <c r="K105" s="574">
        <f>Imps!BY105</f>
        <v>43696.249999999753</v>
      </c>
      <c r="L105" s="356"/>
      <c r="M105" s="348"/>
      <c r="N105" s="348"/>
      <c r="O105" s="348"/>
      <c r="P105" s="348"/>
      <c r="Q105" s="348"/>
      <c r="R105" s="357"/>
      <c r="S105" s="166">
        <f t="shared" si="13"/>
        <v>0</v>
      </c>
      <c r="T105" s="160" t="str">
        <f t="shared" si="14"/>
        <v>Ok</v>
      </c>
      <c r="V105" s="64">
        <f ca="1">Production!H105</f>
        <v>4033913</v>
      </c>
      <c r="X105" s="152">
        <f ca="1">ROUND( (1-MIN(ROUND(facs_rezone_factor*AC105,4),facs_rezone_max)) * (1+MIN(tech_construction_rezone*Techs!AD105,tech_conquerors_crafts*Techs!AS105)) * AA105*(1+race_rezone_cost),0)</f>
        <v>700</v>
      </c>
      <c r="Y105" s="166">
        <f t="shared" ca="1" si="9"/>
        <v>0</v>
      </c>
      <c r="AA105" s="160">
        <f t="shared" si="10"/>
        <v>700</v>
      </c>
      <c r="AC105" s="95">
        <f>Construction!AH105</f>
        <v>0</v>
      </c>
    </row>
    <row r="106" spans="1:29" s="16" customFormat="1">
      <c r="A106" s="16">
        <f>Construction!E106</f>
        <v>1000</v>
      </c>
      <c r="B106" s="68">
        <f>Construction!F106</f>
        <v>0</v>
      </c>
      <c r="C106" s="29">
        <f>Construction!G106</f>
        <v>100</v>
      </c>
      <c r="D106" s="30">
        <f>Construction!H106</f>
        <v>150</v>
      </c>
      <c r="E106" s="31">
        <f>Construction!I106</f>
        <v>150</v>
      </c>
      <c r="F106" s="32">
        <f>Construction!J106</f>
        <v>100</v>
      </c>
      <c r="G106" s="33">
        <f>Construction!K106</f>
        <v>20</v>
      </c>
      <c r="H106" s="69">
        <f>Construction!L106</f>
        <v>100</v>
      </c>
      <c r="J106" s="529">
        <f t="shared" si="12"/>
        <v>104</v>
      </c>
      <c r="K106" s="574">
        <f>Imps!BY106</f>
        <v>43696.291666666417</v>
      </c>
      <c r="L106" s="356"/>
      <c r="M106" s="348"/>
      <c r="N106" s="348"/>
      <c r="O106" s="348"/>
      <c r="P106" s="348"/>
      <c r="Q106" s="348"/>
      <c r="R106" s="357"/>
      <c r="S106" s="166">
        <f t="shared" si="13"/>
        <v>0</v>
      </c>
      <c r="T106" s="160" t="str">
        <f t="shared" si="14"/>
        <v>Ok</v>
      </c>
      <c r="V106" s="64">
        <f ca="1">Production!H106</f>
        <v>4044564</v>
      </c>
      <c r="X106" s="152">
        <f ca="1">ROUND( (1-MIN(ROUND(facs_rezone_factor*AC106,4),facs_rezone_max)) * (1+MIN(tech_construction_rezone*Techs!AD106,tech_conquerors_crafts*Techs!AS106)) * AA106*(1+race_rezone_cost),0)</f>
        <v>700</v>
      </c>
      <c r="Y106" s="166">
        <f t="shared" ca="1" si="9"/>
        <v>0</v>
      </c>
      <c r="AA106" s="160">
        <f t="shared" si="10"/>
        <v>700</v>
      </c>
      <c r="AC106" s="95">
        <f>Construction!AH106</f>
        <v>0</v>
      </c>
    </row>
    <row r="107" spans="1:29" s="16" customFormat="1">
      <c r="A107" s="16">
        <f>Construction!E107</f>
        <v>1000</v>
      </c>
      <c r="B107" s="68">
        <f>Construction!F107</f>
        <v>0</v>
      </c>
      <c r="C107" s="29">
        <f>Construction!G107</f>
        <v>100</v>
      </c>
      <c r="D107" s="30">
        <f>Construction!H107</f>
        <v>150</v>
      </c>
      <c r="E107" s="31">
        <f>Construction!I107</f>
        <v>150</v>
      </c>
      <c r="F107" s="32">
        <f>Construction!J107</f>
        <v>100</v>
      </c>
      <c r="G107" s="33">
        <f>Construction!K107</f>
        <v>20</v>
      </c>
      <c r="H107" s="69">
        <f>Construction!L107</f>
        <v>100</v>
      </c>
      <c r="J107" s="529">
        <f t="shared" si="12"/>
        <v>105</v>
      </c>
      <c r="K107" s="574">
        <f>Imps!BY107</f>
        <v>43696.333333333081</v>
      </c>
      <c r="L107" s="356"/>
      <c r="M107" s="348"/>
      <c r="N107" s="348"/>
      <c r="O107" s="348"/>
      <c r="P107" s="348"/>
      <c r="Q107" s="348"/>
      <c r="R107" s="357"/>
      <c r="S107" s="166">
        <f t="shared" si="13"/>
        <v>0</v>
      </c>
      <c r="T107" s="160" t="str">
        <f t="shared" si="14"/>
        <v>Ok</v>
      </c>
      <c r="V107" s="64">
        <f ca="1">Production!H107</f>
        <v>4055215</v>
      </c>
      <c r="X107" s="152">
        <f ca="1">ROUND( (1-MIN(ROUND(facs_rezone_factor*AC107,4),facs_rezone_max)) * (1+MIN(tech_construction_rezone*Techs!AD107,tech_conquerors_crafts*Techs!AS107)) * AA107*(1+race_rezone_cost),0)</f>
        <v>700</v>
      </c>
      <c r="Y107" s="166">
        <f t="shared" ca="1" si="9"/>
        <v>0</v>
      </c>
      <c r="AA107" s="160">
        <f t="shared" si="10"/>
        <v>700</v>
      </c>
      <c r="AC107" s="95">
        <f>Construction!AH107</f>
        <v>0</v>
      </c>
    </row>
    <row r="108" spans="1:29" s="16" customFormat="1">
      <c r="A108" s="16">
        <f>Construction!E108</f>
        <v>1000</v>
      </c>
      <c r="B108" s="68">
        <f>Construction!F108</f>
        <v>0</v>
      </c>
      <c r="C108" s="29">
        <f>Construction!G108</f>
        <v>100</v>
      </c>
      <c r="D108" s="30">
        <f>Construction!H108</f>
        <v>150</v>
      </c>
      <c r="E108" s="31">
        <f>Construction!I108</f>
        <v>150</v>
      </c>
      <c r="F108" s="32">
        <f>Construction!J108</f>
        <v>100</v>
      </c>
      <c r="G108" s="33">
        <f>Construction!K108</f>
        <v>20</v>
      </c>
      <c r="H108" s="69">
        <f>Construction!L108</f>
        <v>100</v>
      </c>
      <c r="J108" s="529">
        <f t="shared" si="12"/>
        <v>106</v>
      </c>
      <c r="K108" s="574">
        <f>Imps!BY108</f>
        <v>43696.374999999745</v>
      </c>
      <c r="L108" s="356"/>
      <c r="M108" s="348"/>
      <c r="N108" s="348"/>
      <c r="O108" s="348"/>
      <c r="P108" s="348"/>
      <c r="Q108" s="348"/>
      <c r="R108" s="357"/>
      <c r="S108" s="166">
        <f t="shared" si="13"/>
        <v>0</v>
      </c>
      <c r="T108" s="160" t="str">
        <f t="shared" si="14"/>
        <v>Ok</v>
      </c>
      <c r="V108" s="64">
        <f ca="1">Production!H108</f>
        <v>4065866</v>
      </c>
      <c r="X108" s="152">
        <f ca="1">ROUND( (1-MIN(ROUND(facs_rezone_factor*AC108,4),facs_rezone_max)) * (1+MIN(tech_construction_rezone*Techs!AD108,tech_conquerors_crafts*Techs!AS108)) * AA108*(1+race_rezone_cost),0)</f>
        <v>700</v>
      </c>
      <c r="Y108" s="166">
        <f t="shared" ca="1" si="9"/>
        <v>0</v>
      </c>
      <c r="AA108" s="160">
        <f t="shared" si="10"/>
        <v>700</v>
      </c>
      <c r="AC108" s="95">
        <f>Construction!AH108</f>
        <v>0</v>
      </c>
    </row>
    <row r="109" spans="1:29" s="16" customFormat="1">
      <c r="A109" s="16">
        <f>Construction!E109</f>
        <v>1000</v>
      </c>
      <c r="B109" s="68">
        <f>Construction!F109</f>
        <v>0</v>
      </c>
      <c r="C109" s="29">
        <f>Construction!G109</f>
        <v>100</v>
      </c>
      <c r="D109" s="30">
        <f>Construction!H109</f>
        <v>150</v>
      </c>
      <c r="E109" s="31">
        <f>Construction!I109</f>
        <v>150</v>
      </c>
      <c r="F109" s="32">
        <f>Construction!J109</f>
        <v>100</v>
      </c>
      <c r="G109" s="33">
        <f>Construction!K109</f>
        <v>20</v>
      </c>
      <c r="H109" s="69">
        <f>Construction!L109</f>
        <v>100</v>
      </c>
      <c r="J109" s="529">
        <f t="shared" si="12"/>
        <v>107</v>
      </c>
      <c r="K109" s="574">
        <f>Imps!BY109</f>
        <v>43696.41666666641</v>
      </c>
      <c r="L109" s="356"/>
      <c r="M109" s="348"/>
      <c r="N109" s="348"/>
      <c r="O109" s="348"/>
      <c r="P109" s="348"/>
      <c r="Q109" s="348"/>
      <c r="R109" s="357"/>
      <c r="S109" s="166">
        <f t="shared" si="13"/>
        <v>0</v>
      </c>
      <c r="T109" s="160" t="str">
        <f t="shared" si="14"/>
        <v>Ok</v>
      </c>
      <c r="V109" s="64">
        <f ca="1">Production!H109</f>
        <v>4076517</v>
      </c>
      <c r="X109" s="152">
        <f ca="1">ROUND( (1-MIN(ROUND(facs_rezone_factor*AC109,4),facs_rezone_max)) * (1+MIN(tech_construction_rezone*Techs!AD109,tech_conquerors_crafts*Techs!AS109)) * AA109*(1+race_rezone_cost),0)</f>
        <v>700</v>
      </c>
      <c r="Y109" s="166">
        <f t="shared" ca="1" si="9"/>
        <v>0</v>
      </c>
      <c r="AA109" s="160">
        <f t="shared" si="10"/>
        <v>700</v>
      </c>
      <c r="AC109" s="95">
        <f>Construction!AH109</f>
        <v>0</v>
      </c>
    </row>
    <row r="110" spans="1:29" s="16" customFormat="1">
      <c r="A110" s="16">
        <f>Construction!E110</f>
        <v>1000</v>
      </c>
      <c r="B110" s="68">
        <f>Construction!F110</f>
        <v>0</v>
      </c>
      <c r="C110" s="29">
        <f>Construction!G110</f>
        <v>100</v>
      </c>
      <c r="D110" s="30">
        <f>Construction!H110</f>
        <v>150</v>
      </c>
      <c r="E110" s="31">
        <f>Construction!I110</f>
        <v>150</v>
      </c>
      <c r="F110" s="32">
        <f>Construction!J110</f>
        <v>100</v>
      </c>
      <c r="G110" s="33">
        <f>Construction!K110</f>
        <v>20</v>
      </c>
      <c r="H110" s="69">
        <f>Construction!L110</f>
        <v>100</v>
      </c>
      <c r="J110" s="529">
        <f t="shared" si="12"/>
        <v>108</v>
      </c>
      <c r="K110" s="574">
        <f>Imps!BY110</f>
        <v>43696.458333333074</v>
      </c>
      <c r="L110" s="356"/>
      <c r="M110" s="348"/>
      <c r="N110" s="348"/>
      <c r="O110" s="348"/>
      <c r="P110" s="348"/>
      <c r="Q110" s="348"/>
      <c r="R110" s="357"/>
      <c r="S110" s="166">
        <f t="shared" si="13"/>
        <v>0</v>
      </c>
      <c r="T110" s="160" t="str">
        <f t="shared" si="14"/>
        <v>Ok</v>
      </c>
      <c r="V110" s="64">
        <f ca="1">Production!H110</f>
        <v>4087168</v>
      </c>
      <c r="X110" s="152">
        <f ca="1">ROUND( (1-MIN(ROUND(facs_rezone_factor*AC110,4),facs_rezone_max)) * (1+MIN(tech_construction_rezone*Techs!AD110,tech_conquerors_crafts*Techs!AS110)) * AA110*(1+race_rezone_cost),0)</f>
        <v>700</v>
      </c>
      <c r="Y110" s="166">
        <f t="shared" ca="1" si="9"/>
        <v>0</v>
      </c>
      <c r="AA110" s="160">
        <f t="shared" si="10"/>
        <v>700</v>
      </c>
      <c r="AC110" s="95">
        <f>Construction!AH110</f>
        <v>0</v>
      </c>
    </row>
    <row r="111" spans="1:29" s="12" customFormat="1">
      <c r="A111" s="12">
        <f>Construction!E111</f>
        <v>1000</v>
      </c>
      <c r="B111" s="66">
        <f>Construction!F111</f>
        <v>0</v>
      </c>
      <c r="C111" s="18">
        <f>Construction!G111</f>
        <v>100</v>
      </c>
      <c r="D111" s="19">
        <f>Construction!H111</f>
        <v>150</v>
      </c>
      <c r="E111" s="20">
        <f>Construction!I111</f>
        <v>150</v>
      </c>
      <c r="F111" s="200">
        <f>Construction!J111</f>
        <v>100</v>
      </c>
      <c r="G111" s="22">
        <f>Construction!K111</f>
        <v>20</v>
      </c>
      <c r="H111" s="67">
        <f>Construction!L111</f>
        <v>100</v>
      </c>
      <c r="J111" s="631">
        <f t="shared" si="12"/>
        <v>109</v>
      </c>
      <c r="K111" s="679">
        <f>Imps!BY111</f>
        <v>43696.499999999738</v>
      </c>
      <c r="L111" s="373"/>
      <c r="M111" s="349"/>
      <c r="N111" s="349"/>
      <c r="O111" s="349"/>
      <c r="P111" s="349"/>
      <c r="Q111" s="349"/>
      <c r="R111" s="374"/>
      <c r="S111" s="158">
        <f t="shared" si="13"/>
        <v>0</v>
      </c>
      <c r="T111" s="203" t="str">
        <f t="shared" si="14"/>
        <v>Ok</v>
      </c>
      <c r="V111" s="93">
        <f ca="1">Production!H111</f>
        <v>4097819</v>
      </c>
      <c r="X111" s="151">
        <f ca="1">ROUND( (1-MIN(ROUND(facs_rezone_factor*AC111,4),facs_rezone_max)) * (1+MIN(tech_construction_rezone*Techs!AD111,tech_conquerors_crafts*Techs!AS111)) * AA111*(1+race_rezone_cost),0)</f>
        <v>700</v>
      </c>
      <c r="Y111" s="158">
        <f t="shared" ca="1" si="9"/>
        <v>0</v>
      </c>
      <c r="AA111" s="203">
        <f t="shared" si="10"/>
        <v>700</v>
      </c>
      <c r="AC111" s="94">
        <f>Construction!AH111</f>
        <v>0</v>
      </c>
    </row>
    <row r="112" spans="1:29" s="16" customFormat="1">
      <c r="A112" s="16">
        <f>Construction!E112</f>
        <v>1000</v>
      </c>
      <c r="B112" s="68">
        <f>Construction!F112</f>
        <v>0</v>
      </c>
      <c r="C112" s="29">
        <f>Construction!G112</f>
        <v>100</v>
      </c>
      <c r="D112" s="30">
        <f>Construction!H112</f>
        <v>150</v>
      </c>
      <c r="E112" s="31">
        <f>Construction!I112</f>
        <v>150</v>
      </c>
      <c r="F112" s="32">
        <f>Construction!J112</f>
        <v>100</v>
      </c>
      <c r="G112" s="33">
        <f>Construction!K112</f>
        <v>20</v>
      </c>
      <c r="H112" s="69">
        <f>Construction!L112</f>
        <v>100</v>
      </c>
      <c r="J112" s="529">
        <f t="shared" si="12"/>
        <v>110</v>
      </c>
      <c r="K112" s="574">
        <f>Imps!BY112</f>
        <v>43696.541666666402</v>
      </c>
      <c r="L112" s="356"/>
      <c r="M112" s="348"/>
      <c r="N112" s="348"/>
      <c r="O112" s="348"/>
      <c r="P112" s="348"/>
      <c r="Q112" s="348"/>
      <c r="R112" s="357"/>
      <c r="S112" s="166">
        <f t="shared" si="13"/>
        <v>0</v>
      </c>
      <c r="T112" s="160" t="str">
        <f t="shared" si="14"/>
        <v>Ok</v>
      </c>
      <c r="V112" s="64">
        <f ca="1">Production!H112</f>
        <v>4108470</v>
      </c>
      <c r="X112" s="152">
        <f ca="1">ROUND( (1-MIN(ROUND(facs_rezone_factor*AC112,4),facs_rezone_max)) * (1+MIN(tech_construction_rezone*Techs!AD112,tech_conquerors_crafts*Techs!AS112)) * AA112*(1+race_rezone_cost),0)</f>
        <v>700</v>
      </c>
      <c r="Y112" s="166">
        <f t="shared" ca="1" si="9"/>
        <v>0</v>
      </c>
      <c r="AA112" s="160">
        <f t="shared" si="10"/>
        <v>700</v>
      </c>
      <c r="AC112" s="95">
        <f>Construction!AH112</f>
        <v>0</v>
      </c>
    </row>
    <row r="113" spans="1:29" s="16" customFormat="1">
      <c r="A113" s="16">
        <f>Construction!E113</f>
        <v>1000</v>
      </c>
      <c r="B113" s="68">
        <f>Construction!F113</f>
        <v>0</v>
      </c>
      <c r="C113" s="29">
        <f>Construction!G113</f>
        <v>100</v>
      </c>
      <c r="D113" s="30">
        <f>Construction!H113</f>
        <v>150</v>
      </c>
      <c r="E113" s="31">
        <f>Construction!I113</f>
        <v>150</v>
      </c>
      <c r="F113" s="32">
        <f>Construction!J113</f>
        <v>100</v>
      </c>
      <c r="G113" s="33">
        <f>Construction!K113</f>
        <v>20</v>
      </c>
      <c r="H113" s="69">
        <f>Construction!L113</f>
        <v>100</v>
      </c>
      <c r="J113" s="529">
        <f t="shared" si="12"/>
        <v>111</v>
      </c>
      <c r="K113" s="574">
        <f>Imps!BY113</f>
        <v>43696.583333333067</v>
      </c>
      <c r="L113" s="356"/>
      <c r="M113" s="348"/>
      <c r="N113" s="348"/>
      <c r="O113" s="348"/>
      <c r="P113" s="348"/>
      <c r="Q113" s="348"/>
      <c r="R113" s="357"/>
      <c r="S113" s="166">
        <f t="shared" si="13"/>
        <v>0</v>
      </c>
      <c r="T113" s="160" t="str">
        <f t="shared" si="14"/>
        <v>Ok</v>
      </c>
      <c r="V113" s="64">
        <f ca="1">Production!H113</f>
        <v>4119121</v>
      </c>
      <c r="X113" s="152">
        <f ca="1">ROUND( (1-MIN(ROUND(facs_rezone_factor*AC113,4),facs_rezone_max)) * (1+MIN(tech_construction_rezone*Techs!AD113,tech_conquerors_crafts*Techs!AS113)) * AA113*(1+race_rezone_cost),0)</f>
        <v>700</v>
      </c>
      <c r="Y113" s="166">
        <f t="shared" ca="1" si="9"/>
        <v>0</v>
      </c>
      <c r="AA113" s="160">
        <f t="shared" si="10"/>
        <v>700</v>
      </c>
      <c r="AC113" s="95">
        <f>Construction!AH113</f>
        <v>0</v>
      </c>
    </row>
    <row r="114" spans="1:29" s="16" customFormat="1">
      <c r="A114" s="16">
        <f>Construction!E114</f>
        <v>1000</v>
      </c>
      <c r="B114" s="68">
        <f>Construction!F114</f>
        <v>0</v>
      </c>
      <c r="C114" s="29">
        <f>Construction!G114</f>
        <v>100</v>
      </c>
      <c r="D114" s="30">
        <f>Construction!H114</f>
        <v>150</v>
      </c>
      <c r="E114" s="31">
        <f>Construction!I114</f>
        <v>150</v>
      </c>
      <c r="F114" s="32">
        <f>Construction!J114</f>
        <v>100</v>
      </c>
      <c r="G114" s="33">
        <f>Construction!K114</f>
        <v>20</v>
      </c>
      <c r="H114" s="69">
        <f>Construction!L114</f>
        <v>100</v>
      </c>
      <c r="J114" s="529">
        <f t="shared" si="12"/>
        <v>112</v>
      </c>
      <c r="K114" s="574">
        <f>Imps!BY114</f>
        <v>43696.624999999731</v>
      </c>
      <c r="L114" s="356"/>
      <c r="M114" s="348"/>
      <c r="N114" s="348"/>
      <c r="O114" s="348"/>
      <c r="P114" s="348"/>
      <c r="Q114" s="348"/>
      <c r="R114" s="357"/>
      <c r="S114" s="166">
        <f t="shared" si="13"/>
        <v>0</v>
      </c>
      <c r="T114" s="160" t="str">
        <f t="shared" si="14"/>
        <v>Ok</v>
      </c>
      <c r="V114" s="64">
        <f ca="1">Production!H114</f>
        <v>4129772</v>
      </c>
      <c r="X114" s="152">
        <f ca="1">ROUND( (1-MIN(ROUND(facs_rezone_factor*AC114,4),facs_rezone_max)) * (1+MIN(tech_construction_rezone*Techs!AD114,tech_conquerors_crafts*Techs!AS114)) * AA114*(1+race_rezone_cost),0)</f>
        <v>700</v>
      </c>
      <c r="Y114" s="166">
        <f t="shared" ca="1" si="9"/>
        <v>0</v>
      </c>
      <c r="AA114" s="160">
        <f t="shared" si="10"/>
        <v>700</v>
      </c>
      <c r="AC114" s="95">
        <f>Construction!AH114</f>
        <v>0</v>
      </c>
    </row>
    <row r="115" spans="1:29" s="16" customFormat="1">
      <c r="A115" s="16">
        <f>Construction!E115</f>
        <v>1000</v>
      </c>
      <c r="B115" s="68">
        <f>Construction!F115</f>
        <v>0</v>
      </c>
      <c r="C115" s="29">
        <f>Construction!G115</f>
        <v>100</v>
      </c>
      <c r="D115" s="30">
        <f>Construction!H115</f>
        <v>150</v>
      </c>
      <c r="E115" s="31">
        <f>Construction!I115</f>
        <v>150</v>
      </c>
      <c r="F115" s="32">
        <f>Construction!J115</f>
        <v>100</v>
      </c>
      <c r="G115" s="33">
        <f>Construction!K115</f>
        <v>20</v>
      </c>
      <c r="H115" s="69">
        <f>Construction!L115</f>
        <v>100</v>
      </c>
      <c r="J115" s="529">
        <f t="shared" si="12"/>
        <v>113</v>
      </c>
      <c r="K115" s="574">
        <f>Imps!BY115</f>
        <v>43696.666666666395</v>
      </c>
      <c r="L115" s="356"/>
      <c r="M115" s="348"/>
      <c r="N115" s="348"/>
      <c r="O115" s="348"/>
      <c r="P115" s="348"/>
      <c r="Q115" s="348"/>
      <c r="R115" s="357"/>
      <c r="S115" s="166">
        <f t="shared" si="13"/>
        <v>0</v>
      </c>
      <c r="T115" s="160" t="str">
        <f t="shared" si="14"/>
        <v>Ok</v>
      </c>
      <c r="V115" s="64">
        <f ca="1">Production!H115</f>
        <v>4140423</v>
      </c>
      <c r="X115" s="152">
        <f ca="1">ROUND( (1-MIN(ROUND(facs_rezone_factor*AC115,4),facs_rezone_max)) * (1+MIN(tech_construction_rezone*Techs!AD115,tech_conquerors_crafts*Techs!AS115)) * AA115*(1+race_rezone_cost),0)</f>
        <v>700</v>
      </c>
      <c r="Y115" s="166">
        <f t="shared" ca="1" si="9"/>
        <v>0</v>
      </c>
      <c r="AA115" s="160">
        <f t="shared" si="10"/>
        <v>700</v>
      </c>
      <c r="AC115" s="95">
        <f>Construction!AH115</f>
        <v>0</v>
      </c>
    </row>
    <row r="116" spans="1:29" s="16" customFormat="1">
      <c r="A116" s="16">
        <f>Construction!E116</f>
        <v>1000</v>
      </c>
      <c r="B116" s="68">
        <f>Construction!F116</f>
        <v>0</v>
      </c>
      <c r="C116" s="29">
        <f>Construction!G116</f>
        <v>100</v>
      </c>
      <c r="D116" s="30">
        <f>Construction!H116</f>
        <v>150</v>
      </c>
      <c r="E116" s="31">
        <f>Construction!I116</f>
        <v>150</v>
      </c>
      <c r="F116" s="32">
        <f>Construction!J116</f>
        <v>100</v>
      </c>
      <c r="G116" s="33">
        <f>Construction!K116</f>
        <v>20</v>
      </c>
      <c r="H116" s="69">
        <f>Construction!L116</f>
        <v>100</v>
      </c>
      <c r="J116" s="529">
        <f t="shared" si="12"/>
        <v>114</v>
      </c>
      <c r="K116" s="574">
        <f>Imps!BY116</f>
        <v>43696.708333333059</v>
      </c>
      <c r="L116" s="356"/>
      <c r="M116" s="348"/>
      <c r="N116" s="348"/>
      <c r="O116" s="348"/>
      <c r="P116" s="348"/>
      <c r="Q116" s="348"/>
      <c r="R116" s="357"/>
      <c r="S116" s="166">
        <f t="shared" si="13"/>
        <v>0</v>
      </c>
      <c r="T116" s="160" t="str">
        <f t="shared" si="14"/>
        <v>Ok</v>
      </c>
      <c r="V116" s="64">
        <f ca="1">Production!H116</f>
        <v>4151074</v>
      </c>
      <c r="X116" s="152">
        <f ca="1">ROUND( (1-MIN(ROUND(facs_rezone_factor*AC116,4),facs_rezone_max)) * (1+MIN(tech_construction_rezone*Techs!AD116,tech_conquerors_crafts*Techs!AS116)) * AA116*(1+race_rezone_cost),0)</f>
        <v>700</v>
      </c>
      <c r="Y116" s="166">
        <f t="shared" ca="1" si="9"/>
        <v>0</v>
      </c>
      <c r="AA116" s="160">
        <f t="shared" si="10"/>
        <v>700</v>
      </c>
      <c r="AC116" s="95">
        <f>Construction!AH116</f>
        <v>0</v>
      </c>
    </row>
    <row r="117" spans="1:29" s="16" customFormat="1">
      <c r="A117" s="16">
        <f>Construction!E117</f>
        <v>1000</v>
      </c>
      <c r="B117" s="68">
        <f>Construction!F117</f>
        <v>0</v>
      </c>
      <c r="C117" s="29">
        <f>Construction!G117</f>
        <v>100</v>
      </c>
      <c r="D117" s="30">
        <f>Construction!H117</f>
        <v>150</v>
      </c>
      <c r="E117" s="31">
        <f>Construction!I117</f>
        <v>150</v>
      </c>
      <c r="F117" s="32">
        <f>Construction!J117</f>
        <v>100</v>
      </c>
      <c r="G117" s="33">
        <f>Construction!K117</f>
        <v>20</v>
      </c>
      <c r="H117" s="69">
        <f>Construction!L117</f>
        <v>100</v>
      </c>
      <c r="J117" s="529">
        <f t="shared" si="12"/>
        <v>115</v>
      </c>
      <c r="K117" s="574">
        <f>Imps!BY117</f>
        <v>43696.749999999724</v>
      </c>
      <c r="L117" s="356"/>
      <c r="M117" s="348"/>
      <c r="N117" s="348"/>
      <c r="O117" s="348"/>
      <c r="P117" s="348"/>
      <c r="Q117" s="348"/>
      <c r="R117" s="357"/>
      <c r="S117" s="166">
        <f t="shared" si="13"/>
        <v>0</v>
      </c>
      <c r="T117" s="160" t="str">
        <f t="shared" si="14"/>
        <v>Ok</v>
      </c>
      <c r="V117" s="64">
        <f ca="1">Production!H117</f>
        <v>4161725</v>
      </c>
      <c r="X117" s="152">
        <f ca="1">ROUND( (1-MIN(ROUND(facs_rezone_factor*AC117,4),facs_rezone_max)) * (1+MIN(tech_construction_rezone*Techs!AD117,tech_conquerors_crafts*Techs!AS117)) * AA117*(1+race_rezone_cost),0)</f>
        <v>700</v>
      </c>
      <c r="Y117" s="166">
        <f t="shared" ca="1" si="9"/>
        <v>0</v>
      </c>
      <c r="AA117" s="160">
        <f t="shared" si="10"/>
        <v>700</v>
      </c>
      <c r="AC117" s="95">
        <f>Construction!AH117</f>
        <v>0</v>
      </c>
    </row>
    <row r="118" spans="1:29" s="16" customFormat="1">
      <c r="A118" s="16">
        <f>Construction!E118</f>
        <v>1000</v>
      </c>
      <c r="B118" s="68">
        <f>Construction!F118</f>
        <v>0</v>
      </c>
      <c r="C118" s="29">
        <f>Construction!G118</f>
        <v>100</v>
      </c>
      <c r="D118" s="30">
        <f>Construction!H118</f>
        <v>150</v>
      </c>
      <c r="E118" s="31">
        <f>Construction!I118</f>
        <v>150</v>
      </c>
      <c r="F118" s="32">
        <f>Construction!J118</f>
        <v>100</v>
      </c>
      <c r="G118" s="33">
        <f>Construction!K118</f>
        <v>20</v>
      </c>
      <c r="H118" s="69">
        <f>Construction!L118</f>
        <v>100</v>
      </c>
      <c r="J118" s="529">
        <f t="shared" si="12"/>
        <v>116</v>
      </c>
      <c r="K118" s="574">
        <f>Imps!BY118</f>
        <v>43696.791666666388</v>
      </c>
      <c r="L118" s="356"/>
      <c r="M118" s="348"/>
      <c r="N118" s="348"/>
      <c r="O118" s="348"/>
      <c r="P118" s="348"/>
      <c r="Q118" s="348"/>
      <c r="R118" s="357"/>
      <c r="S118" s="166">
        <f t="shared" si="13"/>
        <v>0</v>
      </c>
      <c r="T118" s="160" t="str">
        <f t="shared" si="14"/>
        <v>Ok</v>
      </c>
      <c r="V118" s="64">
        <f ca="1">Production!H118</f>
        <v>4172376</v>
      </c>
      <c r="X118" s="152">
        <f ca="1">ROUND( (1-MIN(ROUND(facs_rezone_factor*AC118,4),facs_rezone_max)) * (1+MIN(tech_construction_rezone*Techs!AD118,tech_conquerors_crafts*Techs!AS118)) * AA118*(1+race_rezone_cost),0)</f>
        <v>700</v>
      </c>
      <c r="Y118" s="166">
        <f t="shared" ca="1" si="9"/>
        <v>0</v>
      </c>
      <c r="AA118" s="160">
        <f t="shared" si="10"/>
        <v>700</v>
      </c>
      <c r="AC118" s="95">
        <f>Construction!AH118</f>
        <v>0</v>
      </c>
    </row>
    <row r="119" spans="1:29" s="16" customFormat="1">
      <c r="A119" s="16">
        <f>Construction!E119</f>
        <v>1000</v>
      </c>
      <c r="B119" s="68">
        <f>Construction!F119</f>
        <v>0</v>
      </c>
      <c r="C119" s="29">
        <f>Construction!G119</f>
        <v>100</v>
      </c>
      <c r="D119" s="30">
        <f>Construction!H119</f>
        <v>150</v>
      </c>
      <c r="E119" s="31">
        <f>Construction!I119</f>
        <v>150</v>
      </c>
      <c r="F119" s="32">
        <f>Construction!J119</f>
        <v>100</v>
      </c>
      <c r="G119" s="33">
        <f>Construction!K119</f>
        <v>20</v>
      </c>
      <c r="H119" s="69">
        <f>Construction!L119</f>
        <v>100</v>
      </c>
      <c r="J119" s="529">
        <f t="shared" si="12"/>
        <v>117</v>
      </c>
      <c r="K119" s="574">
        <f>Imps!BY119</f>
        <v>43696.833333333052</v>
      </c>
      <c r="L119" s="356"/>
      <c r="M119" s="348"/>
      <c r="N119" s="348"/>
      <c r="O119" s="348"/>
      <c r="P119" s="348"/>
      <c r="Q119" s="348"/>
      <c r="R119" s="357"/>
      <c r="S119" s="166">
        <f t="shared" si="13"/>
        <v>0</v>
      </c>
      <c r="T119" s="160" t="str">
        <f t="shared" si="14"/>
        <v>Ok</v>
      </c>
      <c r="V119" s="64">
        <f ca="1">Production!H119</f>
        <v>4183027</v>
      </c>
      <c r="X119" s="152">
        <f ca="1">ROUND( (1-MIN(ROUND(facs_rezone_factor*AC119,4),facs_rezone_max)) * (1+MIN(tech_construction_rezone*Techs!AD119,tech_conquerors_crafts*Techs!AS119)) * AA119*(1+race_rezone_cost),0)</f>
        <v>700</v>
      </c>
      <c r="Y119" s="166">
        <f t="shared" ca="1" si="9"/>
        <v>0</v>
      </c>
      <c r="AA119" s="160">
        <f t="shared" si="10"/>
        <v>700</v>
      </c>
      <c r="AC119" s="95">
        <f>Construction!AH119</f>
        <v>0</v>
      </c>
    </row>
    <row r="120" spans="1:29" s="16" customFormat="1">
      <c r="A120" s="16">
        <f>Construction!E120</f>
        <v>1000</v>
      </c>
      <c r="B120" s="68">
        <f>Construction!F120</f>
        <v>0</v>
      </c>
      <c r="C120" s="29">
        <f>Construction!G120</f>
        <v>100</v>
      </c>
      <c r="D120" s="30">
        <f>Construction!H120</f>
        <v>150</v>
      </c>
      <c r="E120" s="31">
        <f>Construction!I120</f>
        <v>150</v>
      </c>
      <c r="F120" s="32">
        <f>Construction!J120</f>
        <v>100</v>
      </c>
      <c r="G120" s="33">
        <f>Construction!K120</f>
        <v>20</v>
      </c>
      <c r="H120" s="69">
        <f>Construction!L120</f>
        <v>100</v>
      </c>
      <c r="J120" s="529">
        <f t="shared" si="12"/>
        <v>118</v>
      </c>
      <c r="K120" s="574">
        <f>Imps!BY120</f>
        <v>43696.874999999716</v>
      </c>
      <c r="L120" s="356"/>
      <c r="M120" s="348"/>
      <c r="N120" s="348"/>
      <c r="O120" s="348"/>
      <c r="P120" s="348"/>
      <c r="Q120" s="348"/>
      <c r="R120" s="357"/>
      <c r="S120" s="166">
        <f t="shared" si="13"/>
        <v>0</v>
      </c>
      <c r="T120" s="160" t="str">
        <f t="shared" si="14"/>
        <v>Ok</v>
      </c>
      <c r="V120" s="64">
        <f ca="1">Production!H120</f>
        <v>4193678</v>
      </c>
      <c r="X120" s="152">
        <f ca="1">ROUND( (1-MIN(ROUND(facs_rezone_factor*AC120,4),facs_rezone_max)) * (1+MIN(tech_construction_rezone*Techs!AD120,tech_conquerors_crafts*Techs!AS120)) * AA120*(1+race_rezone_cost),0)</f>
        <v>700</v>
      </c>
      <c r="Y120" s="166">
        <f t="shared" ca="1" si="9"/>
        <v>0</v>
      </c>
      <c r="AA120" s="160">
        <f t="shared" si="10"/>
        <v>700</v>
      </c>
      <c r="AC120" s="95">
        <f>Construction!AH120</f>
        <v>0</v>
      </c>
    </row>
    <row r="121" spans="1:29" s="16" customFormat="1">
      <c r="A121" s="16">
        <f>Construction!E121</f>
        <v>1000</v>
      </c>
      <c r="B121" s="68">
        <f>Construction!F121</f>
        <v>0</v>
      </c>
      <c r="C121" s="29">
        <f>Construction!G121</f>
        <v>100</v>
      </c>
      <c r="D121" s="30">
        <f>Construction!H121</f>
        <v>150</v>
      </c>
      <c r="E121" s="31">
        <f>Construction!I121</f>
        <v>150</v>
      </c>
      <c r="F121" s="32">
        <f>Construction!J121</f>
        <v>100</v>
      </c>
      <c r="G121" s="33">
        <f>Construction!K121</f>
        <v>20</v>
      </c>
      <c r="H121" s="69">
        <f>Construction!L121</f>
        <v>100</v>
      </c>
      <c r="J121" s="529">
        <f t="shared" si="12"/>
        <v>119</v>
      </c>
      <c r="K121" s="574">
        <f>Imps!BY121</f>
        <v>43696.91666666638</v>
      </c>
      <c r="L121" s="356"/>
      <c r="M121" s="348"/>
      <c r="N121" s="348"/>
      <c r="O121" s="348"/>
      <c r="P121" s="348"/>
      <c r="Q121" s="348"/>
      <c r="R121" s="357"/>
      <c r="S121" s="166">
        <f t="shared" si="13"/>
        <v>0</v>
      </c>
      <c r="T121" s="160" t="str">
        <f t="shared" si="14"/>
        <v>Ok</v>
      </c>
      <c r="V121" s="64">
        <f ca="1">Production!H121</f>
        <v>4204329</v>
      </c>
      <c r="X121" s="152">
        <f ca="1">ROUND( (1-MIN(ROUND(facs_rezone_factor*AC121,4),facs_rezone_max)) * (1+MIN(tech_construction_rezone*Techs!AD121,tech_conquerors_crafts*Techs!AS121)) * AA121*(1+race_rezone_cost),0)</f>
        <v>700</v>
      </c>
      <c r="Y121" s="166">
        <f t="shared" ca="1" si="9"/>
        <v>0</v>
      </c>
      <c r="AA121" s="160">
        <f t="shared" si="10"/>
        <v>700</v>
      </c>
      <c r="AC121" s="95">
        <f>Construction!AH121</f>
        <v>0</v>
      </c>
    </row>
    <row r="122" spans="1:29" s="16" customFormat="1" ht="13.5" thickBot="1">
      <c r="A122" s="16">
        <f>Construction!E122</f>
        <v>1000</v>
      </c>
      <c r="B122" s="68">
        <f>Construction!F122</f>
        <v>0</v>
      </c>
      <c r="C122" s="29">
        <f>Construction!G122</f>
        <v>100</v>
      </c>
      <c r="D122" s="30">
        <f>Construction!H122</f>
        <v>150</v>
      </c>
      <c r="E122" s="31">
        <f>Construction!I122</f>
        <v>150</v>
      </c>
      <c r="F122" s="32">
        <f>Construction!J122</f>
        <v>100</v>
      </c>
      <c r="G122" s="33">
        <f>Construction!K122</f>
        <v>20</v>
      </c>
      <c r="H122" s="69">
        <f>Construction!L122</f>
        <v>100</v>
      </c>
      <c r="J122" s="529">
        <f t="shared" si="12"/>
        <v>120</v>
      </c>
      <c r="K122" s="574">
        <f>Imps!BY122</f>
        <v>43696.958333333045</v>
      </c>
      <c r="L122" s="356"/>
      <c r="M122" s="348"/>
      <c r="N122" s="348"/>
      <c r="O122" s="348"/>
      <c r="P122" s="348"/>
      <c r="Q122" s="348"/>
      <c r="R122" s="357"/>
      <c r="S122" s="166">
        <f t="shared" si="13"/>
        <v>0</v>
      </c>
      <c r="T122" s="160" t="str">
        <f t="shared" si="14"/>
        <v>Ok</v>
      </c>
      <c r="V122" s="64">
        <f ca="1">Production!H122</f>
        <v>4214980</v>
      </c>
      <c r="X122" s="152">
        <f ca="1">ROUND( (1-MIN(ROUND(facs_rezone_factor*AC122,4),facs_rezone_max)) * (1+MIN(tech_construction_rezone*Techs!AD122,tech_conquerors_crafts*Techs!AS122)) * AA122*(1+race_rezone_cost),0)</f>
        <v>700</v>
      </c>
      <c r="Y122" s="166">
        <f t="shared" ca="1" si="9"/>
        <v>0</v>
      </c>
      <c r="AA122" s="160">
        <f t="shared" si="10"/>
        <v>700</v>
      </c>
      <c r="AC122" s="95">
        <f>Construction!AH122</f>
        <v>0</v>
      </c>
    </row>
    <row r="123" spans="1:29" s="111" customFormat="1" ht="14.25" thickTop="1" thickBot="1">
      <c r="A123" s="111">
        <f>Construction!E123</f>
        <v>1000</v>
      </c>
      <c r="B123" s="118">
        <f>Construction!F123</f>
        <v>0</v>
      </c>
      <c r="C123" s="119">
        <f>Construction!G123</f>
        <v>100</v>
      </c>
      <c r="D123" s="120">
        <f>Construction!H123</f>
        <v>150</v>
      </c>
      <c r="E123" s="121">
        <f>Construction!I123</f>
        <v>150</v>
      </c>
      <c r="F123" s="122">
        <f>Construction!J123</f>
        <v>100</v>
      </c>
      <c r="G123" s="123">
        <f>Construction!K123</f>
        <v>20</v>
      </c>
      <c r="H123" s="124">
        <f>Construction!L123</f>
        <v>100</v>
      </c>
      <c r="J123" s="633">
        <f t="shared" si="12"/>
        <v>121</v>
      </c>
      <c r="K123" s="575">
        <f>Imps!BY123</f>
        <v>43696.999999999709</v>
      </c>
      <c r="L123" s="358"/>
      <c r="M123" s="350"/>
      <c r="N123" s="350"/>
      <c r="O123" s="350"/>
      <c r="P123" s="350"/>
      <c r="Q123" s="350"/>
      <c r="R123" s="359"/>
      <c r="S123" s="274">
        <f t="shared" si="13"/>
        <v>0</v>
      </c>
      <c r="T123" s="506" t="str">
        <f t="shared" si="14"/>
        <v>Ok</v>
      </c>
      <c r="V123" s="117">
        <f ca="1">Production!H123</f>
        <v>4225631</v>
      </c>
      <c r="X123" s="273">
        <f ca="1">ROUND( (1-MIN(ROUND(facs_rezone_factor*AC123,4),facs_rezone_max)) * (1+MIN(tech_construction_rezone*Techs!AD123,tech_conquerors_crafts*Techs!AS123)) * AA123*(1+race_rezone_cost),0)</f>
        <v>700</v>
      </c>
      <c r="Y123" s="274">
        <f t="shared" ca="1" si="9"/>
        <v>0</v>
      </c>
      <c r="AA123" s="506">
        <f t="shared" si="10"/>
        <v>700</v>
      </c>
      <c r="AC123" s="134">
        <f>Construction!AH123</f>
        <v>0</v>
      </c>
    </row>
    <row r="124" spans="1:29" s="16" customFormat="1" ht="13.5" thickTop="1">
      <c r="A124" s="16">
        <f>Construction!E124</f>
        <v>1000</v>
      </c>
      <c r="B124" s="68">
        <f>Construction!F124</f>
        <v>0</v>
      </c>
      <c r="C124" s="29">
        <f>Construction!G124</f>
        <v>100</v>
      </c>
      <c r="D124" s="30">
        <f>Construction!H124</f>
        <v>150</v>
      </c>
      <c r="E124" s="31">
        <f>Construction!I124</f>
        <v>150</v>
      </c>
      <c r="F124" s="32">
        <f>Construction!J124</f>
        <v>100</v>
      </c>
      <c r="G124" s="33">
        <f>Construction!K124</f>
        <v>20</v>
      </c>
      <c r="H124" s="69">
        <f>Construction!L124</f>
        <v>100</v>
      </c>
      <c r="J124" s="529">
        <f t="shared" si="12"/>
        <v>122</v>
      </c>
      <c r="K124" s="574">
        <f>Imps!BY124</f>
        <v>43697.041666666373</v>
      </c>
      <c r="L124" s="356"/>
      <c r="M124" s="348"/>
      <c r="N124" s="348"/>
      <c r="O124" s="348"/>
      <c r="P124" s="348"/>
      <c r="Q124" s="348"/>
      <c r="R124" s="357"/>
      <c r="S124" s="166">
        <f t="shared" si="13"/>
        <v>0</v>
      </c>
      <c r="T124" s="160" t="str">
        <f t="shared" si="14"/>
        <v>Ok</v>
      </c>
      <c r="V124" s="64">
        <f ca="1">Production!H124</f>
        <v>4236282</v>
      </c>
      <c r="X124" s="152">
        <f ca="1">ROUND( (1-MIN(ROUND(facs_rezone_factor*AC124,4),facs_rezone_max)) * (1+MIN(tech_construction_rezone*Techs!AD124,tech_conquerors_crafts*Techs!AS124)) * AA124*(1+race_rezone_cost),0)</f>
        <v>700</v>
      </c>
      <c r="Y124" s="166">
        <f t="shared" ca="1" si="9"/>
        <v>0</v>
      </c>
      <c r="AA124" s="160">
        <f t="shared" si="10"/>
        <v>700</v>
      </c>
      <c r="AC124" s="95">
        <f>Construction!AH124</f>
        <v>0</v>
      </c>
    </row>
    <row r="125" spans="1:29" s="16" customFormat="1">
      <c r="A125" s="16">
        <f>Construction!E125</f>
        <v>1000</v>
      </c>
      <c r="B125" s="68">
        <f>Construction!F125</f>
        <v>0</v>
      </c>
      <c r="C125" s="29">
        <f>Construction!G125</f>
        <v>100</v>
      </c>
      <c r="D125" s="30">
        <f>Construction!H125</f>
        <v>150</v>
      </c>
      <c r="E125" s="31">
        <f>Construction!I125</f>
        <v>150</v>
      </c>
      <c r="F125" s="32">
        <f>Construction!J125</f>
        <v>100</v>
      </c>
      <c r="G125" s="33">
        <f>Construction!K125</f>
        <v>20</v>
      </c>
      <c r="H125" s="69">
        <f>Construction!L125</f>
        <v>100</v>
      </c>
      <c r="J125" s="529">
        <f t="shared" si="12"/>
        <v>123</v>
      </c>
      <c r="K125" s="574">
        <f>Imps!BY125</f>
        <v>43697.083333333037</v>
      </c>
      <c r="L125" s="356"/>
      <c r="M125" s="348"/>
      <c r="N125" s="348"/>
      <c r="O125" s="348"/>
      <c r="P125" s="348"/>
      <c r="Q125" s="348"/>
      <c r="R125" s="357"/>
      <c r="S125" s="166">
        <f t="shared" si="13"/>
        <v>0</v>
      </c>
      <c r="T125" s="160" t="str">
        <f t="shared" si="14"/>
        <v>Ok</v>
      </c>
      <c r="V125" s="64">
        <f ca="1">Production!H125</f>
        <v>4246933</v>
      </c>
      <c r="X125" s="152">
        <f ca="1">ROUND( (1-MIN(ROUND(facs_rezone_factor*AC125,4),facs_rezone_max)) * (1+MIN(tech_construction_rezone*Techs!AD125,tech_conquerors_crafts*Techs!AS125)) * AA125*(1+race_rezone_cost),0)</f>
        <v>700</v>
      </c>
      <c r="Y125" s="166">
        <f t="shared" ca="1" si="9"/>
        <v>0</v>
      </c>
      <c r="AA125" s="160">
        <f t="shared" si="10"/>
        <v>700</v>
      </c>
      <c r="AC125" s="95">
        <f>Construction!AH125</f>
        <v>0</v>
      </c>
    </row>
    <row r="126" spans="1:29" s="16" customFormat="1">
      <c r="A126" s="16">
        <f>Construction!E126</f>
        <v>1000</v>
      </c>
      <c r="B126" s="68">
        <f>Construction!F126</f>
        <v>0</v>
      </c>
      <c r="C126" s="29">
        <f>Construction!G126</f>
        <v>100</v>
      </c>
      <c r="D126" s="30">
        <f>Construction!H126</f>
        <v>150</v>
      </c>
      <c r="E126" s="31">
        <f>Construction!I126</f>
        <v>150</v>
      </c>
      <c r="F126" s="32">
        <f>Construction!J126</f>
        <v>100</v>
      </c>
      <c r="G126" s="33">
        <f>Construction!K126</f>
        <v>20</v>
      </c>
      <c r="H126" s="69">
        <f>Construction!L126</f>
        <v>100</v>
      </c>
      <c r="J126" s="529">
        <f t="shared" si="12"/>
        <v>124</v>
      </c>
      <c r="K126" s="574">
        <f>Imps!BY126</f>
        <v>43697.124999999702</v>
      </c>
      <c r="L126" s="356"/>
      <c r="M126" s="348"/>
      <c r="N126" s="348"/>
      <c r="O126" s="348"/>
      <c r="P126" s="348"/>
      <c r="Q126" s="348"/>
      <c r="R126" s="357"/>
      <c r="S126" s="166">
        <f t="shared" si="13"/>
        <v>0</v>
      </c>
      <c r="T126" s="160" t="str">
        <f t="shared" si="14"/>
        <v>Ok</v>
      </c>
      <c r="V126" s="64">
        <f ca="1">Production!H126</f>
        <v>4257584</v>
      </c>
      <c r="X126" s="152">
        <f ca="1">ROUND( (1-MIN(ROUND(facs_rezone_factor*AC126,4),facs_rezone_max)) * (1+MIN(tech_construction_rezone*Techs!AD126,tech_conquerors_crafts*Techs!AS126)) * AA126*(1+race_rezone_cost),0)</f>
        <v>700</v>
      </c>
      <c r="Y126" s="166">
        <f t="shared" ca="1" si="9"/>
        <v>0</v>
      </c>
      <c r="AA126" s="160">
        <f t="shared" si="10"/>
        <v>700</v>
      </c>
      <c r="AC126" s="95">
        <f>Construction!AH126</f>
        <v>0</v>
      </c>
    </row>
    <row r="127" spans="1:29" s="16" customFormat="1">
      <c r="A127" s="16">
        <f>Construction!E127</f>
        <v>1000</v>
      </c>
      <c r="B127" s="68">
        <f>Construction!F127</f>
        <v>0</v>
      </c>
      <c r="C127" s="29">
        <f>Construction!G127</f>
        <v>100</v>
      </c>
      <c r="D127" s="30">
        <f>Construction!H127</f>
        <v>150</v>
      </c>
      <c r="E127" s="31">
        <f>Construction!I127</f>
        <v>150</v>
      </c>
      <c r="F127" s="32">
        <f>Construction!J127</f>
        <v>100</v>
      </c>
      <c r="G127" s="33">
        <f>Construction!K127</f>
        <v>20</v>
      </c>
      <c r="H127" s="69">
        <f>Construction!L127</f>
        <v>100</v>
      </c>
      <c r="J127" s="529">
        <f t="shared" si="12"/>
        <v>125</v>
      </c>
      <c r="K127" s="574">
        <f>Imps!BY127</f>
        <v>43697.166666666366</v>
      </c>
      <c r="L127" s="356"/>
      <c r="M127" s="348"/>
      <c r="N127" s="348"/>
      <c r="O127" s="348"/>
      <c r="P127" s="348"/>
      <c r="Q127" s="348"/>
      <c r="R127" s="357"/>
      <c r="S127" s="166">
        <f t="shared" si="13"/>
        <v>0</v>
      </c>
      <c r="T127" s="160" t="str">
        <f t="shared" si="14"/>
        <v>Ok</v>
      </c>
      <c r="V127" s="64">
        <f ca="1">Production!H127</f>
        <v>4268235</v>
      </c>
      <c r="X127" s="152">
        <f ca="1">ROUND( (1-MIN(ROUND(facs_rezone_factor*AC127,4),facs_rezone_max)) * (1+MIN(tech_construction_rezone*Techs!AD127,tech_conquerors_crafts*Techs!AS127)) * AA127*(1+race_rezone_cost),0)</f>
        <v>700</v>
      </c>
      <c r="Y127" s="166">
        <f t="shared" ca="1" si="9"/>
        <v>0</v>
      </c>
      <c r="AA127" s="160">
        <f t="shared" si="10"/>
        <v>700</v>
      </c>
      <c r="AC127" s="95">
        <f>Construction!AH127</f>
        <v>0</v>
      </c>
    </row>
    <row r="128" spans="1:29" s="16" customFormat="1">
      <c r="A128" s="16">
        <f>Construction!E128</f>
        <v>1000</v>
      </c>
      <c r="B128" s="68">
        <f>Construction!F128</f>
        <v>0</v>
      </c>
      <c r="C128" s="29">
        <f>Construction!G128</f>
        <v>100</v>
      </c>
      <c r="D128" s="30">
        <f>Construction!H128</f>
        <v>150</v>
      </c>
      <c r="E128" s="31">
        <f>Construction!I128</f>
        <v>150</v>
      </c>
      <c r="F128" s="32">
        <f>Construction!J128</f>
        <v>100</v>
      </c>
      <c r="G128" s="33">
        <f>Construction!K128</f>
        <v>20</v>
      </c>
      <c r="H128" s="69">
        <f>Construction!L128</f>
        <v>100</v>
      </c>
      <c r="J128" s="529">
        <f t="shared" si="12"/>
        <v>126</v>
      </c>
      <c r="K128" s="574">
        <f>Imps!BY128</f>
        <v>43697.20833333303</v>
      </c>
      <c r="L128" s="356"/>
      <c r="M128" s="348"/>
      <c r="N128" s="348"/>
      <c r="O128" s="348"/>
      <c r="P128" s="348"/>
      <c r="Q128" s="348"/>
      <c r="R128" s="357"/>
      <c r="S128" s="166">
        <f t="shared" si="13"/>
        <v>0</v>
      </c>
      <c r="T128" s="160" t="str">
        <f t="shared" si="14"/>
        <v>Ok</v>
      </c>
      <c r="V128" s="64">
        <f ca="1">Production!H128</f>
        <v>4278886</v>
      </c>
      <c r="X128" s="152">
        <f ca="1">ROUND( (1-MIN(ROUND(facs_rezone_factor*AC128,4),facs_rezone_max)) * (1+MIN(tech_construction_rezone*Techs!AD128,tech_conquerors_crafts*Techs!AS128)) * AA128*(1+race_rezone_cost),0)</f>
        <v>700</v>
      </c>
      <c r="Y128" s="166">
        <f t="shared" ca="1" si="9"/>
        <v>0</v>
      </c>
      <c r="AA128" s="160">
        <f t="shared" si="10"/>
        <v>700</v>
      </c>
      <c r="AC128" s="95">
        <f>Construction!AH128</f>
        <v>0</v>
      </c>
    </row>
    <row r="129" spans="1:29" s="16" customFormat="1">
      <c r="A129" s="16">
        <f>Construction!E129</f>
        <v>1000</v>
      </c>
      <c r="B129" s="68">
        <f>Construction!F129</f>
        <v>0</v>
      </c>
      <c r="C129" s="29">
        <f>Construction!G129</f>
        <v>100</v>
      </c>
      <c r="D129" s="30">
        <f>Construction!H129</f>
        <v>150</v>
      </c>
      <c r="E129" s="31">
        <f>Construction!I129</f>
        <v>150</v>
      </c>
      <c r="F129" s="32">
        <f>Construction!J129</f>
        <v>100</v>
      </c>
      <c r="G129" s="33">
        <f>Construction!K129</f>
        <v>20</v>
      </c>
      <c r="H129" s="69">
        <f>Construction!L129</f>
        <v>100</v>
      </c>
      <c r="J129" s="529">
        <f t="shared" si="12"/>
        <v>127</v>
      </c>
      <c r="K129" s="574">
        <f>Imps!BY129</f>
        <v>43697.249999999694</v>
      </c>
      <c r="L129" s="356"/>
      <c r="M129" s="348"/>
      <c r="N129" s="348"/>
      <c r="O129" s="348"/>
      <c r="P129" s="348"/>
      <c r="Q129" s="348"/>
      <c r="R129" s="357"/>
      <c r="S129" s="166">
        <f t="shared" si="13"/>
        <v>0</v>
      </c>
      <c r="T129" s="160" t="str">
        <f t="shared" si="14"/>
        <v>Ok</v>
      </c>
      <c r="V129" s="64">
        <f ca="1">Production!H129</f>
        <v>4289537</v>
      </c>
      <c r="X129" s="152">
        <f ca="1">ROUND( (1-MIN(ROUND(facs_rezone_factor*AC129,4),facs_rezone_max)) * (1+MIN(tech_construction_rezone*Techs!AD129,tech_conquerors_crafts*Techs!AS129)) * AA129*(1+race_rezone_cost),0)</f>
        <v>700</v>
      </c>
      <c r="Y129" s="166">
        <f t="shared" ca="1" si="9"/>
        <v>0</v>
      </c>
      <c r="AA129" s="160">
        <f t="shared" si="10"/>
        <v>700</v>
      </c>
      <c r="AC129" s="95">
        <f>Construction!AH129</f>
        <v>0</v>
      </c>
    </row>
    <row r="130" spans="1:29" s="16" customFormat="1">
      <c r="A130" s="16">
        <f>Construction!E130</f>
        <v>1000</v>
      </c>
      <c r="B130" s="68">
        <f>Construction!F130</f>
        <v>0</v>
      </c>
      <c r="C130" s="29">
        <f>Construction!G130</f>
        <v>100</v>
      </c>
      <c r="D130" s="30">
        <f>Construction!H130</f>
        <v>150</v>
      </c>
      <c r="E130" s="31">
        <f>Construction!I130</f>
        <v>150</v>
      </c>
      <c r="F130" s="32">
        <f>Construction!J130</f>
        <v>100</v>
      </c>
      <c r="G130" s="33">
        <f>Construction!K130</f>
        <v>20</v>
      </c>
      <c r="H130" s="69">
        <f>Construction!L130</f>
        <v>100</v>
      </c>
      <c r="J130" s="529">
        <f t="shared" si="12"/>
        <v>128</v>
      </c>
      <c r="K130" s="574">
        <f>Imps!BY130</f>
        <v>43697.291666666359</v>
      </c>
      <c r="L130" s="356"/>
      <c r="M130" s="348"/>
      <c r="N130" s="348"/>
      <c r="O130" s="348"/>
      <c r="P130" s="348"/>
      <c r="Q130" s="348"/>
      <c r="R130" s="357"/>
      <c r="S130" s="166">
        <f t="shared" si="13"/>
        <v>0</v>
      </c>
      <c r="T130" s="160" t="str">
        <f t="shared" si="14"/>
        <v>Ok</v>
      </c>
      <c r="V130" s="64">
        <f ca="1">Production!H130</f>
        <v>4300188</v>
      </c>
      <c r="X130" s="152">
        <f ca="1">ROUND( (1-MIN(ROUND(facs_rezone_factor*AC130,4),facs_rezone_max)) * (1+MIN(tech_construction_rezone*Techs!AD130,tech_conquerors_crafts*Techs!AS130)) * AA130*(1+race_rezone_cost),0)</f>
        <v>700</v>
      </c>
      <c r="Y130" s="166">
        <f t="shared" ca="1" si="9"/>
        <v>0</v>
      </c>
      <c r="AA130" s="160">
        <f t="shared" si="10"/>
        <v>700</v>
      </c>
      <c r="AC130" s="95">
        <f>Construction!AH130</f>
        <v>0</v>
      </c>
    </row>
    <row r="131" spans="1:29" s="16" customFormat="1">
      <c r="A131" s="16">
        <f>Construction!E131</f>
        <v>1000</v>
      </c>
      <c r="B131" s="68">
        <f>Construction!F131</f>
        <v>0</v>
      </c>
      <c r="C131" s="29">
        <f>Construction!G131</f>
        <v>100</v>
      </c>
      <c r="D131" s="30">
        <f>Construction!H131</f>
        <v>150</v>
      </c>
      <c r="E131" s="31">
        <f>Construction!I131</f>
        <v>150</v>
      </c>
      <c r="F131" s="32">
        <f>Construction!J131</f>
        <v>100</v>
      </c>
      <c r="G131" s="33">
        <f>Construction!K131</f>
        <v>20</v>
      </c>
      <c r="H131" s="69">
        <f>Construction!L131</f>
        <v>100</v>
      </c>
      <c r="J131" s="529">
        <f t="shared" si="12"/>
        <v>129</v>
      </c>
      <c r="K131" s="574">
        <f>Imps!BY131</f>
        <v>43697.333333333023</v>
      </c>
      <c r="L131" s="356"/>
      <c r="M131" s="348"/>
      <c r="N131" s="348"/>
      <c r="O131" s="348"/>
      <c r="P131" s="348"/>
      <c r="Q131" s="348"/>
      <c r="R131" s="357"/>
      <c r="S131" s="166">
        <f t="shared" si="13"/>
        <v>0</v>
      </c>
      <c r="T131" s="160" t="str">
        <f t="shared" si="14"/>
        <v>Ok</v>
      </c>
      <c r="V131" s="64">
        <f ca="1">Production!H131</f>
        <v>4310839</v>
      </c>
      <c r="X131" s="152">
        <f ca="1">ROUND( (1-MIN(ROUND(facs_rezone_factor*AC131,4),facs_rezone_max)) * (1+MIN(tech_construction_rezone*Techs!AD131,tech_conquerors_crafts*Techs!AS131)) * AA131*(1+race_rezone_cost),0)</f>
        <v>700</v>
      </c>
      <c r="Y131" s="166">
        <f ca="1">S131*X131</f>
        <v>0</v>
      </c>
      <c r="AA131" s="160">
        <f>250+0.6*(A131-250)</f>
        <v>700</v>
      </c>
      <c r="AC131" s="95">
        <f>Construction!AH131</f>
        <v>0</v>
      </c>
    </row>
    <row r="132" spans="1:29" s="16" customFormat="1">
      <c r="A132" s="16">
        <f>Construction!E132</f>
        <v>1000</v>
      </c>
      <c r="B132" s="68">
        <f>Construction!F132</f>
        <v>0</v>
      </c>
      <c r="C132" s="29">
        <f>Construction!G132</f>
        <v>100</v>
      </c>
      <c r="D132" s="30">
        <f>Construction!H132</f>
        <v>150</v>
      </c>
      <c r="E132" s="31">
        <f>Construction!I132</f>
        <v>150</v>
      </c>
      <c r="F132" s="32">
        <f>Construction!J132</f>
        <v>100</v>
      </c>
      <c r="G132" s="33">
        <f>Construction!K132</f>
        <v>20</v>
      </c>
      <c r="H132" s="69">
        <f>Construction!L132</f>
        <v>100</v>
      </c>
      <c r="J132" s="529">
        <f t="shared" si="12"/>
        <v>130</v>
      </c>
      <c r="K132" s="574">
        <f>Imps!BY132</f>
        <v>43697.374999999687</v>
      </c>
      <c r="L132" s="356"/>
      <c r="M132" s="348"/>
      <c r="N132" s="348"/>
      <c r="O132" s="348"/>
      <c r="P132" s="348"/>
      <c r="Q132" s="348"/>
      <c r="R132" s="357"/>
      <c r="S132" s="166">
        <f t="shared" si="13"/>
        <v>0</v>
      </c>
      <c r="T132" s="160" t="str">
        <f t="shared" si="14"/>
        <v>Ok</v>
      </c>
      <c r="V132" s="64">
        <f ca="1">Production!H132</f>
        <v>4321490</v>
      </c>
      <c r="X132" s="152">
        <f ca="1">ROUND( (1-MIN(ROUND(facs_rezone_factor*AC132,4),facs_rezone_max)) * (1+MIN(tech_construction_rezone*Techs!AD132,tech_conquerors_crafts*Techs!AS132)) * AA132*(1+race_rezone_cost),0)</f>
        <v>700</v>
      </c>
      <c r="Y132" s="166">
        <f ca="1">S132*X132</f>
        <v>0</v>
      </c>
      <c r="AA132" s="160">
        <f>250+0.6*(A132-250)</f>
        <v>700</v>
      </c>
      <c r="AC132" s="95">
        <f>Construction!AH132</f>
        <v>0</v>
      </c>
    </row>
    <row r="133" spans="1:29" s="16" customFormat="1">
      <c r="A133" s="16">
        <f>Construction!E133</f>
        <v>1000</v>
      </c>
      <c r="B133" s="68">
        <f>Construction!F133</f>
        <v>0</v>
      </c>
      <c r="C133" s="29">
        <f>Construction!G133</f>
        <v>100</v>
      </c>
      <c r="D133" s="30">
        <f>Construction!H133</f>
        <v>150</v>
      </c>
      <c r="E133" s="31">
        <f>Construction!I133</f>
        <v>150</v>
      </c>
      <c r="F133" s="32">
        <f>Construction!J133</f>
        <v>100</v>
      </c>
      <c r="G133" s="33">
        <f>Construction!K133</f>
        <v>20</v>
      </c>
      <c r="H133" s="69">
        <f>Construction!L133</f>
        <v>100</v>
      </c>
      <c r="J133" s="529">
        <f t="shared" si="12"/>
        <v>131</v>
      </c>
      <c r="K133" s="574">
        <f>Imps!BY133</f>
        <v>43697.416666666351</v>
      </c>
      <c r="L133" s="356"/>
      <c r="M133" s="348"/>
      <c r="N133" s="348"/>
      <c r="O133" s="348"/>
      <c r="P133" s="348"/>
      <c r="Q133" s="348"/>
      <c r="R133" s="357"/>
      <c r="S133" s="166">
        <f t="shared" si="13"/>
        <v>0</v>
      </c>
      <c r="T133" s="160" t="str">
        <f t="shared" si="14"/>
        <v>Ok</v>
      </c>
      <c r="V133" s="64">
        <f ca="1">Production!H133</f>
        <v>4332141</v>
      </c>
      <c r="X133" s="152">
        <f ca="1">ROUND( (1-MIN(ROUND(facs_rezone_factor*AC133,4),facs_rezone_max)) * (1+MIN(tech_construction_rezone*Techs!AD133,tech_conquerors_crafts*Techs!AS133)) * AA133*(1+race_rezone_cost),0)</f>
        <v>700</v>
      </c>
      <c r="Y133" s="166">
        <f ca="1">S133*X133</f>
        <v>0</v>
      </c>
      <c r="AA133" s="160">
        <f>250+0.6*(A133-250)</f>
        <v>700</v>
      </c>
      <c r="AC133" s="95">
        <f>Construction!AH133</f>
        <v>0</v>
      </c>
    </row>
    <row r="134" spans="1:29" s="16" customFormat="1">
      <c r="A134" s="16">
        <f>Construction!E134</f>
        <v>1000</v>
      </c>
      <c r="B134" s="68">
        <f>Construction!F134</f>
        <v>0</v>
      </c>
      <c r="C134" s="29">
        <f>Construction!G134</f>
        <v>100</v>
      </c>
      <c r="D134" s="30">
        <f>Construction!H134</f>
        <v>150</v>
      </c>
      <c r="E134" s="31">
        <f>Construction!I134</f>
        <v>150</v>
      </c>
      <c r="F134" s="32">
        <f>Construction!J134</f>
        <v>100</v>
      </c>
      <c r="G134" s="33">
        <f>Construction!K134</f>
        <v>20</v>
      </c>
      <c r="H134" s="69">
        <f>Construction!L134</f>
        <v>100</v>
      </c>
      <c r="J134" s="529">
        <f t="shared" si="12"/>
        <v>132</v>
      </c>
      <c r="K134" s="574">
        <f>Imps!BY134</f>
        <v>43697.458333333016</v>
      </c>
      <c r="L134" s="356"/>
      <c r="M134" s="348"/>
      <c r="N134" s="348"/>
      <c r="O134" s="348"/>
      <c r="P134" s="348"/>
      <c r="Q134" s="348"/>
      <c r="R134" s="357"/>
      <c r="S134" s="166">
        <f t="shared" si="13"/>
        <v>0</v>
      </c>
      <c r="T134" s="160" t="str">
        <f t="shared" si="14"/>
        <v>Ok</v>
      </c>
      <c r="V134" s="64">
        <f ca="1">Production!H134</f>
        <v>4342792</v>
      </c>
      <c r="X134" s="152">
        <f ca="1">ROUND( (1-MIN(ROUND(facs_rezone_factor*AC134,4),facs_rezone_max)) * (1+MIN(tech_construction_rezone*Techs!AD134,tech_conquerors_crafts*Techs!AS134)) * AA134*(1+race_rezone_cost),0)</f>
        <v>700</v>
      </c>
      <c r="Y134" s="166">
        <f ca="1">S134*X134</f>
        <v>0</v>
      </c>
      <c r="AA134" s="160">
        <f>250+0.6*(A134-250)</f>
        <v>700</v>
      </c>
      <c r="AC134" s="95">
        <f>Construction!AH134</f>
        <v>0</v>
      </c>
    </row>
    <row r="135" spans="1:29" s="12" customFormat="1">
      <c r="A135" s="12">
        <f>Construction!E135</f>
        <v>1000</v>
      </c>
      <c r="B135" s="66">
        <f>Construction!F135</f>
        <v>0</v>
      </c>
      <c r="C135" s="18">
        <f>Construction!G135</f>
        <v>100</v>
      </c>
      <c r="D135" s="19">
        <f>Construction!H135</f>
        <v>150</v>
      </c>
      <c r="E135" s="20">
        <f>Construction!I135</f>
        <v>150</v>
      </c>
      <c r="F135" s="200">
        <f>Construction!J135</f>
        <v>100</v>
      </c>
      <c r="G135" s="22">
        <f>Construction!K135</f>
        <v>20</v>
      </c>
      <c r="H135" s="67">
        <f>Construction!L135</f>
        <v>100</v>
      </c>
      <c r="J135" s="631">
        <f t="shared" si="12"/>
        <v>133</v>
      </c>
      <c r="K135" s="679">
        <f>Imps!BY135</f>
        <v>43697.49999999968</v>
      </c>
      <c r="L135" s="373"/>
      <c r="M135" s="349"/>
      <c r="N135" s="349"/>
      <c r="O135" s="349"/>
      <c r="P135" s="349"/>
      <c r="Q135" s="349"/>
      <c r="R135" s="374"/>
      <c r="S135" s="158">
        <f t="shared" si="13"/>
        <v>0</v>
      </c>
      <c r="T135" s="203" t="str">
        <f t="shared" si="14"/>
        <v>Ok</v>
      </c>
      <c r="V135" s="93">
        <f ca="1">Production!H135</f>
        <v>4353443</v>
      </c>
      <c r="X135" s="151">
        <f ca="1">ROUND( (1-MIN(ROUND(facs_rezone_factor*AC135,4),facs_rezone_max)) * (1+MIN(tech_construction_rezone*Techs!AD135,tech_conquerors_crafts*Techs!AS135)) * AA135*(1+race_rezone_cost),0)</f>
        <v>700</v>
      </c>
      <c r="Y135" s="158">
        <f ca="1">S135*X135</f>
        <v>0</v>
      </c>
      <c r="AA135" s="203">
        <f>250+0.6*(A135-250)</f>
        <v>700</v>
      </c>
      <c r="AC135" s="94">
        <f>Construction!AH135</f>
        <v>0</v>
      </c>
    </row>
    <row r="1268" spans="1:18">
      <c r="A1268" s="1463" t="s">
        <v>332</v>
      </c>
      <c r="B1268" s="1463"/>
      <c r="I1268" s="507" t="s">
        <v>322</v>
      </c>
      <c r="L1268" s="522"/>
      <c r="M1268" s="522">
        <v>-10</v>
      </c>
      <c r="N1268" s="522">
        <v>10</v>
      </c>
      <c r="O1268" s="522"/>
      <c r="P1268" s="522"/>
      <c r="Q1268" s="522"/>
      <c r="R1268" s="522"/>
    </row>
    <row r="1269" spans="1:18">
      <c r="A1269" s="672">
        <f ca="1">Overview!E17</f>
        <v>1185</v>
      </c>
      <c r="B1269" s="672"/>
      <c r="L1269" s="1483" t="s">
        <v>321</v>
      </c>
      <c r="M1269" s="1406"/>
      <c r="N1269" s="1406"/>
      <c r="O1269" s="1406"/>
      <c r="P1269" s="1406"/>
      <c r="Q1269" s="1406"/>
      <c r="R1269" s="1406"/>
    </row>
  </sheetData>
  <mergeCells count="2">
    <mergeCell ref="L1269:R1269"/>
    <mergeCell ref="A1268:B1268"/>
  </mergeCells>
  <phoneticPr fontId="0" type="noConversion"/>
  <conditionalFormatting sqref="T3:T74 T76:T135">
    <cfRule type="expression" dxfId="61" priority="4" stopIfTrue="1">
      <formula>OR(AND(ROW()-3=$A$1269,T3="Ok",S3&lt;&gt;0),T3="Nope")</formula>
    </cfRule>
    <cfRule type="expression" dxfId="60" priority="5" stopIfTrue="1">
      <formula>AND(ROW()-3=$A$1269,T3="Ok",S3=0)</formula>
    </cfRule>
    <cfRule type="expression" dxfId="59" priority="6" stopIfTrue="1">
      <formula>S3=0</formula>
    </cfRule>
  </conditionalFormatting>
  <conditionalFormatting sqref="T75">
    <cfRule type="expression" dxfId="58" priority="7" stopIfTrue="1">
      <formula>OR(AND(ROW()-3=$A$1269,T75="Ok",S75&lt;&gt;0),T75="Nope")</formula>
    </cfRule>
    <cfRule type="expression" dxfId="57" priority="8" stopIfTrue="1">
      <formula>AND(ROW()-3=$A$1269,T75="Ok",S75=0)</formula>
    </cfRule>
    <cfRule type="expression" dxfId="56" priority="9" stopIfTrue="1">
      <formula>S75=0</formula>
    </cfRule>
  </conditionalFormatting>
  <conditionalFormatting sqref="A1270:AC60157 A136:XFD1267 AD1270:IV60114 BJ92:IV135 BJ20:IV75">
    <cfRule type="expression" dxfId="55" priority="10" stopIfTrue="1">
      <formula>ROW()-2=#REF!</formula>
    </cfRule>
  </conditionalFormatting>
  <conditionalFormatting sqref="A1268:XFD1269">
    <cfRule type="expression" dxfId="54" priority="11" stopIfTrue="1">
      <formula>$A$1269&gt;144</formula>
    </cfRule>
  </conditionalFormatting>
  <conditionalFormatting sqref="BJ3:IV135">
    <cfRule type="expression" dxfId="53" priority="12" stopIfTrue="1">
      <formula>ROW()-2=$A$1269</formula>
    </cfRule>
  </conditionalFormatting>
  <conditionalFormatting sqref="U3:U135 A3:S135 Z3:BI135">
    <cfRule type="expression" dxfId="52" priority="13" stopIfTrue="1">
      <formula>ROW()-3=$A$1269</formula>
    </cfRule>
  </conditionalFormatting>
  <conditionalFormatting sqref="V3:Y135">
    <cfRule type="expression" dxfId="51" priority="14" stopIfTrue="1">
      <formula>OR(ROW()-3=$A$1269,V3&lt;0)</formula>
    </cfRule>
  </conditionalFormatting>
  <conditionalFormatting sqref="A1:XFD2">
    <cfRule type="expression" dxfId="50" priority="15" stopIfTrue="1">
      <formula>$A$1269&lt;0</formula>
    </cfRule>
  </conditionalFormatting>
  <conditionalFormatting sqref="T75">
    <cfRule type="expression" dxfId="49" priority="1" stopIfTrue="1">
      <formula>OR(AND(ROW()-3=$A$1269,T75="Ok",S75&lt;&gt;0),T75="Nope")</formula>
    </cfRule>
    <cfRule type="expression" dxfId="48" priority="2" stopIfTrue="1">
      <formula>AND(ROW()-3=$A$1269,T75="Ok",S75=0)</formula>
    </cfRule>
    <cfRule type="expression" dxfId="47" priority="3" stopIfTrue="1">
      <formula>S75=0</formula>
    </cfRule>
  </conditionalFormatting>
  <pageMargins left="0.75" right="0.75" top="1" bottom="1" header="0.5" footer="0.5"/>
  <pageSetup paperSize="9" orientation="portrait"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sheetPr codeName="Sheet8"/>
  <dimension ref="A1:BB1269"/>
  <sheetViews>
    <sheetView topLeftCell="E1" zoomScale="85" workbookViewId="0">
      <pane ySplit="2" topLeftCell="A3" activePane="bottomLeft" state="frozenSplit"/>
      <selection activeCell="A3" sqref="A3"/>
      <selection pane="bottomLeft" activeCell="AA3" sqref="AA3"/>
    </sheetView>
  </sheetViews>
  <sheetFormatPr defaultRowHeight="12.75"/>
  <cols>
    <col min="1" max="1" width="5" style="993" customWidth="1"/>
    <col min="2" max="2" width="5.140625" style="16" bestFit="1" customWidth="1"/>
    <col min="3" max="3" width="6.42578125" bestFit="1" customWidth="1"/>
    <col min="4" max="4" width="7" bestFit="1" customWidth="1"/>
    <col min="5" max="5" width="5.7109375" bestFit="1" customWidth="1"/>
    <col min="6" max="6" width="5.85546875" bestFit="1" customWidth="1"/>
    <col min="7" max="7" width="12.140625" bestFit="1" customWidth="1"/>
    <col min="8" max="8" width="14" bestFit="1" customWidth="1"/>
    <col min="9" max="9" width="8.5703125" bestFit="1" customWidth="1"/>
    <col min="10" max="10" width="11.5703125" bestFit="1" customWidth="1"/>
    <col min="11" max="11" width="8.42578125" bestFit="1" customWidth="1"/>
    <col min="12" max="12" width="13.28515625" bestFit="1" customWidth="1"/>
    <col min="13" max="13" width="8" bestFit="1" customWidth="1"/>
    <col min="14" max="14" width="17.85546875" bestFit="1" customWidth="1"/>
    <col min="15" max="15" width="13.85546875" bestFit="1" customWidth="1"/>
    <col min="16" max="17" width="7.7109375" bestFit="1" customWidth="1"/>
    <col min="18" max="18" width="17.85546875" bestFit="1" customWidth="1"/>
    <col min="19" max="19" width="7.5703125" bestFit="1" customWidth="1"/>
    <col min="20" max="20" width="21.85546875" bestFit="1" customWidth="1"/>
    <col min="21" max="21" width="10.85546875" bestFit="1" customWidth="1"/>
    <col min="22" max="22" width="14.7109375" bestFit="1" customWidth="1"/>
    <col min="23" max="23" width="9.42578125" bestFit="1" customWidth="1"/>
    <col min="24" max="24" width="15.42578125" bestFit="1" customWidth="1"/>
    <col min="25" max="25" width="6.85546875" bestFit="1" customWidth="1"/>
    <col min="26" max="26" width="10.5703125" bestFit="1" customWidth="1"/>
    <col min="27" max="27" width="16.5703125" bestFit="1" customWidth="1"/>
    <col min="28" max="28" width="16" customWidth="1"/>
    <col min="29" max="29" width="4.7109375" customWidth="1"/>
    <col min="30" max="30" width="8.5703125" bestFit="1" customWidth="1"/>
    <col min="31" max="31" width="7" bestFit="1" customWidth="1"/>
    <col min="32" max="32" width="5.5703125" customWidth="1"/>
    <col min="33" max="33" width="13.140625" bestFit="1" customWidth="1"/>
    <col min="34" max="34" width="14" bestFit="1" customWidth="1"/>
    <col min="35" max="35" width="8.5703125" bestFit="1" customWidth="1"/>
    <col min="36" max="36" width="11.5703125" bestFit="1" customWidth="1"/>
    <col min="37" max="37" width="8.42578125" bestFit="1" customWidth="1"/>
    <col min="38" max="38" width="13.85546875" bestFit="1" customWidth="1"/>
    <col min="39" max="39" width="8" bestFit="1" customWidth="1"/>
    <col min="40" max="40" width="17.85546875" bestFit="1" customWidth="1"/>
    <col min="41" max="41" width="14" bestFit="1" customWidth="1"/>
    <col min="42" max="43" width="7.7109375" bestFit="1" customWidth="1"/>
    <col min="44" max="44" width="17.85546875" bestFit="1" customWidth="1"/>
    <col min="45" max="45" width="7.5703125" bestFit="1" customWidth="1"/>
    <col min="46" max="46" width="21.85546875" bestFit="1" customWidth="1"/>
    <col min="47" max="47" width="10.85546875" bestFit="1" customWidth="1"/>
    <col min="48" max="48" width="14.7109375" bestFit="1" customWidth="1"/>
    <col min="49" max="49" width="9.140625" style="16"/>
    <col min="50" max="50" width="15.42578125" bestFit="1" customWidth="1"/>
    <col min="51" max="51" width="6.85546875" bestFit="1" customWidth="1"/>
    <col min="52" max="52" width="10.5703125" bestFit="1" customWidth="1"/>
    <col min="53" max="53" width="16.5703125" bestFit="1" customWidth="1"/>
    <col min="54" max="54" width="14.7109375" style="970" bestFit="1" customWidth="1"/>
  </cols>
  <sheetData>
    <row r="1" spans="1:54" s="446" customFormat="1">
      <c r="A1" s="985"/>
      <c r="B1" s="934"/>
      <c r="G1" s="446" t="s">
        <v>208</v>
      </c>
      <c r="L1" s="446" t="s">
        <v>577</v>
      </c>
      <c r="M1" s="446" t="s">
        <v>96</v>
      </c>
      <c r="N1" s="1364" t="s">
        <v>744</v>
      </c>
      <c r="O1" s="446" t="s">
        <v>95</v>
      </c>
      <c r="P1" s="446" t="s">
        <v>106</v>
      </c>
      <c r="Q1" s="446" t="s">
        <v>347</v>
      </c>
      <c r="R1" s="1366" t="s">
        <v>745</v>
      </c>
      <c r="S1" s="1362" t="s">
        <v>579</v>
      </c>
      <c r="T1" s="1362" t="s">
        <v>742</v>
      </c>
      <c r="U1" s="1362" t="s">
        <v>100</v>
      </c>
      <c r="V1" s="1362" t="s">
        <v>743</v>
      </c>
      <c r="W1" s="1278" t="s">
        <v>604</v>
      </c>
      <c r="X1" s="1280" t="s">
        <v>609</v>
      </c>
      <c r="Y1" s="1280" t="s">
        <v>619</v>
      </c>
      <c r="Z1" s="1280" t="s">
        <v>180</v>
      </c>
      <c r="AA1" s="1280" t="s">
        <v>663</v>
      </c>
      <c r="AB1" s="1356" t="str">
        <f>IF(ISNUMBER(MATCH(Overview!$B$14,useless_spell_races,0)),Overview!$B$14,Constants!$P$102)</f>
        <v>Other</v>
      </c>
      <c r="AD1" s="446" t="s">
        <v>33</v>
      </c>
      <c r="AG1" s="446" t="s">
        <v>218</v>
      </c>
      <c r="AL1" s="1349" t="s">
        <v>577</v>
      </c>
      <c r="AM1" s="1349" t="s">
        <v>96</v>
      </c>
      <c r="AN1" s="1374" t="s">
        <v>744</v>
      </c>
      <c r="AO1" s="1349" t="s">
        <v>95</v>
      </c>
      <c r="AP1" s="1349" t="s">
        <v>106</v>
      </c>
      <c r="AQ1" s="1349" t="s">
        <v>347</v>
      </c>
      <c r="AR1" s="1374" t="s">
        <v>745</v>
      </c>
      <c r="AS1" s="1374" t="s">
        <v>579</v>
      </c>
      <c r="AT1" s="1374" t="s">
        <v>742</v>
      </c>
      <c r="AU1" s="1374" t="s">
        <v>100</v>
      </c>
      <c r="AV1" s="1374" t="s">
        <v>743</v>
      </c>
      <c r="AW1" s="1278" t="s">
        <v>604</v>
      </c>
      <c r="AX1" s="1280" t="s">
        <v>609</v>
      </c>
      <c r="AY1" s="1280" t="s">
        <v>619</v>
      </c>
      <c r="AZ1" s="1280" t="s">
        <v>180</v>
      </c>
      <c r="BA1" s="1280" t="s">
        <v>663</v>
      </c>
      <c r="BB1" s="1378" t="str">
        <f>AB1</f>
        <v>Other</v>
      </c>
    </row>
    <row r="2" spans="1:54" s="825" customFormat="1" ht="13.5" thickBot="1">
      <c r="A2" s="818" t="s">
        <v>0</v>
      </c>
      <c r="B2" s="825" t="s">
        <v>1</v>
      </c>
      <c r="C2" s="825" t="s">
        <v>12</v>
      </c>
      <c r="D2" s="825" t="s">
        <v>207</v>
      </c>
      <c r="E2" s="825" t="s">
        <v>327</v>
      </c>
      <c r="F2" s="825" t="s">
        <v>342</v>
      </c>
      <c r="G2" s="825" t="s">
        <v>209</v>
      </c>
      <c r="H2" s="825" t="s">
        <v>210</v>
      </c>
      <c r="I2" s="825" t="s">
        <v>211</v>
      </c>
      <c r="J2" s="825" t="s">
        <v>212</v>
      </c>
      <c r="K2" s="825" t="s">
        <v>213</v>
      </c>
      <c r="L2" s="825" t="s">
        <v>277</v>
      </c>
      <c r="M2" s="825" t="s">
        <v>276</v>
      </c>
      <c r="N2" s="1365" t="s">
        <v>731</v>
      </c>
      <c r="O2" s="825" t="s">
        <v>315</v>
      </c>
      <c r="P2" s="825" t="s">
        <v>353</v>
      </c>
      <c r="Q2" s="825" t="s">
        <v>352</v>
      </c>
      <c r="R2" s="1367" t="s">
        <v>359</v>
      </c>
      <c r="S2" s="1363" t="s">
        <v>493</v>
      </c>
      <c r="T2" s="1363" t="s">
        <v>727</v>
      </c>
      <c r="U2" s="1363" t="s">
        <v>728</v>
      </c>
      <c r="V2" s="1363" t="s">
        <v>729</v>
      </c>
      <c r="W2" s="1355" t="s">
        <v>718</v>
      </c>
      <c r="X2" s="1355" t="s">
        <v>719</v>
      </c>
      <c r="Y2" s="1355" t="s">
        <v>720</v>
      </c>
      <c r="Z2" s="1355" t="s">
        <v>721</v>
      </c>
      <c r="AA2" s="1355" t="s">
        <v>722</v>
      </c>
      <c r="AB2" s="1376" t="str">
        <f>VLOOKUP(IF(ISNUMBER(MATCH(Overview!$B$14,useless_spell_races,0)),Overview!$B$14,"Other"),Constants!$P$89:$S$102,2,FALSE)</f>
        <v>Useless Spell</v>
      </c>
      <c r="AD2" s="825" t="s">
        <v>12</v>
      </c>
      <c r="AE2" s="825" t="s">
        <v>207</v>
      </c>
      <c r="AG2" s="825" t="s">
        <v>209</v>
      </c>
      <c r="AH2" s="825" t="s">
        <v>210</v>
      </c>
      <c r="AI2" s="825" t="s">
        <v>211</v>
      </c>
      <c r="AJ2" s="825" t="s">
        <v>212</v>
      </c>
      <c r="AK2" s="825" t="s">
        <v>213</v>
      </c>
      <c r="AL2" s="1351" t="s">
        <v>277</v>
      </c>
      <c r="AM2" s="1351" t="s">
        <v>276</v>
      </c>
      <c r="AN2" s="1375" t="s">
        <v>731</v>
      </c>
      <c r="AO2" s="1351" t="s">
        <v>315</v>
      </c>
      <c r="AP2" s="1351" t="s">
        <v>353</v>
      </c>
      <c r="AQ2" s="1351" t="s">
        <v>352</v>
      </c>
      <c r="AR2" s="1375" t="s">
        <v>359</v>
      </c>
      <c r="AS2" s="1375" t="s">
        <v>493</v>
      </c>
      <c r="AT2" s="1375" t="s">
        <v>727</v>
      </c>
      <c r="AU2" s="1375" t="s">
        <v>728</v>
      </c>
      <c r="AV2" s="1375" t="s">
        <v>729</v>
      </c>
      <c r="AW2" s="1355" t="s">
        <v>718</v>
      </c>
      <c r="AX2" s="1355" t="s">
        <v>719</v>
      </c>
      <c r="AY2" s="1355" t="s">
        <v>720</v>
      </c>
      <c r="AZ2" s="1355" t="s">
        <v>721</v>
      </c>
      <c r="BA2" s="1355" t="s">
        <v>722</v>
      </c>
      <c r="BB2" s="1377" t="str">
        <f>AB2</f>
        <v>Useless Spell</v>
      </c>
    </row>
    <row r="3" spans="1:54" s="1011" customFormat="1">
      <c r="A3" s="1102">
        <f>Rezone!J3</f>
        <v>1</v>
      </c>
      <c r="B3" s="1011">
        <f>Construction!E3</f>
        <v>1000</v>
      </c>
      <c r="C3" s="1080">
        <f ca="1">Production!K3</f>
        <v>20000</v>
      </c>
      <c r="D3" s="1113">
        <f>1-AE3</f>
        <v>1</v>
      </c>
      <c r="E3" s="796">
        <f>Imps!L3</f>
        <v>43692</v>
      </c>
      <c r="F3" s="1113">
        <f ca="1">Imps!J3</f>
        <v>2.2058823529411766</v>
      </c>
      <c r="G3" s="1150"/>
      <c r="H3" s="396"/>
      <c r="I3" s="396"/>
      <c r="J3" s="396"/>
      <c r="K3" s="1151"/>
      <c r="L3" s="1150"/>
      <c r="M3" s="396"/>
      <c r="N3" s="1151"/>
      <c r="O3" s="1151"/>
      <c r="P3" s="1151"/>
      <c r="Q3" s="1151"/>
      <c r="R3" s="1151"/>
      <c r="S3" s="1151"/>
      <c r="T3" s="1151"/>
      <c r="U3" s="1151"/>
      <c r="V3" s="1151"/>
      <c r="W3" s="1151"/>
      <c r="X3" s="1151"/>
      <c r="Y3" s="1151"/>
      <c r="Z3" s="1151"/>
      <c r="AA3" s="1151"/>
      <c r="AB3" s="1152"/>
      <c r="AD3" s="1069">
        <f>(MAX(1-wg_spell_cost_cap,1-wg_spell_cost_red*ROUND(Construction!BM3/Construction!E3,4))+Constants!$M$45*Techs!AL3)*(B3-Explore!S3*20)*(G3*Constants!$B$72+H3*Constants!$B$73+I3*Constants!$B$74+J3*Constants!$B$76+K3*Constants!$B$75+L3*dwarf_spell_cost+M3*halfling_spell_cost + N3*sylvan_spell_cost + O3*woodelf_spell_cost + P3*kobold_spell_cost + Q3*icekin_spell_cost + R3*firewalker_spell_cost + S3*nox_spell_cost + T3*human_spell_cost + U3*goblin_spell_cost + V3*orc_spell_cost + W3*ants_spell_cost + X3*armada_spell_cost + Y3*lux_spell_cost + Z3*growth_spell_cost + AA3*impgnome_spell_cost + AB3*VLOOKUP(IF(ISNUMBER(MATCH(Overview!$B$14,useless_spell_races,0)),Overview!$B$14,"Other"),Constants!$P$89:$S$102,3,FALSE))</f>
        <v>0</v>
      </c>
      <c r="AE3" s="1113">
        <f t="shared" ref="AE3:AE15" si="0">SUMIF(G3:AB3,1)*0.05</f>
        <v>0</v>
      </c>
      <c r="AG3" s="822">
        <f>G3*12*4</f>
        <v>0</v>
      </c>
      <c r="AH3" s="1068">
        <f t="shared" ref="AH3:AK3" si="1">H3*12*4</f>
        <v>0</v>
      </c>
      <c r="AI3" s="1068">
        <f t="shared" si="1"/>
        <v>0</v>
      </c>
      <c r="AJ3" s="1068">
        <f t="shared" si="1"/>
        <v>0</v>
      </c>
      <c r="AK3" s="1153">
        <f t="shared" si="1"/>
        <v>0</v>
      </c>
      <c r="AL3" s="1068">
        <f>L3*dwarf_spell_time</f>
        <v>0</v>
      </c>
      <c r="AM3" s="1068">
        <f>M3*halfling_spell_time</f>
        <v>0</v>
      </c>
      <c r="AN3" s="1068">
        <f>N3*sylvan_spell_time</f>
        <v>0</v>
      </c>
      <c r="AO3" s="1068">
        <f>O3*woodelf_spell_time</f>
        <v>0</v>
      </c>
      <c r="AP3" s="1068">
        <f>P3*kobold_spell_time</f>
        <v>0</v>
      </c>
      <c r="AQ3" s="1068">
        <f>Q3*icekin_spell_time</f>
        <v>0</v>
      </c>
      <c r="AR3" s="1154">
        <f>R3*firewalker_spell_time</f>
        <v>0</v>
      </c>
      <c r="AS3" s="1154">
        <f>S3*nox_spell_time</f>
        <v>0</v>
      </c>
      <c r="AT3" s="1154">
        <f>T3*human_spell_time</f>
        <v>0</v>
      </c>
      <c r="AU3" s="1154">
        <f>U3*goblin_spell_time</f>
        <v>0</v>
      </c>
      <c r="AV3" s="1154">
        <f>V3*orc_spell_time</f>
        <v>0</v>
      </c>
      <c r="AW3" s="1011">
        <f>W3*ants_spell_time</f>
        <v>0</v>
      </c>
      <c r="AX3" s="1011">
        <f>X3*armada_spell_time</f>
        <v>0</v>
      </c>
      <c r="AY3" s="1011">
        <f>Y3*lux_spell_time</f>
        <v>0</v>
      </c>
      <c r="AZ3" s="1011">
        <f>Z3*growth_spell_time</f>
        <v>0</v>
      </c>
      <c r="BA3" s="1011">
        <f>AA3*impgnome_spell_time</f>
        <v>0</v>
      </c>
      <c r="BB3" s="1379">
        <f>AB3*VLOOKUP(IF(ISNUMBER(MATCH(Overview!$B$14,useless_spell_races,0)),Overview!$B$14,"Other"),Constants!$P$89:$S$102,4,FALSE)</f>
        <v>0</v>
      </c>
    </row>
    <row r="4" spans="1:54" s="191" customFormat="1">
      <c r="A4" s="995">
        <f>Rezone!J4</f>
        <v>2</v>
      </c>
      <c r="B4" s="191">
        <f>Construction!E4</f>
        <v>1000</v>
      </c>
      <c r="C4" s="168">
        <f ca="1">Production!K4</f>
        <v>20850</v>
      </c>
      <c r="D4" s="193">
        <f>MIN(1,D3+0.04+ROUNDDOWN(10*Military!BN3,0)+MAX(Techs!AN3,Techs!AW3*3))-AE4</f>
        <v>1</v>
      </c>
      <c r="E4" s="532">
        <f t="shared" ref="E4:E14" si="2">E3+1/24</f>
        <v>43692.041666666664</v>
      </c>
      <c r="F4" s="193">
        <f ca="1">Imps!J4</f>
        <v>1.6448863636363635</v>
      </c>
      <c r="G4" s="384"/>
      <c r="H4" s="385"/>
      <c r="I4" s="385"/>
      <c r="J4" s="385"/>
      <c r="K4" s="377"/>
      <c r="L4" s="384"/>
      <c r="M4" s="385"/>
      <c r="N4" s="377"/>
      <c r="O4" s="377"/>
      <c r="P4" s="377"/>
      <c r="Q4" s="377"/>
      <c r="R4" s="377"/>
      <c r="S4" s="377"/>
      <c r="T4" s="377"/>
      <c r="U4" s="377"/>
      <c r="V4" s="377"/>
      <c r="W4" s="377"/>
      <c r="X4" s="377"/>
      <c r="Y4" s="377"/>
      <c r="Z4" s="377"/>
      <c r="AA4" s="377"/>
      <c r="AB4" s="386"/>
      <c r="AC4" s="170"/>
      <c r="AD4" s="172">
        <f>(MAX(1-wg_spell_cost_cap,1-wg_spell_cost_red*ROUND(Construction!BM4/Construction!E4,4))+Constants!$M$45*Techs!AL4)*(B4-Explore!S4*20)*(G4*Constants!$B$72+H4*Constants!$B$73+I4*Constants!$B$74+J4*Constants!$B$76+K4*Constants!$B$75+L4*dwarf_spell_cost+M4*halfling_spell_cost + N4*sylvan_spell_cost + O4*woodelf_spell_cost + P4*kobold_spell_cost + Q4*icekin_spell_cost + R4*firewalker_spell_cost + S4*nox_spell_cost + T4*human_spell_cost + U4*goblin_spell_cost + V4*orc_spell_cost + W4*ants_spell_cost + X4*armada_spell_cost + Y4*lux_spell_cost + Z4*growth_spell_cost + AA4*impgnome_spell_cost + AB4*VLOOKUP(IF(ISNUMBER(MATCH(Overview!$B$14,useless_spell_races,0)),Overview!$B$14,"Other"),Constants!$P$89:$S$102,3,FALSE))</f>
        <v>0</v>
      </c>
      <c r="AE4" s="268">
        <f t="shared" si="0"/>
        <v>0</v>
      </c>
      <c r="AF4" s="170"/>
      <c r="AG4" s="754">
        <f>IF(G4,12*4,IF(AG3&gt;0,AG3-1,0))</f>
        <v>0</v>
      </c>
      <c r="AH4" s="628">
        <f>IF(H4,12*4,IF(AH3&gt;0,AH3-1,0))</f>
        <v>0</v>
      </c>
      <c r="AI4" s="628">
        <f>IF(I4,12*4,IF(AI3&gt;0,AI3-1,0))</f>
        <v>0</v>
      </c>
      <c r="AJ4" s="628">
        <f>IF(J4,12*4,IF(AJ3&gt;0,AJ3-1,0))</f>
        <v>0</v>
      </c>
      <c r="AK4" s="549">
        <f>IF(K4,12*4,IF(AK3&gt;0,AK3-1,0))</f>
        <v>0</v>
      </c>
      <c r="AL4" s="628">
        <f t="shared" ref="AL4:AL35" si="3">IF(L4,dwarf_spell_time,IF(AL3&gt;0,AL3-1,0))</f>
        <v>0</v>
      </c>
      <c r="AM4" s="628">
        <f t="shared" ref="AM4:AM35" si="4">IF(M4,halfling_spell_time,IF(AM3&gt;0,AM3-1,0))</f>
        <v>0</v>
      </c>
      <c r="AN4" s="628">
        <f t="shared" ref="AN4:AN35" si="5">IF(N4,sylvan_spell_time,IF(AN3&gt;0,AN3-1,0))</f>
        <v>0</v>
      </c>
      <c r="AO4" s="628">
        <f t="shared" ref="AO4:AO35" si="6">IF(O4,woodelf_spell_time,IF(AO3&gt;0,AO3-1,0))</f>
        <v>0</v>
      </c>
      <c r="AP4" s="628">
        <f t="shared" ref="AP4:AP35" si="7">IF(P4,kobold_spell_time,IF(AP3&gt;0,AP3-1,0))</f>
        <v>0</v>
      </c>
      <c r="AQ4" s="628">
        <f t="shared" ref="AQ4:AQ35" si="8">IF(Q4,icekin_spell_time,IF(AQ3&gt;0,AQ3-1,0))</f>
        <v>0</v>
      </c>
      <c r="AR4" s="957">
        <f t="shared" ref="AR4:AR35" si="9">IF(R4,firewalker_spell_time,IF(AR3&gt;0,AR3-1,0))</f>
        <v>0</v>
      </c>
      <c r="AS4" s="957">
        <f t="shared" ref="AS4:AS35" si="10">IF(S4,nox_spell_time,IF(AS3&gt;0,AS3-1,0))</f>
        <v>0</v>
      </c>
      <c r="AT4" s="957">
        <f t="shared" ref="AT4:AT35" si="11">IF(T4,human_spell_time,IF(AT3&gt;0,AT3-1,0))</f>
        <v>0</v>
      </c>
      <c r="AU4" s="957">
        <f t="shared" ref="AU4:AU35" si="12">IF(U4,goblin_spell_time,IF(AU3&gt;0,AU3-1,0))</f>
        <v>0</v>
      </c>
      <c r="AV4" s="957">
        <f t="shared" ref="AV4:AV35" si="13">IF(V4,orc_spell_time,IF(AV3&gt;0,AV3-1,0))</f>
        <v>0</v>
      </c>
      <c r="AW4" s="191">
        <f t="shared" ref="AW4:AW35" si="14">IF(W4,ants_spell_time,IF(AW3&gt;0,AW3-1,0))</f>
        <v>0</v>
      </c>
      <c r="AX4" s="191">
        <f t="shared" ref="AX4:AX35" si="15">IF(X4,armada_spell_time,IF(AX3&gt;0,AX3-1,0))</f>
        <v>0</v>
      </c>
      <c r="AY4" s="191">
        <f t="shared" ref="AY4:AY35" si="16">IF(Y4,lux_spell_time,IF(AY3&gt;0,AY3-1,0))</f>
        <v>0</v>
      </c>
      <c r="AZ4" s="191">
        <f t="shared" ref="AZ4:AZ35" si="17">IF(Z4,growth_spell_time,IF(AZ3&gt;0,AZ3-1,0))</f>
        <v>0</v>
      </c>
      <c r="BA4" s="191">
        <f t="shared" ref="BA4:BA35" si="18">IF(AA4,impgnome_spell_time,IF(BA3&gt;0,BA3-1,0))</f>
        <v>0</v>
      </c>
      <c r="BB4" s="1380">
        <f>IF(AB4,VLOOKUP(IF(ISNUMBER(MATCH(Overview!$B$14,useless_spell_races,0)),Overview!$B$14,"Other"),Constants!$P$89:$S$102,4,FALSE),IF(BB3&gt;0,BB3-1,0))</f>
        <v>0</v>
      </c>
    </row>
    <row r="5" spans="1:54" s="170" customFormat="1">
      <c r="A5" s="986">
        <f>Rezone!J5</f>
        <v>3</v>
      </c>
      <c r="B5" s="170">
        <f>Construction!E5</f>
        <v>1000</v>
      </c>
      <c r="C5" s="164">
        <f ca="1">Production!K5</f>
        <v>21683</v>
      </c>
      <c r="D5" s="193">
        <f>MIN(1,D4+0.04+ROUNDDOWN(10*Military!BN4,0)+MAX(Techs!AN4,Techs!AW4*3))-AE5</f>
        <v>1</v>
      </c>
      <c r="E5" s="532">
        <f t="shared" si="2"/>
        <v>43692.083333333328</v>
      </c>
      <c r="F5" s="193">
        <f ca="1">Imps!J5</f>
        <v>1.5888054653679653</v>
      </c>
      <c r="G5" s="384"/>
      <c r="H5" s="385"/>
      <c r="I5" s="385"/>
      <c r="J5" s="385"/>
      <c r="K5" s="377"/>
      <c r="L5" s="384"/>
      <c r="M5" s="385"/>
      <c r="N5" s="377"/>
      <c r="O5" s="377"/>
      <c r="P5" s="377"/>
      <c r="Q5" s="377"/>
      <c r="R5" s="377"/>
      <c r="S5" s="377"/>
      <c r="T5" s="377"/>
      <c r="U5" s="377"/>
      <c r="V5" s="377"/>
      <c r="W5" s="377"/>
      <c r="X5" s="377"/>
      <c r="Y5" s="377"/>
      <c r="Z5" s="377"/>
      <c r="AA5" s="377"/>
      <c r="AB5" s="386"/>
      <c r="AD5" s="152">
        <f>(MAX(1-wg_spell_cost_cap,1-wg_spell_cost_red*ROUND(Construction!BM5/Construction!E5,4))+Constants!$M$45*Techs!AL5)*(B5-Explore!S5*20)*(G5*Constants!$B$72+H5*Constants!$B$73+I5*Constants!$B$74+J5*Constants!$B$76+K5*Constants!$B$75+L5*dwarf_spell_cost+M5*halfling_spell_cost + N5*sylvan_spell_cost + O5*woodelf_spell_cost + P5*kobold_spell_cost + Q5*icekin_spell_cost + R5*firewalker_spell_cost + S5*nox_spell_cost + T5*human_spell_cost + U5*goblin_spell_cost + V5*orc_spell_cost + W5*ants_spell_cost + X5*armada_spell_cost + Y5*lux_spell_cost + Z5*growth_spell_cost + AA5*impgnome_spell_cost + AB5*VLOOKUP(IF(ISNUMBER(MATCH(Overview!$B$14,useless_spell_races,0)),Overview!$B$14,"Other"),Constants!$P$89:$S$102,3,FALSE))</f>
        <v>0</v>
      </c>
      <c r="AE5" s="193">
        <f t="shared" si="0"/>
        <v>0</v>
      </c>
      <c r="AG5" s="634">
        <f t="shared" ref="AG5:AG68" si="19">IF(G5,12*4,IF(AG4&gt;0,AG4-1,0))</f>
        <v>0</v>
      </c>
      <c r="AH5" s="629">
        <f t="shared" ref="AH5:AH68" si="20">IF(H5,12*4,IF(AH4&gt;0,AH4-1,0))</f>
        <v>0</v>
      </c>
      <c r="AI5" s="629">
        <f t="shared" ref="AI5:AI68" si="21">IF(I5,12*4,IF(AI4&gt;0,AI4-1,0))</f>
        <v>0</v>
      </c>
      <c r="AJ5" s="629">
        <f t="shared" ref="AJ5:AJ68" si="22">IF(J5,12*4,IF(AJ4&gt;0,AJ4-1,0))</f>
        <v>0</v>
      </c>
      <c r="AK5" s="548">
        <f t="shared" ref="AK5:AK68" si="23">IF(K5,12*4,IF(AK4&gt;0,AK4-1,0))</f>
        <v>0</v>
      </c>
      <c r="AL5" s="629">
        <f t="shared" si="3"/>
        <v>0</v>
      </c>
      <c r="AM5" s="629">
        <f t="shared" si="4"/>
        <v>0</v>
      </c>
      <c r="AN5" s="629">
        <f t="shared" si="5"/>
        <v>0</v>
      </c>
      <c r="AO5" s="629">
        <f t="shared" si="6"/>
        <v>0</v>
      </c>
      <c r="AP5" s="629">
        <f t="shared" si="7"/>
        <v>0</v>
      </c>
      <c r="AQ5" s="629">
        <f t="shared" si="8"/>
        <v>0</v>
      </c>
      <c r="AR5" s="957">
        <f t="shared" si="9"/>
        <v>0</v>
      </c>
      <c r="AS5" s="957">
        <f t="shared" si="10"/>
        <v>0</v>
      </c>
      <c r="AT5" s="957">
        <f t="shared" si="11"/>
        <v>0</v>
      </c>
      <c r="AU5" s="957">
        <f t="shared" si="12"/>
        <v>0</v>
      </c>
      <c r="AV5" s="957">
        <f t="shared" si="13"/>
        <v>0</v>
      </c>
      <c r="AW5" s="170">
        <f t="shared" si="14"/>
        <v>0</v>
      </c>
      <c r="AX5" s="170">
        <f t="shared" si="15"/>
        <v>0</v>
      </c>
      <c r="AY5" s="170">
        <f t="shared" si="16"/>
        <v>0</v>
      </c>
      <c r="AZ5" s="170">
        <f t="shared" si="17"/>
        <v>0</v>
      </c>
      <c r="BA5" s="170">
        <f t="shared" si="18"/>
        <v>0</v>
      </c>
      <c r="BB5" s="1381">
        <f>IF(AB5,VLOOKUP(IF(ISNUMBER(MATCH(Overview!$B$14,useless_spell_races,0)),Overview!$B$14,"Other"),Constants!$P$89:$S$102,4,FALSE),IF(BB4&gt;0,BB4-1,0))</f>
        <v>0</v>
      </c>
    </row>
    <row r="6" spans="1:54" s="16" customFormat="1">
      <c r="A6" s="987">
        <f>Rezone!J6</f>
        <v>4</v>
      </c>
      <c r="B6" s="16">
        <f>Construction!E6</f>
        <v>1000</v>
      </c>
      <c r="C6" s="26">
        <f ca="1">Production!K6</f>
        <v>22499</v>
      </c>
      <c r="D6" s="62">
        <f>MIN(1,D5+0.04+ROUNDDOWN(10*Military!BN5,0)+MAX(Techs!AN5,Techs!AW5*3))-AE6</f>
        <v>1</v>
      </c>
      <c r="E6" s="532">
        <f t="shared" si="2"/>
        <v>43692.124999999993</v>
      </c>
      <c r="F6" s="62">
        <f ca="1">Imps!J6</f>
        <v>1.5360913825757576</v>
      </c>
      <c r="G6" s="393"/>
      <c r="H6" s="394"/>
      <c r="I6" s="394"/>
      <c r="J6" s="394"/>
      <c r="K6" s="380"/>
      <c r="L6" s="393"/>
      <c r="M6" s="394"/>
      <c r="N6" s="380"/>
      <c r="O6" s="380"/>
      <c r="P6" s="380"/>
      <c r="Q6" s="380"/>
      <c r="R6" s="380"/>
      <c r="S6" s="380"/>
      <c r="T6" s="380"/>
      <c r="U6" s="380"/>
      <c r="V6" s="380"/>
      <c r="W6" s="380"/>
      <c r="X6" s="380"/>
      <c r="Y6" s="380"/>
      <c r="Z6" s="380"/>
      <c r="AA6" s="380"/>
      <c r="AB6" s="395"/>
      <c r="AD6" s="152">
        <f>(MAX(1-wg_spell_cost_cap,1-wg_spell_cost_red*ROUND(Construction!BM6/Construction!E6,4))+Constants!$M$45*Techs!AL6)*(B6-Explore!S6*20)*(G6*Constants!$B$72+H6*Constants!$B$73+I6*Constants!$B$74+J6*Constants!$B$76+K6*Constants!$B$75+L6*dwarf_spell_cost+M6*halfling_spell_cost + N6*sylvan_spell_cost + O6*woodelf_spell_cost + P6*kobold_spell_cost + Q6*icekin_spell_cost + R6*firewalker_spell_cost + S6*nox_spell_cost + T6*human_spell_cost + U6*goblin_spell_cost + V6*orc_spell_cost + W6*ants_spell_cost + X6*armada_spell_cost + Y6*lux_spell_cost + Z6*growth_spell_cost + AA6*impgnome_spell_cost + AB6*VLOOKUP(IF(ISNUMBER(MATCH(Overview!$B$14,useless_spell_races,0)),Overview!$B$14,"Other"),Constants!$P$89:$S$102,3,FALSE))</f>
        <v>0</v>
      </c>
      <c r="AE6" s="62">
        <f t="shared" si="0"/>
        <v>0</v>
      </c>
      <c r="AG6" s="635">
        <f t="shared" si="19"/>
        <v>0</v>
      </c>
      <c r="AH6" s="529">
        <f t="shared" si="20"/>
        <v>0</v>
      </c>
      <c r="AI6" s="529">
        <f t="shared" si="21"/>
        <v>0</v>
      </c>
      <c r="AJ6" s="529">
        <f t="shared" si="22"/>
        <v>0</v>
      </c>
      <c r="AK6" s="527">
        <f t="shared" si="23"/>
        <v>0</v>
      </c>
      <c r="AL6" s="529">
        <f t="shared" si="3"/>
        <v>0</v>
      </c>
      <c r="AM6" s="529">
        <f t="shared" si="4"/>
        <v>0</v>
      </c>
      <c r="AN6" s="529">
        <f t="shared" si="5"/>
        <v>0</v>
      </c>
      <c r="AO6" s="529">
        <f t="shared" si="6"/>
        <v>0</v>
      </c>
      <c r="AP6" s="529">
        <f t="shared" si="7"/>
        <v>0</v>
      </c>
      <c r="AQ6" s="529">
        <f t="shared" si="8"/>
        <v>0</v>
      </c>
      <c r="AR6" s="958">
        <f t="shared" si="9"/>
        <v>0</v>
      </c>
      <c r="AS6" s="958">
        <f t="shared" si="10"/>
        <v>0</v>
      </c>
      <c r="AT6" s="958">
        <f t="shared" si="11"/>
        <v>0</v>
      </c>
      <c r="AU6" s="958">
        <f t="shared" si="12"/>
        <v>0</v>
      </c>
      <c r="AV6" s="958">
        <f t="shared" si="13"/>
        <v>0</v>
      </c>
      <c r="AW6" s="16">
        <f t="shared" si="14"/>
        <v>0</v>
      </c>
      <c r="AX6" s="16">
        <f t="shared" si="15"/>
        <v>0</v>
      </c>
      <c r="AY6" s="16">
        <f t="shared" si="16"/>
        <v>0</v>
      </c>
      <c r="AZ6" s="16">
        <f t="shared" si="17"/>
        <v>0</v>
      </c>
      <c r="BA6" s="16">
        <f t="shared" si="18"/>
        <v>0</v>
      </c>
      <c r="BB6" s="1382">
        <f>IF(AB6,VLOOKUP(IF(ISNUMBER(MATCH(Overview!$B$14,useless_spell_races,0)),Overview!$B$14,"Other"),Constants!$P$89:$S$102,4,FALSE),IF(BB5&gt;0,BB5-1,0))</f>
        <v>0</v>
      </c>
    </row>
    <row r="7" spans="1:54" s="16" customFormat="1">
      <c r="A7" s="987">
        <f>Rezone!J7</f>
        <v>5</v>
      </c>
      <c r="B7" s="16">
        <f>Construction!E7</f>
        <v>1000</v>
      </c>
      <c r="C7" s="26">
        <f ca="1">Production!K7</f>
        <v>23299</v>
      </c>
      <c r="D7" s="62">
        <f>MIN(1,D6+0.04+ROUNDDOWN(10*Military!BN6,0)+MAX(Techs!AN6,Techs!AW6*3))-AE7</f>
        <v>1</v>
      </c>
      <c r="E7" s="532">
        <f t="shared" si="2"/>
        <v>43692.166666666657</v>
      </c>
      <c r="F7" s="62">
        <f ca="1">Imps!J7</f>
        <v>1.4865378956980519</v>
      </c>
      <c r="G7" s="393"/>
      <c r="H7" s="394"/>
      <c r="I7" s="394"/>
      <c r="J7" s="394"/>
      <c r="K7" s="380"/>
      <c r="L7" s="393"/>
      <c r="M7" s="394"/>
      <c r="N7" s="380"/>
      <c r="O7" s="380"/>
      <c r="P7" s="380"/>
      <c r="Q7" s="380"/>
      <c r="R7" s="380"/>
      <c r="S7" s="380"/>
      <c r="T7" s="380"/>
      <c r="U7" s="380"/>
      <c r="V7" s="380"/>
      <c r="W7" s="380"/>
      <c r="X7" s="380"/>
      <c r="Y7" s="380"/>
      <c r="Z7" s="380"/>
      <c r="AA7" s="380"/>
      <c r="AB7" s="395"/>
      <c r="AD7" s="152">
        <f>(MAX(1-wg_spell_cost_cap,1-wg_spell_cost_red*ROUND(Construction!BM7/Construction!E7,4))+Constants!$M$45*Techs!AL7)*(B7-Explore!S7*20)*(G7*Constants!$B$72+H7*Constants!$B$73+I7*Constants!$B$74+J7*Constants!$B$76+K7*Constants!$B$75+L7*dwarf_spell_cost+M7*halfling_spell_cost + N7*sylvan_spell_cost + O7*woodelf_spell_cost + P7*kobold_spell_cost + Q7*icekin_spell_cost + R7*firewalker_spell_cost + S7*nox_spell_cost + T7*human_spell_cost + U7*goblin_spell_cost + V7*orc_spell_cost + W7*ants_spell_cost + X7*armada_spell_cost + Y7*lux_spell_cost + Z7*growth_spell_cost + AA7*impgnome_spell_cost + AB7*VLOOKUP(IF(ISNUMBER(MATCH(Overview!$B$14,useless_spell_races,0)),Overview!$B$14,"Other"),Constants!$P$89:$S$102,3,FALSE))</f>
        <v>0</v>
      </c>
      <c r="AE7" s="62">
        <f t="shared" si="0"/>
        <v>0</v>
      </c>
      <c r="AG7" s="635">
        <f t="shared" si="19"/>
        <v>0</v>
      </c>
      <c r="AH7" s="529">
        <f t="shared" si="20"/>
        <v>0</v>
      </c>
      <c r="AI7" s="529">
        <f t="shared" si="21"/>
        <v>0</v>
      </c>
      <c r="AJ7" s="529">
        <f t="shared" si="22"/>
        <v>0</v>
      </c>
      <c r="AK7" s="527">
        <f t="shared" si="23"/>
        <v>0</v>
      </c>
      <c r="AL7" s="529">
        <f t="shared" si="3"/>
        <v>0</v>
      </c>
      <c r="AM7" s="529">
        <f t="shared" si="4"/>
        <v>0</v>
      </c>
      <c r="AN7" s="529">
        <f t="shared" si="5"/>
        <v>0</v>
      </c>
      <c r="AO7" s="529">
        <f t="shared" si="6"/>
        <v>0</v>
      </c>
      <c r="AP7" s="529">
        <f t="shared" si="7"/>
        <v>0</v>
      </c>
      <c r="AQ7" s="529">
        <f t="shared" si="8"/>
        <v>0</v>
      </c>
      <c r="AR7" s="958">
        <f t="shared" si="9"/>
        <v>0</v>
      </c>
      <c r="AS7" s="958">
        <f t="shared" si="10"/>
        <v>0</v>
      </c>
      <c r="AT7" s="958">
        <f t="shared" si="11"/>
        <v>0</v>
      </c>
      <c r="AU7" s="958">
        <f t="shared" si="12"/>
        <v>0</v>
      </c>
      <c r="AV7" s="958">
        <f t="shared" si="13"/>
        <v>0</v>
      </c>
      <c r="AW7" s="16">
        <f t="shared" si="14"/>
        <v>0</v>
      </c>
      <c r="AX7" s="16">
        <f t="shared" si="15"/>
        <v>0</v>
      </c>
      <c r="AY7" s="16">
        <f t="shared" si="16"/>
        <v>0</v>
      </c>
      <c r="AZ7" s="16">
        <f t="shared" si="17"/>
        <v>0</v>
      </c>
      <c r="BA7" s="16">
        <f t="shared" si="18"/>
        <v>0</v>
      </c>
      <c r="BB7" s="1382">
        <f>IF(AB7,VLOOKUP(IF(ISNUMBER(MATCH(Overview!$B$14,useless_spell_races,0)),Overview!$B$14,"Other"),Constants!$P$89:$S$102,4,FALSE),IF(BB6&gt;0,BB6-1,0))</f>
        <v>0</v>
      </c>
    </row>
    <row r="8" spans="1:54" s="16" customFormat="1">
      <c r="A8" s="987">
        <f>Rezone!J8</f>
        <v>6</v>
      </c>
      <c r="B8" s="16">
        <f>Construction!E8</f>
        <v>1000</v>
      </c>
      <c r="C8" s="26">
        <f ca="1">Production!K8</f>
        <v>24083</v>
      </c>
      <c r="D8" s="62">
        <f>MIN(1,D7+0.04+ROUNDDOWN(10*Military!BN7,0)+MAX(Techs!AN7,Techs!AW7*3))-AE8</f>
        <v>1</v>
      </c>
      <c r="E8" s="532">
        <f t="shared" si="2"/>
        <v>43692.208333333321</v>
      </c>
      <c r="F8" s="62">
        <f ca="1">Imps!J8</f>
        <v>1.4399599186620671</v>
      </c>
      <c r="G8" s="393"/>
      <c r="H8" s="394"/>
      <c r="I8" s="394"/>
      <c r="J8" s="394"/>
      <c r="K8" s="380"/>
      <c r="L8" s="393"/>
      <c r="M8" s="394"/>
      <c r="N8" s="380"/>
      <c r="O8" s="380"/>
      <c r="P8" s="380"/>
      <c r="Q8" s="380"/>
      <c r="R8" s="380"/>
      <c r="S8" s="380"/>
      <c r="T8" s="380"/>
      <c r="U8" s="380"/>
      <c r="V8" s="380"/>
      <c r="W8" s="380"/>
      <c r="X8" s="380"/>
      <c r="Y8" s="380"/>
      <c r="Z8" s="380"/>
      <c r="AA8" s="380"/>
      <c r="AB8" s="395"/>
      <c r="AD8" s="152">
        <f>(MAX(1-wg_spell_cost_cap,1-wg_spell_cost_red*ROUND(Construction!BM8/Construction!E8,4))+Constants!$M$45*Techs!AL8)*(B8-Explore!S8*20)*(G8*Constants!$B$72+H8*Constants!$B$73+I8*Constants!$B$74+J8*Constants!$B$76+K8*Constants!$B$75+L8*dwarf_spell_cost+M8*halfling_spell_cost + N8*sylvan_spell_cost + O8*woodelf_spell_cost + P8*kobold_spell_cost + Q8*icekin_spell_cost + R8*firewalker_spell_cost + S8*nox_spell_cost + T8*human_spell_cost + U8*goblin_spell_cost + V8*orc_spell_cost + W8*ants_spell_cost + X8*armada_spell_cost + Y8*lux_spell_cost + Z8*growth_spell_cost + AA8*impgnome_spell_cost + AB8*VLOOKUP(IF(ISNUMBER(MATCH(Overview!$B$14,useless_spell_races,0)),Overview!$B$14,"Other"),Constants!$P$89:$S$102,3,FALSE))</f>
        <v>0</v>
      </c>
      <c r="AE8" s="62">
        <f t="shared" si="0"/>
        <v>0</v>
      </c>
      <c r="AG8" s="635">
        <f t="shared" si="19"/>
        <v>0</v>
      </c>
      <c r="AH8" s="529">
        <f t="shared" si="20"/>
        <v>0</v>
      </c>
      <c r="AI8" s="529">
        <f t="shared" si="21"/>
        <v>0</v>
      </c>
      <c r="AJ8" s="529">
        <f t="shared" si="22"/>
        <v>0</v>
      </c>
      <c r="AK8" s="527">
        <f t="shared" si="23"/>
        <v>0</v>
      </c>
      <c r="AL8" s="529">
        <f t="shared" si="3"/>
        <v>0</v>
      </c>
      <c r="AM8" s="529">
        <f t="shared" si="4"/>
        <v>0</v>
      </c>
      <c r="AN8" s="529">
        <f t="shared" si="5"/>
        <v>0</v>
      </c>
      <c r="AO8" s="529">
        <f t="shared" si="6"/>
        <v>0</v>
      </c>
      <c r="AP8" s="529">
        <f t="shared" si="7"/>
        <v>0</v>
      </c>
      <c r="AQ8" s="529">
        <f t="shared" si="8"/>
        <v>0</v>
      </c>
      <c r="AR8" s="958">
        <f t="shared" si="9"/>
        <v>0</v>
      </c>
      <c r="AS8" s="958">
        <f t="shared" si="10"/>
        <v>0</v>
      </c>
      <c r="AT8" s="958">
        <f t="shared" si="11"/>
        <v>0</v>
      </c>
      <c r="AU8" s="958">
        <f t="shared" si="12"/>
        <v>0</v>
      </c>
      <c r="AV8" s="958">
        <f t="shared" si="13"/>
        <v>0</v>
      </c>
      <c r="AW8" s="16">
        <f t="shared" si="14"/>
        <v>0</v>
      </c>
      <c r="AX8" s="16">
        <f t="shared" si="15"/>
        <v>0</v>
      </c>
      <c r="AY8" s="16">
        <f t="shared" si="16"/>
        <v>0</v>
      </c>
      <c r="AZ8" s="16">
        <f t="shared" si="17"/>
        <v>0</v>
      </c>
      <c r="BA8" s="16">
        <f t="shared" si="18"/>
        <v>0</v>
      </c>
      <c r="BB8" s="1382">
        <f>IF(AB8,VLOOKUP(IF(ISNUMBER(MATCH(Overview!$B$14,useless_spell_races,0)),Overview!$B$14,"Other"),Constants!$P$89:$S$102,4,FALSE),IF(BB7&gt;0,BB7-1,0))</f>
        <v>0</v>
      </c>
    </row>
    <row r="9" spans="1:54" s="16" customFormat="1">
      <c r="A9" s="987">
        <f>Rezone!J9</f>
        <v>7</v>
      </c>
      <c r="B9" s="16">
        <f>Construction!E9</f>
        <v>1000</v>
      </c>
      <c r="C9" s="26">
        <f ca="1">Production!K9</f>
        <v>24851</v>
      </c>
      <c r="D9" s="62">
        <f>MIN(1,D8+0.04+ROUNDDOWN(10*Military!BN8,0)+MAX(Techs!AN8,Techs!AW8*3))-AE9</f>
        <v>1</v>
      </c>
      <c r="E9" s="532">
        <f t="shared" si="2"/>
        <v>43692.249999999985</v>
      </c>
      <c r="F9" s="62">
        <f ca="1">Imps!J9</f>
        <v>1.3961762084432494</v>
      </c>
      <c r="G9" s="393"/>
      <c r="H9" s="394"/>
      <c r="I9" s="394"/>
      <c r="J9" s="394"/>
      <c r="K9" s="380"/>
      <c r="L9" s="393"/>
      <c r="M9" s="394"/>
      <c r="N9" s="380"/>
      <c r="O9" s="380"/>
      <c r="P9" s="380"/>
      <c r="Q9" s="380"/>
      <c r="R9" s="380"/>
      <c r="S9" s="380"/>
      <c r="T9" s="380"/>
      <c r="U9" s="380"/>
      <c r="V9" s="380"/>
      <c r="W9" s="380"/>
      <c r="X9" s="380"/>
      <c r="Y9" s="380"/>
      <c r="Z9" s="380"/>
      <c r="AA9" s="380"/>
      <c r="AB9" s="395"/>
      <c r="AD9" s="152">
        <f>(MAX(1-wg_spell_cost_cap,1-wg_spell_cost_red*ROUND(Construction!BM9/Construction!E9,4))+Constants!$M$45*Techs!AL9)*(B9-Explore!S9*20)*(G9*Constants!$B$72+H9*Constants!$B$73+I9*Constants!$B$74+J9*Constants!$B$76+K9*Constants!$B$75+L9*dwarf_spell_cost+M9*halfling_spell_cost + N9*sylvan_spell_cost + O9*woodelf_spell_cost + P9*kobold_spell_cost + Q9*icekin_spell_cost + R9*firewalker_spell_cost + S9*nox_spell_cost + T9*human_spell_cost + U9*goblin_spell_cost + V9*orc_spell_cost + W9*ants_spell_cost + X9*armada_spell_cost + Y9*lux_spell_cost + Z9*growth_spell_cost + AA9*impgnome_spell_cost + AB9*VLOOKUP(IF(ISNUMBER(MATCH(Overview!$B$14,useless_spell_races,0)),Overview!$B$14,"Other"),Constants!$P$89:$S$102,3,FALSE))</f>
        <v>0</v>
      </c>
      <c r="AE9" s="62">
        <f t="shared" si="0"/>
        <v>0</v>
      </c>
      <c r="AG9" s="635">
        <f t="shared" si="19"/>
        <v>0</v>
      </c>
      <c r="AH9" s="529">
        <f t="shared" si="20"/>
        <v>0</v>
      </c>
      <c r="AI9" s="529">
        <f t="shared" si="21"/>
        <v>0</v>
      </c>
      <c r="AJ9" s="529">
        <f t="shared" si="22"/>
        <v>0</v>
      </c>
      <c r="AK9" s="527">
        <f t="shared" si="23"/>
        <v>0</v>
      </c>
      <c r="AL9" s="529">
        <f t="shared" si="3"/>
        <v>0</v>
      </c>
      <c r="AM9" s="529">
        <f t="shared" si="4"/>
        <v>0</v>
      </c>
      <c r="AN9" s="529">
        <f t="shared" si="5"/>
        <v>0</v>
      </c>
      <c r="AO9" s="529">
        <f t="shared" si="6"/>
        <v>0</v>
      </c>
      <c r="AP9" s="529">
        <f t="shared" si="7"/>
        <v>0</v>
      </c>
      <c r="AQ9" s="529">
        <f t="shared" si="8"/>
        <v>0</v>
      </c>
      <c r="AR9" s="958">
        <f t="shared" si="9"/>
        <v>0</v>
      </c>
      <c r="AS9" s="958">
        <f t="shared" si="10"/>
        <v>0</v>
      </c>
      <c r="AT9" s="958">
        <f t="shared" si="11"/>
        <v>0</v>
      </c>
      <c r="AU9" s="958">
        <f t="shared" si="12"/>
        <v>0</v>
      </c>
      <c r="AV9" s="958">
        <f t="shared" si="13"/>
        <v>0</v>
      </c>
      <c r="AW9" s="16">
        <f t="shared" si="14"/>
        <v>0</v>
      </c>
      <c r="AX9" s="16">
        <f t="shared" si="15"/>
        <v>0</v>
      </c>
      <c r="AY9" s="16">
        <f t="shared" si="16"/>
        <v>0</v>
      </c>
      <c r="AZ9" s="16">
        <f t="shared" si="17"/>
        <v>0</v>
      </c>
      <c r="BA9" s="16">
        <f t="shared" si="18"/>
        <v>0</v>
      </c>
      <c r="BB9" s="1382">
        <f>IF(AB9,VLOOKUP(IF(ISNUMBER(MATCH(Overview!$B$14,useless_spell_races,0)),Overview!$B$14,"Other"),Constants!$P$89:$S$102,4,FALSE),IF(BB8&gt;0,BB8-1,0))</f>
        <v>0</v>
      </c>
    </row>
    <row r="10" spans="1:54" s="16" customFormat="1">
      <c r="A10" s="987">
        <f>Rezone!J10</f>
        <v>8</v>
      </c>
      <c r="B10" s="16">
        <f>Construction!E10</f>
        <v>1000</v>
      </c>
      <c r="C10" s="26">
        <f ca="1">Production!K10</f>
        <v>25604</v>
      </c>
      <c r="D10" s="62">
        <f>MIN(1,D9+0.04+ROUNDDOWN(10*Military!BN9,0)+MAX(Techs!AN9,Techs!AW9*3))-AE10</f>
        <v>1</v>
      </c>
      <c r="E10" s="532">
        <f t="shared" si="2"/>
        <v>43692.29166666665</v>
      </c>
      <c r="F10" s="62">
        <f ca="1">Imps!J10</f>
        <v>1.3550199954236846</v>
      </c>
      <c r="G10" s="393"/>
      <c r="H10" s="394"/>
      <c r="I10" s="394"/>
      <c r="J10" s="394"/>
      <c r="K10" s="380"/>
      <c r="L10" s="393"/>
      <c r="M10" s="394"/>
      <c r="N10" s="380"/>
      <c r="O10" s="380"/>
      <c r="P10" s="380"/>
      <c r="Q10" s="380"/>
      <c r="R10" s="380"/>
      <c r="S10" s="380"/>
      <c r="T10" s="380"/>
      <c r="U10" s="380"/>
      <c r="V10" s="380"/>
      <c r="W10" s="380"/>
      <c r="X10" s="380"/>
      <c r="Y10" s="380"/>
      <c r="Z10" s="380"/>
      <c r="AA10" s="380"/>
      <c r="AB10" s="395"/>
      <c r="AD10" s="152">
        <f>(MAX(1-wg_spell_cost_cap,1-wg_spell_cost_red*ROUND(Construction!BM10/Construction!E10,4))+Constants!$M$45*Techs!AL10)*(B10-Explore!S10*20)*(G10*Constants!$B$72+H10*Constants!$B$73+I10*Constants!$B$74+J10*Constants!$B$76+K10*Constants!$B$75+L10*dwarf_spell_cost+M10*halfling_spell_cost + N10*sylvan_spell_cost + O10*woodelf_spell_cost + P10*kobold_spell_cost + Q10*icekin_spell_cost + R10*firewalker_spell_cost + S10*nox_spell_cost + T10*human_spell_cost + U10*goblin_spell_cost + V10*orc_spell_cost + W10*ants_spell_cost + X10*armada_spell_cost + Y10*lux_spell_cost + Z10*growth_spell_cost + AA10*impgnome_spell_cost + AB10*VLOOKUP(IF(ISNUMBER(MATCH(Overview!$B$14,useless_spell_races,0)),Overview!$B$14,"Other"),Constants!$P$89:$S$102,3,FALSE))</f>
        <v>0</v>
      </c>
      <c r="AE10" s="62">
        <f t="shared" si="0"/>
        <v>0</v>
      </c>
      <c r="AG10" s="635">
        <f t="shared" si="19"/>
        <v>0</v>
      </c>
      <c r="AH10" s="529">
        <f t="shared" si="20"/>
        <v>0</v>
      </c>
      <c r="AI10" s="529">
        <f t="shared" si="21"/>
        <v>0</v>
      </c>
      <c r="AJ10" s="529">
        <f t="shared" si="22"/>
        <v>0</v>
      </c>
      <c r="AK10" s="527">
        <f t="shared" si="23"/>
        <v>0</v>
      </c>
      <c r="AL10" s="529">
        <f t="shared" si="3"/>
        <v>0</v>
      </c>
      <c r="AM10" s="529">
        <f t="shared" si="4"/>
        <v>0</v>
      </c>
      <c r="AN10" s="529">
        <f t="shared" si="5"/>
        <v>0</v>
      </c>
      <c r="AO10" s="529">
        <f t="shared" si="6"/>
        <v>0</v>
      </c>
      <c r="AP10" s="529">
        <f t="shared" si="7"/>
        <v>0</v>
      </c>
      <c r="AQ10" s="529">
        <f t="shared" si="8"/>
        <v>0</v>
      </c>
      <c r="AR10" s="958">
        <f t="shared" si="9"/>
        <v>0</v>
      </c>
      <c r="AS10" s="958">
        <f t="shared" si="10"/>
        <v>0</v>
      </c>
      <c r="AT10" s="958">
        <f t="shared" si="11"/>
        <v>0</v>
      </c>
      <c r="AU10" s="958">
        <f t="shared" si="12"/>
        <v>0</v>
      </c>
      <c r="AV10" s="958">
        <f t="shared" si="13"/>
        <v>0</v>
      </c>
      <c r="AW10" s="16">
        <f t="shared" si="14"/>
        <v>0</v>
      </c>
      <c r="AX10" s="16">
        <f t="shared" si="15"/>
        <v>0</v>
      </c>
      <c r="AY10" s="16">
        <f t="shared" si="16"/>
        <v>0</v>
      </c>
      <c r="AZ10" s="16">
        <f t="shared" si="17"/>
        <v>0</v>
      </c>
      <c r="BA10" s="16">
        <f t="shared" si="18"/>
        <v>0</v>
      </c>
      <c r="BB10" s="1382">
        <f>IF(AB10,VLOOKUP(IF(ISNUMBER(MATCH(Overview!$B$14,useless_spell_races,0)),Overview!$B$14,"Other"),Constants!$P$89:$S$102,4,FALSE),IF(BB9&gt;0,BB9-1,0))</f>
        <v>0</v>
      </c>
    </row>
    <row r="11" spans="1:54" s="16" customFormat="1">
      <c r="A11" s="987">
        <f>Rezone!J11</f>
        <v>9</v>
      </c>
      <c r="B11" s="16">
        <f>Construction!E11</f>
        <v>1000</v>
      </c>
      <c r="C11" s="26">
        <f ca="1">Production!K11</f>
        <v>26342</v>
      </c>
      <c r="D11" s="62">
        <f>MIN(1,D10+0.04+ROUNDDOWN(10*Military!BN10,0)+MAX(Techs!AN10,Techs!AW10*3))-AE11</f>
        <v>1</v>
      </c>
      <c r="E11" s="532">
        <f t="shared" si="2"/>
        <v>43692.333333333314</v>
      </c>
      <c r="F11" s="62">
        <f ca="1">Imps!J11</f>
        <v>1.3159215930550976</v>
      </c>
      <c r="G11" s="393"/>
      <c r="H11" s="394"/>
      <c r="I11" s="394"/>
      <c r="J11" s="394"/>
      <c r="K11" s="380"/>
      <c r="L11" s="393"/>
      <c r="M11" s="394"/>
      <c r="N11" s="380"/>
      <c r="O11" s="380"/>
      <c r="P11" s="380"/>
      <c r="Q11" s="380"/>
      <c r="R11" s="380"/>
      <c r="S11" s="380"/>
      <c r="T11" s="380"/>
      <c r="U11" s="380"/>
      <c r="V11" s="380"/>
      <c r="W11" s="380"/>
      <c r="X11" s="380"/>
      <c r="Y11" s="380"/>
      <c r="Z11" s="380"/>
      <c r="AA11" s="380"/>
      <c r="AB11" s="395"/>
      <c r="AD11" s="152">
        <f>(MAX(1-wg_spell_cost_cap,1-wg_spell_cost_red*ROUND(Construction!BM11/Construction!E11,4))+Constants!$M$45*Techs!AL11)*(B11-Explore!S11*20)*(G11*Constants!$B$72+H11*Constants!$B$73+I11*Constants!$B$74+J11*Constants!$B$76+K11*Constants!$B$75+L11*dwarf_spell_cost+M11*halfling_spell_cost + N11*sylvan_spell_cost + O11*woodelf_spell_cost + P11*kobold_spell_cost + Q11*icekin_spell_cost + R11*firewalker_spell_cost + S11*nox_spell_cost + T11*human_spell_cost + U11*goblin_spell_cost + V11*orc_spell_cost + W11*ants_spell_cost + X11*armada_spell_cost + Y11*lux_spell_cost + Z11*growth_spell_cost + AA11*impgnome_spell_cost + AB11*VLOOKUP(IF(ISNUMBER(MATCH(Overview!$B$14,useless_spell_races,0)),Overview!$B$14,"Other"),Constants!$P$89:$S$102,3,FALSE))</f>
        <v>0</v>
      </c>
      <c r="AE11" s="62">
        <f t="shared" si="0"/>
        <v>0</v>
      </c>
      <c r="AG11" s="635">
        <f t="shared" si="19"/>
        <v>0</v>
      </c>
      <c r="AH11" s="529">
        <f t="shared" si="20"/>
        <v>0</v>
      </c>
      <c r="AI11" s="529">
        <f t="shared" si="21"/>
        <v>0</v>
      </c>
      <c r="AJ11" s="529">
        <f t="shared" si="22"/>
        <v>0</v>
      </c>
      <c r="AK11" s="527">
        <f t="shared" si="23"/>
        <v>0</v>
      </c>
      <c r="AL11" s="529">
        <f t="shared" si="3"/>
        <v>0</v>
      </c>
      <c r="AM11" s="529">
        <f t="shared" si="4"/>
        <v>0</v>
      </c>
      <c r="AN11" s="529">
        <f t="shared" si="5"/>
        <v>0</v>
      </c>
      <c r="AO11" s="529">
        <f t="shared" si="6"/>
        <v>0</v>
      </c>
      <c r="AP11" s="529">
        <f t="shared" si="7"/>
        <v>0</v>
      </c>
      <c r="AQ11" s="529">
        <f t="shared" si="8"/>
        <v>0</v>
      </c>
      <c r="AR11" s="958">
        <f t="shared" si="9"/>
        <v>0</v>
      </c>
      <c r="AS11" s="958">
        <f t="shared" si="10"/>
        <v>0</v>
      </c>
      <c r="AT11" s="958">
        <f t="shared" si="11"/>
        <v>0</v>
      </c>
      <c r="AU11" s="958">
        <f t="shared" si="12"/>
        <v>0</v>
      </c>
      <c r="AV11" s="958">
        <f t="shared" si="13"/>
        <v>0</v>
      </c>
      <c r="AW11" s="16">
        <f t="shared" si="14"/>
        <v>0</v>
      </c>
      <c r="AX11" s="16">
        <f t="shared" si="15"/>
        <v>0</v>
      </c>
      <c r="AY11" s="16">
        <f t="shared" si="16"/>
        <v>0</v>
      </c>
      <c r="AZ11" s="16">
        <f t="shared" si="17"/>
        <v>0</v>
      </c>
      <c r="BA11" s="16">
        <f t="shared" si="18"/>
        <v>0</v>
      </c>
      <c r="BB11" s="1382">
        <f>IF(AB11,VLOOKUP(IF(ISNUMBER(MATCH(Overview!$B$14,useless_spell_races,0)),Overview!$B$14,"Other"),Constants!$P$89:$S$102,4,FALSE),IF(BB10&gt;0,BB10-1,0))</f>
        <v>0</v>
      </c>
    </row>
    <row r="12" spans="1:54" s="16" customFormat="1">
      <c r="A12" s="987">
        <f>Rezone!J12</f>
        <v>10</v>
      </c>
      <c r="B12" s="16">
        <f>Construction!E12</f>
        <v>1000</v>
      </c>
      <c r="C12" s="26">
        <f ca="1">Production!K12</f>
        <v>27065</v>
      </c>
      <c r="D12" s="62">
        <f>MIN(1,D11+0.04+ROUNDDOWN(10*Military!BN11,0)+MAX(Techs!AN11,Techs!AW11*3))-AE12</f>
        <v>1</v>
      </c>
      <c r="E12" s="532">
        <f t="shared" si="2"/>
        <v>43692.374999999978</v>
      </c>
      <c r="F12" s="62">
        <f ca="1">Imps!J12</f>
        <v>1.2787781108049403</v>
      </c>
      <c r="G12" s="393"/>
      <c r="H12" s="394"/>
      <c r="I12" s="394"/>
      <c r="J12" s="394"/>
      <c r="K12" s="380"/>
      <c r="L12" s="393"/>
      <c r="M12" s="394"/>
      <c r="N12" s="380"/>
      <c r="O12" s="380"/>
      <c r="P12" s="380"/>
      <c r="Q12" s="380"/>
      <c r="R12" s="380"/>
      <c r="S12" s="380"/>
      <c r="T12" s="380"/>
      <c r="U12" s="380"/>
      <c r="V12" s="380"/>
      <c r="W12" s="380"/>
      <c r="X12" s="380"/>
      <c r="Y12" s="380"/>
      <c r="Z12" s="380"/>
      <c r="AA12" s="380"/>
      <c r="AB12" s="395"/>
      <c r="AD12" s="152">
        <f>(MAX(1-wg_spell_cost_cap,1-wg_spell_cost_red*ROUND(Construction!BM12/Construction!E12,4))+Constants!$M$45*Techs!AL12)*(B12-Explore!S12*20)*(G12*Constants!$B$72+H12*Constants!$B$73+I12*Constants!$B$74+J12*Constants!$B$76+K12*Constants!$B$75+L12*dwarf_spell_cost+M12*halfling_spell_cost + N12*sylvan_spell_cost + O12*woodelf_spell_cost + P12*kobold_spell_cost + Q12*icekin_spell_cost + R12*firewalker_spell_cost + S12*nox_spell_cost + T12*human_spell_cost + U12*goblin_spell_cost + V12*orc_spell_cost + W12*ants_spell_cost + X12*armada_spell_cost + Y12*lux_spell_cost + Z12*growth_spell_cost + AA12*impgnome_spell_cost + AB12*VLOOKUP(IF(ISNUMBER(MATCH(Overview!$B$14,useless_spell_races,0)),Overview!$B$14,"Other"),Constants!$P$89:$S$102,3,FALSE))</f>
        <v>0</v>
      </c>
      <c r="AE12" s="62">
        <f t="shared" si="0"/>
        <v>0</v>
      </c>
      <c r="AG12" s="635">
        <f t="shared" si="19"/>
        <v>0</v>
      </c>
      <c r="AH12" s="529">
        <f t="shared" si="20"/>
        <v>0</v>
      </c>
      <c r="AI12" s="529">
        <f t="shared" si="21"/>
        <v>0</v>
      </c>
      <c r="AJ12" s="529">
        <f t="shared" si="22"/>
        <v>0</v>
      </c>
      <c r="AK12" s="527">
        <f t="shared" si="23"/>
        <v>0</v>
      </c>
      <c r="AL12" s="529">
        <f t="shared" si="3"/>
        <v>0</v>
      </c>
      <c r="AM12" s="529">
        <f t="shared" si="4"/>
        <v>0</v>
      </c>
      <c r="AN12" s="529">
        <f t="shared" si="5"/>
        <v>0</v>
      </c>
      <c r="AO12" s="529">
        <f t="shared" si="6"/>
        <v>0</v>
      </c>
      <c r="AP12" s="529">
        <f t="shared" si="7"/>
        <v>0</v>
      </c>
      <c r="AQ12" s="529">
        <f t="shared" si="8"/>
        <v>0</v>
      </c>
      <c r="AR12" s="958">
        <f t="shared" si="9"/>
        <v>0</v>
      </c>
      <c r="AS12" s="958">
        <f t="shared" si="10"/>
        <v>0</v>
      </c>
      <c r="AT12" s="958">
        <f t="shared" si="11"/>
        <v>0</v>
      </c>
      <c r="AU12" s="958">
        <f t="shared" si="12"/>
        <v>0</v>
      </c>
      <c r="AV12" s="958">
        <f t="shared" si="13"/>
        <v>0</v>
      </c>
      <c r="AW12" s="16">
        <f t="shared" si="14"/>
        <v>0</v>
      </c>
      <c r="AX12" s="16">
        <f t="shared" si="15"/>
        <v>0</v>
      </c>
      <c r="AY12" s="16">
        <f t="shared" si="16"/>
        <v>0</v>
      </c>
      <c r="AZ12" s="16">
        <f t="shared" si="17"/>
        <v>0</v>
      </c>
      <c r="BA12" s="16">
        <f t="shared" si="18"/>
        <v>0</v>
      </c>
      <c r="BB12" s="1382">
        <f>IF(AB12,VLOOKUP(IF(ISNUMBER(MATCH(Overview!$B$14,useless_spell_races,0)),Overview!$B$14,"Other"),Constants!$P$89:$S$102,4,FALSE),IF(BB11&gt;0,BB11-1,0))</f>
        <v>0</v>
      </c>
    </row>
    <row r="13" spans="1:54" s="16" customFormat="1">
      <c r="A13" s="987">
        <f>Rezone!J13</f>
        <v>11</v>
      </c>
      <c r="B13" s="16">
        <f>Construction!E13</f>
        <v>1000</v>
      </c>
      <c r="C13" s="26">
        <f ca="1">Production!K13</f>
        <v>27774</v>
      </c>
      <c r="D13" s="62">
        <f>MIN(1,D12+0.04+ROUNDDOWN(10*Military!BN12,0)+MAX(Techs!AN12,Techs!AW12*3))-AE13</f>
        <v>1</v>
      </c>
      <c r="E13" s="532">
        <f t="shared" si="2"/>
        <v>43692.416666666642</v>
      </c>
      <c r="F13" s="62">
        <f ca="1">Imps!J13</f>
        <v>1.2434918026672905</v>
      </c>
      <c r="G13" s="393"/>
      <c r="H13" s="394"/>
      <c r="I13" s="394"/>
      <c r="J13" s="394"/>
      <c r="K13" s="380"/>
      <c r="L13" s="393"/>
      <c r="M13" s="394"/>
      <c r="N13" s="380"/>
      <c r="O13" s="380"/>
      <c r="P13" s="380"/>
      <c r="Q13" s="380"/>
      <c r="R13" s="380"/>
      <c r="S13" s="380"/>
      <c r="T13" s="380"/>
      <c r="U13" s="380"/>
      <c r="V13" s="380"/>
      <c r="W13" s="380"/>
      <c r="X13" s="380"/>
      <c r="Y13" s="380"/>
      <c r="Z13" s="380"/>
      <c r="AA13" s="380"/>
      <c r="AB13" s="395"/>
      <c r="AD13" s="152">
        <f>(MAX(1-wg_spell_cost_cap,1-wg_spell_cost_red*ROUND(Construction!BM13/Construction!E13,4))+Constants!$M$45*Techs!AL13)*(B13-Explore!S13*20)*(G13*Constants!$B$72+H13*Constants!$B$73+I13*Constants!$B$74+J13*Constants!$B$76+K13*Constants!$B$75+L13*dwarf_spell_cost+M13*halfling_spell_cost + N13*sylvan_spell_cost + O13*woodelf_spell_cost + P13*kobold_spell_cost + Q13*icekin_spell_cost + R13*firewalker_spell_cost + S13*nox_spell_cost + T13*human_spell_cost + U13*goblin_spell_cost + V13*orc_spell_cost + W13*ants_spell_cost + X13*armada_spell_cost + Y13*lux_spell_cost + Z13*growth_spell_cost + AA13*impgnome_spell_cost + AB13*VLOOKUP(IF(ISNUMBER(MATCH(Overview!$B$14,useless_spell_races,0)),Overview!$B$14,"Other"),Constants!$P$89:$S$102,3,FALSE))</f>
        <v>0</v>
      </c>
      <c r="AE13" s="62">
        <f t="shared" si="0"/>
        <v>0</v>
      </c>
      <c r="AG13" s="635">
        <f t="shared" si="19"/>
        <v>0</v>
      </c>
      <c r="AH13" s="529">
        <f t="shared" si="20"/>
        <v>0</v>
      </c>
      <c r="AI13" s="529">
        <f t="shared" si="21"/>
        <v>0</v>
      </c>
      <c r="AJ13" s="529">
        <f t="shared" si="22"/>
        <v>0</v>
      </c>
      <c r="AK13" s="527">
        <f t="shared" si="23"/>
        <v>0</v>
      </c>
      <c r="AL13" s="529">
        <f t="shared" si="3"/>
        <v>0</v>
      </c>
      <c r="AM13" s="529">
        <f t="shared" si="4"/>
        <v>0</v>
      </c>
      <c r="AN13" s="529">
        <f t="shared" si="5"/>
        <v>0</v>
      </c>
      <c r="AO13" s="529">
        <f t="shared" si="6"/>
        <v>0</v>
      </c>
      <c r="AP13" s="529">
        <f t="shared" si="7"/>
        <v>0</v>
      </c>
      <c r="AQ13" s="529">
        <f t="shared" si="8"/>
        <v>0</v>
      </c>
      <c r="AR13" s="958">
        <f t="shared" si="9"/>
        <v>0</v>
      </c>
      <c r="AS13" s="958">
        <f t="shared" si="10"/>
        <v>0</v>
      </c>
      <c r="AT13" s="958">
        <f t="shared" si="11"/>
        <v>0</v>
      </c>
      <c r="AU13" s="958">
        <f t="shared" si="12"/>
        <v>0</v>
      </c>
      <c r="AV13" s="958">
        <f t="shared" si="13"/>
        <v>0</v>
      </c>
      <c r="AW13" s="16">
        <f t="shared" si="14"/>
        <v>0</v>
      </c>
      <c r="AX13" s="16">
        <f t="shared" si="15"/>
        <v>0</v>
      </c>
      <c r="AY13" s="16">
        <f t="shared" si="16"/>
        <v>0</v>
      </c>
      <c r="AZ13" s="16">
        <f t="shared" si="17"/>
        <v>0</v>
      </c>
      <c r="BA13" s="16">
        <f t="shared" si="18"/>
        <v>0</v>
      </c>
      <c r="BB13" s="1382">
        <f>IF(AB13,VLOOKUP(IF(ISNUMBER(MATCH(Overview!$B$14,useless_spell_races,0)),Overview!$B$14,"Other"),Constants!$P$89:$S$102,4,FALSE),IF(BB12&gt;0,BB12-1,0))</f>
        <v>0</v>
      </c>
    </row>
    <row r="14" spans="1:54" s="170" customFormat="1">
      <c r="A14" s="986">
        <f>Rezone!J14</f>
        <v>12</v>
      </c>
      <c r="B14" s="170">
        <f>Construction!E14</f>
        <v>1000</v>
      </c>
      <c r="C14" s="164">
        <f ca="1">Production!K14</f>
        <v>28469</v>
      </c>
      <c r="D14" s="193">
        <f>MIN(1,D13+0.04+ROUNDDOWN(10*Military!BN13,0)+MAX(Techs!AN13,Techs!AW13*3))-AE14</f>
        <v>1</v>
      </c>
      <c r="E14" s="532">
        <f t="shared" si="2"/>
        <v>43692.458333333307</v>
      </c>
      <c r="F14" s="193">
        <f ca="1">Imps!J14</f>
        <v>1.2099698099365235</v>
      </c>
      <c r="G14" s="384"/>
      <c r="H14" s="385"/>
      <c r="I14" s="385"/>
      <c r="J14" s="385"/>
      <c r="K14" s="377"/>
      <c r="L14" s="384"/>
      <c r="M14" s="385"/>
      <c r="N14" s="377"/>
      <c r="O14" s="377"/>
      <c r="P14" s="377"/>
      <c r="Q14" s="377"/>
      <c r="R14" s="377"/>
      <c r="S14" s="377"/>
      <c r="T14" s="377"/>
      <c r="U14" s="377"/>
      <c r="V14" s="377"/>
      <c r="W14" s="377"/>
      <c r="X14" s="377"/>
      <c r="Y14" s="377"/>
      <c r="Z14" s="377"/>
      <c r="AA14" s="377"/>
      <c r="AB14" s="386"/>
      <c r="AD14" s="152">
        <f>(MAX(1-wg_spell_cost_cap,1-wg_spell_cost_red*ROUND(Construction!BM14/Construction!E14,4))+Constants!$M$45*Techs!AL14)*(B14-Explore!S14*20)*(G14*Constants!$B$72+H14*Constants!$B$73+I14*Constants!$B$74+J14*Constants!$B$76+K14*Constants!$B$75+L14*dwarf_spell_cost+M14*halfling_spell_cost + N14*sylvan_spell_cost + O14*woodelf_spell_cost + P14*kobold_spell_cost + Q14*icekin_spell_cost + R14*firewalker_spell_cost + S14*nox_spell_cost + T14*human_spell_cost + U14*goblin_spell_cost + V14*orc_spell_cost + W14*ants_spell_cost + X14*armada_spell_cost + Y14*lux_spell_cost + Z14*growth_spell_cost + AA14*impgnome_spell_cost + AB14*VLOOKUP(IF(ISNUMBER(MATCH(Overview!$B$14,useless_spell_races,0)),Overview!$B$14,"Other"),Constants!$P$89:$S$102,3,FALSE))</f>
        <v>0</v>
      </c>
      <c r="AE14" s="193">
        <f t="shared" si="0"/>
        <v>0</v>
      </c>
      <c r="AG14" s="634">
        <f t="shared" si="19"/>
        <v>0</v>
      </c>
      <c r="AH14" s="629">
        <f t="shared" si="20"/>
        <v>0</v>
      </c>
      <c r="AI14" s="629">
        <f t="shared" si="21"/>
        <v>0</v>
      </c>
      <c r="AJ14" s="629">
        <f t="shared" si="22"/>
        <v>0</v>
      </c>
      <c r="AK14" s="548">
        <f t="shared" si="23"/>
        <v>0</v>
      </c>
      <c r="AL14" s="629">
        <f t="shared" si="3"/>
        <v>0</v>
      </c>
      <c r="AM14" s="629">
        <f t="shared" si="4"/>
        <v>0</v>
      </c>
      <c r="AN14" s="629">
        <f t="shared" si="5"/>
        <v>0</v>
      </c>
      <c r="AO14" s="629">
        <f t="shared" si="6"/>
        <v>0</v>
      </c>
      <c r="AP14" s="629">
        <f t="shared" si="7"/>
        <v>0</v>
      </c>
      <c r="AQ14" s="629">
        <f t="shared" si="8"/>
        <v>0</v>
      </c>
      <c r="AR14" s="957">
        <f t="shared" si="9"/>
        <v>0</v>
      </c>
      <c r="AS14" s="957">
        <f t="shared" si="10"/>
        <v>0</v>
      </c>
      <c r="AT14" s="957">
        <f t="shared" si="11"/>
        <v>0</v>
      </c>
      <c r="AU14" s="957">
        <f t="shared" si="12"/>
        <v>0</v>
      </c>
      <c r="AV14" s="957">
        <f t="shared" si="13"/>
        <v>0</v>
      </c>
      <c r="AW14" s="170">
        <f t="shared" si="14"/>
        <v>0</v>
      </c>
      <c r="AX14" s="170">
        <f t="shared" si="15"/>
        <v>0</v>
      </c>
      <c r="AY14" s="170">
        <f t="shared" si="16"/>
        <v>0</v>
      </c>
      <c r="AZ14" s="170">
        <f t="shared" si="17"/>
        <v>0</v>
      </c>
      <c r="BA14" s="170">
        <f t="shared" si="18"/>
        <v>0</v>
      </c>
      <c r="BB14" s="1381">
        <f>IF(AB14,VLOOKUP(IF(ISNUMBER(MATCH(Overview!$B$14,useless_spell_races,0)),Overview!$B$14,"Other"),Constants!$P$89:$S$102,4,FALSE),IF(BB13&gt;0,BB13-1,0))</f>
        <v>0</v>
      </c>
    </row>
    <row r="15" spans="1:54" s="163" customFormat="1">
      <c r="A15" s="988">
        <f>Rezone!J15</f>
        <v>13</v>
      </c>
      <c r="B15" s="163">
        <f>Construction!E15</f>
        <v>1000</v>
      </c>
      <c r="C15" s="153">
        <f ca="1">Production!K15</f>
        <v>29150</v>
      </c>
      <c r="D15" s="194">
        <f>MIN(1,D14+0.04+ROUNDDOWN(10*Military!BN14,0)+MAX(Techs!AN14,Techs!AW14*3))-AE15</f>
        <v>1</v>
      </c>
      <c r="E15" s="677">
        <f>E14+1/24</f>
        <v>43692.499999999971</v>
      </c>
      <c r="F15" s="194">
        <f ca="1">Imps!J15</f>
        <v>1.1781239168422946</v>
      </c>
      <c r="G15" s="387"/>
      <c r="H15" s="388"/>
      <c r="I15" s="388"/>
      <c r="J15" s="388"/>
      <c r="K15" s="378"/>
      <c r="L15" s="387"/>
      <c r="M15" s="388"/>
      <c r="N15" s="378"/>
      <c r="O15" s="378"/>
      <c r="P15" s="378"/>
      <c r="Q15" s="378"/>
      <c r="R15" s="378"/>
      <c r="S15" s="378"/>
      <c r="T15" s="378"/>
      <c r="U15" s="378"/>
      <c r="V15" s="378"/>
      <c r="W15" s="378"/>
      <c r="X15" s="378"/>
      <c r="Y15" s="378"/>
      <c r="Z15" s="378"/>
      <c r="AA15" s="378"/>
      <c r="AB15" s="389"/>
      <c r="AD15" s="151">
        <f>(MAX(1-wg_spell_cost_cap,1-wg_spell_cost_red*ROUND(Construction!BM15/Construction!E15,4))+Constants!$M$45*Techs!AL15)*(B15-Explore!S15*20)*(G15*Constants!$B$72+H15*Constants!$B$73+I15*Constants!$B$74+J15*Constants!$B$76+K15*Constants!$B$75+L15*dwarf_spell_cost+M15*halfling_spell_cost + N15*sylvan_spell_cost + O15*woodelf_spell_cost + P15*kobold_spell_cost + Q15*icekin_spell_cost + R15*firewalker_spell_cost + S15*nox_spell_cost + T15*human_spell_cost + U15*goblin_spell_cost + V15*orc_spell_cost + W15*ants_spell_cost + X15*armada_spell_cost + Y15*lux_spell_cost + Z15*growth_spell_cost + AA15*impgnome_spell_cost + AB15*VLOOKUP(IF(ISNUMBER(MATCH(Overview!$B$14,useless_spell_races,0)),Overview!$B$14,"Other"),Constants!$P$89:$S$102,3,FALSE))</f>
        <v>0</v>
      </c>
      <c r="AE15" s="194">
        <f t="shared" si="0"/>
        <v>0</v>
      </c>
      <c r="AG15" s="318">
        <f t="shared" si="19"/>
        <v>0</v>
      </c>
      <c r="AH15" s="627">
        <f t="shared" si="20"/>
        <v>0</v>
      </c>
      <c r="AI15" s="627">
        <f t="shared" si="21"/>
        <v>0</v>
      </c>
      <c r="AJ15" s="627">
        <f t="shared" si="22"/>
        <v>0</v>
      </c>
      <c r="AK15" s="319">
        <f t="shared" si="23"/>
        <v>0</v>
      </c>
      <c r="AL15" s="627">
        <f t="shared" si="3"/>
        <v>0</v>
      </c>
      <c r="AM15" s="627">
        <f t="shared" si="4"/>
        <v>0</v>
      </c>
      <c r="AN15" s="627">
        <f t="shared" si="5"/>
        <v>0</v>
      </c>
      <c r="AO15" s="627">
        <f t="shared" si="6"/>
        <v>0</v>
      </c>
      <c r="AP15" s="627">
        <f t="shared" si="7"/>
        <v>0</v>
      </c>
      <c r="AQ15" s="627">
        <f t="shared" si="8"/>
        <v>0</v>
      </c>
      <c r="AR15" s="959">
        <f t="shared" si="9"/>
        <v>0</v>
      </c>
      <c r="AS15" s="959">
        <f t="shared" si="10"/>
        <v>0</v>
      </c>
      <c r="AT15" s="959">
        <f t="shared" si="11"/>
        <v>0</v>
      </c>
      <c r="AU15" s="959">
        <f t="shared" si="12"/>
        <v>0</v>
      </c>
      <c r="AV15" s="959">
        <f t="shared" si="13"/>
        <v>0</v>
      </c>
      <c r="AW15" s="163">
        <f t="shared" si="14"/>
        <v>0</v>
      </c>
      <c r="AX15" s="163">
        <f t="shared" si="15"/>
        <v>0</v>
      </c>
      <c r="AY15" s="163">
        <f t="shared" si="16"/>
        <v>0</v>
      </c>
      <c r="AZ15" s="163">
        <f t="shared" si="17"/>
        <v>0</v>
      </c>
      <c r="BA15" s="163">
        <f t="shared" si="18"/>
        <v>0</v>
      </c>
      <c r="BB15" s="1383">
        <f>IF(AB15,VLOOKUP(IF(ISNUMBER(MATCH(Overview!$B$14,useless_spell_races,0)),Overview!$B$14,"Other"),Constants!$P$89:$S$102,4,FALSE),IF(BB14&gt;0,BB14-1,0))</f>
        <v>0</v>
      </c>
    </row>
    <row r="16" spans="1:54" s="170" customFormat="1">
      <c r="A16" s="986">
        <f>Rezone!J16</f>
        <v>14</v>
      </c>
      <c r="B16" s="170">
        <f>Construction!E16</f>
        <v>1000</v>
      </c>
      <c r="C16" s="164">
        <f ca="1">Production!K16</f>
        <v>29817</v>
      </c>
      <c r="D16" s="193">
        <f>MIN(1,D15+0.04+ROUNDDOWN(10*Military!BN15,0)+MAX(Techs!AN15,Techs!AW15*3))-AE16</f>
        <v>1</v>
      </c>
      <c r="E16" s="532">
        <f t="shared" ref="E16:E79" si="24">E15+1/24</f>
        <v>43692.541666666635</v>
      </c>
      <c r="F16" s="193">
        <f ca="1">Imps!J16</f>
        <v>1.1478703184027772</v>
      </c>
      <c r="G16" s="384"/>
      <c r="H16" s="385"/>
      <c r="I16" s="385"/>
      <c r="J16" s="385"/>
      <c r="K16" s="377"/>
      <c r="L16" s="384"/>
      <c r="M16" s="385"/>
      <c r="N16" s="377"/>
      <c r="O16" s="377"/>
      <c r="P16" s="377"/>
      <c r="Q16" s="377"/>
      <c r="R16" s="377"/>
      <c r="S16" s="377"/>
      <c r="T16" s="377"/>
      <c r="U16" s="377"/>
      <c r="V16" s="377"/>
      <c r="W16" s="377"/>
      <c r="X16" s="377"/>
      <c r="Y16" s="377"/>
      <c r="Z16" s="377"/>
      <c r="AA16" s="377"/>
      <c r="AB16" s="386"/>
      <c r="AD16" s="152">
        <f>(MAX(1-wg_spell_cost_cap,1-wg_spell_cost_red*ROUND(Construction!BM16/Construction!E16,4))+Constants!$M$45*Techs!AL16)*(B16-Explore!S16*20)*(G16*Constants!$B$72+H16*Constants!$B$73+I16*Constants!$B$74+J16*Constants!$B$76+K16*Constants!$B$75+L16*dwarf_spell_cost+M16*halfling_spell_cost + N16*sylvan_spell_cost + O16*woodelf_spell_cost + P16*kobold_spell_cost + Q16*icekin_spell_cost + R16*firewalker_spell_cost + S16*nox_spell_cost + T16*human_spell_cost + U16*goblin_spell_cost + V16*orc_spell_cost + W16*ants_spell_cost + X16*armada_spell_cost + Y16*lux_spell_cost + Z16*growth_spell_cost + AA16*impgnome_spell_cost + AB16*VLOOKUP(IF(ISNUMBER(MATCH(Overview!$B$14,useless_spell_races,0)),Overview!$B$14,"Other"),Constants!$P$89:$S$102,3,FALSE))</f>
        <v>0</v>
      </c>
      <c r="AE16" s="193">
        <f t="shared" ref="AE16:AE79" si="25">SUMIF(G16:AB16,1)*0.05</f>
        <v>0</v>
      </c>
      <c r="AG16" s="634">
        <f t="shared" si="19"/>
        <v>0</v>
      </c>
      <c r="AH16" s="629">
        <f t="shared" si="20"/>
        <v>0</v>
      </c>
      <c r="AI16" s="629">
        <f t="shared" si="21"/>
        <v>0</v>
      </c>
      <c r="AJ16" s="629">
        <f t="shared" si="22"/>
        <v>0</v>
      </c>
      <c r="AK16" s="548">
        <f t="shared" si="23"/>
        <v>0</v>
      </c>
      <c r="AL16" s="629">
        <f t="shared" si="3"/>
        <v>0</v>
      </c>
      <c r="AM16" s="629">
        <f t="shared" si="4"/>
        <v>0</v>
      </c>
      <c r="AN16" s="629">
        <f t="shared" si="5"/>
        <v>0</v>
      </c>
      <c r="AO16" s="629">
        <f t="shared" si="6"/>
        <v>0</v>
      </c>
      <c r="AP16" s="629">
        <f t="shared" si="7"/>
        <v>0</v>
      </c>
      <c r="AQ16" s="629">
        <f t="shared" si="8"/>
        <v>0</v>
      </c>
      <c r="AR16" s="957">
        <f t="shared" si="9"/>
        <v>0</v>
      </c>
      <c r="AS16" s="957">
        <f t="shared" si="10"/>
        <v>0</v>
      </c>
      <c r="AT16" s="957">
        <f t="shared" si="11"/>
        <v>0</v>
      </c>
      <c r="AU16" s="957">
        <f t="shared" si="12"/>
        <v>0</v>
      </c>
      <c r="AV16" s="957">
        <f t="shared" si="13"/>
        <v>0</v>
      </c>
      <c r="AW16" s="170">
        <f t="shared" si="14"/>
        <v>0</v>
      </c>
      <c r="AX16" s="170">
        <f t="shared" si="15"/>
        <v>0</v>
      </c>
      <c r="AY16" s="170">
        <f t="shared" si="16"/>
        <v>0</v>
      </c>
      <c r="AZ16" s="170">
        <f t="shared" si="17"/>
        <v>0</v>
      </c>
      <c r="BA16" s="170">
        <f t="shared" si="18"/>
        <v>0</v>
      </c>
      <c r="BB16" s="1381">
        <f>IF(AB16,VLOOKUP(IF(ISNUMBER(MATCH(Overview!$B$14,useless_spell_races,0)),Overview!$B$14,"Other"),Constants!$P$89:$S$102,4,FALSE),IF(BB15&gt;0,BB15-1,0))</f>
        <v>0</v>
      </c>
    </row>
    <row r="17" spans="1:54" s="170" customFormat="1">
      <c r="A17" s="986">
        <f>Rezone!J17</f>
        <v>15</v>
      </c>
      <c r="B17" s="170">
        <f>Construction!E17</f>
        <v>1000</v>
      </c>
      <c r="C17" s="164">
        <f ca="1">Production!K17</f>
        <v>30471</v>
      </c>
      <c r="D17" s="193">
        <f>MIN(1,D16+0.04+ROUNDDOWN(10*Military!BN16,0)+MAX(Techs!AN16,Techs!AW16*3))-AE17</f>
        <v>1</v>
      </c>
      <c r="E17" s="532">
        <f t="shared" si="24"/>
        <v>43692.583333333299</v>
      </c>
      <c r="F17" s="193">
        <f ca="1">Imps!J17</f>
        <v>1.1191293998852361</v>
      </c>
      <c r="G17" s="384"/>
      <c r="H17" s="385"/>
      <c r="I17" s="385"/>
      <c r="J17" s="385"/>
      <c r="K17" s="377"/>
      <c r="L17" s="384"/>
      <c r="M17" s="385"/>
      <c r="N17" s="377"/>
      <c r="O17" s="377"/>
      <c r="P17" s="377"/>
      <c r="Q17" s="377"/>
      <c r="R17" s="377"/>
      <c r="S17" s="377"/>
      <c r="T17" s="377"/>
      <c r="U17" s="377"/>
      <c r="V17" s="377"/>
      <c r="W17" s="377"/>
      <c r="X17" s="377"/>
      <c r="Y17" s="377"/>
      <c r="Z17" s="377"/>
      <c r="AA17" s="377"/>
      <c r="AB17" s="386"/>
      <c r="AD17" s="152">
        <f>(MAX(1-wg_spell_cost_cap,1-wg_spell_cost_red*ROUND(Construction!BM17/Construction!E17,4))+Constants!$M$45*Techs!AL17)*(B17-Explore!S17*20)*(G17*Constants!$B$72+H17*Constants!$B$73+I17*Constants!$B$74+J17*Constants!$B$76+K17*Constants!$B$75+L17*dwarf_spell_cost+M17*halfling_spell_cost + N17*sylvan_spell_cost + O17*woodelf_spell_cost + P17*kobold_spell_cost + Q17*icekin_spell_cost + R17*firewalker_spell_cost + S17*nox_spell_cost + T17*human_spell_cost + U17*goblin_spell_cost + V17*orc_spell_cost + W17*ants_spell_cost + X17*armada_spell_cost + Y17*lux_spell_cost + Z17*growth_spell_cost + AA17*impgnome_spell_cost + AB17*VLOOKUP(IF(ISNUMBER(MATCH(Overview!$B$14,useless_spell_races,0)),Overview!$B$14,"Other"),Constants!$P$89:$S$102,3,FALSE))</f>
        <v>0</v>
      </c>
      <c r="AE17" s="193">
        <f t="shared" si="25"/>
        <v>0</v>
      </c>
      <c r="AG17" s="634">
        <f t="shared" si="19"/>
        <v>0</v>
      </c>
      <c r="AH17" s="629">
        <f t="shared" si="20"/>
        <v>0</v>
      </c>
      <c r="AI17" s="629">
        <f t="shared" si="21"/>
        <v>0</v>
      </c>
      <c r="AJ17" s="629">
        <f t="shared" si="22"/>
        <v>0</v>
      </c>
      <c r="AK17" s="548">
        <f t="shared" si="23"/>
        <v>0</v>
      </c>
      <c r="AL17" s="629">
        <f t="shared" si="3"/>
        <v>0</v>
      </c>
      <c r="AM17" s="629">
        <f t="shared" si="4"/>
        <v>0</v>
      </c>
      <c r="AN17" s="629">
        <f t="shared" si="5"/>
        <v>0</v>
      </c>
      <c r="AO17" s="629">
        <f t="shared" si="6"/>
        <v>0</v>
      </c>
      <c r="AP17" s="629">
        <f t="shared" si="7"/>
        <v>0</v>
      </c>
      <c r="AQ17" s="629">
        <f t="shared" si="8"/>
        <v>0</v>
      </c>
      <c r="AR17" s="957">
        <f t="shared" si="9"/>
        <v>0</v>
      </c>
      <c r="AS17" s="957">
        <f t="shared" si="10"/>
        <v>0</v>
      </c>
      <c r="AT17" s="957">
        <f t="shared" si="11"/>
        <v>0</v>
      </c>
      <c r="AU17" s="957">
        <f t="shared" si="12"/>
        <v>0</v>
      </c>
      <c r="AV17" s="957">
        <f t="shared" si="13"/>
        <v>0</v>
      </c>
      <c r="AW17" s="170">
        <f t="shared" si="14"/>
        <v>0</v>
      </c>
      <c r="AX17" s="170">
        <f t="shared" si="15"/>
        <v>0</v>
      </c>
      <c r="AY17" s="170">
        <f t="shared" si="16"/>
        <v>0</v>
      </c>
      <c r="AZ17" s="170">
        <f t="shared" si="17"/>
        <v>0</v>
      </c>
      <c r="BA17" s="170">
        <f t="shared" si="18"/>
        <v>0</v>
      </c>
      <c r="BB17" s="1381">
        <f>IF(AB17,VLOOKUP(IF(ISNUMBER(MATCH(Overview!$B$14,useless_spell_races,0)),Overview!$B$14,"Other"),Constants!$P$89:$S$102,4,FALSE),IF(BB16&gt;0,BB16-1,0))</f>
        <v>0</v>
      </c>
    </row>
    <row r="18" spans="1:54" s="16" customFormat="1">
      <c r="A18" s="987">
        <f>Rezone!J18</f>
        <v>16</v>
      </c>
      <c r="B18" s="16">
        <f>Construction!E18</f>
        <v>1000</v>
      </c>
      <c r="C18" s="26">
        <f ca="1">Production!K18</f>
        <v>31112</v>
      </c>
      <c r="D18" s="62">
        <f>MIN(1,D17+0.04+ROUNDDOWN(10*Military!BN17,0)+MAX(Techs!AN17,Techs!AW17*3))-AE18</f>
        <v>1</v>
      </c>
      <c r="E18" s="532">
        <f t="shared" si="24"/>
        <v>43692.624999999964</v>
      </c>
      <c r="F18" s="62">
        <f ca="1">Imps!J18</f>
        <v>1.0918255272935715</v>
      </c>
      <c r="G18" s="393"/>
      <c r="H18" s="394"/>
      <c r="I18" s="394"/>
      <c r="J18" s="394"/>
      <c r="K18" s="380"/>
      <c r="L18" s="393"/>
      <c r="M18" s="394"/>
      <c r="N18" s="380"/>
      <c r="O18" s="380"/>
      <c r="P18" s="380"/>
      <c r="Q18" s="380"/>
      <c r="R18" s="380"/>
      <c r="S18" s="380"/>
      <c r="T18" s="380"/>
      <c r="U18" s="380"/>
      <c r="V18" s="380"/>
      <c r="W18" s="380"/>
      <c r="X18" s="380"/>
      <c r="Y18" s="380"/>
      <c r="Z18" s="380"/>
      <c r="AA18" s="380"/>
      <c r="AB18" s="395"/>
      <c r="AD18" s="152">
        <f>(MAX(1-wg_spell_cost_cap,1-wg_spell_cost_red*ROUND(Construction!BM18/Construction!E18,4))+Constants!$M$45*Techs!AL18)*(B18-Explore!S18*20)*(G18*Constants!$B$72+H18*Constants!$B$73+I18*Constants!$B$74+J18*Constants!$B$76+K18*Constants!$B$75+L18*dwarf_spell_cost+M18*halfling_spell_cost + N18*sylvan_spell_cost + O18*woodelf_spell_cost + P18*kobold_spell_cost + Q18*icekin_spell_cost + R18*firewalker_spell_cost + S18*nox_spell_cost + T18*human_spell_cost + U18*goblin_spell_cost + V18*orc_spell_cost + W18*ants_spell_cost + X18*armada_spell_cost + Y18*lux_spell_cost + Z18*growth_spell_cost + AA18*impgnome_spell_cost + AB18*VLOOKUP(IF(ISNUMBER(MATCH(Overview!$B$14,useless_spell_races,0)),Overview!$B$14,"Other"),Constants!$P$89:$S$102,3,FALSE))</f>
        <v>0</v>
      </c>
      <c r="AE18" s="62">
        <f t="shared" si="25"/>
        <v>0</v>
      </c>
      <c r="AG18" s="635">
        <f t="shared" si="19"/>
        <v>0</v>
      </c>
      <c r="AH18" s="529">
        <f t="shared" si="20"/>
        <v>0</v>
      </c>
      <c r="AI18" s="529">
        <f t="shared" si="21"/>
        <v>0</v>
      </c>
      <c r="AJ18" s="529">
        <f t="shared" si="22"/>
        <v>0</v>
      </c>
      <c r="AK18" s="527">
        <f t="shared" si="23"/>
        <v>0</v>
      </c>
      <c r="AL18" s="529">
        <f t="shared" si="3"/>
        <v>0</v>
      </c>
      <c r="AM18" s="529">
        <f t="shared" si="4"/>
        <v>0</v>
      </c>
      <c r="AN18" s="529">
        <f t="shared" si="5"/>
        <v>0</v>
      </c>
      <c r="AO18" s="529">
        <f t="shared" si="6"/>
        <v>0</v>
      </c>
      <c r="AP18" s="529">
        <f t="shared" si="7"/>
        <v>0</v>
      </c>
      <c r="AQ18" s="529">
        <f t="shared" si="8"/>
        <v>0</v>
      </c>
      <c r="AR18" s="958">
        <f t="shared" si="9"/>
        <v>0</v>
      </c>
      <c r="AS18" s="958">
        <f t="shared" si="10"/>
        <v>0</v>
      </c>
      <c r="AT18" s="958">
        <f t="shared" si="11"/>
        <v>0</v>
      </c>
      <c r="AU18" s="958">
        <f t="shared" si="12"/>
        <v>0</v>
      </c>
      <c r="AV18" s="958">
        <f t="shared" si="13"/>
        <v>0</v>
      </c>
      <c r="AW18" s="16">
        <f t="shared" si="14"/>
        <v>0</v>
      </c>
      <c r="AX18" s="16">
        <f t="shared" si="15"/>
        <v>0</v>
      </c>
      <c r="AY18" s="16">
        <f t="shared" si="16"/>
        <v>0</v>
      </c>
      <c r="AZ18" s="16">
        <f t="shared" si="17"/>
        <v>0</v>
      </c>
      <c r="BA18" s="16">
        <f t="shared" si="18"/>
        <v>0</v>
      </c>
      <c r="BB18" s="1382">
        <f>IF(AB18,VLOOKUP(IF(ISNUMBER(MATCH(Overview!$B$14,useless_spell_races,0)),Overview!$B$14,"Other"),Constants!$P$89:$S$102,4,FALSE),IF(BB17&gt;0,BB17-1,0))</f>
        <v>0</v>
      </c>
    </row>
    <row r="19" spans="1:54" s="16" customFormat="1">
      <c r="A19" s="987">
        <f>Rezone!J19</f>
        <v>17</v>
      </c>
      <c r="B19" s="16">
        <f>Construction!E19</f>
        <v>1000</v>
      </c>
      <c r="C19" s="26">
        <f ca="1">Production!K19</f>
        <v>31740</v>
      </c>
      <c r="D19" s="62">
        <f>MIN(1,D18+0.04+ROUNDDOWN(10*Military!BN18,0)+MAX(Techs!AN18,Techs!AW18*3))-AE19</f>
        <v>1</v>
      </c>
      <c r="E19" s="532">
        <f t="shared" si="24"/>
        <v>43692.666666666628</v>
      </c>
      <c r="F19" s="62">
        <f ca="1">Imps!J19</f>
        <v>1.0658868483314905</v>
      </c>
      <c r="G19" s="393"/>
      <c r="H19" s="394"/>
      <c r="I19" s="394"/>
      <c r="J19" s="394"/>
      <c r="K19" s="380"/>
      <c r="L19" s="393"/>
      <c r="M19" s="394"/>
      <c r="N19" s="380"/>
      <c r="O19" s="380"/>
      <c r="P19" s="380"/>
      <c r="Q19" s="380"/>
      <c r="R19" s="380"/>
      <c r="S19" s="380"/>
      <c r="T19" s="380"/>
      <c r="U19" s="380"/>
      <c r="V19" s="380"/>
      <c r="W19" s="380"/>
      <c r="X19" s="380"/>
      <c r="Y19" s="380"/>
      <c r="Z19" s="380"/>
      <c r="AA19" s="380"/>
      <c r="AB19" s="395"/>
      <c r="AD19" s="152">
        <f>(MAX(1-wg_spell_cost_cap,1-wg_spell_cost_red*ROUND(Construction!BM19/Construction!E19,4))+Constants!$M$45*Techs!AL19)*(B19-Explore!S19*20)*(G19*Constants!$B$72+H19*Constants!$B$73+I19*Constants!$B$74+J19*Constants!$B$76+K19*Constants!$B$75+L19*dwarf_spell_cost+M19*halfling_spell_cost + N19*sylvan_spell_cost + O19*woodelf_spell_cost + P19*kobold_spell_cost + Q19*icekin_spell_cost + R19*firewalker_spell_cost + S19*nox_spell_cost + T19*human_spell_cost + U19*goblin_spell_cost + V19*orc_spell_cost + W19*ants_spell_cost + X19*armada_spell_cost + Y19*lux_spell_cost + Z19*growth_spell_cost + AA19*impgnome_spell_cost + AB19*VLOOKUP(IF(ISNUMBER(MATCH(Overview!$B$14,useless_spell_races,0)),Overview!$B$14,"Other"),Constants!$P$89:$S$102,3,FALSE))</f>
        <v>0</v>
      </c>
      <c r="AE19" s="62">
        <f t="shared" si="25"/>
        <v>0</v>
      </c>
      <c r="AG19" s="635">
        <f t="shared" si="19"/>
        <v>0</v>
      </c>
      <c r="AH19" s="529">
        <f t="shared" si="20"/>
        <v>0</v>
      </c>
      <c r="AI19" s="529">
        <f t="shared" si="21"/>
        <v>0</v>
      </c>
      <c r="AJ19" s="529">
        <f t="shared" si="22"/>
        <v>0</v>
      </c>
      <c r="AK19" s="527">
        <f t="shared" si="23"/>
        <v>0</v>
      </c>
      <c r="AL19" s="529">
        <f t="shared" si="3"/>
        <v>0</v>
      </c>
      <c r="AM19" s="529">
        <f t="shared" si="4"/>
        <v>0</v>
      </c>
      <c r="AN19" s="529">
        <f t="shared" si="5"/>
        <v>0</v>
      </c>
      <c r="AO19" s="529">
        <f t="shared" si="6"/>
        <v>0</v>
      </c>
      <c r="AP19" s="529">
        <f t="shared" si="7"/>
        <v>0</v>
      </c>
      <c r="AQ19" s="529">
        <f t="shared" si="8"/>
        <v>0</v>
      </c>
      <c r="AR19" s="958">
        <f t="shared" si="9"/>
        <v>0</v>
      </c>
      <c r="AS19" s="958">
        <f t="shared" si="10"/>
        <v>0</v>
      </c>
      <c r="AT19" s="958">
        <f t="shared" si="11"/>
        <v>0</v>
      </c>
      <c r="AU19" s="958">
        <f t="shared" si="12"/>
        <v>0</v>
      </c>
      <c r="AV19" s="958">
        <f t="shared" si="13"/>
        <v>0</v>
      </c>
      <c r="AW19" s="16">
        <f t="shared" si="14"/>
        <v>0</v>
      </c>
      <c r="AX19" s="16">
        <f t="shared" si="15"/>
        <v>0</v>
      </c>
      <c r="AY19" s="16">
        <f t="shared" si="16"/>
        <v>0</v>
      </c>
      <c r="AZ19" s="16">
        <f t="shared" si="17"/>
        <v>0</v>
      </c>
      <c r="BA19" s="16">
        <f t="shared" si="18"/>
        <v>0</v>
      </c>
      <c r="BB19" s="1382">
        <f>IF(AB19,VLOOKUP(IF(ISNUMBER(MATCH(Overview!$B$14,useless_spell_races,0)),Overview!$B$14,"Other"),Constants!$P$89:$S$102,4,FALSE),IF(BB18&gt;0,BB18-1,0))</f>
        <v>0</v>
      </c>
    </row>
    <row r="20" spans="1:54" s="16" customFormat="1">
      <c r="A20" s="987">
        <f>Rezone!J20</f>
        <v>18</v>
      </c>
      <c r="B20" s="16">
        <f>Construction!E20</f>
        <v>1000</v>
      </c>
      <c r="C20" s="26">
        <f ca="1">Production!K20</f>
        <v>32355</v>
      </c>
      <c r="D20" s="62">
        <f>MIN(1,D19+0.04+ROUNDDOWN(10*Military!BN19,0)+MAX(Techs!AN19,Techs!AW19*3))-AE20</f>
        <v>1</v>
      </c>
      <c r="E20" s="532">
        <f t="shared" si="24"/>
        <v>43692.708333333292</v>
      </c>
      <c r="F20" s="62">
        <f ca="1">Imps!J20</f>
        <v>1.0412451033175134</v>
      </c>
      <c r="G20" s="393"/>
      <c r="H20" s="394"/>
      <c r="I20" s="394"/>
      <c r="J20" s="394"/>
      <c r="K20" s="380"/>
      <c r="L20" s="393"/>
      <c r="M20" s="394"/>
      <c r="N20" s="380"/>
      <c r="O20" s="380"/>
      <c r="P20" s="380"/>
      <c r="Q20" s="380"/>
      <c r="R20" s="380"/>
      <c r="S20" s="380"/>
      <c r="T20" s="380"/>
      <c r="U20" s="380"/>
      <c r="V20" s="380"/>
      <c r="W20" s="380"/>
      <c r="X20" s="380"/>
      <c r="Y20" s="380"/>
      <c r="Z20" s="380"/>
      <c r="AA20" s="380"/>
      <c r="AB20" s="395"/>
      <c r="AD20" s="152">
        <f>(MAX(1-wg_spell_cost_cap,1-wg_spell_cost_red*ROUND(Construction!BM20/Construction!E20,4))+Constants!$M$45*Techs!AL20)*(B20-Explore!S20*20)*(G20*Constants!$B$72+H20*Constants!$B$73+I20*Constants!$B$74+J20*Constants!$B$76+K20*Constants!$B$75+L20*dwarf_spell_cost+M20*halfling_spell_cost + N20*sylvan_spell_cost + O20*woodelf_spell_cost + P20*kobold_spell_cost + Q20*icekin_spell_cost + R20*firewalker_spell_cost + S20*nox_spell_cost + T20*human_spell_cost + U20*goblin_spell_cost + V20*orc_spell_cost + W20*ants_spell_cost + X20*armada_spell_cost + Y20*lux_spell_cost + Z20*growth_spell_cost + AA20*impgnome_spell_cost + AB20*VLOOKUP(IF(ISNUMBER(MATCH(Overview!$B$14,useless_spell_races,0)),Overview!$B$14,"Other"),Constants!$P$89:$S$102,3,FALSE))</f>
        <v>0</v>
      </c>
      <c r="AE20" s="62">
        <f t="shared" si="25"/>
        <v>0</v>
      </c>
      <c r="AG20" s="635">
        <f t="shared" si="19"/>
        <v>0</v>
      </c>
      <c r="AH20" s="529">
        <f t="shared" si="20"/>
        <v>0</v>
      </c>
      <c r="AI20" s="529">
        <f t="shared" si="21"/>
        <v>0</v>
      </c>
      <c r="AJ20" s="529">
        <f t="shared" si="22"/>
        <v>0</v>
      </c>
      <c r="AK20" s="527">
        <f t="shared" si="23"/>
        <v>0</v>
      </c>
      <c r="AL20" s="529">
        <f t="shared" si="3"/>
        <v>0</v>
      </c>
      <c r="AM20" s="529">
        <f t="shared" si="4"/>
        <v>0</v>
      </c>
      <c r="AN20" s="529">
        <f t="shared" si="5"/>
        <v>0</v>
      </c>
      <c r="AO20" s="529">
        <f t="shared" si="6"/>
        <v>0</v>
      </c>
      <c r="AP20" s="529">
        <f t="shared" si="7"/>
        <v>0</v>
      </c>
      <c r="AQ20" s="529">
        <f t="shared" si="8"/>
        <v>0</v>
      </c>
      <c r="AR20" s="958">
        <f t="shared" si="9"/>
        <v>0</v>
      </c>
      <c r="AS20" s="958">
        <f t="shared" si="10"/>
        <v>0</v>
      </c>
      <c r="AT20" s="958">
        <f t="shared" si="11"/>
        <v>0</v>
      </c>
      <c r="AU20" s="958">
        <f t="shared" si="12"/>
        <v>0</v>
      </c>
      <c r="AV20" s="958">
        <f t="shared" si="13"/>
        <v>0</v>
      </c>
      <c r="AW20" s="16">
        <f t="shared" si="14"/>
        <v>0</v>
      </c>
      <c r="AX20" s="16">
        <f t="shared" si="15"/>
        <v>0</v>
      </c>
      <c r="AY20" s="16">
        <f t="shared" si="16"/>
        <v>0</v>
      </c>
      <c r="AZ20" s="16">
        <f t="shared" si="17"/>
        <v>0</v>
      </c>
      <c r="BA20" s="16">
        <f t="shared" si="18"/>
        <v>0</v>
      </c>
      <c r="BB20" s="1382">
        <f>IF(AB20,VLOOKUP(IF(ISNUMBER(MATCH(Overview!$B$14,useless_spell_races,0)),Overview!$B$14,"Other"),Constants!$P$89:$S$102,4,FALSE),IF(BB19&gt;0,BB19-1,0))</f>
        <v>0</v>
      </c>
    </row>
    <row r="21" spans="1:54" s="16" customFormat="1">
      <c r="A21" s="987">
        <f>Rezone!J21</f>
        <v>19</v>
      </c>
      <c r="B21" s="16">
        <f>Construction!E21</f>
        <v>1000</v>
      </c>
      <c r="C21" s="26">
        <f ca="1">Production!K21</f>
        <v>32958</v>
      </c>
      <c r="D21" s="62">
        <f>MIN(1,D20+0.04+ROUNDDOWN(10*Military!BN20,0)+MAX(Techs!AN20,Techs!AW20*3))-AE21</f>
        <v>1</v>
      </c>
      <c r="E21" s="532">
        <f t="shared" si="24"/>
        <v>43692.749999999956</v>
      </c>
      <c r="F21" s="62">
        <f ca="1">Imps!J21</f>
        <v>1.0178354455542351</v>
      </c>
      <c r="G21" s="393"/>
      <c r="H21" s="394"/>
      <c r="I21" s="394"/>
      <c r="J21" s="394"/>
      <c r="K21" s="380"/>
      <c r="L21" s="393"/>
      <c r="M21" s="394"/>
      <c r="N21" s="380"/>
      <c r="O21" s="380"/>
      <c r="P21" s="380"/>
      <c r="Q21" s="380"/>
      <c r="R21" s="380"/>
      <c r="S21" s="380"/>
      <c r="T21" s="380"/>
      <c r="U21" s="380"/>
      <c r="V21" s="380"/>
      <c r="W21" s="380"/>
      <c r="X21" s="380"/>
      <c r="Y21" s="380"/>
      <c r="Z21" s="380"/>
      <c r="AA21" s="380"/>
      <c r="AB21" s="395"/>
      <c r="AD21" s="152">
        <f>(MAX(1-wg_spell_cost_cap,1-wg_spell_cost_red*ROUND(Construction!BM21/Construction!E21,4))+Constants!$M$45*Techs!AL21)*(B21-Explore!S21*20)*(G21*Constants!$B$72+H21*Constants!$B$73+I21*Constants!$B$74+J21*Constants!$B$76+K21*Constants!$B$75+L21*dwarf_spell_cost+M21*halfling_spell_cost + N21*sylvan_spell_cost + O21*woodelf_spell_cost + P21*kobold_spell_cost + Q21*icekin_spell_cost + R21*firewalker_spell_cost + S21*nox_spell_cost + T21*human_spell_cost + U21*goblin_spell_cost + V21*orc_spell_cost + W21*ants_spell_cost + X21*armada_spell_cost + Y21*lux_spell_cost + Z21*growth_spell_cost + AA21*impgnome_spell_cost + AB21*VLOOKUP(IF(ISNUMBER(MATCH(Overview!$B$14,useless_spell_races,0)),Overview!$B$14,"Other"),Constants!$P$89:$S$102,3,FALSE))</f>
        <v>0</v>
      </c>
      <c r="AE21" s="62">
        <f t="shared" si="25"/>
        <v>0</v>
      </c>
      <c r="AG21" s="635">
        <f t="shared" si="19"/>
        <v>0</v>
      </c>
      <c r="AH21" s="529">
        <f t="shared" si="20"/>
        <v>0</v>
      </c>
      <c r="AI21" s="529">
        <f t="shared" si="21"/>
        <v>0</v>
      </c>
      <c r="AJ21" s="529">
        <f t="shared" si="22"/>
        <v>0</v>
      </c>
      <c r="AK21" s="527">
        <f t="shared" si="23"/>
        <v>0</v>
      </c>
      <c r="AL21" s="529">
        <f t="shared" si="3"/>
        <v>0</v>
      </c>
      <c r="AM21" s="529">
        <f t="shared" si="4"/>
        <v>0</v>
      </c>
      <c r="AN21" s="529">
        <f t="shared" si="5"/>
        <v>0</v>
      </c>
      <c r="AO21" s="529">
        <f t="shared" si="6"/>
        <v>0</v>
      </c>
      <c r="AP21" s="529">
        <f t="shared" si="7"/>
        <v>0</v>
      </c>
      <c r="AQ21" s="529">
        <f t="shared" si="8"/>
        <v>0</v>
      </c>
      <c r="AR21" s="958">
        <f t="shared" si="9"/>
        <v>0</v>
      </c>
      <c r="AS21" s="958">
        <f t="shared" si="10"/>
        <v>0</v>
      </c>
      <c r="AT21" s="958">
        <f t="shared" si="11"/>
        <v>0</v>
      </c>
      <c r="AU21" s="958">
        <f t="shared" si="12"/>
        <v>0</v>
      </c>
      <c r="AV21" s="958">
        <f t="shared" si="13"/>
        <v>0</v>
      </c>
      <c r="AW21" s="16">
        <f t="shared" si="14"/>
        <v>0</v>
      </c>
      <c r="AX21" s="16">
        <f t="shared" si="15"/>
        <v>0</v>
      </c>
      <c r="AY21" s="16">
        <f t="shared" si="16"/>
        <v>0</v>
      </c>
      <c r="AZ21" s="16">
        <f t="shared" si="17"/>
        <v>0</v>
      </c>
      <c r="BA21" s="16">
        <f t="shared" si="18"/>
        <v>0</v>
      </c>
      <c r="BB21" s="1382">
        <f>IF(AB21,VLOOKUP(IF(ISNUMBER(MATCH(Overview!$B$14,useless_spell_races,0)),Overview!$B$14,"Other"),Constants!$P$89:$S$102,4,FALSE),IF(BB20&gt;0,BB20-1,0))</f>
        <v>0</v>
      </c>
    </row>
    <row r="22" spans="1:54" s="16" customFormat="1">
      <c r="A22" s="987">
        <f>Rezone!J22</f>
        <v>20</v>
      </c>
      <c r="B22" s="16">
        <f>Construction!E22</f>
        <v>1000</v>
      </c>
      <c r="C22" s="26">
        <f ca="1">Production!K22</f>
        <v>33549</v>
      </c>
      <c r="D22" s="62">
        <f>MIN(1,D21+0.04+ROUNDDOWN(10*Military!BN21,0)+MAX(Techs!AN21,Techs!AW21*3))-AE22</f>
        <v>1</v>
      </c>
      <c r="E22" s="532">
        <f t="shared" si="24"/>
        <v>43692.791666666621</v>
      </c>
      <c r="F22" s="62">
        <f ca="1">Imps!J22</f>
        <v>1</v>
      </c>
      <c r="G22" s="393"/>
      <c r="H22" s="394"/>
      <c r="I22" s="394"/>
      <c r="J22" s="394"/>
      <c r="K22" s="380"/>
      <c r="L22" s="393"/>
      <c r="M22" s="394"/>
      <c r="N22" s="380"/>
      <c r="O22" s="380"/>
      <c r="P22" s="380"/>
      <c r="Q22" s="380"/>
      <c r="R22" s="380"/>
      <c r="S22" s="380"/>
      <c r="T22" s="380"/>
      <c r="U22" s="380"/>
      <c r="V22" s="380"/>
      <c r="W22" s="380"/>
      <c r="X22" s="380"/>
      <c r="Y22" s="380"/>
      <c r="Z22" s="380"/>
      <c r="AA22" s="380"/>
      <c r="AB22" s="395"/>
      <c r="AD22" s="152">
        <f>(MAX(1-wg_spell_cost_cap,1-wg_spell_cost_red*ROUND(Construction!BM22/Construction!E22,4))+Constants!$M$45*Techs!AL22)*(B22-Explore!S22*20)*(G22*Constants!$B$72+H22*Constants!$B$73+I22*Constants!$B$74+J22*Constants!$B$76+K22*Constants!$B$75+L22*dwarf_spell_cost+M22*halfling_spell_cost + N22*sylvan_spell_cost + O22*woodelf_spell_cost + P22*kobold_spell_cost + Q22*icekin_spell_cost + R22*firewalker_spell_cost + S22*nox_spell_cost + T22*human_spell_cost + U22*goblin_spell_cost + V22*orc_spell_cost + W22*ants_spell_cost + X22*armada_spell_cost + Y22*lux_spell_cost + Z22*growth_spell_cost + AA22*impgnome_spell_cost + AB22*VLOOKUP(IF(ISNUMBER(MATCH(Overview!$B$14,useless_spell_races,0)),Overview!$B$14,"Other"),Constants!$P$89:$S$102,3,FALSE))</f>
        <v>0</v>
      </c>
      <c r="AE22" s="62">
        <f t="shared" si="25"/>
        <v>0</v>
      </c>
      <c r="AG22" s="635">
        <f t="shared" si="19"/>
        <v>0</v>
      </c>
      <c r="AH22" s="529">
        <f t="shared" si="20"/>
        <v>0</v>
      </c>
      <c r="AI22" s="529">
        <f t="shared" si="21"/>
        <v>0</v>
      </c>
      <c r="AJ22" s="529">
        <f t="shared" si="22"/>
        <v>0</v>
      </c>
      <c r="AK22" s="527">
        <f t="shared" si="23"/>
        <v>0</v>
      </c>
      <c r="AL22" s="529">
        <f t="shared" si="3"/>
        <v>0</v>
      </c>
      <c r="AM22" s="529">
        <f t="shared" si="4"/>
        <v>0</v>
      </c>
      <c r="AN22" s="529">
        <f t="shared" si="5"/>
        <v>0</v>
      </c>
      <c r="AO22" s="529">
        <f t="shared" si="6"/>
        <v>0</v>
      </c>
      <c r="AP22" s="529">
        <f t="shared" si="7"/>
        <v>0</v>
      </c>
      <c r="AQ22" s="529">
        <f t="shared" si="8"/>
        <v>0</v>
      </c>
      <c r="AR22" s="958">
        <f t="shared" si="9"/>
        <v>0</v>
      </c>
      <c r="AS22" s="958">
        <f t="shared" si="10"/>
        <v>0</v>
      </c>
      <c r="AT22" s="958">
        <f t="shared" si="11"/>
        <v>0</v>
      </c>
      <c r="AU22" s="958">
        <f t="shared" si="12"/>
        <v>0</v>
      </c>
      <c r="AV22" s="958">
        <f t="shared" si="13"/>
        <v>0</v>
      </c>
      <c r="AW22" s="16">
        <f t="shared" si="14"/>
        <v>0</v>
      </c>
      <c r="AX22" s="16">
        <f t="shared" si="15"/>
        <v>0</v>
      </c>
      <c r="AY22" s="16">
        <f t="shared" si="16"/>
        <v>0</v>
      </c>
      <c r="AZ22" s="16">
        <f t="shared" si="17"/>
        <v>0</v>
      </c>
      <c r="BA22" s="16">
        <f t="shared" si="18"/>
        <v>0</v>
      </c>
      <c r="BB22" s="1382">
        <f>IF(AB22,VLOOKUP(IF(ISNUMBER(MATCH(Overview!$B$14,useless_spell_races,0)),Overview!$B$14,"Other"),Constants!$P$89:$S$102,4,FALSE),IF(BB21&gt;0,BB21-1,0))</f>
        <v>0</v>
      </c>
    </row>
    <row r="23" spans="1:54" s="16" customFormat="1">
      <c r="A23" s="987">
        <f>Rezone!J23</f>
        <v>21</v>
      </c>
      <c r="B23" s="16">
        <f>Construction!E23</f>
        <v>1000</v>
      </c>
      <c r="C23" s="26">
        <f ca="1">Production!K23</f>
        <v>34128</v>
      </c>
      <c r="D23" s="62">
        <f>MIN(1,D22+0.04+ROUNDDOWN(10*Military!BN22,0)+MAX(Techs!AN22,Techs!AW22*3))-AE23</f>
        <v>1</v>
      </c>
      <c r="E23" s="532">
        <f t="shared" si="24"/>
        <v>43692.833333333285</v>
      </c>
      <c r="F23" s="62">
        <f ca="1">Imps!J23</f>
        <v>1</v>
      </c>
      <c r="G23" s="393"/>
      <c r="H23" s="394"/>
      <c r="I23" s="394"/>
      <c r="J23" s="394"/>
      <c r="K23" s="380"/>
      <c r="L23" s="393"/>
      <c r="M23" s="394"/>
      <c r="N23" s="380"/>
      <c r="O23" s="380"/>
      <c r="P23" s="380"/>
      <c r="Q23" s="380"/>
      <c r="R23" s="380"/>
      <c r="S23" s="380"/>
      <c r="T23" s="380"/>
      <c r="U23" s="380"/>
      <c r="V23" s="380"/>
      <c r="W23" s="380"/>
      <c r="X23" s="380"/>
      <c r="Y23" s="380"/>
      <c r="Z23" s="380"/>
      <c r="AA23" s="380"/>
      <c r="AB23" s="395"/>
      <c r="AD23" s="152">
        <f>(MAX(1-wg_spell_cost_cap,1-wg_spell_cost_red*ROUND(Construction!BM23/Construction!E23,4))+Constants!$M$45*Techs!AL23)*(B23-Explore!S23*20)*(G23*Constants!$B$72+H23*Constants!$B$73+I23*Constants!$B$74+J23*Constants!$B$76+K23*Constants!$B$75+L23*dwarf_spell_cost+M23*halfling_spell_cost + N23*sylvan_spell_cost + O23*woodelf_spell_cost + P23*kobold_spell_cost + Q23*icekin_spell_cost + R23*firewalker_spell_cost + S23*nox_spell_cost + T23*human_spell_cost + U23*goblin_spell_cost + V23*orc_spell_cost + W23*ants_spell_cost + X23*armada_spell_cost + Y23*lux_spell_cost + Z23*growth_spell_cost + AA23*impgnome_spell_cost + AB23*VLOOKUP(IF(ISNUMBER(MATCH(Overview!$B$14,useless_spell_races,0)),Overview!$B$14,"Other"),Constants!$P$89:$S$102,3,FALSE))</f>
        <v>0</v>
      </c>
      <c r="AE23" s="62">
        <f t="shared" si="25"/>
        <v>0</v>
      </c>
      <c r="AG23" s="635">
        <f t="shared" si="19"/>
        <v>0</v>
      </c>
      <c r="AH23" s="529">
        <f t="shared" si="20"/>
        <v>0</v>
      </c>
      <c r="AI23" s="529">
        <f t="shared" si="21"/>
        <v>0</v>
      </c>
      <c r="AJ23" s="529">
        <f t="shared" si="22"/>
        <v>0</v>
      </c>
      <c r="AK23" s="527">
        <f t="shared" si="23"/>
        <v>0</v>
      </c>
      <c r="AL23" s="529">
        <f t="shared" si="3"/>
        <v>0</v>
      </c>
      <c r="AM23" s="529">
        <f t="shared" si="4"/>
        <v>0</v>
      </c>
      <c r="AN23" s="529">
        <f t="shared" si="5"/>
        <v>0</v>
      </c>
      <c r="AO23" s="529">
        <f t="shared" si="6"/>
        <v>0</v>
      </c>
      <c r="AP23" s="529">
        <f t="shared" si="7"/>
        <v>0</v>
      </c>
      <c r="AQ23" s="529">
        <f t="shared" si="8"/>
        <v>0</v>
      </c>
      <c r="AR23" s="958">
        <f t="shared" si="9"/>
        <v>0</v>
      </c>
      <c r="AS23" s="958">
        <f t="shared" si="10"/>
        <v>0</v>
      </c>
      <c r="AT23" s="958">
        <f t="shared" si="11"/>
        <v>0</v>
      </c>
      <c r="AU23" s="958">
        <f t="shared" si="12"/>
        <v>0</v>
      </c>
      <c r="AV23" s="958">
        <f t="shared" si="13"/>
        <v>0</v>
      </c>
      <c r="AW23" s="16">
        <f t="shared" si="14"/>
        <v>0</v>
      </c>
      <c r="AX23" s="16">
        <f t="shared" si="15"/>
        <v>0</v>
      </c>
      <c r="AY23" s="16">
        <f t="shared" si="16"/>
        <v>0</v>
      </c>
      <c r="AZ23" s="16">
        <f t="shared" si="17"/>
        <v>0</v>
      </c>
      <c r="BA23" s="16">
        <f t="shared" si="18"/>
        <v>0</v>
      </c>
      <c r="BB23" s="1382">
        <f>IF(AB23,VLOOKUP(IF(ISNUMBER(MATCH(Overview!$B$14,useless_spell_races,0)),Overview!$B$14,"Other"),Constants!$P$89:$S$102,4,FALSE),IF(BB22&gt;0,BB22-1,0))</f>
        <v>0</v>
      </c>
    </row>
    <row r="24" spans="1:54" s="16" customFormat="1">
      <c r="A24" s="987">
        <f>Rezone!J24</f>
        <v>22</v>
      </c>
      <c r="B24" s="16">
        <f>Construction!E24</f>
        <v>1000</v>
      </c>
      <c r="C24" s="26">
        <f ca="1">Production!K24</f>
        <v>34695</v>
      </c>
      <c r="D24" s="62">
        <f>MIN(1,D23+0.04+ROUNDDOWN(10*Military!BN23,0)+MAX(Techs!AN23,Techs!AW23*3))-AE24</f>
        <v>1</v>
      </c>
      <c r="E24" s="532">
        <f t="shared" si="24"/>
        <v>43692.874999999949</v>
      </c>
      <c r="F24" s="62">
        <f ca="1">Imps!J24</f>
        <v>1</v>
      </c>
      <c r="G24" s="393"/>
      <c r="H24" s="394"/>
      <c r="I24" s="394"/>
      <c r="J24" s="394"/>
      <c r="K24" s="380"/>
      <c r="L24" s="393"/>
      <c r="M24" s="394"/>
      <c r="N24" s="380"/>
      <c r="O24" s="380"/>
      <c r="P24" s="380"/>
      <c r="Q24" s="380"/>
      <c r="R24" s="380"/>
      <c r="S24" s="380"/>
      <c r="T24" s="380"/>
      <c r="U24" s="380"/>
      <c r="V24" s="380"/>
      <c r="W24" s="380"/>
      <c r="X24" s="380"/>
      <c r="Y24" s="380"/>
      <c r="Z24" s="380"/>
      <c r="AA24" s="380"/>
      <c r="AB24" s="395"/>
      <c r="AD24" s="152">
        <f>(MAX(1-wg_spell_cost_cap,1-wg_spell_cost_red*ROUND(Construction!BM24/Construction!E24,4))+Constants!$M$45*Techs!AL24)*(B24-Explore!S24*20)*(G24*Constants!$B$72+H24*Constants!$B$73+I24*Constants!$B$74+J24*Constants!$B$76+K24*Constants!$B$75+L24*dwarf_spell_cost+M24*halfling_spell_cost + N24*sylvan_spell_cost + O24*woodelf_spell_cost + P24*kobold_spell_cost + Q24*icekin_spell_cost + R24*firewalker_spell_cost + S24*nox_spell_cost + T24*human_spell_cost + U24*goblin_spell_cost + V24*orc_spell_cost + W24*ants_spell_cost + X24*armada_spell_cost + Y24*lux_spell_cost + Z24*growth_spell_cost + AA24*impgnome_spell_cost + AB24*VLOOKUP(IF(ISNUMBER(MATCH(Overview!$B$14,useless_spell_races,0)),Overview!$B$14,"Other"),Constants!$P$89:$S$102,3,FALSE))</f>
        <v>0</v>
      </c>
      <c r="AE24" s="62">
        <f t="shared" si="25"/>
        <v>0</v>
      </c>
      <c r="AG24" s="635">
        <f t="shared" si="19"/>
        <v>0</v>
      </c>
      <c r="AH24" s="529">
        <f t="shared" si="20"/>
        <v>0</v>
      </c>
      <c r="AI24" s="529">
        <f t="shared" si="21"/>
        <v>0</v>
      </c>
      <c r="AJ24" s="529">
        <f t="shared" si="22"/>
        <v>0</v>
      </c>
      <c r="AK24" s="527">
        <f t="shared" si="23"/>
        <v>0</v>
      </c>
      <c r="AL24" s="529">
        <f t="shared" si="3"/>
        <v>0</v>
      </c>
      <c r="AM24" s="529">
        <f t="shared" si="4"/>
        <v>0</v>
      </c>
      <c r="AN24" s="529">
        <f t="shared" si="5"/>
        <v>0</v>
      </c>
      <c r="AO24" s="529">
        <f t="shared" si="6"/>
        <v>0</v>
      </c>
      <c r="AP24" s="529">
        <f t="shared" si="7"/>
        <v>0</v>
      </c>
      <c r="AQ24" s="529">
        <f t="shared" si="8"/>
        <v>0</v>
      </c>
      <c r="AR24" s="958">
        <f t="shared" si="9"/>
        <v>0</v>
      </c>
      <c r="AS24" s="958">
        <f t="shared" si="10"/>
        <v>0</v>
      </c>
      <c r="AT24" s="958">
        <f t="shared" si="11"/>
        <v>0</v>
      </c>
      <c r="AU24" s="958">
        <f t="shared" si="12"/>
        <v>0</v>
      </c>
      <c r="AV24" s="958">
        <f t="shared" si="13"/>
        <v>0</v>
      </c>
      <c r="AW24" s="16">
        <f t="shared" si="14"/>
        <v>0</v>
      </c>
      <c r="AX24" s="16">
        <f t="shared" si="15"/>
        <v>0</v>
      </c>
      <c r="AY24" s="16">
        <f t="shared" si="16"/>
        <v>0</v>
      </c>
      <c r="AZ24" s="16">
        <f t="shared" si="17"/>
        <v>0</v>
      </c>
      <c r="BA24" s="16">
        <f t="shared" si="18"/>
        <v>0</v>
      </c>
      <c r="BB24" s="1382">
        <f>IF(AB24,VLOOKUP(IF(ISNUMBER(MATCH(Overview!$B$14,useless_spell_races,0)),Overview!$B$14,"Other"),Constants!$P$89:$S$102,4,FALSE),IF(BB23&gt;0,BB23-1,0))</f>
        <v>0</v>
      </c>
    </row>
    <row r="25" spans="1:54" s="16" customFormat="1">
      <c r="A25" s="987">
        <f>Rezone!J25</f>
        <v>23</v>
      </c>
      <c r="B25" s="16">
        <f>Construction!E25</f>
        <v>1000</v>
      </c>
      <c r="C25" s="26">
        <f ca="1">Production!K25</f>
        <v>35251</v>
      </c>
      <c r="D25" s="62">
        <f>MIN(1,D24+0.04+ROUNDDOWN(10*Military!BN24,0)+MAX(Techs!AN24,Techs!AW24*3))-AE25</f>
        <v>1</v>
      </c>
      <c r="E25" s="532">
        <f t="shared" si="24"/>
        <v>43692.916666666613</v>
      </c>
      <c r="F25" s="62">
        <f ca="1">Imps!J25</f>
        <v>1</v>
      </c>
      <c r="G25" s="393"/>
      <c r="H25" s="394"/>
      <c r="I25" s="394"/>
      <c r="J25" s="394"/>
      <c r="K25" s="380"/>
      <c r="L25" s="393"/>
      <c r="M25" s="394"/>
      <c r="N25" s="380"/>
      <c r="O25" s="380"/>
      <c r="P25" s="380"/>
      <c r="Q25" s="380"/>
      <c r="R25" s="380"/>
      <c r="S25" s="380"/>
      <c r="T25" s="380"/>
      <c r="U25" s="380"/>
      <c r="V25" s="380"/>
      <c r="W25" s="380"/>
      <c r="X25" s="380"/>
      <c r="Y25" s="380"/>
      <c r="Z25" s="380"/>
      <c r="AA25" s="380"/>
      <c r="AB25" s="395"/>
      <c r="AD25" s="152">
        <f>(MAX(1-wg_spell_cost_cap,1-wg_spell_cost_red*ROUND(Construction!BM25/Construction!E25,4))+Constants!$M$45*Techs!AL25)*(B25-Explore!S25*20)*(G25*Constants!$B$72+H25*Constants!$B$73+I25*Constants!$B$74+J25*Constants!$B$76+K25*Constants!$B$75+L25*dwarf_spell_cost+M25*halfling_spell_cost + N25*sylvan_spell_cost + O25*woodelf_spell_cost + P25*kobold_spell_cost + Q25*icekin_spell_cost + R25*firewalker_spell_cost + S25*nox_spell_cost + T25*human_spell_cost + U25*goblin_spell_cost + V25*orc_spell_cost + W25*ants_spell_cost + X25*armada_spell_cost + Y25*lux_spell_cost + Z25*growth_spell_cost + AA25*impgnome_spell_cost + AB25*VLOOKUP(IF(ISNUMBER(MATCH(Overview!$B$14,useless_spell_races,0)),Overview!$B$14,"Other"),Constants!$P$89:$S$102,3,FALSE))</f>
        <v>0</v>
      </c>
      <c r="AE25" s="62">
        <f t="shared" si="25"/>
        <v>0</v>
      </c>
      <c r="AG25" s="635">
        <f t="shared" si="19"/>
        <v>0</v>
      </c>
      <c r="AH25" s="529">
        <f t="shared" si="20"/>
        <v>0</v>
      </c>
      <c r="AI25" s="529">
        <f t="shared" si="21"/>
        <v>0</v>
      </c>
      <c r="AJ25" s="529">
        <f t="shared" si="22"/>
        <v>0</v>
      </c>
      <c r="AK25" s="527">
        <f t="shared" si="23"/>
        <v>0</v>
      </c>
      <c r="AL25" s="529">
        <f t="shared" si="3"/>
        <v>0</v>
      </c>
      <c r="AM25" s="529">
        <f t="shared" si="4"/>
        <v>0</v>
      </c>
      <c r="AN25" s="529">
        <f t="shared" si="5"/>
        <v>0</v>
      </c>
      <c r="AO25" s="529">
        <f t="shared" si="6"/>
        <v>0</v>
      </c>
      <c r="AP25" s="529">
        <f t="shared" si="7"/>
        <v>0</v>
      </c>
      <c r="AQ25" s="529">
        <f t="shared" si="8"/>
        <v>0</v>
      </c>
      <c r="AR25" s="958">
        <f t="shared" si="9"/>
        <v>0</v>
      </c>
      <c r="AS25" s="958">
        <f t="shared" si="10"/>
        <v>0</v>
      </c>
      <c r="AT25" s="958">
        <f t="shared" si="11"/>
        <v>0</v>
      </c>
      <c r="AU25" s="958">
        <f t="shared" si="12"/>
        <v>0</v>
      </c>
      <c r="AV25" s="958">
        <f t="shared" si="13"/>
        <v>0</v>
      </c>
      <c r="AW25" s="16">
        <f t="shared" si="14"/>
        <v>0</v>
      </c>
      <c r="AX25" s="16">
        <f t="shared" si="15"/>
        <v>0</v>
      </c>
      <c r="AY25" s="16">
        <f t="shared" si="16"/>
        <v>0</v>
      </c>
      <c r="AZ25" s="16">
        <f t="shared" si="17"/>
        <v>0</v>
      </c>
      <c r="BA25" s="16">
        <f t="shared" si="18"/>
        <v>0</v>
      </c>
      <c r="BB25" s="1382">
        <f>IF(AB25,VLOOKUP(IF(ISNUMBER(MATCH(Overview!$B$14,useless_spell_races,0)),Overview!$B$14,"Other"),Constants!$P$89:$S$102,4,FALSE),IF(BB24&gt;0,BB24-1,0))</f>
        <v>0</v>
      </c>
    </row>
    <row r="26" spans="1:54" s="170" customFormat="1" ht="13.5" thickBot="1">
      <c r="A26" s="986">
        <f>Rezone!J26</f>
        <v>24</v>
      </c>
      <c r="B26" s="170">
        <f>Construction!E26</f>
        <v>1000</v>
      </c>
      <c r="C26" s="164">
        <f ca="1">Production!K26</f>
        <v>35796</v>
      </c>
      <c r="D26" s="193">
        <f>MIN(1,D25+0.04+ROUNDDOWN(10*Military!BN25,0)+MAX(Techs!AN25,Techs!AW25*3))-AE26</f>
        <v>1</v>
      </c>
      <c r="E26" s="532">
        <f t="shared" si="24"/>
        <v>43692.958333333278</v>
      </c>
      <c r="F26" s="193">
        <f ca="1">Imps!J26</f>
        <v>1</v>
      </c>
      <c r="G26" s="384"/>
      <c r="H26" s="385"/>
      <c r="I26" s="385"/>
      <c r="J26" s="385"/>
      <c r="K26" s="377"/>
      <c r="L26" s="384"/>
      <c r="M26" s="385"/>
      <c r="N26" s="377"/>
      <c r="O26" s="377"/>
      <c r="P26" s="377"/>
      <c r="Q26" s="377"/>
      <c r="R26" s="377"/>
      <c r="S26" s="377"/>
      <c r="T26" s="377"/>
      <c r="U26" s="377"/>
      <c r="V26" s="377"/>
      <c r="W26" s="377"/>
      <c r="X26" s="377"/>
      <c r="Y26" s="377"/>
      <c r="Z26" s="377"/>
      <c r="AA26" s="377"/>
      <c r="AB26" s="386"/>
      <c r="AD26" s="152">
        <f>(MAX(1-wg_spell_cost_cap,1-wg_spell_cost_red*ROUND(Construction!BM26/Construction!E26,4))+Constants!$M$45*Techs!AL26)*(B26-Explore!S26*20)*(G26*Constants!$B$72+H26*Constants!$B$73+I26*Constants!$B$74+J26*Constants!$B$76+K26*Constants!$B$75+L26*dwarf_spell_cost+M26*halfling_spell_cost + N26*sylvan_spell_cost + O26*woodelf_spell_cost + P26*kobold_spell_cost + Q26*icekin_spell_cost + R26*firewalker_spell_cost + S26*nox_spell_cost + T26*human_spell_cost + U26*goblin_spell_cost + V26*orc_spell_cost + W26*ants_spell_cost + X26*armada_spell_cost + Y26*lux_spell_cost + Z26*growth_spell_cost + AA26*impgnome_spell_cost + AB26*VLOOKUP(IF(ISNUMBER(MATCH(Overview!$B$14,useless_spell_races,0)),Overview!$B$14,"Other"),Constants!$P$89:$S$102,3,FALSE))</f>
        <v>0</v>
      </c>
      <c r="AE26" s="193">
        <f t="shared" si="25"/>
        <v>0</v>
      </c>
      <c r="AG26" s="634">
        <f t="shared" si="19"/>
        <v>0</v>
      </c>
      <c r="AH26" s="629">
        <f t="shared" si="20"/>
        <v>0</v>
      </c>
      <c r="AI26" s="629">
        <f t="shared" si="21"/>
        <v>0</v>
      </c>
      <c r="AJ26" s="629">
        <f t="shared" si="22"/>
        <v>0</v>
      </c>
      <c r="AK26" s="548">
        <f t="shared" si="23"/>
        <v>0</v>
      </c>
      <c r="AL26" s="629">
        <f t="shared" si="3"/>
        <v>0</v>
      </c>
      <c r="AM26" s="629">
        <f t="shared" si="4"/>
        <v>0</v>
      </c>
      <c r="AN26" s="629">
        <f t="shared" si="5"/>
        <v>0</v>
      </c>
      <c r="AO26" s="629">
        <f t="shared" si="6"/>
        <v>0</v>
      </c>
      <c r="AP26" s="629">
        <f t="shared" si="7"/>
        <v>0</v>
      </c>
      <c r="AQ26" s="629">
        <f t="shared" si="8"/>
        <v>0</v>
      </c>
      <c r="AR26" s="957">
        <f t="shared" si="9"/>
        <v>0</v>
      </c>
      <c r="AS26" s="957">
        <f t="shared" si="10"/>
        <v>0</v>
      </c>
      <c r="AT26" s="957">
        <f t="shared" si="11"/>
        <v>0</v>
      </c>
      <c r="AU26" s="957">
        <f t="shared" si="12"/>
        <v>0</v>
      </c>
      <c r="AV26" s="957">
        <f t="shared" si="13"/>
        <v>0</v>
      </c>
      <c r="AW26" s="170">
        <f t="shared" si="14"/>
        <v>0</v>
      </c>
      <c r="AX26" s="170">
        <f t="shared" si="15"/>
        <v>0</v>
      </c>
      <c r="AY26" s="170">
        <f t="shared" si="16"/>
        <v>0</v>
      </c>
      <c r="AZ26" s="170">
        <f t="shared" si="17"/>
        <v>0</v>
      </c>
      <c r="BA26" s="170">
        <f t="shared" si="18"/>
        <v>0</v>
      </c>
      <c r="BB26" s="1381">
        <f>IF(AB26,VLOOKUP(IF(ISNUMBER(MATCH(Overview!$B$14,useless_spell_races,0)),Overview!$B$14,"Other"),Constants!$P$89:$S$102,4,FALSE),IF(BB25&gt;0,BB25-1,0))</f>
        <v>0</v>
      </c>
    </row>
    <row r="27" spans="1:54" s="1210" customFormat="1" ht="14.25" thickTop="1" thickBot="1">
      <c r="A27" s="1197">
        <f>Rezone!J27</f>
        <v>25</v>
      </c>
      <c r="B27" s="1210">
        <f>Construction!E27</f>
        <v>1000</v>
      </c>
      <c r="C27" s="1200">
        <f ca="1">Production!K27</f>
        <v>36330</v>
      </c>
      <c r="D27" s="1217">
        <f>MIN(1,D26+0.04+ROUNDDOWN(10*Military!BN26,0)+MAX(Techs!AN26,Techs!AW26*3))-AE27</f>
        <v>1</v>
      </c>
      <c r="E27" s="1234">
        <f t="shared" si="24"/>
        <v>43692.999999999942</v>
      </c>
      <c r="F27" s="1217">
        <f ca="1">Imps!J27</f>
        <v>1</v>
      </c>
      <c r="G27" s="1257"/>
      <c r="H27" s="1258"/>
      <c r="I27" s="1258"/>
      <c r="J27" s="1258"/>
      <c r="K27" s="1204"/>
      <c r="L27" s="1257"/>
      <c r="M27" s="1258"/>
      <c r="N27" s="1204"/>
      <c r="O27" s="1204"/>
      <c r="P27" s="1204"/>
      <c r="Q27" s="1204"/>
      <c r="R27" s="1204"/>
      <c r="S27" s="1204"/>
      <c r="T27" s="1204"/>
      <c r="U27" s="1204"/>
      <c r="V27" s="1204"/>
      <c r="W27" s="1204"/>
      <c r="X27" s="1204"/>
      <c r="Y27" s="1204"/>
      <c r="Z27" s="1204"/>
      <c r="AA27" s="1204"/>
      <c r="AB27" s="1259"/>
      <c r="AD27" s="1199">
        <f>(MAX(1-wg_spell_cost_cap,1-wg_spell_cost_red*ROUND(Construction!BM27/Construction!E27,4))+Constants!$M$45*Techs!AL27)*(B27-Explore!S27*20)*(G27*Constants!$B$72+H27*Constants!$B$73+I27*Constants!$B$74+J27*Constants!$B$76+K27*Constants!$B$75+L27*dwarf_spell_cost+M27*halfling_spell_cost + N27*sylvan_spell_cost + O27*woodelf_spell_cost + P27*kobold_spell_cost + Q27*icekin_spell_cost + R27*firewalker_spell_cost + S27*nox_spell_cost + T27*human_spell_cost + U27*goblin_spell_cost + V27*orc_spell_cost + W27*ants_spell_cost + X27*armada_spell_cost + Y27*lux_spell_cost + Z27*growth_spell_cost + AA27*impgnome_spell_cost + AB27*VLOOKUP(IF(ISNUMBER(MATCH(Overview!$B$14,useless_spell_races,0)),Overview!$B$14,"Other"),Constants!$P$89:$S$102,3,FALSE))</f>
        <v>0</v>
      </c>
      <c r="AE27" s="1217">
        <f t="shared" si="25"/>
        <v>0</v>
      </c>
      <c r="AG27" s="1204">
        <f t="shared" si="19"/>
        <v>0</v>
      </c>
      <c r="AH27" s="1245">
        <f t="shared" si="20"/>
        <v>0</v>
      </c>
      <c r="AI27" s="1245">
        <f t="shared" si="21"/>
        <v>0</v>
      </c>
      <c r="AJ27" s="1245">
        <f t="shared" si="22"/>
        <v>0</v>
      </c>
      <c r="AK27" s="1235">
        <f t="shared" si="23"/>
        <v>0</v>
      </c>
      <c r="AL27" s="1245">
        <f t="shared" si="3"/>
        <v>0</v>
      </c>
      <c r="AM27" s="1245">
        <f t="shared" si="4"/>
        <v>0</v>
      </c>
      <c r="AN27" s="1245">
        <f t="shared" si="5"/>
        <v>0</v>
      </c>
      <c r="AO27" s="1245">
        <f t="shared" si="6"/>
        <v>0</v>
      </c>
      <c r="AP27" s="1245">
        <f t="shared" si="7"/>
        <v>0</v>
      </c>
      <c r="AQ27" s="1245">
        <f t="shared" si="8"/>
        <v>0</v>
      </c>
      <c r="AR27" s="1245">
        <f t="shared" si="9"/>
        <v>0</v>
      </c>
      <c r="AS27" s="1245">
        <f t="shared" si="10"/>
        <v>0</v>
      </c>
      <c r="AT27" s="1245">
        <f t="shared" si="11"/>
        <v>0</v>
      </c>
      <c r="AU27" s="1245">
        <f t="shared" si="12"/>
        <v>0</v>
      </c>
      <c r="AV27" s="1245">
        <f t="shared" si="13"/>
        <v>0</v>
      </c>
      <c r="AW27" s="1210">
        <f t="shared" si="14"/>
        <v>0</v>
      </c>
      <c r="AX27" s="1210">
        <f t="shared" si="15"/>
        <v>0</v>
      </c>
      <c r="AY27" s="1210">
        <f t="shared" si="16"/>
        <v>0</v>
      </c>
      <c r="AZ27" s="1210">
        <f t="shared" si="17"/>
        <v>0</v>
      </c>
      <c r="BA27" s="1210">
        <f t="shared" si="18"/>
        <v>0</v>
      </c>
      <c r="BB27" s="1384">
        <f>IF(AB27,VLOOKUP(IF(ISNUMBER(MATCH(Overview!$B$14,useless_spell_races,0)),Overview!$B$14,"Other"),Constants!$P$89:$S$102,4,FALSE),IF(BB26&gt;0,BB26-1,0))</f>
        <v>0</v>
      </c>
    </row>
    <row r="28" spans="1:54" s="170" customFormat="1" ht="13.5" thickTop="1">
      <c r="A28" s="986">
        <f>Rezone!J28</f>
        <v>26</v>
      </c>
      <c r="B28" s="170">
        <f>Construction!E28</f>
        <v>1000</v>
      </c>
      <c r="C28" s="164">
        <f ca="1">Production!K28</f>
        <v>36853</v>
      </c>
      <c r="D28" s="193">
        <f>MIN(1,D27+0.04+ROUNDDOWN(10*Military!BN27,0)+MAX(Techs!AN27,Techs!AW27*3))-AE28</f>
        <v>1</v>
      </c>
      <c r="E28" s="532">
        <f t="shared" si="24"/>
        <v>43693.041666666606</v>
      </c>
      <c r="F28" s="193">
        <f ca="1">Imps!J28</f>
        <v>1</v>
      </c>
      <c r="G28" s="384"/>
      <c r="H28" s="385"/>
      <c r="I28" s="385"/>
      <c r="J28" s="385"/>
      <c r="K28" s="377"/>
      <c r="L28" s="384"/>
      <c r="M28" s="385"/>
      <c r="N28" s="377"/>
      <c r="O28" s="377"/>
      <c r="P28" s="377"/>
      <c r="Q28" s="377"/>
      <c r="R28" s="377"/>
      <c r="S28" s="377"/>
      <c r="T28" s="377"/>
      <c r="U28" s="377"/>
      <c r="V28" s="377"/>
      <c r="W28" s="377"/>
      <c r="X28" s="377"/>
      <c r="Y28" s="377"/>
      <c r="Z28" s="377"/>
      <c r="AA28" s="377"/>
      <c r="AB28" s="386"/>
      <c r="AD28" s="152">
        <f>(MAX(1-wg_spell_cost_cap,1-wg_spell_cost_red*ROUND(Construction!BM28/Construction!E28,4))+Constants!$M$45*Techs!AL28)*(B28-Explore!S28*20)*(G28*Constants!$B$72+H28*Constants!$B$73+I28*Constants!$B$74+J28*Constants!$B$76+K28*Constants!$B$75+L28*dwarf_spell_cost+M28*halfling_spell_cost + N28*sylvan_spell_cost + O28*woodelf_spell_cost + P28*kobold_spell_cost + Q28*icekin_spell_cost + R28*firewalker_spell_cost + S28*nox_spell_cost + T28*human_spell_cost + U28*goblin_spell_cost + V28*orc_spell_cost + W28*ants_spell_cost + X28*armada_spell_cost + Y28*lux_spell_cost + Z28*growth_spell_cost + AA28*impgnome_spell_cost + AB28*VLOOKUP(IF(ISNUMBER(MATCH(Overview!$B$14,useless_spell_races,0)),Overview!$B$14,"Other"),Constants!$P$89:$S$102,3,FALSE))</f>
        <v>0</v>
      </c>
      <c r="AE28" s="193">
        <f t="shared" si="25"/>
        <v>0</v>
      </c>
      <c r="AG28" s="634">
        <f t="shared" si="19"/>
        <v>0</v>
      </c>
      <c r="AH28" s="629">
        <f t="shared" si="20"/>
        <v>0</v>
      </c>
      <c r="AI28" s="629">
        <f t="shared" si="21"/>
        <v>0</v>
      </c>
      <c r="AJ28" s="629">
        <f t="shared" si="22"/>
        <v>0</v>
      </c>
      <c r="AK28" s="548">
        <f t="shared" si="23"/>
        <v>0</v>
      </c>
      <c r="AL28" s="629">
        <f t="shared" si="3"/>
        <v>0</v>
      </c>
      <c r="AM28" s="629">
        <f t="shared" si="4"/>
        <v>0</v>
      </c>
      <c r="AN28" s="629">
        <f t="shared" si="5"/>
        <v>0</v>
      </c>
      <c r="AO28" s="629">
        <f t="shared" si="6"/>
        <v>0</v>
      </c>
      <c r="AP28" s="629">
        <f t="shared" si="7"/>
        <v>0</v>
      </c>
      <c r="AQ28" s="629">
        <f t="shared" si="8"/>
        <v>0</v>
      </c>
      <c r="AR28" s="957">
        <f t="shared" si="9"/>
        <v>0</v>
      </c>
      <c r="AS28" s="957">
        <f t="shared" si="10"/>
        <v>0</v>
      </c>
      <c r="AT28" s="957">
        <f t="shared" si="11"/>
        <v>0</v>
      </c>
      <c r="AU28" s="957">
        <f t="shared" si="12"/>
        <v>0</v>
      </c>
      <c r="AV28" s="957">
        <f t="shared" si="13"/>
        <v>0</v>
      </c>
      <c r="AW28" s="170">
        <f t="shared" si="14"/>
        <v>0</v>
      </c>
      <c r="AX28" s="170">
        <f t="shared" si="15"/>
        <v>0</v>
      </c>
      <c r="AY28" s="170">
        <f t="shared" si="16"/>
        <v>0</v>
      </c>
      <c r="AZ28" s="170">
        <f t="shared" si="17"/>
        <v>0</v>
      </c>
      <c r="BA28" s="170">
        <f t="shared" si="18"/>
        <v>0</v>
      </c>
      <c r="BB28" s="1381">
        <f>IF(AB28,VLOOKUP(IF(ISNUMBER(MATCH(Overview!$B$14,useless_spell_races,0)),Overview!$B$14,"Other"),Constants!$P$89:$S$102,4,FALSE),IF(BB27&gt;0,BB27-1,0))</f>
        <v>0</v>
      </c>
    </row>
    <row r="29" spans="1:54" s="170" customFormat="1">
      <c r="A29" s="986">
        <f>Rezone!J29</f>
        <v>27</v>
      </c>
      <c r="B29" s="170">
        <f>Construction!E29</f>
        <v>1000</v>
      </c>
      <c r="C29" s="164">
        <f ca="1">Production!K29</f>
        <v>37366</v>
      </c>
      <c r="D29" s="193">
        <f>MIN(1,D28+0.04+ROUNDDOWN(10*Military!BN28,0)+MAX(Techs!AN28,Techs!AW28*3))-AE29</f>
        <v>1</v>
      </c>
      <c r="E29" s="532">
        <f t="shared" si="24"/>
        <v>43693.08333333327</v>
      </c>
      <c r="F29" s="193">
        <f ca="1">Imps!J29</f>
        <v>1</v>
      </c>
      <c r="G29" s="384"/>
      <c r="H29" s="385"/>
      <c r="I29" s="385"/>
      <c r="J29" s="385"/>
      <c r="K29" s="377"/>
      <c r="L29" s="384"/>
      <c r="M29" s="385"/>
      <c r="N29" s="377"/>
      <c r="O29" s="377"/>
      <c r="P29" s="377"/>
      <c r="Q29" s="377"/>
      <c r="R29" s="377"/>
      <c r="S29" s="377"/>
      <c r="T29" s="377"/>
      <c r="U29" s="377"/>
      <c r="V29" s="377"/>
      <c r="W29" s="377"/>
      <c r="X29" s="377"/>
      <c r="Y29" s="377"/>
      <c r="Z29" s="377"/>
      <c r="AA29" s="377"/>
      <c r="AB29" s="386"/>
      <c r="AD29" s="152">
        <f>(MAX(1-wg_spell_cost_cap,1-wg_spell_cost_red*ROUND(Construction!BM29/Construction!E29,4))+Constants!$M$45*Techs!AL29)*(B29-Explore!S29*20)*(G29*Constants!$B$72+H29*Constants!$B$73+I29*Constants!$B$74+J29*Constants!$B$76+K29*Constants!$B$75+L29*dwarf_spell_cost+M29*halfling_spell_cost + N29*sylvan_spell_cost + O29*woodelf_spell_cost + P29*kobold_spell_cost + Q29*icekin_spell_cost + R29*firewalker_spell_cost + S29*nox_spell_cost + T29*human_spell_cost + U29*goblin_spell_cost + V29*orc_spell_cost + W29*ants_spell_cost + X29*armada_spell_cost + Y29*lux_spell_cost + Z29*growth_spell_cost + AA29*impgnome_spell_cost + AB29*VLOOKUP(IF(ISNUMBER(MATCH(Overview!$B$14,useless_spell_races,0)),Overview!$B$14,"Other"),Constants!$P$89:$S$102,3,FALSE))</f>
        <v>0</v>
      </c>
      <c r="AE29" s="193">
        <f t="shared" si="25"/>
        <v>0</v>
      </c>
      <c r="AG29" s="634">
        <f t="shared" si="19"/>
        <v>0</v>
      </c>
      <c r="AH29" s="629">
        <f t="shared" si="20"/>
        <v>0</v>
      </c>
      <c r="AI29" s="629">
        <f t="shared" si="21"/>
        <v>0</v>
      </c>
      <c r="AJ29" s="629">
        <f t="shared" si="22"/>
        <v>0</v>
      </c>
      <c r="AK29" s="548">
        <f t="shared" si="23"/>
        <v>0</v>
      </c>
      <c r="AL29" s="629">
        <f t="shared" si="3"/>
        <v>0</v>
      </c>
      <c r="AM29" s="629">
        <f t="shared" si="4"/>
        <v>0</v>
      </c>
      <c r="AN29" s="629">
        <f t="shared" si="5"/>
        <v>0</v>
      </c>
      <c r="AO29" s="629">
        <f t="shared" si="6"/>
        <v>0</v>
      </c>
      <c r="AP29" s="629">
        <f t="shared" si="7"/>
        <v>0</v>
      </c>
      <c r="AQ29" s="629">
        <f t="shared" si="8"/>
        <v>0</v>
      </c>
      <c r="AR29" s="957">
        <f t="shared" si="9"/>
        <v>0</v>
      </c>
      <c r="AS29" s="957">
        <f t="shared" si="10"/>
        <v>0</v>
      </c>
      <c r="AT29" s="957">
        <f t="shared" si="11"/>
        <v>0</v>
      </c>
      <c r="AU29" s="957">
        <f t="shared" si="12"/>
        <v>0</v>
      </c>
      <c r="AV29" s="957">
        <f t="shared" si="13"/>
        <v>0</v>
      </c>
      <c r="AW29" s="170">
        <f t="shared" si="14"/>
        <v>0</v>
      </c>
      <c r="AX29" s="170">
        <f t="shared" si="15"/>
        <v>0</v>
      </c>
      <c r="AY29" s="170">
        <f t="shared" si="16"/>
        <v>0</v>
      </c>
      <c r="AZ29" s="170">
        <f t="shared" si="17"/>
        <v>0</v>
      </c>
      <c r="BA29" s="170">
        <f t="shared" si="18"/>
        <v>0</v>
      </c>
      <c r="BB29" s="1381">
        <f>IF(AB29,VLOOKUP(IF(ISNUMBER(MATCH(Overview!$B$14,useless_spell_races,0)),Overview!$B$14,"Other"),Constants!$P$89:$S$102,4,FALSE),IF(BB28&gt;0,BB28-1,0))</f>
        <v>0</v>
      </c>
    </row>
    <row r="30" spans="1:54" s="16" customFormat="1">
      <c r="A30" s="987">
        <f>Rezone!J30</f>
        <v>28</v>
      </c>
      <c r="B30" s="16">
        <f>Construction!E30</f>
        <v>1000</v>
      </c>
      <c r="C30" s="26">
        <f ca="1">Production!K30</f>
        <v>37869</v>
      </c>
      <c r="D30" s="62">
        <f>MIN(1,D29+0.04+ROUNDDOWN(10*Military!BN29,0)+MAX(Techs!AN29,Techs!AW29*3))-AE30</f>
        <v>1</v>
      </c>
      <c r="E30" s="532">
        <f t="shared" si="24"/>
        <v>43693.124999999935</v>
      </c>
      <c r="F30" s="62">
        <f ca="1">Imps!J30</f>
        <v>1</v>
      </c>
      <c r="G30" s="393"/>
      <c r="H30" s="394"/>
      <c r="I30" s="394"/>
      <c r="J30" s="394"/>
      <c r="K30" s="380"/>
      <c r="L30" s="393"/>
      <c r="M30" s="394"/>
      <c r="N30" s="380"/>
      <c r="O30" s="380"/>
      <c r="P30" s="380"/>
      <c r="Q30" s="380"/>
      <c r="R30" s="380"/>
      <c r="S30" s="380"/>
      <c r="T30" s="380"/>
      <c r="U30" s="380"/>
      <c r="V30" s="380"/>
      <c r="W30" s="380"/>
      <c r="X30" s="380"/>
      <c r="Y30" s="380"/>
      <c r="Z30" s="380"/>
      <c r="AA30" s="380"/>
      <c r="AB30" s="395"/>
      <c r="AD30" s="152">
        <f>(MAX(1-wg_spell_cost_cap,1-wg_spell_cost_red*ROUND(Construction!BM30/Construction!E30,4))+Constants!$M$45*Techs!AL30)*(B30-Explore!S30*20)*(G30*Constants!$B$72+H30*Constants!$B$73+I30*Constants!$B$74+J30*Constants!$B$76+K30*Constants!$B$75+L30*dwarf_spell_cost+M30*halfling_spell_cost + N30*sylvan_spell_cost + O30*woodelf_spell_cost + P30*kobold_spell_cost + Q30*icekin_spell_cost + R30*firewalker_spell_cost + S30*nox_spell_cost + T30*human_spell_cost + U30*goblin_spell_cost + V30*orc_spell_cost + W30*ants_spell_cost + X30*armada_spell_cost + Y30*lux_spell_cost + Z30*growth_spell_cost + AA30*impgnome_spell_cost + AB30*VLOOKUP(IF(ISNUMBER(MATCH(Overview!$B$14,useless_spell_races,0)),Overview!$B$14,"Other"),Constants!$P$89:$S$102,3,FALSE))</f>
        <v>0</v>
      </c>
      <c r="AE30" s="62">
        <f t="shared" si="25"/>
        <v>0</v>
      </c>
      <c r="AG30" s="635">
        <f t="shared" si="19"/>
        <v>0</v>
      </c>
      <c r="AH30" s="529">
        <f t="shared" si="20"/>
        <v>0</v>
      </c>
      <c r="AI30" s="529">
        <f t="shared" si="21"/>
        <v>0</v>
      </c>
      <c r="AJ30" s="529">
        <f t="shared" si="22"/>
        <v>0</v>
      </c>
      <c r="AK30" s="527">
        <f t="shared" si="23"/>
        <v>0</v>
      </c>
      <c r="AL30" s="529">
        <f t="shared" si="3"/>
        <v>0</v>
      </c>
      <c r="AM30" s="529">
        <f t="shared" si="4"/>
        <v>0</v>
      </c>
      <c r="AN30" s="529">
        <f t="shared" si="5"/>
        <v>0</v>
      </c>
      <c r="AO30" s="529">
        <f t="shared" si="6"/>
        <v>0</v>
      </c>
      <c r="AP30" s="529">
        <f t="shared" si="7"/>
        <v>0</v>
      </c>
      <c r="AQ30" s="529">
        <f t="shared" si="8"/>
        <v>0</v>
      </c>
      <c r="AR30" s="958">
        <f t="shared" si="9"/>
        <v>0</v>
      </c>
      <c r="AS30" s="958">
        <f t="shared" si="10"/>
        <v>0</v>
      </c>
      <c r="AT30" s="958">
        <f t="shared" si="11"/>
        <v>0</v>
      </c>
      <c r="AU30" s="958">
        <f t="shared" si="12"/>
        <v>0</v>
      </c>
      <c r="AV30" s="958">
        <f t="shared" si="13"/>
        <v>0</v>
      </c>
      <c r="AW30" s="16">
        <f t="shared" si="14"/>
        <v>0</v>
      </c>
      <c r="AX30" s="16">
        <f t="shared" si="15"/>
        <v>0</v>
      </c>
      <c r="AY30" s="16">
        <f t="shared" si="16"/>
        <v>0</v>
      </c>
      <c r="AZ30" s="16">
        <f t="shared" si="17"/>
        <v>0</v>
      </c>
      <c r="BA30" s="16">
        <f t="shared" si="18"/>
        <v>0</v>
      </c>
      <c r="BB30" s="1382">
        <f>IF(AB30,VLOOKUP(IF(ISNUMBER(MATCH(Overview!$B$14,useless_spell_races,0)),Overview!$B$14,"Other"),Constants!$P$89:$S$102,4,FALSE),IF(BB29&gt;0,BB29-1,0))</f>
        <v>0</v>
      </c>
    </row>
    <row r="31" spans="1:54" s="16" customFormat="1">
      <c r="A31" s="987">
        <f>Rezone!J31</f>
        <v>29</v>
      </c>
      <c r="B31" s="16">
        <f>Construction!E31</f>
        <v>1000</v>
      </c>
      <c r="C31" s="26">
        <f ca="1">Production!K31</f>
        <v>38362</v>
      </c>
      <c r="D31" s="62">
        <f>MIN(1,D30+0.04+ROUNDDOWN(10*Military!BN30,0)+MAX(Techs!AN30,Techs!AW30*3))-AE31</f>
        <v>1</v>
      </c>
      <c r="E31" s="532">
        <f t="shared" si="24"/>
        <v>43693.166666666599</v>
      </c>
      <c r="F31" s="62">
        <f ca="1">Imps!J31</f>
        <v>1</v>
      </c>
      <c r="G31" s="393"/>
      <c r="H31" s="394"/>
      <c r="I31" s="394"/>
      <c r="J31" s="394"/>
      <c r="K31" s="380"/>
      <c r="L31" s="393"/>
      <c r="M31" s="394"/>
      <c r="N31" s="380"/>
      <c r="O31" s="380"/>
      <c r="P31" s="380"/>
      <c r="Q31" s="380"/>
      <c r="R31" s="380"/>
      <c r="S31" s="380"/>
      <c r="T31" s="380"/>
      <c r="U31" s="380"/>
      <c r="V31" s="380"/>
      <c r="W31" s="380"/>
      <c r="X31" s="380"/>
      <c r="Y31" s="380"/>
      <c r="Z31" s="380"/>
      <c r="AA31" s="380"/>
      <c r="AB31" s="395"/>
      <c r="AD31" s="152">
        <f>(MAX(1-wg_spell_cost_cap,1-wg_spell_cost_red*ROUND(Construction!BM31/Construction!E31,4))+Constants!$M$45*Techs!AL31)*(B31-Explore!S31*20)*(G31*Constants!$B$72+H31*Constants!$B$73+I31*Constants!$B$74+J31*Constants!$B$76+K31*Constants!$B$75+L31*dwarf_spell_cost+M31*halfling_spell_cost + N31*sylvan_spell_cost + O31*woodelf_spell_cost + P31*kobold_spell_cost + Q31*icekin_spell_cost + R31*firewalker_spell_cost + S31*nox_spell_cost + T31*human_spell_cost + U31*goblin_spell_cost + V31*orc_spell_cost + W31*ants_spell_cost + X31*armada_spell_cost + Y31*lux_spell_cost + Z31*growth_spell_cost + AA31*impgnome_spell_cost + AB31*VLOOKUP(IF(ISNUMBER(MATCH(Overview!$B$14,useless_spell_races,0)),Overview!$B$14,"Other"),Constants!$P$89:$S$102,3,FALSE))</f>
        <v>0</v>
      </c>
      <c r="AE31" s="62">
        <f t="shared" si="25"/>
        <v>0</v>
      </c>
      <c r="AG31" s="635">
        <f t="shared" si="19"/>
        <v>0</v>
      </c>
      <c r="AH31" s="529">
        <f t="shared" si="20"/>
        <v>0</v>
      </c>
      <c r="AI31" s="529">
        <f t="shared" si="21"/>
        <v>0</v>
      </c>
      <c r="AJ31" s="529">
        <f t="shared" si="22"/>
        <v>0</v>
      </c>
      <c r="AK31" s="527">
        <f t="shared" si="23"/>
        <v>0</v>
      </c>
      <c r="AL31" s="529">
        <f t="shared" si="3"/>
        <v>0</v>
      </c>
      <c r="AM31" s="529">
        <f t="shared" si="4"/>
        <v>0</v>
      </c>
      <c r="AN31" s="529">
        <f t="shared" si="5"/>
        <v>0</v>
      </c>
      <c r="AO31" s="529">
        <f t="shared" si="6"/>
        <v>0</v>
      </c>
      <c r="AP31" s="529">
        <f t="shared" si="7"/>
        <v>0</v>
      </c>
      <c r="AQ31" s="529">
        <f t="shared" si="8"/>
        <v>0</v>
      </c>
      <c r="AR31" s="958">
        <f t="shared" si="9"/>
        <v>0</v>
      </c>
      <c r="AS31" s="958">
        <f t="shared" si="10"/>
        <v>0</v>
      </c>
      <c r="AT31" s="958">
        <f t="shared" si="11"/>
        <v>0</v>
      </c>
      <c r="AU31" s="958">
        <f t="shared" si="12"/>
        <v>0</v>
      </c>
      <c r="AV31" s="958">
        <f t="shared" si="13"/>
        <v>0</v>
      </c>
      <c r="AW31" s="16">
        <f t="shared" si="14"/>
        <v>0</v>
      </c>
      <c r="AX31" s="16">
        <f t="shared" si="15"/>
        <v>0</v>
      </c>
      <c r="AY31" s="16">
        <f t="shared" si="16"/>
        <v>0</v>
      </c>
      <c r="AZ31" s="16">
        <f t="shared" si="17"/>
        <v>0</v>
      </c>
      <c r="BA31" s="16">
        <f t="shared" si="18"/>
        <v>0</v>
      </c>
      <c r="BB31" s="1382">
        <f>IF(AB31,VLOOKUP(IF(ISNUMBER(MATCH(Overview!$B$14,useless_spell_races,0)),Overview!$B$14,"Other"),Constants!$P$89:$S$102,4,FALSE),IF(BB30&gt;0,BB30-1,0))</f>
        <v>0</v>
      </c>
    </row>
    <row r="32" spans="1:54" s="16" customFormat="1">
      <c r="A32" s="987">
        <f>Rezone!J32</f>
        <v>30</v>
      </c>
      <c r="B32" s="16">
        <f>Construction!E32</f>
        <v>1000</v>
      </c>
      <c r="C32" s="26">
        <f ca="1">Production!K32</f>
        <v>38845</v>
      </c>
      <c r="D32" s="62">
        <f>MIN(1,D31+0.04+ROUNDDOWN(10*Military!BN31,0)+MAX(Techs!AN31,Techs!AW31*3))-AE32</f>
        <v>1</v>
      </c>
      <c r="E32" s="532">
        <f t="shared" si="24"/>
        <v>43693.208333333263</v>
      </c>
      <c r="F32" s="62">
        <f ca="1">Imps!J32</f>
        <v>1</v>
      </c>
      <c r="G32" s="393"/>
      <c r="H32" s="394"/>
      <c r="I32" s="394"/>
      <c r="J32" s="394"/>
      <c r="K32" s="380"/>
      <c r="L32" s="393"/>
      <c r="M32" s="394"/>
      <c r="N32" s="380"/>
      <c r="O32" s="380"/>
      <c r="P32" s="380"/>
      <c r="Q32" s="380"/>
      <c r="R32" s="380"/>
      <c r="S32" s="380"/>
      <c r="T32" s="380"/>
      <c r="U32" s="380"/>
      <c r="V32" s="380"/>
      <c r="W32" s="380"/>
      <c r="X32" s="380"/>
      <c r="Y32" s="380"/>
      <c r="Z32" s="380"/>
      <c r="AA32" s="380"/>
      <c r="AB32" s="395"/>
      <c r="AD32" s="152">
        <f>(MAX(1-wg_spell_cost_cap,1-wg_spell_cost_red*ROUND(Construction!BM32/Construction!E32,4))+Constants!$M$45*Techs!AL32)*(B32-Explore!S32*20)*(G32*Constants!$B$72+H32*Constants!$B$73+I32*Constants!$B$74+J32*Constants!$B$76+K32*Constants!$B$75+L32*dwarf_spell_cost+M32*halfling_spell_cost + N32*sylvan_spell_cost + O32*woodelf_spell_cost + P32*kobold_spell_cost + Q32*icekin_spell_cost + R32*firewalker_spell_cost + S32*nox_spell_cost + T32*human_spell_cost + U32*goblin_spell_cost + V32*orc_spell_cost + W32*ants_spell_cost + X32*armada_spell_cost + Y32*lux_spell_cost + Z32*growth_spell_cost + AA32*impgnome_spell_cost + AB32*VLOOKUP(IF(ISNUMBER(MATCH(Overview!$B$14,useless_spell_races,0)),Overview!$B$14,"Other"),Constants!$P$89:$S$102,3,FALSE))</f>
        <v>0</v>
      </c>
      <c r="AE32" s="62">
        <f t="shared" si="25"/>
        <v>0</v>
      </c>
      <c r="AG32" s="635">
        <f t="shared" si="19"/>
        <v>0</v>
      </c>
      <c r="AH32" s="529">
        <f t="shared" si="20"/>
        <v>0</v>
      </c>
      <c r="AI32" s="529">
        <f t="shared" si="21"/>
        <v>0</v>
      </c>
      <c r="AJ32" s="529">
        <f t="shared" si="22"/>
        <v>0</v>
      </c>
      <c r="AK32" s="527">
        <f t="shared" si="23"/>
        <v>0</v>
      </c>
      <c r="AL32" s="529">
        <f t="shared" si="3"/>
        <v>0</v>
      </c>
      <c r="AM32" s="529">
        <f t="shared" si="4"/>
        <v>0</v>
      </c>
      <c r="AN32" s="529">
        <f t="shared" si="5"/>
        <v>0</v>
      </c>
      <c r="AO32" s="529">
        <f t="shared" si="6"/>
        <v>0</v>
      </c>
      <c r="AP32" s="529">
        <f t="shared" si="7"/>
        <v>0</v>
      </c>
      <c r="AQ32" s="529">
        <f t="shared" si="8"/>
        <v>0</v>
      </c>
      <c r="AR32" s="958">
        <f t="shared" si="9"/>
        <v>0</v>
      </c>
      <c r="AS32" s="958">
        <f t="shared" si="10"/>
        <v>0</v>
      </c>
      <c r="AT32" s="958">
        <f t="shared" si="11"/>
        <v>0</v>
      </c>
      <c r="AU32" s="958">
        <f t="shared" si="12"/>
        <v>0</v>
      </c>
      <c r="AV32" s="958">
        <f t="shared" si="13"/>
        <v>0</v>
      </c>
      <c r="AW32" s="16">
        <f t="shared" si="14"/>
        <v>0</v>
      </c>
      <c r="AX32" s="16">
        <f t="shared" si="15"/>
        <v>0</v>
      </c>
      <c r="AY32" s="16">
        <f t="shared" si="16"/>
        <v>0</v>
      </c>
      <c r="AZ32" s="16">
        <f t="shared" si="17"/>
        <v>0</v>
      </c>
      <c r="BA32" s="16">
        <f t="shared" si="18"/>
        <v>0</v>
      </c>
      <c r="BB32" s="1382">
        <f>IF(AB32,VLOOKUP(IF(ISNUMBER(MATCH(Overview!$B$14,useless_spell_races,0)),Overview!$B$14,"Other"),Constants!$P$89:$S$102,4,FALSE),IF(BB31&gt;0,BB31-1,0))</f>
        <v>0</v>
      </c>
    </row>
    <row r="33" spans="1:54" s="16" customFormat="1">
      <c r="A33" s="987">
        <f>Rezone!J33</f>
        <v>31</v>
      </c>
      <c r="B33" s="16">
        <f>Construction!E33</f>
        <v>1000</v>
      </c>
      <c r="C33" s="26">
        <f ca="1">Production!K33</f>
        <v>39318</v>
      </c>
      <c r="D33" s="62">
        <f>MIN(1,D32+0.04+ROUNDDOWN(10*Military!BN32,0)+MAX(Techs!AN32,Techs!AW32*3))-AE33</f>
        <v>1</v>
      </c>
      <c r="E33" s="532">
        <f t="shared" si="24"/>
        <v>43693.249999999927</v>
      </c>
      <c r="F33" s="62">
        <f ca="1">Imps!J33</f>
        <v>1</v>
      </c>
      <c r="G33" s="393"/>
      <c r="H33" s="394"/>
      <c r="I33" s="394"/>
      <c r="J33" s="394"/>
      <c r="K33" s="380"/>
      <c r="L33" s="393"/>
      <c r="M33" s="394"/>
      <c r="N33" s="380"/>
      <c r="O33" s="380"/>
      <c r="P33" s="380"/>
      <c r="Q33" s="380"/>
      <c r="R33" s="380"/>
      <c r="S33" s="380"/>
      <c r="T33" s="380"/>
      <c r="U33" s="380"/>
      <c r="V33" s="380"/>
      <c r="W33" s="380"/>
      <c r="X33" s="380"/>
      <c r="Y33" s="380"/>
      <c r="Z33" s="380"/>
      <c r="AA33" s="380"/>
      <c r="AB33" s="395"/>
      <c r="AD33" s="152">
        <f>(MAX(1-wg_spell_cost_cap,1-wg_spell_cost_red*ROUND(Construction!BM33/Construction!E33,4))+Constants!$M$45*Techs!AL33)*(B33-Explore!S33*20)*(G33*Constants!$B$72+H33*Constants!$B$73+I33*Constants!$B$74+J33*Constants!$B$76+K33*Constants!$B$75+L33*dwarf_spell_cost+M33*halfling_spell_cost + N33*sylvan_spell_cost + O33*woodelf_spell_cost + P33*kobold_spell_cost + Q33*icekin_spell_cost + R33*firewalker_spell_cost + S33*nox_spell_cost + T33*human_spell_cost + U33*goblin_spell_cost + V33*orc_spell_cost + W33*ants_spell_cost + X33*armada_spell_cost + Y33*lux_spell_cost + Z33*growth_spell_cost + AA33*impgnome_spell_cost + AB33*VLOOKUP(IF(ISNUMBER(MATCH(Overview!$B$14,useless_spell_races,0)),Overview!$B$14,"Other"),Constants!$P$89:$S$102,3,FALSE))</f>
        <v>0</v>
      </c>
      <c r="AE33" s="62">
        <f t="shared" si="25"/>
        <v>0</v>
      </c>
      <c r="AG33" s="635">
        <f t="shared" si="19"/>
        <v>0</v>
      </c>
      <c r="AH33" s="529">
        <f t="shared" si="20"/>
        <v>0</v>
      </c>
      <c r="AI33" s="529">
        <f t="shared" si="21"/>
        <v>0</v>
      </c>
      <c r="AJ33" s="529">
        <f t="shared" si="22"/>
        <v>0</v>
      </c>
      <c r="AK33" s="527">
        <f t="shared" si="23"/>
        <v>0</v>
      </c>
      <c r="AL33" s="529">
        <f t="shared" si="3"/>
        <v>0</v>
      </c>
      <c r="AM33" s="529">
        <f t="shared" si="4"/>
        <v>0</v>
      </c>
      <c r="AN33" s="529">
        <f t="shared" si="5"/>
        <v>0</v>
      </c>
      <c r="AO33" s="529">
        <f t="shared" si="6"/>
        <v>0</v>
      </c>
      <c r="AP33" s="529">
        <f t="shared" si="7"/>
        <v>0</v>
      </c>
      <c r="AQ33" s="529">
        <f t="shared" si="8"/>
        <v>0</v>
      </c>
      <c r="AR33" s="958">
        <f t="shared" si="9"/>
        <v>0</v>
      </c>
      <c r="AS33" s="958">
        <f t="shared" si="10"/>
        <v>0</v>
      </c>
      <c r="AT33" s="958">
        <f t="shared" si="11"/>
        <v>0</v>
      </c>
      <c r="AU33" s="958">
        <f t="shared" si="12"/>
        <v>0</v>
      </c>
      <c r="AV33" s="958">
        <f t="shared" si="13"/>
        <v>0</v>
      </c>
      <c r="AW33" s="16">
        <f t="shared" si="14"/>
        <v>0</v>
      </c>
      <c r="AX33" s="16">
        <f t="shared" si="15"/>
        <v>0</v>
      </c>
      <c r="AY33" s="16">
        <f t="shared" si="16"/>
        <v>0</v>
      </c>
      <c r="AZ33" s="16">
        <f t="shared" si="17"/>
        <v>0</v>
      </c>
      <c r="BA33" s="16">
        <f t="shared" si="18"/>
        <v>0</v>
      </c>
      <c r="BB33" s="1382">
        <f>IF(AB33,VLOOKUP(IF(ISNUMBER(MATCH(Overview!$B$14,useless_spell_races,0)),Overview!$B$14,"Other"),Constants!$P$89:$S$102,4,FALSE),IF(BB32&gt;0,BB32-1,0))</f>
        <v>0</v>
      </c>
    </row>
    <row r="34" spans="1:54" s="16" customFormat="1">
      <c r="A34" s="987">
        <f>Rezone!J34</f>
        <v>32</v>
      </c>
      <c r="B34" s="16">
        <f>Construction!E34</f>
        <v>1000</v>
      </c>
      <c r="C34" s="26">
        <f ca="1">Production!K34</f>
        <v>39782</v>
      </c>
      <c r="D34" s="62">
        <f>MIN(1,D33+0.04+ROUNDDOWN(10*Military!BN33,0)+MAX(Techs!AN33,Techs!AW33*3))-AE34</f>
        <v>1</v>
      </c>
      <c r="E34" s="532">
        <f t="shared" si="24"/>
        <v>43693.291666666591</v>
      </c>
      <c r="F34" s="62">
        <f ca="1">Imps!J34</f>
        <v>1</v>
      </c>
      <c r="G34" s="393"/>
      <c r="H34" s="394"/>
      <c r="I34" s="394"/>
      <c r="J34" s="394"/>
      <c r="K34" s="380"/>
      <c r="L34" s="393"/>
      <c r="M34" s="394"/>
      <c r="N34" s="380"/>
      <c r="O34" s="380"/>
      <c r="P34" s="380"/>
      <c r="Q34" s="380"/>
      <c r="R34" s="380"/>
      <c r="S34" s="380"/>
      <c r="T34" s="380"/>
      <c r="U34" s="380"/>
      <c r="V34" s="380"/>
      <c r="W34" s="380"/>
      <c r="X34" s="380"/>
      <c r="Y34" s="380"/>
      <c r="Z34" s="380"/>
      <c r="AA34" s="380"/>
      <c r="AB34" s="395"/>
      <c r="AD34" s="152">
        <f>(MAX(1-wg_spell_cost_cap,1-wg_spell_cost_red*ROUND(Construction!BM34/Construction!E34,4))+Constants!$M$45*Techs!AL34)*(B34-Explore!S34*20)*(G34*Constants!$B$72+H34*Constants!$B$73+I34*Constants!$B$74+J34*Constants!$B$76+K34*Constants!$B$75+L34*dwarf_spell_cost+M34*halfling_spell_cost + N34*sylvan_spell_cost + O34*woodelf_spell_cost + P34*kobold_spell_cost + Q34*icekin_spell_cost + R34*firewalker_spell_cost + S34*nox_spell_cost + T34*human_spell_cost + U34*goblin_spell_cost + V34*orc_spell_cost + W34*ants_spell_cost + X34*armada_spell_cost + Y34*lux_spell_cost + Z34*growth_spell_cost + AA34*impgnome_spell_cost + AB34*VLOOKUP(IF(ISNUMBER(MATCH(Overview!$B$14,useless_spell_races,0)),Overview!$B$14,"Other"),Constants!$P$89:$S$102,3,FALSE))</f>
        <v>0</v>
      </c>
      <c r="AE34" s="62">
        <f t="shared" si="25"/>
        <v>0</v>
      </c>
      <c r="AG34" s="635">
        <f t="shared" si="19"/>
        <v>0</v>
      </c>
      <c r="AH34" s="529">
        <f t="shared" si="20"/>
        <v>0</v>
      </c>
      <c r="AI34" s="529">
        <f t="shared" si="21"/>
        <v>0</v>
      </c>
      <c r="AJ34" s="529">
        <f t="shared" si="22"/>
        <v>0</v>
      </c>
      <c r="AK34" s="527">
        <f t="shared" si="23"/>
        <v>0</v>
      </c>
      <c r="AL34" s="529">
        <f t="shared" si="3"/>
        <v>0</v>
      </c>
      <c r="AM34" s="529">
        <f t="shared" si="4"/>
        <v>0</v>
      </c>
      <c r="AN34" s="529">
        <f t="shared" si="5"/>
        <v>0</v>
      </c>
      <c r="AO34" s="529">
        <f t="shared" si="6"/>
        <v>0</v>
      </c>
      <c r="AP34" s="529">
        <f t="shared" si="7"/>
        <v>0</v>
      </c>
      <c r="AQ34" s="529">
        <f t="shared" si="8"/>
        <v>0</v>
      </c>
      <c r="AR34" s="958">
        <f t="shared" si="9"/>
        <v>0</v>
      </c>
      <c r="AS34" s="958">
        <f t="shared" si="10"/>
        <v>0</v>
      </c>
      <c r="AT34" s="958">
        <f t="shared" si="11"/>
        <v>0</v>
      </c>
      <c r="AU34" s="958">
        <f t="shared" si="12"/>
        <v>0</v>
      </c>
      <c r="AV34" s="958">
        <f t="shared" si="13"/>
        <v>0</v>
      </c>
      <c r="AW34" s="16">
        <f t="shared" si="14"/>
        <v>0</v>
      </c>
      <c r="AX34" s="16">
        <f t="shared" si="15"/>
        <v>0</v>
      </c>
      <c r="AY34" s="16">
        <f t="shared" si="16"/>
        <v>0</v>
      </c>
      <c r="AZ34" s="16">
        <f t="shared" si="17"/>
        <v>0</v>
      </c>
      <c r="BA34" s="16">
        <f t="shared" si="18"/>
        <v>0</v>
      </c>
      <c r="BB34" s="1382">
        <f>IF(AB34,VLOOKUP(IF(ISNUMBER(MATCH(Overview!$B$14,useless_spell_races,0)),Overview!$B$14,"Other"),Constants!$P$89:$S$102,4,FALSE),IF(BB33&gt;0,BB33-1,0))</f>
        <v>0</v>
      </c>
    </row>
    <row r="35" spans="1:54" s="16" customFormat="1">
      <c r="A35" s="987">
        <f>Rezone!J35</f>
        <v>33</v>
      </c>
      <c r="B35" s="16">
        <f>Construction!E35</f>
        <v>1000</v>
      </c>
      <c r="C35" s="26">
        <f ca="1">Production!K35</f>
        <v>40236</v>
      </c>
      <c r="D35" s="62">
        <f>MIN(1,D34+0.04+ROUNDDOWN(10*Military!BN34,0)+MAX(Techs!AN34,Techs!AW34*3))-AE35</f>
        <v>1</v>
      </c>
      <c r="E35" s="532">
        <f t="shared" si="24"/>
        <v>43693.333333333256</v>
      </c>
      <c r="F35" s="62">
        <f ca="1">Imps!J35</f>
        <v>1</v>
      </c>
      <c r="G35" s="393"/>
      <c r="H35" s="394"/>
      <c r="I35" s="394"/>
      <c r="J35" s="394"/>
      <c r="K35" s="380"/>
      <c r="L35" s="393"/>
      <c r="M35" s="394"/>
      <c r="N35" s="380"/>
      <c r="O35" s="380"/>
      <c r="P35" s="380"/>
      <c r="Q35" s="380"/>
      <c r="R35" s="380"/>
      <c r="S35" s="380"/>
      <c r="T35" s="380"/>
      <c r="U35" s="380"/>
      <c r="V35" s="380"/>
      <c r="W35" s="380"/>
      <c r="X35" s="380"/>
      <c r="Y35" s="380"/>
      <c r="Z35" s="380"/>
      <c r="AA35" s="380"/>
      <c r="AB35" s="395"/>
      <c r="AD35" s="152">
        <f>(MAX(1-wg_spell_cost_cap,1-wg_spell_cost_red*ROUND(Construction!BM35/Construction!E35,4))+Constants!$M$45*Techs!AL35)*(B35-Explore!S35*20)*(G35*Constants!$B$72+H35*Constants!$B$73+I35*Constants!$B$74+J35*Constants!$B$76+K35*Constants!$B$75+L35*dwarf_spell_cost+M35*halfling_spell_cost + N35*sylvan_spell_cost + O35*woodelf_spell_cost + P35*kobold_spell_cost + Q35*icekin_spell_cost + R35*firewalker_spell_cost + S35*nox_spell_cost + T35*human_spell_cost + U35*goblin_spell_cost + V35*orc_spell_cost + W35*ants_spell_cost + X35*armada_spell_cost + Y35*lux_spell_cost + Z35*growth_spell_cost + AA35*impgnome_spell_cost + AB35*VLOOKUP(IF(ISNUMBER(MATCH(Overview!$B$14,useless_spell_races,0)),Overview!$B$14,"Other"),Constants!$P$89:$S$102,3,FALSE))</f>
        <v>0</v>
      </c>
      <c r="AE35" s="62">
        <f t="shared" si="25"/>
        <v>0</v>
      </c>
      <c r="AG35" s="635">
        <f t="shared" si="19"/>
        <v>0</v>
      </c>
      <c r="AH35" s="529">
        <f t="shared" si="20"/>
        <v>0</v>
      </c>
      <c r="AI35" s="529">
        <f t="shared" si="21"/>
        <v>0</v>
      </c>
      <c r="AJ35" s="529">
        <f t="shared" si="22"/>
        <v>0</v>
      </c>
      <c r="AK35" s="527">
        <f t="shared" si="23"/>
        <v>0</v>
      </c>
      <c r="AL35" s="529">
        <f t="shared" si="3"/>
        <v>0</v>
      </c>
      <c r="AM35" s="529">
        <f t="shared" si="4"/>
        <v>0</v>
      </c>
      <c r="AN35" s="529">
        <f t="shared" si="5"/>
        <v>0</v>
      </c>
      <c r="AO35" s="529">
        <f t="shared" si="6"/>
        <v>0</v>
      </c>
      <c r="AP35" s="529">
        <f t="shared" si="7"/>
        <v>0</v>
      </c>
      <c r="AQ35" s="529">
        <f t="shared" si="8"/>
        <v>0</v>
      </c>
      <c r="AR35" s="958">
        <f t="shared" si="9"/>
        <v>0</v>
      </c>
      <c r="AS35" s="958">
        <f t="shared" si="10"/>
        <v>0</v>
      </c>
      <c r="AT35" s="958">
        <f t="shared" si="11"/>
        <v>0</v>
      </c>
      <c r="AU35" s="958">
        <f t="shared" si="12"/>
        <v>0</v>
      </c>
      <c r="AV35" s="958">
        <f t="shared" si="13"/>
        <v>0</v>
      </c>
      <c r="AW35" s="16">
        <f t="shared" si="14"/>
        <v>0</v>
      </c>
      <c r="AX35" s="16">
        <f t="shared" si="15"/>
        <v>0</v>
      </c>
      <c r="AY35" s="16">
        <f t="shared" si="16"/>
        <v>0</v>
      </c>
      <c r="AZ35" s="16">
        <f t="shared" si="17"/>
        <v>0</v>
      </c>
      <c r="BA35" s="16">
        <f t="shared" si="18"/>
        <v>0</v>
      </c>
      <c r="BB35" s="1382">
        <f>IF(AB35,VLOOKUP(IF(ISNUMBER(MATCH(Overview!$B$14,useless_spell_races,0)),Overview!$B$14,"Other"),Constants!$P$89:$S$102,4,FALSE),IF(BB34&gt;0,BB34-1,0))</f>
        <v>0</v>
      </c>
    </row>
    <row r="36" spans="1:54" s="16" customFormat="1">
      <c r="A36" s="987">
        <f>Rezone!J36</f>
        <v>34</v>
      </c>
      <c r="B36" s="16">
        <f>Construction!E36</f>
        <v>1000</v>
      </c>
      <c r="C36" s="26">
        <f ca="1">Production!K36</f>
        <v>40681</v>
      </c>
      <c r="D36" s="62">
        <f>MIN(1,D35+0.04+ROUNDDOWN(10*Military!BN35,0)+MAX(Techs!AN35,Techs!AW35*3))-AE36</f>
        <v>1</v>
      </c>
      <c r="E36" s="532">
        <f t="shared" si="24"/>
        <v>43693.37499999992</v>
      </c>
      <c r="F36" s="62">
        <f ca="1">Imps!J36</f>
        <v>1</v>
      </c>
      <c r="G36" s="393"/>
      <c r="H36" s="394"/>
      <c r="I36" s="394"/>
      <c r="J36" s="394"/>
      <c r="K36" s="380"/>
      <c r="L36" s="393"/>
      <c r="M36" s="394"/>
      <c r="N36" s="380"/>
      <c r="O36" s="380"/>
      <c r="P36" s="380"/>
      <c r="Q36" s="380"/>
      <c r="R36" s="380"/>
      <c r="S36" s="380"/>
      <c r="T36" s="380"/>
      <c r="U36" s="380"/>
      <c r="V36" s="380"/>
      <c r="W36" s="380"/>
      <c r="X36" s="380"/>
      <c r="Y36" s="380"/>
      <c r="Z36" s="380"/>
      <c r="AA36" s="380"/>
      <c r="AB36" s="395"/>
      <c r="AD36" s="152">
        <f>(MAX(1-wg_spell_cost_cap,1-wg_spell_cost_red*ROUND(Construction!BM36/Construction!E36,4))+Constants!$M$45*Techs!AL36)*(B36-Explore!S36*20)*(G36*Constants!$B$72+H36*Constants!$B$73+I36*Constants!$B$74+J36*Constants!$B$76+K36*Constants!$B$75+L36*dwarf_spell_cost+M36*halfling_spell_cost + N36*sylvan_spell_cost + O36*woodelf_spell_cost + P36*kobold_spell_cost + Q36*icekin_spell_cost + R36*firewalker_spell_cost + S36*nox_spell_cost + T36*human_spell_cost + U36*goblin_spell_cost + V36*orc_spell_cost + W36*ants_spell_cost + X36*armada_spell_cost + Y36*lux_spell_cost + Z36*growth_spell_cost + AA36*impgnome_spell_cost + AB36*VLOOKUP(IF(ISNUMBER(MATCH(Overview!$B$14,useless_spell_races,0)),Overview!$B$14,"Other"),Constants!$P$89:$S$102,3,FALSE))</f>
        <v>0</v>
      </c>
      <c r="AE36" s="62">
        <f t="shared" si="25"/>
        <v>0</v>
      </c>
      <c r="AG36" s="635">
        <f t="shared" si="19"/>
        <v>0</v>
      </c>
      <c r="AH36" s="529">
        <f t="shared" si="20"/>
        <v>0</v>
      </c>
      <c r="AI36" s="529">
        <f t="shared" si="21"/>
        <v>0</v>
      </c>
      <c r="AJ36" s="529">
        <f t="shared" si="22"/>
        <v>0</v>
      </c>
      <c r="AK36" s="527">
        <f t="shared" si="23"/>
        <v>0</v>
      </c>
      <c r="AL36" s="529">
        <f t="shared" ref="AL36:AL67" si="26">IF(L36,dwarf_spell_time,IF(AL35&gt;0,AL35-1,0))</f>
        <v>0</v>
      </c>
      <c r="AM36" s="529">
        <f t="shared" ref="AM36:AM67" si="27">IF(M36,halfling_spell_time,IF(AM35&gt;0,AM35-1,0))</f>
        <v>0</v>
      </c>
      <c r="AN36" s="529">
        <f t="shared" ref="AN36:AN67" si="28">IF(N36,sylvan_spell_time,IF(AN35&gt;0,AN35-1,0))</f>
        <v>0</v>
      </c>
      <c r="AO36" s="529">
        <f t="shared" ref="AO36:AO67" si="29">IF(O36,woodelf_spell_time,IF(AO35&gt;0,AO35-1,0))</f>
        <v>0</v>
      </c>
      <c r="AP36" s="529">
        <f t="shared" ref="AP36:AP67" si="30">IF(P36,kobold_spell_time,IF(AP35&gt;0,AP35-1,0))</f>
        <v>0</v>
      </c>
      <c r="AQ36" s="529">
        <f t="shared" ref="AQ36:AQ67" si="31">IF(Q36,icekin_spell_time,IF(AQ35&gt;0,AQ35-1,0))</f>
        <v>0</v>
      </c>
      <c r="AR36" s="958">
        <f t="shared" ref="AR36:AR67" si="32">IF(R36,firewalker_spell_time,IF(AR35&gt;0,AR35-1,0))</f>
        <v>0</v>
      </c>
      <c r="AS36" s="958">
        <f t="shared" ref="AS36:AS67" si="33">IF(S36,nox_spell_time,IF(AS35&gt;0,AS35-1,0))</f>
        <v>0</v>
      </c>
      <c r="AT36" s="958">
        <f t="shared" ref="AT36:AT67" si="34">IF(T36,human_spell_time,IF(AT35&gt;0,AT35-1,0))</f>
        <v>0</v>
      </c>
      <c r="AU36" s="958">
        <f t="shared" ref="AU36:AU67" si="35">IF(U36,goblin_spell_time,IF(AU35&gt;0,AU35-1,0))</f>
        <v>0</v>
      </c>
      <c r="AV36" s="958">
        <f t="shared" ref="AV36:AV67" si="36">IF(V36,orc_spell_time,IF(AV35&gt;0,AV35-1,0))</f>
        <v>0</v>
      </c>
      <c r="AW36" s="16">
        <f t="shared" ref="AW36:AW67" si="37">IF(W36,ants_spell_time,IF(AW35&gt;0,AW35-1,0))</f>
        <v>0</v>
      </c>
      <c r="AX36" s="16">
        <f t="shared" ref="AX36:AX67" si="38">IF(X36,armada_spell_time,IF(AX35&gt;0,AX35-1,0))</f>
        <v>0</v>
      </c>
      <c r="AY36" s="16">
        <f t="shared" ref="AY36:AY67" si="39">IF(Y36,lux_spell_time,IF(AY35&gt;0,AY35-1,0))</f>
        <v>0</v>
      </c>
      <c r="AZ36" s="16">
        <f t="shared" ref="AZ36:AZ67" si="40">IF(Z36,growth_spell_time,IF(AZ35&gt;0,AZ35-1,0))</f>
        <v>0</v>
      </c>
      <c r="BA36" s="16">
        <f t="shared" ref="BA36:BA67" si="41">IF(AA36,impgnome_spell_time,IF(BA35&gt;0,BA35-1,0))</f>
        <v>0</v>
      </c>
      <c r="BB36" s="1382">
        <f>IF(AB36,VLOOKUP(IF(ISNUMBER(MATCH(Overview!$B$14,useless_spell_races,0)),Overview!$B$14,"Other"),Constants!$P$89:$S$102,4,FALSE),IF(BB35&gt;0,BB35-1,0))</f>
        <v>0</v>
      </c>
    </row>
    <row r="37" spans="1:54" s="16" customFormat="1">
      <c r="A37" s="987">
        <f>Rezone!J37</f>
        <v>35</v>
      </c>
      <c r="B37" s="16">
        <f>Construction!E37</f>
        <v>1000</v>
      </c>
      <c r="C37" s="26">
        <f ca="1">Production!K37</f>
        <v>41117</v>
      </c>
      <c r="D37" s="62">
        <f>MIN(1,D36+0.04+ROUNDDOWN(10*Military!BN36,0)+MAX(Techs!AN36,Techs!AW36*3))-AE37</f>
        <v>1</v>
      </c>
      <c r="E37" s="532">
        <f t="shared" si="24"/>
        <v>43693.416666666584</v>
      </c>
      <c r="F37" s="62">
        <f ca="1">Imps!J37</f>
        <v>1</v>
      </c>
      <c r="G37" s="393"/>
      <c r="H37" s="394"/>
      <c r="I37" s="394"/>
      <c r="J37" s="394"/>
      <c r="K37" s="380"/>
      <c r="L37" s="393"/>
      <c r="M37" s="394"/>
      <c r="N37" s="380"/>
      <c r="O37" s="380"/>
      <c r="P37" s="380"/>
      <c r="Q37" s="380"/>
      <c r="R37" s="380"/>
      <c r="S37" s="380"/>
      <c r="T37" s="380"/>
      <c r="U37" s="380"/>
      <c r="V37" s="380"/>
      <c r="W37" s="380"/>
      <c r="X37" s="380"/>
      <c r="Y37" s="380"/>
      <c r="Z37" s="380"/>
      <c r="AA37" s="380"/>
      <c r="AB37" s="395"/>
      <c r="AD37" s="152">
        <f>(MAX(1-wg_spell_cost_cap,1-wg_spell_cost_red*ROUND(Construction!BM37/Construction!E37,4))+Constants!$M$45*Techs!AL37)*(B37-Explore!S37*20)*(G37*Constants!$B$72+H37*Constants!$B$73+I37*Constants!$B$74+J37*Constants!$B$76+K37*Constants!$B$75+L37*dwarf_spell_cost+M37*halfling_spell_cost + N37*sylvan_spell_cost + O37*woodelf_spell_cost + P37*kobold_spell_cost + Q37*icekin_spell_cost + R37*firewalker_spell_cost + S37*nox_spell_cost + T37*human_spell_cost + U37*goblin_spell_cost + V37*orc_spell_cost + W37*ants_spell_cost + X37*armada_spell_cost + Y37*lux_spell_cost + Z37*growth_spell_cost + AA37*impgnome_spell_cost + AB37*VLOOKUP(IF(ISNUMBER(MATCH(Overview!$B$14,useless_spell_races,0)),Overview!$B$14,"Other"),Constants!$P$89:$S$102,3,FALSE))</f>
        <v>0</v>
      </c>
      <c r="AE37" s="62">
        <f t="shared" si="25"/>
        <v>0</v>
      </c>
      <c r="AG37" s="635">
        <f t="shared" si="19"/>
        <v>0</v>
      </c>
      <c r="AH37" s="529">
        <f t="shared" si="20"/>
        <v>0</v>
      </c>
      <c r="AI37" s="529">
        <f t="shared" si="21"/>
        <v>0</v>
      </c>
      <c r="AJ37" s="529">
        <f t="shared" si="22"/>
        <v>0</v>
      </c>
      <c r="AK37" s="527">
        <f t="shared" si="23"/>
        <v>0</v>
      </c>
      <c r="AL37" s="529">
        <f t="shared" si="26"/>
        <v>0</v>
      </c>
      <c r="AM37" s="529">
        <f t="shared" si="27"/>
        <v>0</v>
      </c>
      <c r="AN37" s="529">
        <f t="shared" si="28"/>
        <v>0</v>
      </c>
      <c r="AO37" s="529">
        <f t="shared" si="29"/>
        <v>0</v>
      </c>
      <c r="AP37" s="529">
        <f t="shared" si="30"/>
        <v>0</v>
      </c>
      <c r="AQ37" s="529">
        <f t="shared" si="31"/>
        <v>0</v>
      </c>
      <c r="AR37" s="958">
        <f t="shared" si="32"/>
        <v>0</v>
      </c>
      <c r="AS37" s="958">
        <f t="shared" si="33"/>
        <v>0</v>
      </c>
      <c r="AT37" s="958">
        <f t="shared" si="34"/>
        <v>0</v>
      </c>
      <c r="AU37" s="958">
        <f t="shared" si="35"/>
        <v>0</v>
      </c>
      <c r="AV37" s="958">
        <f t="shared" si="36"/>
        <v>0</v>
      </c>
      <c r="AW37" s="16">
        <f t="shared" si="37"/>
        <v>0</v>
      </c>
      <c r="AX37" s="16">
        <f t="shared" si="38"/>
        <v>0</v>
      </c>
      <c r="AY37" s="16">
        <f t="shared" si="39"/>
        <v>0</v>
      </c>
      <c r="AZ37" s="16">
        <f t="shared" si="40"/>
        <v>0</v>
      </c>
      <c r="BA37" s="16">
        <f t="shared" si="41"/>
        <v>0</v>
      </c>
      <c r="BB37" s="1382">
        <f>IF(AB37,VLOOKUP(IF(ISNUMBER(MATCH(Overview!$B$14,useless_spell_races,0)),Overview!$B$14,"Other"),Constants!$P$89:$S$102,4,FALSE),IF(BB36&gt;0,BB36-1,0))</f>
        <v>0</v>
      </c>
    </row>
    <row r="38" spans="1:54" s="16" customFormat="1">
      <c r="A38" s="987">
        <f>Rezone!J38</f>
        <v>36</v>
      </c>
      <c r="B38" s="16">
        <f>Construction!E38</f>
        <v>1000</v>
      </c>
      <c r="C38" s="26">
        <f ca="1">Production!K38</f>
        <v>41545</v>
      </c>
      <c r="D38" s="62">
        <f>MIN(1,D37+0.04+ROUNDDOWN(10*Military!BN37,0)+MAX(Techs!AN37,Techs!AW37*3))-AE38</f>
        <v>1</v>
      </c>
      <c r="E38" s="532">
        <f t="shared" si="24"/>
        <v>43693.458333333248</v>
      </c>
      <c r="F38" s="62">
        <f ca="1">Imps!J38</f>
        <v>1</v>
      </c>
      <c r="G38" s="393"/>
      <c r="H38" s="394"/>
      <c r="I38" s="394"/>
      <c r="J38" s="394"/>
      <c r="K38" s="380"/>
      <c r="L38" s="393"/>
      <c r="M38" s="394"/>
      <c r="N38" s="380"/>
      <c r="O38" s="380"/>
      <c r="P38" s="380"/>
      <c r="Q38" s="380"/>
      <c r="R38" s="380"/>
      <c r="S38" s="380"/>
      <c r="T38" s="380"/>
      <c r="U38" s="380"/>
      <c r="V38" s="380"/>
      <c r="W38" s="380"/>
      <c r="X38" s="380"/>
      <c r="Y38" s="380"/>
      <c r="Z38" s="380"/>
      <c r="AA38" s="380"/>
      <c r="AB38" s="395"/>
      <c r="AD38" s="152">
        <f>(MAX(1-wg_spell_cost_cap,1-wg_spell_cost_red*ROUND(Construction!BM38/Construction!E38,4))+Constants!$M$45*Techs!AL38)*(B38-Explore!S38*20)*(G38*Constants!$B$72+H38*Constants!$B$73+I38*Constants!$B$74+J38*Constants!$B$76+K38*Constants!$B$75+L38*dwarf_spell_cost+M38*halfling_spell_cost + N38*sylvan_spell_cost + O38*woodelf_spell_cost + P38*kobold_spell_cost + Q38*icekin_spell_cost + R38*firewalker_spell_cost + S38*nox_spell_cost + T38*human_spell_cost + U38*goblin_spell_cost + V38*orc_spell_cost + W38*ants_spell_cost + X38*armada_spell_cost + Y38*lux_spell_cost + Z38*growth_spell_cost + AA38*impgnome_spell_cost + AB38*VLOOKUP(IF(ISNUMBER(MATCH(Overview!$B$14,useless_spell_races,0)),Overview!$B$14,"Other"),Constants!$P$89:$S$102,3,FALSE))</f>
        <v>0</v>
      </c>
      <c r="AE38" s="62">
        <f t="shared" si="25"/>
        <v>0</v>
      </c>
      <c r="AG38" s="635">
        <f t="shared" si="19"/>
        <v>0</v>
      </c>
      <c r="AH38" s="529">
        <f t="shared" si="20"/>
        <v>0</v>
      </c>
      <c r="AI38" s="529">
        <f t="shared" si="21"/>
        <v>0</v>
      </c>
      <c r="AJ38" s="529">
        <f t="shared" si="22"/>
        <v>0</v>
      </c>
      <c r="AK38" s="527">
        <f t="shared" si="23"/>
        <v>0</v>
      </c>
      <c r="AL38" s="529">
        <f t="shared" si="26"/>
        <v>0</v>
      </c>
      <c r="AM38" s="529">
        <f t="shared" si="27"/>
        <v>0</v>
      </c>
      <c r="AN38" s="529">
        <f t="shared" si="28"/>
        <v>0</v>
      </c>
      <c r="AO38" s="529">
        <f t="shared" si="29"/>
        <v>0</v>
      </c>
      <c r="AP38" s="529">
        <f t="shared" si="30"/>
        <v>0</v>
      </c>
      <c r="AQ38" s="529">
        <f t="shared" si="31"/>
        <v>0</v>
      </c>
      <c r="AR38" s="958">
        <f t="shared" si="32"/>
        <v>0</v>
      </c>
      <c r="AS38" s="958">
        <f t="shared" si="33"/>
        <v>0</v>
      </c>
      <c r="AT38" s="958">
        <f t="shared" si="34"/>
        <v>0</v>
      </c>
      <c r="AU38" s="958">
        <f t="shared" si="35"/>
        <v>0</v>
      </c>
      <c r="AV38" s="958">
        <f t="shared" si="36"/>
        <v>0</v>
      </c>
      <c r="AW38" s="16">
        <f t="shared" si="37"/>
        <v>0</v>
      </c>
      <c r="AX38" s="16">
        <f t="shared" si="38"/>
        <v>0</v>
      </c>
      <c r="AY38" s="16">
        <f t="shared" si="39"/>
        <v>0</v>
      </c>
      <c r="AZ38" s="16">
        <f t="shared" si="40"/>
        <v>0</v>
      </c>
      <c r="BA38" s="16">
        <f t="shared" si="41"/>
        <v>0</v>
      </c>
      <c r="BB38" s="1382">
        <f>IF(AB38,VLOOKUP(IF(ISNUMBER(MATCH(Overview!$B$14,useless_spell_races,0)),Overview!$B$14,"Other"),Constants!$P$89:$S$102,4,FALSE),IF(BB37&gt;0,BB37-1,0))</f>
        <v>0</v>
      </c>
    </row>
    <row r="39" spans="1:54" s="12" customFormat="1">
      <c r="A39" s="990">
        <f>Rezone!J39</f>
        <v>37</v>
      </c>
      <c r="B39" s="12">
        <f>Construction!E39</f>
        <v>1000</v>
      </c>
      <c r="C39" s="13">
        <f ca="1">Production!K39</f>
        <v>41964</v>
      </c>
      <c r="D39" s="61">
        <f>MIN(1,D38+0.04+ROUNDDOWN(10*Military!BN38,0)+MAX(Techs!AN38,Techs!AW38*3))-AE39</f>
        <v>1</v>
      </c>
      <c r="E39" s="533">
        <f t="shared" si="24"/>
        <v>43693.499999999913</v>
      </c>
      <c r="F39" s="61">
        <f ca="1">Imps!J39</f>
        <v>1</v>
      </c>
      <c r="G39" s="400"/>
      <c r="H39" s="388"/>
      <c r="I39" s="401"/>
      <c r="J39" s="401"/>
      <c r="K39" s="382"/>
      <c r="L39" s="400"/>
      <c r="M39" s="401"/>
      <c r="N39" s="382"/>
      <c r="O39" s="382"/>
      <c r="P39" s="382"/>
      <c r="Q39" s="382"/>
      <c r="R39" s="382"/>
      <c r="S39" s="382"/>
      <c r="T39" s="382"/>
      <c r="U39" s="382"/>
      <c r="V39" s="382"/>
      <c r="W39" s="382"/>
      <c r="X39" s="382"/>
      <c r="Y39" s="382"/>
      <c r="Z39" s="382"/>
      <c r="AA39" s="382"/>
      <c r="AB39" s="402"/>
      <c r="AD39" s="151">
        <f>(MAX(1-wg_spell_cost_cap,1-wg_spell_cost_red*ROUND(Construction!BM39/Construction!E39,4))+Constants!$M$45*Techs!AL39)*(B39-Explore!S39*20)*(G39*Constants!$B$72+H39*Constants!$B$73+I39*Constants!$B$74+J39*Constants!$B$76+K39*Constants!$B$75+L39*dwarf_spell_cost+M39*halfling_spell_cost + N39*sylvan_spell_cost + O39*woodelf_spell_cost + P39*kobold_spell_cost + Q39*icekin_spell_cost + R39*firewalker_spell_cost + S39*nox_spell_cost + T39*human_spell_cost + U39*goblin_spell_cost + V39*orc_spell_cost + W39*ants_spell_cost + X39*armada_spell_cost + Y39*lux_spell_cost + Z39*growth_spell_cost + AA39*impgnome_spell_cost + AB39*VLOOKUP(IF(ISNUMBER(MATCH(Overview!$B$14,useless_spell_races,0)),Overview!$B$14,"Other"),Constants!$P$89:$S$102,3,FALSE))</f>
        <v>0</v>
      </c>
      <c r="AE39" s="61">
        <f t="shared" si="25"/>
        <v>0</v>
      </c>
      <c r="AG39" s="755">
        <f t="shared" si="19"/>
        <v>0</v>
      </c>
      <c r="AH39" s="631">
        <f t="shared" si="20"/>
        <v>0</v>
      </c>
      <c r="AI39" s="631">
        <f t="shared" si="21"/>
        <v>0</v>
      </c>
      <c r="AJ39" s="631">
        <f t="shared" si="22"/>
        <v>0</v>
      </c>
      <c r="AK39" s="551">
        <f t="shared" si="23"/>
        <v>0</v>
      </c>
      <c r="AL39" s="631">
        <f t="shared" si="26"/>
        <v>0</v>
      </c>
      <c r="AM39" s="631">
        <f t="shared" si="27"/>
        <v>0</v>
      </c>
      <c r="AN39" s="631">
        <f t="shared" si="28"/>
        <v>0</v>
      </c>
      <c r="AO39" s="631">
        <f t="shared" si="29"/>
        <v>0</v>
      </c>
      <c r="AP39" s="631">
        <f t="shared" si="30"/>
        <v>0</v>
      </c>
      <c r="AQ39" s="631">
        <f t="shared" si="31"/>
        <v>0</v>
      </c>
      <c r="AR39" s="804">
        <f t="shared" si="32"/>
        <v>0</v>
      </c>
      <c r="AS39" s="804">
        <f t="shared" si="33"/>
        <v>0</v>
      </c>
      <c r="AT39" s="804">
        <f t="shared" si="34"/>
        <v>0</v>
      </c>
      <c r="AU39" s="804">
        <f t="shared" si="35"/>
        <v>0</v>
      </c>
      <c r="AV39" s="804">
        <f t="shared" si="36"/>
        <v>0</v>
      </c>
      <c r="AW39" s="12">
        <f t="shared" si="37"/>
        <v>0</v>
      </c>
      <c r="AX39" s="12">
        <f t="shared" si="38"/>
        <v>0</v>
      </c>
      <c r="AY39" s="12">
        <f t="shared" si="39"/>
        <v>0</v>
      </c>
      <c r="AZ39" s="12">
        <f t="shared" si="40"/>
        <v>0</v>
      </c>
      <c r="BA39" s="12">
        <f t="shared" si="41"/>
        <v>0</v>
      </c>
      <c r="BB39" s="1385">
        <f>IF(AB39,VLOOKUP(IF(ISNUMBER(MATCH(Overview!$B$14,useless_spell_races,0)),Overview!$B$14,"Other"),Constants!$P$89:$S$102,4,FALSE),IF(BB38&gt;0,BB38-1,0))</f>
        <v>0</v>
      </c>
    </row>
    <row r="40" spans="1:54" s="15" customFormat="1">
      <c r="A40" s="1004">
        <f>Rezone!J40</f>
        <v>38</v>
      </c>
      <c r="B40" s="15">
        <f>Construction!E40</f>
        <v>1000</v>
      </c>
      <c r="C40" s="23">
        <f ca="1">Production!K40</f>
        <v>42375</v>
      </c>
      <c r="D40" s="62">
        <f>MIN(1,D39+0.04+ROUNDDOWN(10*Military!BN39,0)+MAX(Techs!AN39,Techs!AW39*3))-AE40</f>
        <v>1</v>
      </c>
      <c r="E40" s="532">
        <f t="shared" si="24"/>
        <v>43693.541666666577</v>
      </c>
      <c r="F40" s="62">
        <f ca="1">Imps!J40</f>
        <v>1</v>
      </c>
      <c r="G40" s="393"/>
      <c r="H40" s="394"/>
      <c r="I40" s="394"/>
      <c r="J40" s="394"/>
      <c r="K40" s="380"/>
      <c r="L40" s="393"/>
      <c r="M40" s="394"/>
      <c r="N40" s="380"/>
      <c r="O40" s="380"/>
      <c r="P40" s="380"/>
      <c r="Q40" s="380"/>
      <c r="R40" s="380"/>
      <c r="S40" s="380"/>
      <c r="T40" s="380"/>
      <c r="U40" s="380"/>
      <c r="V40" s="380"/>
      <c r="W40" s="380"/>
      <c r="X40" s="380"/>
      <c r="Y40" s="380"/>
      <c r="Z40" s="380"/>
      <c r="AA40" s="380"/>
      <c r="AB40" s="395"/>
      <c r="AC40" s="16"/>
      <c r="AD40" s="152">
        <f>(MAX(1-wg_spell_cost_cap,1-wg_spell_cost_red*ROUND(Construction!BM40/Construction!E40,4))+Constants!$M$45*Techs!AL40)*(B40-Explore!S40*20)*(G40*Constants!$B$72+H40*Constants!$B$73+I40*Constants!$B$74+J40*Constants!$B$76+K40*Constants!$B$75+L40*dwarf_spell_cost+M40*halfling_spell_cost + N40*sylvan_spell_cost + O40*woodelf_spell_cost + P40*kobold_spell_cost + Q40*icekin_spell_cost + R40*firewalker_spell_cost + S40*nox_spell_cost + T40*human_spell_cost + U40*goblin_spell_cost + V40*orc_spell_cost + W40*ants_spell_cost + X40*armada_spell_cost + Y40*lux_spell_cost + Z40*growth_spell_cost + AA40*impgnome_spell_cost + AB40*VLOOKUP(IF(ISNUMBER(MATCH(Overview!$B$14,useless_spell_races,0)),Overview!$B$14,"Other"),Constants!$P$89:$S$102,3,FALSE))</f>
        <v>0</v>
      </c>
      <c r="AE40" s="101">
        <f t="shared" si="25"/>
        <v>0</v>
      </c>
      <c r="AF40" s="16"/>
      <c r="AG40" s="756">
        <f t="shared" si="19"/>
        <v>0</v>
      </c>
      <c r="AH40" s="632">
        <f t="shared" si="20"/>
        <v>0</v>
      </c>
      <c r="AI40" s="632">
        <f t="shared" si="21"/>
        <v>0</v>
      </c>
      <c r="AJ40" s="632">
        <f t="shared" si="22"/>
        <v>0</v>
      </c>
      <c r="AK40" s="528">
        <f t="shared" si="23"/>
        <v>0</v>
      </c>
      <c r="AL40" s="632">
        <f t="shared" si="26"/>
        <v>0</v>
      </c>
      <c r="AM40" s="632">
        <f t="shared" si="27"/>
        <v>0</v>
      </c>
      <c r="AN40" s="632">
        <f t="shared" si="28"/>
        <v>0</v>
      </c>
      <c r="AO40" s="632">
        <f t="shared" si="29"/>
        <v>0</v>
      </c>
      <c r="AP40" s="632">
        <f t="shared" si="30"/>
        <v>0</v>
      </c>
      <c r="AQ40" s="632">
        <f t="shared" si="31"/>
        <v>0</v>
      </c>
      <c r="AR40" s="958">
        <f t="shared" si="32"/>
        <v>0</v>
      </c>
      <c r="AS40" s="958">
        <f t="shared" si="33"/>
        <v>0</v>
      </c>
      <c r="AT40" s="958">
        <f t="shared" si="34"/>
        <v>0</v>
      </c>
      <c r="AU40" s="958">
        <f t="shared" si="35"/>
        <v>0</v>
      </c>
      <c r="AV40" s="958">
        <f t="shared" si="36"/>
        <v>0</v>
      </c>
      <c r="AW40" s="15">
        <f t="shared" si="37"/>
        <v>0</v>
      </c>
      <c r="AX40" s="15">
        <f t="shared" si="38"/>
        <v>0</v>
      </c>
      <c r="AY40" s="15">
        <f t="shared" si="39"/>
        <v>0</v>
      </c>
      <c r="AZ40" s="15">
        <f t="shared" si="40"/>
        <v>0</v>
      </c>
      <c r="BA40" s="15">
        <f t="shared" si="41"/>
        <v>0</v>
      </c>
      <c r="BB40" s="1386">
        <f>IF(AB40,VLOOKUP(IF(ISNUMBER(MATCH(Overview!$B$14,useless_spell_races,0)),Overview!$B$14,"Other"),Constants!$P$89:$S$102,4,FALSE),IF(BB39&gt;0,BB39-1,0))</f>
        <v>0</v>
      </c>
    </row>
    <row r="41" spans="1:54" s="16" customFormat="1">
      <c r="A41" s="987">
        <f>Rezone!J41</f>
        <v>39</v>
      </c>
      <c r="B41" s="16">
        <f>Construction!E41</f>
        <v>1000</v>
      </c>
      <c r="C41" s="26">
        <f ca="1">Production!K41</f>
        <v>42778</v>
      </c>
      <c r="D41" s="62">
        <f>MIN(1,D40+0.04+ROUNDDOWN(10*Military!BN40,0)+MAX(Techs!AN40,Techs!AW40*3))-AE41</f>
        <v>1</v>
      </c>
      <c r="E41" s="532">
        <f t="shared" si="24"/>
        <v>43693.583333333241</v>
      </c>
      <c r="F41" s="62">
        <f ca="1">Imps!J41</f>
        <v>1</v>
      </c>
      <c r="G41" s="393"/>
      <c r="H41" s="394"/>
      <c r="I41" s="394"/>
      <c r="J41" s="394"/>
      <c r="K41" s="380"/>
      <c r="L41" s="393"/>
      <c r="M41" s="394"/>
      <c r="N41" s="380"/>
      <c r="O41" s="380"/>
      <c r="P41" s="380"/>
      <c r="Q41" s="380"/>
      <c r="R41" s="380"/>
      <c r="S41" s="380"/>
      <c r="T41" s="380"/>
      <c r="U41" s="380"/>
      <c r="V41" s="380"/>
      <c r="W41" s="380"/>
      <c r="X41" s="380"/>
      <c r="Y41" s="380"/>
      <c r="Z41" s="380"/>
      <c r="AA41" s="380"/>
      <c r="AB41" s="395"/>
      <c r="AD41" s="152">
        <f>(MAX(1-wg_spell_cost_cap,1-wg_spell_cost_red*ROUND(Construction!BM41/Construction!E41,4))+Constants!$M$45*Techs!AL41)*(B41-Explore!S41*20)*(G41*Constants!$B$72+H41*Constants!$B$73+I41*Constants!$B$74+J41*Constants!$B$76+K41*Constants!$B$75+L41*dwarf_spell_cost+M41*halfling_spell_cost + N41*sylvan_spell_cost + O41*woodelf_spell_cost + P41*kobold_spell_cost + Q41*icekin_spell_cost + R41*firewalker_spell_cost + S41*nox_spell_cost + T41*human_spell_cost + U41*goblin_spell_cost + V41*orc_spell_cost + W41*ants_spell_cost + X41*armada_spell_cost + Y41*lux_spell_cost + Z41*growth_spell_cost + AA41*impgnome_spell_cost + AB41*VLOOKUP(IF(ISNUMBER(MATCH(Overview!$B$14,useless_spell_races,0)),Overview!$B$14,"Other"),Constants!$P$89:$S$102,3,FALSE))</f>
        <v>0</v>
      </c>
      <c r="AE41" s="62">
        <f t="shared" si="25"/>
        <v>0</v>
      </c>
      <c r="AG41" s="635">
        <f t="shared" si="19"/>
        <v>0</v>
      </c>
      <c r="AH41" s="529">
        <f t="shared" si="20"/>
        <v>0</v>
      </c>
      <c r="AI41" s="529">
        <f t="shared" si="21"/>
        <v>0</v>
      </c>
      <c r="AJ41" s="529">
        <f t="shared" si="22"/>
        <v>0</v>
      </c>
      <c r="AK41" s="527">
        <f t="shared" si="23"/>
        <v>0</v>
      </c>
      <c r="AL41" s="529">
        <f t="shared" si="26"/>
        <v>0</v>
      </c>
      <c r="AM41" s="529">
        <f t="shared" si="27"/>
        <v>0</v>
      </c>
      <c r="AN41" s="529">
        <f t="shared" si="28"/>
        <v>0</v>
      </c>
      <c r="AO41" s="529">
        <f t="shared" si="29"/>
        <v>0</v>
      </c>
      <c r="AP41" s="529">
        <f t="shared" si="30"/>
        <v>0</v>
      </c>
      <c r="AQ41" s="529">
        <f t="shared" si="31"/>
        <v>0</v>
      </c>
      <c r="AR41" s="958">
        <f t="shared" si="32"/>
        <v>0</v>
      </c>
      <c r="AS41" s="958">
        <f t="shared" si="33"/>
        <v>0</v>
      </c>
      <c r="AT41" s="958">
        <f t="shared" si="34"/>
        <v>0</v>
      </c>
      <c r="AU41" s="958">
        <f t="shared" si="35"/>
        <v>0</v>
      </c>
      <c r="AV41" s="958">
        <f t="shared" si="36"/>
        <v>0</v>
      </c>
      <c r="AW41" s="16">
        <f t="shared" si="37"/>
        <v>0</v>
      </c>
      <c r="AX41" s="16">
        <f t="shared" si="38"/>
        <v>0</v>
      </c>
      <c r="AY41" s="16">
        <f t="shared" si="39"/>
        <v>0</v>
      </c>
      <c r="AZ41" s="16">
        <f t="shared" si="40"/>
        <v>0</v>
      </c>
      <c r="BA41" s="16">
        <f t="shared" si="41"/>
        <v>0</v>
      </c>
      <c r="BB41" s="1382">
        <f>IF(AB41,VLOOKUP(IF(ISNUMBER(MATCH(Overview!$B$14,useless_spell_races,0)),Overview!$B$14,"Other"),Constants!$P$89:$S$102,4,FALSE),IF(BB40&gt;0,BB40-1,0))</f>
        <v>0</v>
      </c>
    </row>
    <row r="42" spans="1:54" s="16" customFormat="1">
      <c r="A42" s="987">
        <f>Rezone!J42</f>
        <v>40</v>
      </c>
      <c r="B42" s="16">
        <f>Construction!E42</f>
        <v>1000</v>
      </c>
      <c r="C42" s="26">
        <f ca="1">Production!K42</f>
        <v>43172</v>
      </c>
      <c r="D42" s="62">
        <f>MIN(1,D41+0.04+ROUNDDOWN(10*Military!BN41,0)+MAX(Techs!AN41,Techs!AW41*3))-AE42</f>
        <v>1</v>
      </c>
      <c r="E42" s="532">
        <f t="shared" si="24"/>
        <v>43693.624999999905</v>
      </c>
      <c r="F42" s="62">
        <f ca="1">Imps!J42</f>
        <v>1</v>
      </c>
      <c r="G42" s="393"/>
      <c r="H42" s="394"/>
      <c r="I42" s="394"/>
      <c r="J42" s="394"/>
      <c r="K42" s="380"/>
      <c r="L42" s="393"/>
      <c r="M42" s="394"/>
      <c r="N42" s="380"/>
      <c r="O42" s="380"/>
      <c r="P42" s="380"/>
      <c r="Q42" s="380"/>
      <c r="R42" s="380"/>
      <c r="S42" s="380"/>
      <c r="T42" s="380"/>
      <c r="U42" s="380"/>
      <c r="V42" s="380"/>
      <c r="W42" s="380"/>
      <c r="X42" s="380"/>
      <c r="Y42" s="380"/>
      <c r="Z42" s="380"/>
      <c r="AA42" s="380"/>
      <c r="AB42" s="395"/>
      <c r="AD42" s="152">
        <f>(MAX(1-wg_spell_cost_cap,1-wg_spell_cost_red*ROUND(Construction!BM42/Construction!E42,4))+Constants!$M$45*Techs!AL42)*(B42-Explore!S42*20)*(G42*Constants!$B$72+H42*Constants!$B$73+I42*Constants!$B$74+J42*Constants!$B$76+K42*Constants!$B$75+L42*dwarf_spell_cost+M42*halfling_spell_cost + N42*sylvan_spell_cost + O42*woodelf_spell_cost + P42*kobold_spell_cost + Q42*icekin_spell_cost + R42*firewalker_spell_cost + S42*nox_spell_cost + T42*human_spell_cost + U42*goblin_spell_cost + V42*orc_spell_cost + W42*ants_spell_cost + X42*armada_spell_cost + Y42*lux_spell_cost + Z42*growth_spell_cost + AA42*impgnome_spell_cost + AB42*VLOOKUP(IF(ISNUMBER(MATCH(Overview!$B$14,useless_spell_races,0)),Overview!$B$14,"Other"),Constants!$P$89:$S$102,3,FALSE))</f>
        <v>0</v>
      </c>
      <c r="AE42" s="62">
        <f t="shared" si="25"/>
        <v>0</v>
      </c>
      <c r="AG42" s="635">
        <f t="shared" si="19"/>
        <v>0</v>
      </c>
      <c r="AH42" s="529">
        <f t="shared" si="20"/>
        <v>0</v>
      </c>
      <c r="AI42" s="529">
        <f t="shared" si="21"/>
        <v>0</v>
      </c>
      <c r="AJ42" s="529">
        <f t="shared" si="22"/>
        <v>0</v>
      </c>
      <c r="AK42" s="527">
        <f t="shared" si="23"/>
        <v>0</v>
      </c>
      <c r="AL42" s="529">
        <f t="shared" si="26"/>
        <v>0</v>
      </c>
      <c r="AM42" s="529">
        <f t="shared" si="27"/>
        <v>0</v>
      </c>
      <c r="AN42" s="529">
        <f t="shared" si="28"/>
        <v>0</v>
      </c>
      <c r="AO42" s="529">
        <f t="shared" si="29"/>
        <v>0</v>
      </c>
      <c r="AP42" s="529">
        <f t="shared" si="30"/>
        <v>0</v>
      </c>
      <c r="AQ42" s="529">
        <f t="shared" si="31"/>
        <v>0</v>
      </c>
      <c r="AR42" s="958">
        <f t="shared" si="32"/>
        <v>0</v>
      </c>
      <c r="AS42" s="958">
        <f t="shared" si="33"/>
        <v>0</v>
      </c>
      <c r="AT42" s="958">
        <f t="shared" si="34"/>
        <v>0</v>
      </c>
      <c r="AU42" s="958">
        <f t="shared" si="35"/>
        <v>0</v>
      </c>
      <c r="AV42" s="958">
        <f t="shared" si="36"/>
        <v>0</v>
      </c>
      <c r="AW42" s="16">
        <f t="shared" si="37"/>
        <v>0</v>
      </c>
      <c r="AX42" s="16">
        <f t="shared" si="38"/>
        <v>0</v>
      </c>
      <c r="AY42" s="16">
        <f t="shared" si="39"/>
        <v>0</v>
      </c>
      <c r="AZ42" s="16">
        <f t="shared" si="40"/>
        <v>0</v>
      </c>
      <c r="BA42" s="16">
        <f t="shared" si="41"/>
        <v>0</v>
      </c>
      <c r="BB42" s="1382">
        <f>IF(AB42,VLOOKUP(IF(ISNUMBER(MATCH(Overview!$B$14,useless_spell_races,0)),Overview!$B$14,"Other"),Constants!$P$89:$S$102,4,FALSE),IF(BB41&gt;0,BB41-1,0))</f>
        <v>0</v>
      </c>
    </row>
    <row r="43" spans="1:54" s="16" customFormat="1">
      <c r="A43" s="987">
        <f>Rezone!J43</f>
        <v>41</v>
      </c>
      <c r="B43" s="16">
        <f>Construction!E43</f>
        <v>1000</v>
      </c>
      <c r="C43" s="26">
        <f ca="1">Production!K43</f>
        <v>43559</v>
      </c>
      <c r="D43" s="62">
        <f>MIN(1,D42+0.04+ROUNDDOWN(10*Military!BN42,0)+MAX(Techs!AN42,Techs!AW42*3))-AE43</f>
        <v>1</v>
      </c>
      <c r="E43" s="532">
        <f t="shared" si="24"/>
        <v>43693.66666666657</v>
      </c>
      <c r="F43" s="62">
        <f ca="1">Imps!J43</f>
        <v>1</v>
      </c>
      <c r="G43" s="393"/>
      <c r="H43" s="394"/>
      <c r="I43" s="394"/>
      <c r="J43" s="394"/>
      <c r="K43" s="380"/>
      <c r="L43" s="393"/>
      <c r="M43" s="394"/>
      <c r="N43" s="380"/>
      <c r="O43" s="380"/>
      <c r="P43" s="380"/>
      <c r="Q43" s="380"/>
      <c r="R43" s="380"/>
      <c r="S43" s="380"/>
      <c r="T43" s="380"/>
      <c r="U43" s="380"/>
      <c r="V43" s="380"/>
      <c r="W43" s="380"/>
      <c r="X43" s="380"/>
      <c r="Y43" s="380"/>
      <c r="Z43" s="380"/>
      <c r="AA43" s="380"/>
      <c r="AB43" s="395"/>
      <c r="AD43" s="152">
        <f>(MAX(1-wg_spell_cost_cap,1-wg_spell_cost_red*ROUND(Construction!BM43/Construction!E43,4))+Constants!$M$45*Techs!AL43)*(B43-Explore!S43*20)*(G43*Constants!$B$72+H43*Constants!$B$73+I43*Constants!$B$74+J43*Constants!$B$76+K43*Constants!$B$75+L43*dwarf_spell_cost+M43*halfling_spell_cost + N43*sylvan_spell_cost + O43*woodelf_spell_cost + P43*kobold_spell_cost + Q43*icekin_spell_cost + R43*firewalker_spell_cost + S43*nox_spell_cost + T43*human_spell_cost + U43*goblin_spell_cost + V43*orc_spell_cost + W43*ants_spell_cost + X43*armada_spell_cost + Y43*lux_spell_cost + Z43*growth_spell_cost + AA43*impgnome_spell_cost + AB43*VLOOKUP(IF(ISNUMBER(MATCH(Overview!$B$14,useless_spell_races,0)),Overview!$B$14,"Other"),Constants!$P$89:$S$102,3,FALSE))</f>
        <v>0</v>
      </c>
      <c r="AE43" s="62">
        <f t="shared" si="25"/>
        <v>0</v>
      </c>
      <c r="AG43" s="635">
        <f t="shared" si="19"/>
        <v>0</v>
      </c>
      <c r="AH43" s="529">
        <f t="shared" si="20"/>
        <v>0</v>
      </c>
      <c r="AI43" s="529">
        <f t="shared" si="21"/>
        <v>0</v>
      </c>
      <c r="AJ43" s="529">
        <f t="shared" si="22"/>
        <v>0</v>
      </c>
      <c r="AK43" s="527">
        <f t="shared" si="23"/>
        <v>0</v>
      </c>
      <c r="AL43" s="529">
        <f t="shared" si="26"/>
        <v>0</v>
      </c>
      <c r="AM43" s="529">
        <f t="shared" si="27"/>
        <v>0</v>
      </c>
      <c r="AN43" s="529">
        <f t="shared" si="28"/>
        <v>0</v>
      </c>
      <c r="AO43" s="529">
        <f t="shared" si="29"/>
        <v>0</v>
      </c>
      <c r="AP43" s="529">
        <f t="shared" si="30"/>
        <v>0</v>
      </c>
      <c r="AQ43" s="529">
        <f t="shared" si="31"/>
        <v>0</v>
      </c>
      <c r="AR43" s="958">
        <f t="shared" si="32"/>
        <v>0</v>
      </c>
      <c r="AS43" s="958">
        <f t="shared" si="33"/>
        <v>0</v>
      </c>
      <c r="AT43" s="958">
        <f t="shared" si="34"/>
        <v>0</v>
      </c>
      <c r="AU43" s="958">
        <f t="shared" si="35"/>
        <v>0</v>
      </c>
      <c r="AV43" s="958">
        <f t="shared" si="36"/>
        <v>0</v>
      </c>
      <c r="AW43" s="16">
        <f t="shared" si="37"/>
        <v>0</v>
      </c>
      <c r="AX43" s="16">
        <f t="shared" si="38"/>
        <v>0</v>
      </c>
      <c r="AY43" s="16">
        <f t="shared" si="39"/>
        <v>0</v>
      </c>
      <c r="AZ43" s="16">
        <f t="shared" si="40"/>
        <v>0</v>
      </c>
      <c r="BA43" s="16">
        <f t="shared" si="41"/>
        <v>0</v>
      </c>
      <c r="BB43" s="1382">
        <f>IF(AB43,VLOOKUP(IF(ISNUMBER(MATCH(Overview!$B$14,useless_spell_races,0)),Overview!$B$14,"Other"),Constants!$P$89:$S$102,4,FALSE),IF(BB42&gt;0,BB42-1,0))</f>
        <v>0</v>
      </c>
    </row>
    <row r="44" spans="1:54" s="16" customFormat="1">
      <c r="A44" s="987">
        <f>Rezone!J44</f>
        <v>42</v>
      </c>
      <c r="B44" s="16">
        <f>Construction!E44</f>
        <v>1000</v>
      </c>
      <c r="C44" s="26">
        <f ca="1">Production!K44</f>
        <v>43938</v>
      </c>
      <c r="D44" s="62">
        <f>MIN(1,D43+0.04+ROUNDDOWN(10*Military!BN43,0)+MAX(Techs!AN43,Techs!AW43*3))-AE44</f>
        <v>1</v>
      </c>
      <c r="E44" s="532">
        <f t="shared" si="24"/>
        <v>43693.708333333234</v>
      </c>
      <c r="F44" s="62">
        <f ca="1">Imps!J44</f>
        <v>1</v>
      </c>
      <c r="G44" s="393"/>
      <c r="H44" s="394"/>
      <c r="I44" s="394"/>
      <c r="J44" s="394"/>
      <c r="K44" s="380"/>
      <c r="L44" s="393"/>
      <c r="M44" s="394"/>
      <c r="N44" s="380"/>
      <c r="O44" s="380"/>
      <c r="P44" s="380"/>
      <c r="Q44" s="380"/>
      <c r="R44" s="380"/>
      <c r="S44" s="380"/>
      <c r="T44" s="380"/>
      <c r="U44" s="380"/>
      <c r="V44" s="380"/>
      <c r="W44" s="380"/>
      <c r="X44" s="380"/>
      <c r="Y44" s="380"/>
      <c r="Z44" s="380"/>
      <c r="AA44" s="380"/>
      <c r="AB44" s="395"/>
      <c r="AD44" s="152">
        <f>(MAX(1-wg_spell_cost_cap,1-wg_spell_cost_red*ROUND(Construction!BM44/Construction!E44,4))+Constants!$M$45*Techs!AL44)*(B44-Explore!S44*20)*(G44*Constants!$B$72+H44*Constants!$B$73+I44*Constants!$B$74+J44*Constants!$B$76+K44*Constants!$B$75+L44*dwarf_spell_cost+M44*halfling_spell_cost + N44*sylvan_spell_cost + O44*woodelf_spell_cost + P44*kobold_spell_cost + Q44*icekin_spell_cost + R44*firewalker_spell_cost + S44*nox_spell_cost + T44*human_spell_cost + U44*goblin_spell_cost + V44*orc_spell_cost + W44*ants_spell_cost + X44*armada_spell_cost + Y44*lux_spell_cost + Z44*growth_spell_cost + AA44*impgnome_spell_cost + AB44*VLOOKUP(IF(ISNUMBER(MATCH(Overview!$B$14,useless_spell_races,0)),Overview!$B$14,"Other"),Constants!$P$89:$S$102,3,FALSE))</f>
        <v>0</v>
      </c>
      <c r="AE44" s="62">
        <f t="shared" si="25"/>
        <v>0</v>
      </c>
      <c r="AG44" s="635">
        <f t="shared" si="19"/>
        <v>0</v>
      </c>
      <c r="AH44" s="529">
        <f t="shared" si="20"/>
        <v>0</v>
      </c>
      <c r="AI44" s="529">
        <f t="shared" si="21"/>
        <v>0</v>
      </c>
      <c r="AJ44" s="529">
        <f t="shared" si="22"/>
        <v>0</v>
      </c>
      <c r="AK44" s="527">
        <f t="shared" si="23"/>
        <v>0</v>
      </c>
      <c r="AL44" s="529">
        <f t="shared" si="26"/>
        <v>0</v>
      </c>
      <c r="AM44" s="529">
        <f t="shared" si="27"/>
        <v>0</v>
      </c>
      <c r="AN44" s="529">
        <f t="shared" si="28"/>
        <v>0</v>
      </c>
      <c r="AO44" s="529">
        <f t="shared" si="29"/>
        <v>0</v>
      </c>
      <c r="AP44" s="529">
        <f t="shared" si="30"/>
        <v>0</v>
      </c>
      <c r="AQ44" s="529">
        <f t="shared" si="31"/>
        <v>0</v>
      </c>
      <c r="AR44" s="958">
        <f t="shared" si="32"/>
        <v>0</v>
      </c>
      <c r="AS44" s="958">
        <f t="shared" si="33"/>
        <v>0</v>
      </c>
      <c r="AT44" s="958">
        <f t="shared" si="34"/>
        <v>0</v>
      </c>
      <c r="AU44" s="958">
        <f t="shared" si="35"/>
        <v>0</v>
      </c>
      <c r="AV44" s="958">
        <f t="shared" si="36"/>
        <v>0</v>
      </c>
      <c r="AW44" s="16">
        <f t="shared" si="37"/>
        <v>0</v>
      </c>
      <c r="AX44" s="16">
        <f t="shared" si="38"/>
        <v>0</v>
      </c>
      <c r="AY44" s="16">
        <f t="shared" si="39"/>
        <v>0</v>
      </c>
      <c r="AZ44" s="16">
        <f t="shared" si="40"/>
        <v>0</v>
      </c>
      <c r="BA44" s="16">
        <f t="shared" si="41"/>
        <v>0</v>
      </c>
      <c r="BB44" s="1382">
        <f>IF(AB44,VLOOKUP(IF(ISNUMBER(MATCH(Overview!$B$14,useless_spell_races,0)),Overview!$B$14,"Other"),Constants!$P$89:$S$102,4,FALSE),IF(BB43&gt;0,BB43-1,0))</f>
        <v>0</v>
      </c>
    </row>
    <row r="45" spans="1:54" s="16" customFormat="1">
      <c r="A45" s="987">
        <f>Rezone!J45</f>
        <v>43</v>
      </c>
      <c r="B45" s="16">
        <f>Construction!E45</f>
        <v>1000</v>
      </c>
      <c r="C45" s="26">
        <f ca="1">Production!K45</f>
        <v>44309</v>
      </c>
      <c r="D45" s="62">
        <f>MIN(1,D44+0.04+ROUNDDOWN(10*Military!BN44,0)+MAX(Techs!AN44,Techs!AW44*3))-AE45</f>
        <v>1</v>
      </c>
      <c r="E45" s="532">
        <f t="shared" si="24"/>
        <v>43693.749999999898</v>
      </c>
      <c r="F45" s="62">
        <f ca="1">Imps!J45</f>
        <v>1</v>
      </c>
      <c r="G45" s="393"/>
      <c r="H45" s="394"/>
      <c r="I45" s="394"/>
      <c r="J45" s="394"/>
      <c r="K45" s="380"/>
      <c r="L45" s="393"/>
      <c r="M45" s="394"/>
      <c r="N45" s="380"/>
      <c r="O45" s="380"/>
      <c r="P45" s="380"/>
      <c r="Q45" s="380"/>
      <c r="R45" s="380"/>
      <c r="S45" s="380"/>
      <c r="T45" s="380"/>
      <c r="U45" s="380"/>
      <c r="V45" s="380"/>
      <c r="W45" s="380"/>
      <c r="X45" s="380"/>
      <c r="Y45" s="380"/>
      <c r="Z45" s="380"/>
      <c r="AA45" s="380"/>
      <c r="AB45" s="395"/>
      <c r="AD45" s="152">
        <f>(MAX(1-wg_spell_cost_cap,1-wg_spell_cost_red*ROUND(Construction!BM45/Construction!E45,4))+Constants!$M$45*Techs!AL45)*(B45-Explore!S45*20)*(G45*Constants!$B$72+H45*Constants!$B$73+I45*Constants!$B$74+J45*Constants!$B$76+K45*Constants!$B$75+L45*dwarf_spell_cost+M45*halfling_spell_cost + N45*sylvan_spell_cost + O45*woodelf_spell_cost + P45*kobold_spell_cost + Q45*icekin_spell_cost + R45*firewalker_spell_cost + S45*nox_spell_cost + T45*human_spell_cost + U45*goblin_spell_cost + V45*orc_spell_cost + W45*ants_spell_cost + X45*armada_spell_cost + Y45*lux_spell_cost + Z45*growth_spell_cost + AA45*impgnome_spell_cost + AB45*VLOOKUP(IF(ISNUMBER(MATCH(Overview!$B$14,useless_spell_races,0)),Overview!$B$14,"Other"),Constants!$P$89:$S$102,3,FALSE))</f>
        <v>0</v>
      </c>
      <c r="AE45" s="62">
        <f t="shared" si="25"/>
        <v>0</v>
      </c>
      <c r="AG45" s="635">
        <f t="shared" si="19"/>
        <v>0</v>
      </c>
      <c r="AH45" s="529">
        <f t="shared" si="20"/>
        <v>0</v>
      </c>
      <c r="AI45" s="529">
        <f t="shared" si="21"/>
        <v>0</v>
      </c>
      <c r="AJ45" s="529">
        <f t="shared" si="22"/>
        <v>0</v>
      </c>
      <c r="AK45" s="527">
        <f t="shared" si="23"/>
        <v>0</v>
      </c>
      <c r="AL45" s="529">
        <f t="shared" si="26"/>
        <v>0</v>
      </c>
      <c r="AM45" s="529">
        <f t="shared" si="27"/>
        <v>0</v>
      </c>
      <c r="AN45" s="529">
        <f t="shared" si="28"/>
        <v>0</v>
      </c>
      <c r="AO45" s="529">
        <f t="shared" si="29"/>
        <v>0</v>
      </c>
      <c r="AP45" s="529">
        <f t="shared" si="30"/>
        <v>0</v>
      </c>
      <c r="AQ45" s="529">
        <f t="shared" si="31"/>
        <v>0</v>
      </c>
      <c r="AR45" s="958">
        <f t="shared" si="32"/>
        <v>0</v>
      </c>
      <c r="AS45" s="958">
        <f t="shared" si="33"/>
        <v>0</v>
      </c>
      <c r="AT45" s="958">
        <f t="shared" si="34"/>
        <v>0</v>
      </c>
      <c r="AU45" s="958">
        <f t="shared" si="35"/>
        <v>0</v>
      </c>
      <c r="AV45" s="958">
        <f t="shared" si="36"/>
        <v>0</v>
      </c>
      <c r="AW45" s="16">
        <f t="shared" si="37"/>
        <v>0</v>
      </c>
      <c r="AX45" s="16">
        <f t="shared" si="38"/>
        <v>0</v>
      </c>
      <c r="AY45" s="16">
        <f t="shared" si="39"/>
        <v>0</v>
      </c>
      <c r="AZ45" s="16">
        <f t="shared" si="40"/>
        <v>0</v>
      </c>
      <c r="BA45" s="16">
        <f t="shared" si="41"/>
        <v>0</v>
      </c>
      <c r="BB45" s="1382">
        <f>IF(AB45,VLOOKUP(IF(ISNUMBER(MATCH(Overview!$B$14,useless_spell_races,0)),Overview!$B$14,"Other"),Constants!$P$89:$S$102,4,FALSE),IF(BB44&gt;0,BB44-1,0))</f>
        <v>0</v>
      </c>
    </row>
    <row r="46" spans="1:54" s="16" customFormat="1">
      <c r="A46" s="987">
        <f>Rezone!J46</f>
        <v>44</v>
      </c>
      <c r="B46" s="16">
        <f>Construction!E46</f>
        <v>1000</v>
      </c>
      <c r="C46" s="26">
        <f ca="1">Production!K46</f>
        <v>44673</v>
      </c>
      <c r="D46" s="62">
        <f>MIN(1,D45+0.04+ROUNDDOWN(10*Military!BN45,0)+MAX(Techs!AN45,Techs!AW45*3))-AE46</f>
        <v>1</v>
      </c>
      <c r="E46" s="532">
        <f t="shared" si="24"/>
        <v>43693.791666666562</v>
      </c>
      <c r="F46" s="62">
        <f ca="1">Imps!J46</f>
        <v>1</v>
      </c>
      <c r="G46" s="393"/>
      <c r="H46" s="394"/>
      <c r="I46" s="394"/>
      <c r="J46" s="394"/>
      <c r="K46" s="380"/>
      <c r="L46" s="393"/>
      <c r="M46" s="394"/>
      <c r="N46" s="380"/>
      <c r="O46" s="380"/>
      <c r="P46" s="380"/>
      <c r="Q46" s="380"/>
      <c r="R46" s="380"/>
      <c r="S46" s="380"/>
      <c r="T46" s="380"/>
      <c r="U46" s="380"/>
      <c r="V46" s="380"/>
      <c r="W46" s="380"/>
      <c r="X46" s="380"/>
      <c r="Y46" s="380"/>
      <c r="Z46" s="380"/>
      <c r="AA46" s="380"/>
      <c r="AB46" s="395"/>
      <c r="AD46" s="152">
        <f>(MAX(1-wg_spell_cost_cap,1-wg_spell_cost_red*ROUND(Construction!BM46/Construction!E46,4))+Constants!$M$45*Techs!AL46)*(B46-Explore!S46*20)*(G46*Constants!$B$72+H46*Constants!$B$73+I46*Constants!$B$74+J46*Constants!$B$76+K46*Constants!$B$75+L46*dwarf_spell_cost+M46*halfling_spell_cost + N46*sylvan_spell_cost + O46*woodelf_spell_cost + P46*kobold_spell_cost + Q46*icekin_spell_cost + R46*firewalker_spell_cost + S46*nox_spell_cost + T46*human_spell_cost + U46*goblin_spell_cost + V46*orc_spell_cost + W46*ants_spell_cost + X46*armada_spell_cost + Y46*lux_spell_cost + Z46*growth_spell_cost + AA46*impgnome_spell_cost + AB46*VLOOKUP(IF(ISNUMBER(MATCH(Overview!$B$14,useless_spell_races,0)),Overview!$B$14,"Other"),Constants!$P$89:$S$102,3,FALSE))</f>
        <v>0</v>
      </c>
      <c r="AE46" s="62">
        <f t="shared" si="25"/>
        <v>0</v>
      </c>
      <c r="AG46" s="635">
        <f t="shared" si="19"/>
        <v>0</v>
      </c>
      <c r="AH46" s="529">
        <f t="shared" si="20"/>
        <v>0</v>
      </c>
      <c r="AI46" s="529">
        <f t="shared" si="21"/>
        <v>0</v>
      </c>
      <c r="AJ46" s="529">
        <f t="shared" si="22"/>
        <v>0</v>
      </c>
      <c r="AK46" s="527">
        <f t="shared" si="23"/>
        <v>0</v>
      </c>
      <c r="AL46" s="529">
        <f t="shared" si="26"/>
        <v>0</v>
      </c>
      <c r="AM46" s="529">
        <f t="shared" si="27"/>
        <v>0</v>
      </c>
      <c r="AN46" s="529">
        <f t="shared" si="28"/>
        <v>0</v>
      </c>
      <c r="AO46" s="529">
        <f t="shared" si="29"/>
        <v>0</v>
      </c>
      <c r="AP46" s="529">
        <f t="shared" si="30"/>
        <v>0</v>
      </c>
      <c r="AQ46" s="529">
        <f t="shared" si="31"/>
        <v>0</v>
      </c>
      <c r="AR46" s="958">
        <f t="shared" si="32"/>
        <v>0</v>
      </c>
      <c r="AS46" s="958">
        <f t="shared" si="33"/>
        <v>0</v>
      </c>
      <c r="AT46" s="958">
        <f t="shared" si="34"/>
        <v>0</v>
      </c>
      <c r="AU46" s="958">
        <f t="shared" si="35"/>
        <v>0</v>
      </c>
      <c r="AV46" s="958">
        <f t="shared" si="36"/>
        <v>0</v>
      </c>
      <c r="AW46" s="16">
        <f t="shared" si="37"/>
        <v>0</v>
      </c>
      <c r="AX46" s="16">
        <f t="shared" si="38"/>
        <v>0</v>
      </c>
      <c r="AY46" s="16">
        <f t="shared" si="39"/>
        <v>0</v>
      </c>
      <c r="AZ46" s="16">
        <f t="shared" si="40"/>
        <v>0</v>
      </c>
      <c r="BA46" s="16">
        <f t="shared" si="41"/>
        <v>0</v>
      </c>
      <c r="BB46" s="1382">
        <f>IF(AB46,VLOOKUP(IF(ISNUMBER(MATCH(Overview!$B$14,useless_spell_races,0)),Overview!$B$14,"Other"),Constants!$P$89:$S$102,4,FALSE),IF(BB45&gt;0,BB45-1,0))</f>
        <v>0</v>
      </c>
    </row>
    <row r="47" spans="1:54" s="16" customFormat="1">
      <c r="A47" s="987">
        <f>Rezone!J47</f>
        <v>45</v>
      </c>
      <c r="B47" s="16">
        <f>Construction!E47</f>
        <v>1000</v>
      </c>
      <c r="C47" s="26">
        <f ca="1">Production!K47</f>
        <v>45030</v>
      </c>
      <c r="D47" s="62">
        <f>MIN(1,D46+0.04+ROUNDDOWN(10*Military!BN46,0)+MAX(Techs!AN46,Techs!AW46*3))-AE47</f>
        <v>1</v>
      </c>
      <c r="E47" s="532">
        <f t="shared" si="24"/>
        <v>43693.833333333227</v>
      </c>
      <c r="F47" s="62">
        <f ca="1">Imps!J47</f>
        <v>1</v>
      </c>
      <c r="G47" s="393"/>
      <c r="H47" s="394"/>
      <c r="I47" s="394"/>
      <c r="J47" s="394"/>
      <c r="K47" s="380"/>
      <c r="L47" s="393"/>
      <c r="M47" s="394"/>
      <c r="N47" s="380"/>
      <c r="O47" s="380"/>
      <c r="P47" s="380"/>
      <c r="Q47" s="380"/>
      <c r="R47" s="380"/>
      <c r="S47" s="380"/>
      <c r="T47" s="380"/>
      <c r="U47" s="380"/>
      <c r="V47" s="380"/>
      <c r="W47" s="380"/>
      <c r="X47" s="380"/>
      <c r="Y47" s="380"/>
      <c r="Z47" s="380"/>
      <c r="AA47" s="380"/>
      <c r="AB47" s="395"/>
      <c r="AD47" s="152">
        <f>(MAX(1-wg_spell_cost_cap,1-wg_spell_cost_red*ROUND(Construction!BM47/Construction!E47,4))+Constants!$M$45*Techs!AL47)*(B47-Explore!S47*20)*(G47*Constants!$B$72+H47*Constants!$B$73+I47*Constants!$B$74+J47*Constants!$B$76+K47*Constants!$B$75+L47*dwarf_spell_cost+M47*halfling_spell_cost + N47*sylvan_spell_cost + O47*woodelf_spell_cost + P47*kobold_spell_cost + Q47*icekin_spell_cost + R47*firewalker_spell_cost + S47*nox_spell_cost + T47*human_spell_cost + U47*goblin_spell_cost + V47*orc_spell_cost + W47*ants_spell_cost + X47*armada_spell_cost + Y47*lux_spell_cost + Z47*growth_spell_cost + AA47*impgnome_spell_cost + AB47*VLOOKUP(IF(ISNUMBER(MATCH(Overview!$B$14,useless_spell_races,0)),Overview!$B$14,"Other"),Constants!$P$89:$S$102,3,FALSE))</f>
        <v>0</v>
      </c>
      <c r="AE47" s="62">
        <f t="shared" si="25"/>
        <v>0</v>
      </c>
      <c r="AG47" s="635">
        <f t="shared" si="19"/>
        <v>0</v>
      </c>
      <c r="AH47" s="529">
        <f t="shared" si="20"/>
        <v>0</v>
      </c>
      <c r="AI47" s="529">
        <f t="shared" si="21"/>
        <v>0</v>
      </c>
      <c r="AJ47" s="529">
        <f t="shared" si="22"/>
        <v>0</v>
      </c>
      <c r="AK47" s="527">
        <f t="shared" si="23"/>
        <v>0</v>
      </c>
      <c r="AL47" s="529">
        <f t="shared" si="26"/>
        <v>0</v>
      </c>
      <c r="AM47" s="529">
        <f t="shared" si="27"/>
        <v>0</v>
      </c>
      <c r="AN47" s="529">
        <f t="shared" si="28"/>
        <v>0</v>
      </c>
      <c r="AO47" s="529">
        <f t="shared" si="29"/>
        <v>0</v>
      </c>
      <c r="AP47" s="529">
        <f t="shared" si="30"/>
        <v>0</v>
      </c>
      <c r="AQ47" s="529">
        <f t="shared" si="31"/>
        <v>0</v>
      </c>
      <c r="AR47" s="958">
        <f t="shared" si="32"/>
        <v>0</v>
      </c>
      <c r="AS47" s="958">
        <f t="shared" si="33"/>
        <v>0</v>
      </c>
      <c r="AT47" s="958">
        <f t="shared" si="34"/>
        <v>0</v>
      </c>
      <c r="AU47" s="958">
        <f t="shared" si="35"/>
        <v>0</v>
      </c>
      <c r="AV47" s="958">
        <f t="shared" si="36"/>
        <v>0</v>
      </c>
      <c r="AW47" s="16">
        <f t="shared" si="37"/>
        <v>0</v>
      </c>
      <c r="AX47" s="16">
        <f t="shared" si="38"/>
        <v>0</v>
      </c>
      <c r="AY47" s="16">
        <f t="shared" si="39"/>
        <v>0</v>
      </c>
      <c r="AZ47" s="16">
        <f t="shared" si="40"/>
        <v>0</v>
      </c>
      <c r="BA47" s="16">
        <f t="shared" si="41"/>
        <v>0</v>
      </c>
      <c r="BB47" s="1382">
        <f>IF(AB47,VLOOKUP(IF(ISNUMBER(MATCH(Overview!$B$14,useless_spell_races,0)),Overview!$B$14,"Other"),Constants!$P$89:$S$102,4,FALSE),IF(BB46&gt;0,BB46-1,0))</f>
        <v>0</v>
      </c>
    </row>
    <row r="48" spans="1:54" s="16" customFormat="1">
      <c r="A48" s="987">
        <f>Rezone!J48</f>
        <v>46</v>
      </c>
      <c r="B48" s="16">
        <f>Construction!E48</f>
        <v>1000</v>
      </c>
      <c r="C48" s="26">
        <f ca="1">Production!K48</f>
        <v>45379</v>
      </c>
      <c r="D48" s="62">
        <f>MIN(1,D47+0.04+ROUNDDOWN(10*Military!BN47,0)+MAX(Techs!AN47,Techs!AW47*3))-AE48</f>
        <v>1</v>
      </c>
      <c r="E48" s="532">
        <f t="shared" si="24"/>
        <v>43693.874999999891</v>
      </c>
      <c r="F48" s="62">
        <f ca="1">Imps!J48</f>
        <v>1</v>
      </c>
      <c r="G48" s="393"/>
      <c r="H48" s="394"/>
      <c r="I48" s="394"/>
      <c r="J48" s="394"/>
      <c r="K48" s="380"/>
      <c r="L48" s="393"/>
      <c r="M48" s="394"/>
      <c r="N48" s="380"/>
      <c r="O48" s="380"/>
      <c r="P48" s="380"/>
      <c r="Q48" s="380"/>
      <c r="R48" s="380"/>
      <c r="S48" s="380"/>
      <c r="T48" s="380"/>
      <c r="U48" s="380"/>
      <c r="V48" s="380"/>
      <c r="W48" s="380"/>
      <c r="X48" s="380"/>
      <c r="Y48" s="380"/>
      <c r="Z48" s="380"/>
      <c r="AA48" s="380"/>
      <c r="AB48" s="395"/>
      <c r="AD48" s="152">
        <f>(MAX(1-wg_spell_cost_cap,1-wg_spell_cost_red*ROUND(Construction!BM48/Construction!E48,4))+Constants!$M$45*Techs!AL48)*(B48-Explore!S48*20)*(G48*Constants!$B$72+H48*Constants!$B$73+I48*Constants!$B$74+J48*Constants!$B$76+K48*Constants!$B$75+L48*dwarf_spell_cost+M48*halfling_spell_cost + N48*sylvan_spell_cost + O48*woodelf_spell_cost + P48*kobold_spell_cost + Q48*icekin_spell_cost + R48*firewalker_spell_cost + S48*nox_spell_cost + T48*human_spell_cost + U48*goblin_spell_cost + V48*orc_spell_cost + W48*ants_spell_cost + X48*armada_spell_cost + Y48*lux_spell_cost + Z48*growth_spell_cost + AA48*impgnome_spell_cost + AB48*VLOOKUP(IF(ISNUMBER(MATCH(Overview!$B$14,useless_spell_races,0)),Overview!$B$14,"Other"),Constants!$P$89:$S$102,3,FALSE))</f>
        <v>0</v>
      </c>
      <c r="AE48" s="62">
        <f t="shared" si="25"/>
        <v>0</v>
      </c>
      <c r="AG48" s="635">
        <f t="shared" si="19"/>
        <v>0</v>
      </c>
      <c r="AH48" s="529">
        <f t="shared" si="20"/>
        <v>0</v>
      </c>
      <c r="AI48" s="529">
        <f t="shared" si="21"/>
        <v>0</v>
      </c>
      <c r="AJ48" s="529">
        <f t="shared" si="22"/>
        <v>0</v>
      </c>
      <c r="AK48" s="527">
        <f t="shared" si="23"/>
        <v>0</v>
      </c>
      <c r="AL48" s="529">
        <f t="shared" si="26"/>
        <v>0</v>
      </c>
      <c r="AM48" s="529">
        <f t="shared" si="27"/>
        <v>0</v>
      </c>
      <c r="AN48" s="529">
        <f t="shared" si="28"/>
        <v>0</v>
      </c>
      <c r="AO48" s="529">
        <f t="shared" si="29"/>
        <v>0</v>
      </c>
      <c r="AP48" s="529">
        <f t="shared" si="30"/>
        <v>0</v>
      </c>
      <c r="AQ48" s="529">
        <f t="shared" si="31"/>
        <v>0</v>
      </c>
      <c r="AR48" s="958">
        <f t="shared" si="32"/>
        <v>0</v>
      </c>
      <c r="AS48" s="958">
        <f t="shared" si="33"/>
        <v>0</v>
      </c>
      <c r="AT48" s="958">
        <f t="shared" si="34"/>
        <v>0</v>
      </c>
      <c r="AU48" s="958">
        <f t="shared" si="35"/>
        <v>0</v>
      </c>
      <c r="AV48" s="958">
        <f t="shared" si="36"/>
        <v>0</v>
      </c>
      <c r="AW48" s="16">
        <f t="shared" si="37"/>
        <v>0</v>
      </c>
      <c r="AX48" s="16">
        <f t="shared" si="38"/>
        <v>0</v>
      </c>
      <c r="AY48" s="16">
        <f t="shared" si="39"/>
        <v>0</v>
      </c>
      <c r="AZ48" s="16">
        <f t="shared" si="40"/>
        <v>0</v>
      </c>
      <c r="BA48" s="16">
        <f t="shared" si="41"/>
        <v>0</v>
      </c>
      <c r="BB48" s="1382">
        <f>IF(AB48,VLOOKUP(IF(ISNUMBER(MATCH(Overview!$B$14,useless_spell_races,0)),Overview!$B$14,"Other"),Constants!$P$89:$S$102,4,FALSE),IF(BB47&gt;0,BB47-1,0))</f>
        <v>0</v>
      </c>
    </row>
    <row r="49" spans="1:54" s="16" customFormat="1">
      <c r="A49" s="987">
        <f>Rezone!J49</f>
        <v>47</v>
      </c>
      <c r="B49" s="16">
        <f>Construction!E49</f>
        <v>1000</v>
      </c>
      <c r="C49" s="26">
        <f ca="1">Production!K49</f>
        <v>45721</v>
      </c>
      <c r="D49" s="62">
        <f>MIN(1,D48+0.04+ROUNDDOWN(10*Military!BN48,0)+MAX(Techs!AN48,Techs!AW48*3))-AE49</f>
        <v>1</v>
      </c>
      <c r="E49" s="532">
        <f t="shared" si="24"/>
        <v>43693.916666666555</v>
      </c>
      <c r="F49" s="62">
        <f ca="1">Imps!J49</f>
        <v>1</v>
      </c>
      <c r="G49" s="393"/>
      <c r="H49" s="394"/>
      <c r="I49" s="394"/>
      <c r="J49" s="394"/>
      <c r="K49" s="380"/>
      <c r="L49" s="393"/>
      <c r="M49" s="394"/>
      <c r="N49" s="380"/>
      <c r="O49" s="380"/>
      <c r="P49" s="380"/>
      <c r="Q49" s="380"/>
      <c r="R49" s="380"/>
      <c r="S49" s="380"/>
      <c r="T49" s="380"/>
      <c r="U49" s="380"/>
      <c r="V49" s="380"/>
      <c r="W49" s="380"/>
      <c r="X49" s="380"/>
      <c r="Y49" s="380"/>
      <c r="Z49" s="380"/>
      <c r="AA49" s="380"/>
      <c r="AB49" s="395"/>
      <c r="AD49" s="152">
        <f>(MAX(1-wg_spell_cost_cap,1-wg_spell_cost_red*ROUND(Construction!BM49/Construction!E49,4))+Constants!$M$45*Techs!AL49)*(B49-Explore!S49*20)*(G49*Constants!$B$72+H49*Constants!$B$73+I49*Constants!$B$74+J49*Constants!$B$76+K49*Constants!$B$75+L49*dwarf_spell_cost+M49*halfling_spell_cost + N49*sylvan_spell_cost + O49*woodelf_spell_cost + P49*kobold_spell_cost + Q49*icekin_spell_cost + R49*firewalker_spell_cost + S49*nox_spell_cost + T49*human_spell_cost + U49*goblin_spell_cost + V49*orc_spell_cost + W49*ants_spell_cost + X49*armada_spell_cost + Y49*lux_spell_cost + Z49*growth_spell_cost + AA49*impgnome_spell_cost + AB49*VLOOKUP(IF(ISNUMBER(MATCH(Overview!$B$14,useless_spell_races,0)),Overview!$B$14,"Other"),Constants!$P$89:$S$102,3,FALSE))</f>
        <v>0</v>
      </c>
      <c r="AE49" s="62">
        <f t="shared" si="25"/>
        <v>0</v>
      </c>
      <c r="AG49" s="635">
        <f t="shared" si="19"/>
        <v>0</v>
      </c>
      <c r="AH49" s="529">
        <f t="shared" si="20"/>
        <v>0</v>
      </c>
      <c r="AI49" s="529">
        <f t="shared" si="21"/>
        <v>0</v>
      </c>
      <c r="AJ49" s="529">
        <f t="shared" si="22"/>
        <v>0</v>
      </c>
      <c r="AK49" s="527">
        <f t="shared" si="23"/>
        <v>0</v>
      </c>
      <c r="AL49" s="529">
        <f t="shared" si="26"/>
        <v>0</v>
      </c>
      <c r="AM49" s="529">
        <f t="shared" si="27"/>
        <v>0</v>
      </c>
      <c r="AN49" s="529">
        <f t="shared" si="28"/>
        <v>0</v>
      </c>
      <c r="AO49" s="529">
        <f t="shared" si="29"/>
        <v>0</v>
      </c>
      <c r="AP49" s="529">
        <f t="shared" si="30"/>
        <v>0</v>
      </c>
      <c r="AQ49" s="529">
        <f t="shared" si="31"/>
        <v>0</v>
      </c>
      <c r="AR49" s="958">
        <f t="shared" si="32"/>
        <v>0</v>
      </c>
      <c r="AS49" s="958">
        <f t="shared" si="33"/>
        <v>0</v>
      </c>
      <c r="AT49" s="958">
        <f t="shared" si="34"/>
        <v>0</v>
      </c>
      <c r="AU49" s="958">
        <f t="shared" si="35"/>
        <v>0</v>
      </c>
      <c r="AV49" s="958">
        <f t="shared" si="36"/>
        <v>0</v>
      </c>
      <c r="AW49" s="16">
        <f t="shared" si="37"/>
        <v>0</v>
      </c>
      <c r="AX49" s="16">
        <f t="shared" si="38"/>
        <v>0</v>
      </c>
      <c r="AY49" s="16">
        <f t="shared" si="39"/>
        <v>0</v>
      </c>
      <c r="AZ49" s="16">
        <f t="shared" si="40"/>
        <v>0</v>
      </c>
      <c r="BA49" s="16">
        <f t="shared" si="41"/>
        <v>0</v>
      </c>
      <c r="BB49" s="1382">
        <f>IF(AB49,VLOOKUP(IF(ISNUMBER(MATCH(Overview!$B$14,useless_spell_races,0)),Overview!$B$14,"Other"),Constants!$P$89:$S$102,4,FALSE),IF(BB48&gt;0,BB48-1,0))</f>
        <v>0</v>
      </c>
    </row>
    <row r="50" spans="1:54" s="16" customFormat="1" ht="13.5" thickBot="1">
      <c r="A50" s="987">
        <f>Rezone!J50</f>
        <v>48</v>
      </c>
      <c r="B50" s="16">
        <f>Construction!E50</f>
        <v>1000</v>
      </c>
      <c r="C50" s="26">
        <f ca="1">Production!K50</f>
        <v>46057</v>
      </c>
      <c r="D50" s="62">
        <f>MIN(1,D49+0.04+ROUNDDOWN(10*Military!BN49,0)+MAX(Techs!AN49,Techs!AW49*3))-AE50</f>
        <v>1</v>
      </c>
      <c r="E50" s="532">
        <f t="shared" si="24"/>
        <v>43693.958333333219</v>
      </c>
      <c r="F50" s="62">
        <f ca="1">Imps!J50</f>
        <v>1</v>
      </c>
      <c r="G50" s="393"/>
      <c r="H50" s="394"/>
      <c r="I50" s="394"/>
      <c r="J50" s="394"/>
      <c r="K50" s="380"/>
      <c r="L50" s="393"/>
      <c r="M50" s="394"/>
      <c r="N50" s="380"/>
      <c r="O50" s="380"/>
      <c r="P50" s="380"/>
      <c r="Q50" s="380"/>
      <c r="R50" s="380"/>
      <c r="S50" s="380"/>
      <c r="T50" s="380"/>
      <c r="U50" s="380"/>
      <c r="V50" s="380"/>
      <c r="W50" s="380"/>
      <c r="X50" s="380"/>
      <c r="Y50" s="380"/>
      <c r="Z50" s="380"/>
      <c r="AA50" s="380"/>
      <c r="AB50" s="395"/>
      <c r="AD50" s="152">
        <f>(MAX(1-wg_spell_cost_cap,1-wg_spell_cost_red*ROUND(Construction!BM50/Construction!E50,4))+Constants!$M$45*Techs!AL50)*(B50-Explore!S50*20)*(G50*Constants!$B$72+H50*Constants!$B$73+I50*Constants!$B$74+J50*Constants!$B$76+K50*Constants!$B$75+L50*dwarf_spell_cost+M50*halfling_spell_cost + N50*sylvan_spell_cost + O50*woodelf_spell_cost + P50*kobold_spell_cost + Q50*icekin_spell_cost + R50*firewalker_spell_cost + S50*nox_spell_cost + T50*human_spell_cost + U50*goblin_spell_cost + V50*orc_spell_cost + W50*ants_spell_cost + X50*armada_spell_cost + Y50*lux_spell_cost + Z50*growth_spell_cost + AA50*impgnome_spell_cost + AB50*VLOOKUP(IF(ISNUMBER(MATCH(Overview!$B$14,useless_spell_races,0)),Overview!$B$14,"Other"),Constants!$P$89:$S$102,3,FALSE))</f>
        <v>0</v>
      </c>
      <c r="AE50" s="62">
        <f t="shared" si="25"/>
        <v>0</v>
      </c>
      <c r="AG50" s="635">
        <f t="shared" si="19"/>
        <v>0</v>
      </c>
      <c r="AH50" s="529">
        <f t="shared" si="20"/>
        <v>0</v>
      </c>
      <c r="AI50" s="529">
        <f t="shared" si="21"/>
        <v>0</v>
      </c>
      <c r="AJ50" s="529">
        <f t="shared" si="22"/>
        <v>0</v>
      </c>
      <c r="AK50" s="527">
        <f t="shared" si="23"/>
        <v>0</v>
      </c>
      <c r="AL50" s="529">
        <f t="shared" si="26"/>
        <v>0</v>
      </c>
      <c r="AM50" s="529">
        <f t="shared" si="27"/>
        <v>0</v>
      </c>
      <c r="AN50" s="529">
        <f t="shared" si="28"/>
        <v>0</v>
      </c>
      <c r="AO50" s="529">
        <f t="shared" si="29"/>
        <v>0</v>
      </c>
      <c r="AP50" s="529">
        <f t="shared" si="30"/>
        <v>0</v>
      </c>
      <c r="AQ50" s="529">
        <f t="shared" si="31"/>
        <v>0</v>
      </c>
      <c r="AR50" s="958">
        <f t="shared" si="32"/>
        <v>0</v>
      </c>
      <c r="AS50" s="958">
        <f t="shared" si="33"/>
        <v>0</v>
      </c>
      <c r="AT50" s="958">
        <f t="shared" si="34"/>
        <v>0</v>
      </c>
      <c r="AU50" s="958">
        <f t="shared" si="35"/>
        <v>0</v>
      </c>
      <c r="AV50" s="958">
        <f t="shared" si="36"/>
        <v>0</v>
      </c>
      <c r="AW50" s="16">
        <f t="shared" si="37"/>
        <v>0</v>
      </c>
      <c r="AX50" s="16">
        <f t="shared" si="38"/>
        <v>0</v>
      </c>
      <c r="AY50" s="16">
        <f t="shared" si="39"/>
        <v>0</v>
      </c>
      <c r="AZ50" s="16">
        <f t="shared" si="40"/>
        <v>0</v>
      </c>
      <c r="BA50" s="16">
        <f t="shared" si="41"/>
        <v>0</v>
      </c>
      <c r="BB50" s="1382">
        <f>IF(AB50,VLOOKUP(IF(ISNUMBER(MATCH(Overview!$B$14,useless_spell_races,0)),Overview!$B$14,"Other"),Constants!$P$89:$S$102,4,FALSE),IF(BB49&gt;0,BB49-1,0))</f>
        <v>0</v>
      </c>
    </row>
    <row r="51" spans="1:54" s="111" customFormat="1" ht="14.25" thickTop="1" thickBot="1">
      <c r="A51" s="991">
        <f>Rezone!J51</f>
        <v>49</v>
      </c>
      <c r="B51" s="111">
        <f>Construction!E51</f>
        <v>1000</v>
      </c>
      <c r="C51" s="108">
        <f ca="1">Production!K51</f>
        <v>46386</v>
      </c>
      <c r="D51" s="112">
        <f>MIN(1,D50+0.04+ROUNDDOWN(10*Military!BN50,0)+MAX(Techs!AN50,Techs!AW50*3))-AE51</f>
        <v>1</v>
      </c>
      <c r="E51" s="803">
        <f t="shared" si="24"/>
        <v>43693.999999999884</v>
      </c>
      <c r="F51" s="112">
        <f ca="1">Imps!J51</f>
        <v>1</v>
      </c>
      <c r="G51" s="397"/>
      <c r="H51" s="398"/>
      <c r="I51" s="398"/>
      <c r="J51" s="398"/>
      <c r="K51" s="381"/>
      <c r="L51" s="397"/>
      <c r="M51" s="398"/>
      <c r="N51" s="381"/>
      <c r="O51" s="381"/>
      <c r="P51" s="381"/>
      <c r="Q51" s="381"/>
      <c r="R51" s="381"/>
      <c r="S51" s="381"/>
      <c r="T51" s="381"/>
      <c r="U51" s="381"/>
      <c r="V51" s="381"/>
      <c r="W51" s="381"/>
      <c r="X51" s="381"/>
      <c r="Y51" s="381"/>
      <c r="Z51" s="381"/>
      <c r="AA51" s="381"/>
      <c r="AB51" s="399"/>
      <c r="AD51" s="273">
        <f>(MAX(1-wg_spell_cost_cap,1-wg_spell_cost_red*ROUND(Construction!BM51/Construction!E51,4))+Constants!$M$45*Techs!AL51)*(B51-Explore!S51*20)*(G51*Constants!$B$72+H51*Constants!$B$73+I51*Constants!$B$74+J51*Constants!$B$76+K51*Constants!$B$75+L51*dwarf_spell_cost+M51*halfling_spell_cost + N51*sylvan_spell_cost + O51*woodelf_spell_cost + P51*kobold_spell_cost + Q51*icekin_spell_cost + R51*firewalker_spell_cost + S51*nox_spell_cost + T51*human_spell_cost + U51*goblin_spell_cost + V51*orc_spell_cost + W51*ants_spell_cost + X51*armada_spell_cost + Y51*lux_spell_cost + Z51*growth_spell_cost + AA51*impgnome_spell_cost + AB51*VLOOKUP(IF(ISNUMBER(MATCH(Overview!$B$14,useless_spell_races,0)),Overview!$B$14,"Other"),Constants!$P$89:$S$102,3,FALSE))</f>
        <v>0</v>
      </c>
      <c r="AE51" s="112">
        <f t="shared" si="25"/>
        <v>0</v>
      </c>
      <c r="AG51" s="637">
        <f t="shared" si="19"/>
        <v>0</v>
      </c>
      <c r="AH51" s="633">
        <f t="shared" si="20"/>
        <v>0</v>
      </c>
      <c r="AI51" s="633">
        <f t="shared" si="21"/>
        <v>0</v>
      </c>
      <c r="AJ51" s="633">
        <f t="shared" si="22"/>
        <v>0</v>
      </c>
      <c r="AK51" s="552">
        <f t="shared" si="23"/>
        <v>0</v>
      </c>
      <c r="AL51" s="633">
        <f t="shared" si="26"/>
        <v>0</v>
      </c>
      <c r="AM51" s="633">
        <f t="shared" si="27"/>
        <v>0</v>
      </c>
      <c r="AN51" s="633">
        <f t="shared" si="28"/>
        <v>0</v>
      </c>
      <c r="AO51" s="633">
        <f t="shared" si="29"/>
        <v>0</v>
      </c>
      <c r="AP51" s="633">
        <f t="shared" si="30"/>
        <v>0</v>
      </c>
      <c r="AQ51" s="633">
        <f t="shared" si="31"/>
        <v>0</v>
      </c>
      <c r="AR51" s="961">
        <f t="shared" si="32"/>
        <v>0</v>
      </c>
      <c r="AS51" s="961">
        <f t="shared" si="33"/>
        <v>0</v>
      </c>
      <c r="AT51" s="961">
        <f t="shared" si="34"/>
        <v>0</v>
      </c>
      <c r="AU51" s="961">
        <f t="shared" si="35"/>
        <v>0</v>
      </c>
      <c r="AV51" s="961">
        <f t="shared" si="36"/>
        <v>0</v>
      </c>
      <c r="AW51" s="111">
        <f t="shared" si="37"/>
        <v>0</v>
      </c>
      <c r="AX51" s="111">
        <f t="shared" si="38"/>
        <v>0</v>
      </c>
      <c r="AY51" s="111">
        <f t="shared" si="39"/>
        <v>0</v>
      </c>
      <c r="AZ51" s="111">
        <f t="shared" si="40"/>
        <v>0</v>
      </c>
      <c r="BA51" s="111">
        <f t="shared" si="41"/>
        <v>0</v>
      </c>
      <c r="BB51" s="1387">
        <f>IF(AB51,VLOOKUP(IF(ISNUMBER(MATCH(Overview!$B$14,useless_spell_races,0)),Overview!$B$14,"Other"),Constants!$P$89:$S$102,4,FALSE),IF(BB50&gt;0,BB50-1,0))</f>
        <v>0</v>
      </c>
    </row>
    <row r="52" spans="1:54" s="16" customFormat="1" ht="13.5" thickTop="1">
      <c r="A52" s="987">
        <f>Rezone!J52</f>
        <v>50</v>
      </c>
      <c r="B52" s="16">
        <f>Construction!E52</f>
        <v>1000</v>
      </c>
      <c r="C52" s="26">
        <f ca="1">Production!K52</f>
        <v>46708</v>
      </c>
      <c r="D52" s="62">
        <f>MIN(1,D51+0.04+ROUNDDOWN(10*Military!BN51,0)+MAX(Techs!AN51,Techs!AW51*3))-AE52</f>
        <v>1</v>
      </c>
      <c r="E52" s="532">
        <f t="shared" si="24"/>
        <v>43694.041666666548</v>
      </c>
      <c r="F52" s="62">
        <f ca="1">Imps!J52</f>
        <v>1</v>
      </c>
      <c r="G52" s="393"/>
      <c r="H52" s="394"/>
      <c r="I52" s="394"/>
      <c r="J52" s="394"/>
      <c r="K52" s="380"/>
      <c r="L52" s="393"/>
      <c r="M52" s="394"/>
      <c r="N52" s="380"/>
      <c r="O52" s="380"/>
      <c r="P52" s="380"/>
      <c r="Q52" s="380"/>
      <c r="R52" s="380"/>
      <c r="S52" s="380"/>
      <c r="T52" s="380"/>
      <c r="U52" s="380"/>
      <c r="V52" s="380"/>
      <c r="W52" s="380"/>
      <c r="X52" s="380"/>
      <c r="Y52" s="380"/>
      <c r="Z52" s="380"/>
      <c r="AA52" s="380"/>
      <c r="AB52" s="395"/>
      <c r="AD52" s="152">
        <f>(MAX(1-wg_spell_cost_cap,1-wg_spell_cost_red*ROUND(Construction!BM52/Construction!E52,4))+Constants!$M$45*Techs!AL52)*(B52-Explore!S52*20)*(G52*Constants!$B$72+H52*Constants!$B$73+I52*Constants!$B$74+J52*Constants!$B$76+K52*Constants!$B$75+L52*dwarf_spell_cost+M52*halfling_spell_cost + N52*sylvan_spell_cost + O52*woodelf_spell_cost + P52*kobold_spell_cost + Q52*icekin_spell_cost + R52*firewalker_spell_cost + S52*nox_spell_cost + T52*human_spell_cost + U52*goblin_spell_cost + V52*orc_spell_cost + W52*ants_spell_cost + X52*armada_spell_cost + Y52*lux_spell_cost + Z52*growth_spell_cost + AA52*impgnome_spell_cost + AB52*VLOOKUP(IF(ISNUMBER(MATCH(Overview!$B$14,useless_spell_races,0)),Overview!$B$14,"Other"),Constants!$P$89:$S$102,3,FALSE))</f>
        <v>0</v>
      </c>
      <c r="AE52" s="62">
        <f t="shared" si="25"/>
        <v>0</v>
      </c>
      <c r="AG52" s="635">
        <f t="shared" si="19"/>
        <v>0</v>
      </c>
      <c r="AH52" s="529">
        <f t="shared" si="20"/>
        <v>0</v>
      </c>
      <c r="AI52" s="529">
        <f t="shared" si="21"/>
        <v>0</v>
      </c>
      <c r="AJ52" s="529">
        <f t="shared" si="22"/>
        <v>0</v>
      </c>
      <c r="AK52" s="527">
        <f t="shared" si="23"/>
        <v>0</v>
      </c>
      <c r="AL52" s="529">
        <f t="shared" si="26"/>
        <v>0</v>
      </c>
      <c r="AM52" s="529">
        <f t="shared" si="27"/>
        <v>0</v>
      </c>
      <c r="AN52" s="529">
        <f t="shared" si="28"/>
        <v>0</v>
      </c>
      <c r="AO52" s="529">
        <f t="shared" si="29"/>
        <v>0</v>
      </c>
      <c r="AP52" s="529">
        <f t="shared" si="30"/>
        <v>0</v>
      </c>
      <c r="AQ52" s="529">
        <f t="shared" si="31"/>
        <v>0</v>
      </c>
      <c r="AR52" s="958">
        <f t="shared" si="32"/>
        <v>0</v>
      </c>
      <c r="AS52" s="958">
        <f t="shared" si="33"/>
        <v>0</v>
      </c>
      <c r="AT52" s="958">
        <f t="shared" si="34"/>
        <v>0</v>
      </c>
      <c r="AU52" s="958">
        <f t="shared" si="35"/>
        <v>0</v>
      </c>
      <c r="AV52" s="958">
        <f t="shared" si="36"/>
        <v>0</v>
      </c>
      <c r="AW52" s="16">
        <f t="shared" si="37"/>
        <v>0</v>
      </c>
      <c r="AX52" s="16">
        <f t="shared" si="38"/>
        <v>0</v>
      </c>
      <c r="AY52" s="16">
        <f t="shared" si="39"/>
        <v>0</v>
      </c>
      <c r="AZ52" s="16">
        <f t="shared" si="40"/>
        <v>0</v>
      </c>
      <c r="BA52" s="16">
        <f t="shared" si="41"/>
        <v>0</v>
      </c>
      <c r="BB52" s="1382">
        <f>IF(AB52,VLOOKUP(IF(ISNUMBER(MATCH(Overview!$B$14,useless_spell_races,0)),Overview!$B$14,"Other"),Constants!$P$89:$S$102,4,FALSE),IF(BB51&gt;0,BB51-1,0))</f>
        <v>0</v>
      </c>
    </row>
    <row r="53" spans="1:54" s="16" customFormat="1">
      <c r="A53" s="987">
        <f>Rezone!J53</f>
        <v>51</v>
      </c>
      <c r="B53" s="16">
        <f>Construction!E53</f>
        <v>1000</v>
      </c>
      <c r="C53" s="26">
        <f ca="1">Production!K53</f>
        <v>47024</v>
      </c>
      <c r="D53" s="62">
        <f>MIN(1,D52+0.04+ROUNDDOWN(10*Military!BN52,0)+MAX(Techs!AN52,Techs!AW52*3))-AE53</f>
        <v>1</v>
      </c>
      <c r="E53" s="532">
        <f t="shared" si="24"/>
        <v>43694.083333333212</v>
      </c>
      <c r="F53" s="62">
        <f ca="1">Imps!J53</f>
        <v>1</v>
      </c>
      <c r="G53" s="393"/>
      <c r="H53" s="394"/>
      <c r="I53" s="394"/>
      <c r="J53" s="394"/>
      <c r="K53" s="380"/>
      <c r="L53" s="393"/>
      <c r="M53" s="394"/>
      <c r="N53" s="380"/>
      <c r="O53" s="380"/>
      <c r="P53" s="380"/>
      <c r="Q53" s="380"/>
      <c r="R53" s="380"/>
      <c r="S53" s="380"/>
      <c r="T53" s="380"/>
      <c r="U53" s="380"/>
      <c r="V53" s="380"/>
      <c r="W53" s="380"/>
      <c r="X53" s="380"/>
      <c r="Y53" s="380"/>
      <c r="Z53" s="380"/>
      <c r="AA53" s="380"/>
      <c r="AB53" s="395"/>
      <c r="AD53" s="152">
        <f>(MAX(1-wg_spell_cost_cap,1-wg_spell_cost_red*ROUND(Construction!BM53/Construction!E53,4))+Constants!$M$45*Techs!AL53)*(B53-Explore!S53*20)*(G53*Constants!$B$72+H53*Constants!$B$73+I53*Constants!$B$74+J53*Constants!$B$76+K53*Constants!$B$75+L53*dwarf_spell_cost+M53*halfling_spell_cost + N53*sylvan_spell_cost + O53*woodelf_spell_cost + P53*kobold_spell_cost + Q53*icekin_spell_cost + R53*firewalker_spell_cost + S53*nox_spell_cost + T53*human_spell_cost + U53*goblin_spell_cost + V53*orc_spell_cost + W53*ants_spell_cost + X53*armada_spell_cost + Y53*lux_spell_cost + Z53*growth_spell_cost + AA53*impgnome_spell_cost + AB53*VLOOKUP(IF(ISNUMBER(MATCH(Overview!$B$14,useless_spell_races,0)),Overview!$B$14,"Other"),Constants!$P$89:$S$102,3,FALSE))</f>
        <v>0</v>
      </c>
      <c r="AE53" s="62">
        <f t="shared" si="25"/>
        <v>0</v>
      </c>
      <c r="AG53" s="635">
        <f t="shared" si="19"/>
        <v>0</v>
      </c>
      <c r="AH53" s="529">
        <f t="shared" si="20"/>
        <v>0</v>
      </c>
      <c r="AI53" s="529">
        <f t="shared" si="21"/>
        <v>0</v>
      </c>
      <c r="AJ53" s="529">
        <f t="shared" si="22"/>
        <v>0</v>
      </c>
      <c r="AK53" s="527">
        <f t="shared" si="23"/>
        <v>0</v>
      </c>
      <c r="AL53" s="529">
        <f t="shared" si="26"/>
        <v>0</v>
      </c>
      <c r="AM53" s="529">
        <f t="shared" si="27"/>
        <v>0</v>
      </c>
      <c r="AN53" s="529">
        <f t="shared" si="28"/>
        <v>0</v>
      </c>
      <c r="AO53" s="529">
        <f t="shared" si="29"/>
        <v>0</v>
      </c>
      <c r="AP53" s="529">
        <f t="shared" si="30"/>
        <v>0</v>
      </c>
      <c r="AQ53" s="529">
        <f t="shared" si="31"/>
        <v>0</v>
      </c>
      <c r="AR53" s="958">
        <f t="shared" si="32"/>
        <v>0</v>
      </c>
      <c r="AS53" s="958">
        <f t="shared" si="33"/>
        <v>0</v>
      </c>
      <c r="AT53" s="958">
        <f t="shared" si="34"/>
        <v>0</v>
      </c>
      <c r="AU53" s="958">
        <f t="shared" si="35"/>
        <v>0</v>
      </c>
      <c r="AV53" s="958">
        <f t="shared" si="36"/>
        <v>0</v>
      </c>
      <c r="AW53" s="16">
        <f t="shared" si="37"/>
        <v>0</v>
      </c>
      <c r="AX53" s="16">
        <f t="shared" si="38"/>
        <v>0</v>
      </c>
      <c r="AY53" s="16">
        <f t="shared" si="39"/>
        <v>0</v>
      </c>
      <c r="AZ53" s="16">
        <f t="shared" si="40"/>
        <v>0</v>
      </c>
      <c r="BA53" s="16">
        <f t="shared" si="41"/>
        <v>0</v>
      </c>
      <c r="BB53" s="1382">
        <f>IF(AB53,VLOOKUP(IF(ISNUMBER(MATCH(Overview!$B$14,useless_spell_races,0)),Overview!$B$14,"Other"),Constants!$P$89:$S$102,4,FALSE),IF(BB52&gt;0,BB52-1,0))</f>
        <v>0</v>
      </c>
    </row>
    <row r="54" spans="1:54" s="16" customFormat="1">
      <c r="A54" s="987">
        <f>Rezone!J54</f>
        <v>52</v>
      </c>
      <c r="B54" s="16">
        <f>Construction!E54</f>
        <v>1000</v>
      </c>
      <c r="C54" s="26">
        <f ca="1">Production!K54</f>
        <v>47334</v>
      </c>
      <c r="D54" s="62">
        <f>MIN(1,D53+0.04+ROUNDDOWN(10*Military!BN53,0)+MAX(Techs!AN53,Techs!AW53*3))-AE54</f>
        <v>1</v>
      </c>
      <c r="E54" s="532">
        <f t="shared" si="24"/>
        <v>43694.124999999876</v>
      </c>
      <c r="F54" s="62">
        <f ca="1">Imps!J54</f>
        <v>1</v>
      </c>
      <c r="G54" s="393"/>
      <c r="H54" s="394"/>
      <c r="I54" s="394"/>
      <c r="J54" s="394"/>
      <c r="K54" s="380"/>
      <c r="L54" s="393"/>
      <c r="M54" s="394"/>
      <c r="N54" s="380"/>
      <c r="O54" s="380"/>
      <c r="P54" s="380"/>
      <c r="Q54" s="380"/>
      <c r="R54" s="380"/>
      <c r="S54" s="380"/>
      <c r="T54" s="380"/>
      <c r="U54" s="380"/>
      <c r="V54" s="380"/>
      <c r="W54" s="380"/>
      <c r="X54" s="380"/>
      <c r="Y54" s="380"/>
      <c r="Z54" s="380"/>
      <c r="AA54" s="380"/>
      <c r="AB54" s="395"/>
      <c r="AD54" s="152">
        <f>(MAX(1-wg_spell_cost_cap,1-wg_spell_cost_red*ROUND(Construction!BM54/Construction!E54,4))+Constants!$M$45*Techs!AL54)*(B54-Explore!S54*20)*(G54*Constants!$B$72+H54*Constants!$B$73+I54*Constants!$B$74+J54*Constants!$B$76+K54*Constants!$B$75+L54*dwarf_spell_cost+M54*halfling_spell_cost + N54*sylvan_spell_cost + O54*woodelf_spell_cost + P54*kobold_spell_cost + Q54*icekin_spell_cost + R54*firewalker_spell_cost + S54*nox_spell_cost + T54*human_spell_cost + U54*goblin_spell_cost + V54*orc_spell_cost + W54*ants_spell_cost + X54*armada_spell_cost + Y54*lux_spell_cost + Z54*growth_spell_cost + AA54*impgnome_spell_cost + AB54*VLOOKUP(IF(ISNUMBER(MATCH(Overview!$B$14,useless_spell_races,0)),Overview!$B$14,"Other"),Constants!$P$89:$S$102,3,FALSE))</f>
        <v>0</v>
      </c>
      <c r="AE54" s="62">
        <f t="shared" si="25"/>
        <v>0</v>
      </c>
      <c r="AG54" s="635">
        <f t="shared" si="19"/>
        <v>0</v>
      </c>
      <c r="AH54" s="529">
        <f t="shared" si="20"/>
        <v>0</v>
      </c>
      <c r="AI54" s="529">
        <f t="shared" si="21"/>
        <v>0</v>
      </c>
      <c r="AJ54" s="529">
        <f t="shared" si="22"/>
        <v>0</v>
      </c>
      <c r="AK54" s="527">
        <f t="shared" si="23"/>
        <v>0</v>
      </c>
      <c r="AL54" s="529">
        <f t="shared" si="26"/>
        <v>0</v>
      </c>
      <c r="AM54" s="529">
        <f t="shared" si="27"/>
        <v>0</v>
      </c>
      <c r="AN54" s="529">
        <f t="shared" si="28"/>
        <v>0</v>
      </c>
      <c r="AO54" s="529">
        <f t="shared" si="29"/>
        <v>0</v>
      </c>
      <c r="AP54" s="529">
        <f t="shared" si="30"/>
        <v>0</v>
      </c>
      <c r="AQ54" s="529">
        <f t="shared" si="31"/>
        <v>0</v>
      </c>
      <c r="AR54" s="958">
        <f t="shared" si="32"/>
        <v>0</v>
      </c>
      <c r="AS54" s="958">
        <f t="shared" si="33"/>
        <v>0</v>
      </c>
      <c r="AT54" s="958">
        <f t="shared" si="34"/>
        <v>0</v>
      </c>
      <c r="AU54" s="958">
        <f t="shared" si="35"/>
        <v>0</v>
      </c>
      <c r="AV54" s="958">
        <f t="shared" si="36"/>
        <v>0</v>
      </c>
      <c r="AW54" s="16">
        <f t="shared" si="37"/>
        <v>0</v>
      </c>
      <c r="AX54" s="16">
        <f t="shared" si="38"/>
        <v>0</v>
      </c>
      <c r="AY54" s="16">
        <f t="shared" si="39"/>
        <v>0</v>
      </c>
      <c r="AZ54" s="16">
        <f t="shared" si="40"/>
        <v>0</v>
      </c>
      <c r="BA54" s="16">
        <f t="shared" si="41"/>
        <v>0</v>
      </c>
      <c r="BB54" s="1382">
        <f>IF(AB54,VLOOKUP(IF(ISNUMBER(MATCH(Overview!$B$14,useless_spell_races,0)),Overview!$B$14,"Other"),Constants!$P$89:$S$102,4,FALSE),IF(BB53&gt;0,BB53-1,0))</f>
        <v>0</v>
      </c>
    </row>
    <row r="55" spans="1:54" s="16" customFormat="1">
      <c r="A55" s="987">
        <f>Rezone!J55</f>
        <v>53</v>
      </c>
      <c r="B55" s="16">
        <f>Construction!E55</f>
        <v>1000</v>
      </c>
      <c r="C55" s="26">
        <f ca="1">Production!K55</f>
        <v>47637</v>
      </c>
      <c r="D55" s="62">
        <f>MIN(1,D54+0.04+ROUNDDOWN(10*Military!BN54,0)+MAX(Techs!AN54,Techs!AW54*3))-AE55</f>
        <v>1</v>
      </c>
      <c r="E55" s="532">
        <f t="shared" si="24"/>
        <v>43694.166666666541</v>
      </c>
      <c r="F55" s="62">
        <f ca="1">Imps!J55</f>
        <v>1</v>
      </c>
      <c r="G55" s="393"/>
      <c r="H55" s="394"/>
      <c r="I55" s="394"/>
      <c r="J55" s="394"/>
      <c r="K55" s="380"/>
      <c r="L55" s="393"/>
      <c r="M55" s="394"/>
      <c r="N55" s="380"/>
      <c r="O55" s="380"/>
      <c r="P55" s="380"/>
      <c r="Q55" s="380"/>
      <c r="R55" s="380"/>
      <c r="S55" s="380"/>
      <c r="T55" s="380"/>
      <c r="U55" s="380"/>
      <c r="V55" s="380"/>
      <c r="W55" s="380"/>
      <c r="X55" s="380"/>
      <c r="Y55" s="380"/>
      <c r="Z55" s="380"/>
      <c r="AA55" s="380"/>
      <c r="AB55" s="395"/>
      <c r="AD55" s="152">
        <f>(MAX(1-wg_spell_cost_cap,1-wg_spell_cost_red*ROUND(Construction!BM55/Construction!E55,4))+Constants!$M$45*Techs!AL55)*(B55-Explore!S55*20)*(G55*Constants!$B$72+H55*Constants!$B$73+I55*Constants!$B$74+J55*Constants!$B$76+K55*Constants!$B$75+L55*dwarf_spell_cost+M55*halfling_spell_cost + N55*sylvan_spell_cost + O55*woodelf_spell_cost + P55*kobold_spell_cost + Q55*icekin_spell_cost + R55*firewalker_spell_cost + S55*nox_spell_cost + T55*human_spell_cost + U55*goblin_spell_cost + V55*orc_spell_cost + W55*ants_spell_cost + X55*armada_spell_cost + Y55*lux_spell_cost + Z55*growth_spell_cost + AA55*impgnome_spell_cost + AB55*VLOOKUP(IF(ISNUMBER(MATCH(Overview!$B$14,useless_spell_races,0)),Overview!$B$14,"Other"),Constants!$P$89:$S$102,3,FALSE))</f>
        <v>0</v>
      </c>
      <c r="AE55" s="62">
        <f t="shared" si="25"/>
        <v>0</v>
      </c>
      <c r="AG55" s="635">
        <f t="shared" si="19"/>
        <v>0</v>
      </c>
      <c r="AH55" s="529">
        <f t="shared" si="20"/>
        <v>0</v>
      </c>
      <c r="AI55" s="529">
        <f t="shared" si="21"/>
        <v>0</v>
      </c>
      <c r="AJ55" s="529">
        <f t="shared" si="22"/>
        <v>0</v>
      </c>
      <c r="AK55" s="527">
        <f t="shared" si="23"/>
        <v>0</v>
      </c>
      <c r="AL55" s="529">
        <f t="shared" si="26"/>
        <v>0</v>
      </c>
      <c r="AM55" s="529">
        <f t="shared" si="27"/>
        <v>0</v>
      </c>
      <c r="AN55" s="529">
        <f t="shared" si="28"/>
        <v>0</v>
      </c>
      <c r="AO55" s="529">
        <f t="shared" si="29"/>
        <v>0</v>
      </c>
      <c r="AP55" s="529">
        <f t="shared" si="30"/>
        <v>0</v>
      </c>
      <c r="AQ55" s="529">
        <f t="shared" si="31"/>
        <v>0</v>
      </c>
      <c r="AR55" s="958">
        <f t="shared" si="32"/>
        <v>0</v>
      </c>
      <c r="AS55" s="958">
        <f t="shared" si="33"/>
        <v>0</v>
      </c>
      <c r="AT55" s="958">
        <f t="shared" si="34"/>
        <v>0</v>
      </c>
      <c r="AU55" s="958">
        <f t="shared" si="35"/>
        <v>0</v>
      </c>
      <c r="AV55" s="958">
        <f t="shared" si="36"/>
        <v>0</v>
      </c>
      <c r="AW55" s="16">
        <f t="shared" si="37"/>
        <v>0</v>
      </c>
      <c r="AX55" s="16">
        <f t="shared" si="38"/>
        <v>0</v>
      </c>
      <c r="AY55" s="16">
        <f t="shared" si="39"/>
        <v>0</v>
      </c>
      <c r="AZ55" s="16">
        <f t="shared" si="40"/>
        <v>0</v>
      </c>
      <c r="BA55" s="16">
        <f t="shared" si="41"/>
        <v>0</v>
      </c>
      <c r="BB55" s="1382">
        <f>IF(AB55,VLOOKUP(IF(ISNUMBER(MATCH(Overview!$B$14,useless_spell_races,0)),Overview!$B$14,"Other"),Constants!$P$89:$S$102,4,FALSE),IF(BB54&gt;0,BB54-1,0))</f>
        <v>0</v>
      </c>
    </row>
    <row r="56" spans="1:54" s="16" customFormat="1">
      <c r="A56" s="987">
        <f>Rezone!J56</f>
        <v>54</v>
      </c>
      <c r="B56" s="16">
        <f>Construction!E56</f>
        <v>1000</v>
      </c>
      <c r="C56" s="26">
        <f ca="1">Production!K56</f>
        <v>47934</v>
      </c>
      <c r="D56" s="62">
        <f>MIN(1,D55+0.04+ROUNDDOWN(10*Military!BN55,0)+MAX(Techs!AN55,Techs!AW55*3))-AE56</f>
        <v>1</v>
      </c>
      <c r="E56" s="532">
        <f t="shared" si="24"/>
        <v>43694.208333333205</v>
      </c>
      <c r="F56" s="62">
        <f ca="1">Imps!J56</f>
        <v>1</v>
      </c>
      <c r="G56" s="393"/>
      <c r="H56" s="394"/>
      <c r="I56" s="394"/>
      <c r="J56" s="394"/>
      <c r="K56" s="380"/>
      <c r="L56" s="393"/>
      <c r="M56" s="394"/>
      <c r="N56" s="380"/>
      <c r="O56" s="380"/>
      <c r="P56" s="380"/>
      <c r="Q56" s="380"/>
      <c r="R56" s="380"/>
      <c r="S56" s="380"/>
      <c r="T56" s="380"/>
      <c r="U56" s="380"/>
      <c r="V56" s="380"/>
      <c r="W56" s="380"/>
      <c r="X56" s="380"/>
      <c r="Y56" s="380"/>
      <c r="Z56" s="380"/>
      <c r="AA56" s="380"/>
      <c r="AB56" s="395"/>
      <c r="AD56" s="152">
        <f>(MAX(1-wg_spell_cost_cap,1-wg_spell_cost_red*ROUND(Construction!BM56/Construction!E56,4))+Constants!$M$45*Techs!AL56)*(B56-Explore!S56*20)*(G56*Constants!$B$72+H56*Constants!$B$73+I56*Constants!$B$74+J56*Constants!$B$76+K56*Constants!$B$75+L56*dwarf_spell_cost+M56*halfling_spell_cost + N56*sylvan_spell_cost + O56*woodelf_spell_cost + P56*kobold_spell_cost + Q56*icekin_spell_cost + R56*firewalker_spell_cost + S56*nox_spell_cost + T56*human_spell_cost + U56*goblin_spell_cost + V56*orc_spell_cost + W56*ants_spell_cost + X56*armada_spell_cost + Y56*lux_spell_cost + Z56*growth_spell_cost + AA56*impgnome_spell_cost + AB56*VLOOKUP(IF(ISNUMBER(MATCH(Overview!$B$14,useless_spell_races,0)),Overview!$B$14,"Other"),Constants!$P$89:$S$102,3,FALSE))</f>
        <v>0</v>
      </c>
      <c r="AE56" s="62">
        <f t="shared" si="25"/>
        <v>0</v>
      </c>
      <c r="AG56" s="635">
        <f t="shared" si="19"/>
        <v>0</v>
      </c>
      <c r="AH56" s="529">
        <f t="shared" si="20"/>
        <v>0</v>
      </c>
      <c r="AI56" s="529">
        <f t="shared" si="21"/>
        <v>0</v>
      </c>
      <c r="AJ56" s="529">
        <f t="shared" si="22"/>
        <v>0</v>
      </c>
      <c r="AK56" s="527">
        <f t="shared" si="23"/>
        <v>0</v>
      </c>
      <c r="AL56" s="529">
        <f t="shared" si="26"/>
        <v>0</v>
      </c>
      <c r="AM56" s="529">
        <f t="shared" si="27"/>
        <v>0</v>
      </c>
      <c r="AN56" s="529">
        <f t="shared" si="28"/>
        <v>0</v>
      </c>
      <c r="AO56" s="529">
        <f t="shared" si="29"/>
        <v>0</v>
      </c>
      <c r="AP56" s="529">
        <f t="shared" si="30"/>
        <v>0</v>
      </c>
      <c r="AQ56" s="529">
        <f t="shared" si="31"/>
        <v>0</v>
      </c>
      <c r="AR56" s="958">
        <f t="shared" si="32"/>
        <v>0</v>
      </c>
      <c r="AS56" s="958">
        <f t="shared" si="33"/>
        <v>0</v>
      </c>
      <c r="AT56" s="958">
        <f t="shared" si="34"/>
        <v>0</v>
      </c>
      <c r="AU56" s="958">
        <f t="shared" si="35"/>
        <v>0</v>
      </c>
      <c r="AV56" s="958">
        <f t="shared" si="36"/>
        <v>0</v>
      </c>
      <c r="AW56" s="16">
        <f t="shared" si="37"/>
        <v>0</v>
      </c>
      <c r="AX56" s="16">
        <f t="shared" si="38"/>
        <v>0</v>
      </c>
      <c r="AY56" s="16">
        <f t="shared" si="39"/>
        <v>0</v>
      </c>
      <c r="AZ56" s="16">
        <f t="shared" si="40"/>
        <v>0</v>
      </c>
      <c r="BA56" s="16">
        <f t="shared" si="41"/>
        <v>0</v>
      </c>
      <c r="BB56" s="1382">
        <f>IF(AB56,VLOOKUP(IF(ISNUMBER(MATCH(Overview!$B$14,useless_spell_races,0)),Overview!$B$14,"Other"),Constants!$P$89:$S$102,4,FALSE),IF(BB55&gt;0,BB55-1,0))</f>
        <v>0</v>
      </c>
    </row>
    <row r="57" spans="1:54" s="16" customFormat="1">
      <c r="A57" s="987">
        <f>Rezone!J57</f>
        <v>55</v>
      </c>
      <c r="B57" s="16">
        <f>Construction!E57</f>
        <v>1000</v>
      </c>
      <c r="C57" s="26">
        <f ca="1">Production!K57</f>
        <v>48225</v>
      </c>
      <c r="D57" s="62">
        <f>MIN(1,D56+0.04+ROUNDDOWN(10*Military!BN56,0)+MAX(Techs!AN56,Techs!AW56*3))-AE57</f>
        <v>1</v>
      </c>
      <c r="E57" s="532">
        <f t="shared" si="24"/>
        <v>43694.249999999869</v>
      </c>
      <c r="F57" s="62">
        <f ca="1">Imps!J57</f>
        <v>1</v>
      </c>
      <c r="G57" s="393"/>
      <c r="H57" s="394"/>
      <c r="I57" s="394"/>
      <c r="J57" s="394"/>
      <c r="K57" s="380"/>
      <c r="L57" s="393"/>
      <c r="M57" s="394"/>
      <c r="N57" s="380"/>
      <c r="O57" s="380"/>
      <c r="P57" s="380"/>
      <c r="Q57" s="380"/>
      <c r="R57" s="380"/>
      <c r="S57" s="380"/>
      <c r="T57" s="380"/>
      <c r="U57" s="380"/>
      <c r="V57" s="380"/>
      <c r="W57" s="380"/>
      <c r="X57" s="380"/>
      <c r="Y57" s="380"/>
      <c r="Z57" s="380"/>
      <c r="AA57" s="380"/>
      <c r="AB57" s="395"/>
      <c r="AD57" s="152">
        <f>(MAX(1-wg_spell_cost_cap,1-wg_spell_cost_red*ROUND(Construction!BM57/Construction!E57,4))+Constants!$M$45*Techs!AL57)*(B57-Explore!S57*20)*(G57*Constants!$B$72+H57*Constants!$B$73+I57*Constants!$B$74+J57*Constants!$B$76+K57*Constants!$B$75+L57*dwarf_spell_cost+M57*halfling_spell_cost + N57*sylvan_spell_cost + O57*woodelf_spell_cost + P57*kobold_spell_cost + Q57*icekin_spell_cost + R57*firewalker_spell_cost + S57*nox_spell_cost + T57*human_spell_cost + U57*goblin_spell_cost + V57*orc_spell_cost + W57*ants_spell_cost + X57*armada_spell_cost + Y57*lux_spell_cost + Z57*growth_spell_cost + AA57*impgnome_spell_cost + AB57*VLOOKUP(IF(ISNUMBER(MATCH(Overview!$B$14,useless_spell_races,0)),Overview!$B$14,"Other"),Constants!$P$89:$S$102,3,FALSE))</f>
        <v>0</v>
      </c>
      <c r="AE57" s="62">
        <f t="shared" si="25"/>
        <v>0</v>
      </c>
      <c r="AG57" s="635">
        <f t="shared" si="19"/>
        <v>0</v>
      </c>
      <c r="AH57" s="529">
        <f t="shared" si="20"/>
        <v>0</v>
      </c>
      <c r="AI57" s="529">
        <f t="shared" si="21"/>
        <v>0</v>
      </c>
      <c r="AJ57" s="529">
        <f t="shared" si="22"/>
        <v>0</v>
      </c>
      <c r="AK57" s="527">
        <f t="shared" si="23"/>
        <v>0</v>
      </c>
      <c r="AL57" s="529">
        <f t="shared" si="26"/>
        <v>0</v>
      </c>
      <c r="AM57" s="529">
        <f t="shared" si="27"/>
        <v>0</v>
      </c>
      <c r="AN57" s="529">
        <f t="shared" si="28"/>
        <v>0</v>
      </c>
      <c r="AO57" s="529">
        <f t="shared" si="29"/>
        <v>0</v>
      </c>
      <c r="AP57" s="529">
        <f t="shared" si="30"/>
        <v>0</v>
      </c>
      <c r="AQ57" s="529">
        <f t="shared" si="31"/>
        <v>0</v>
      </c>
      <c r="AR57" s="958">
        <f t="shared" si="32"/>
        <v>0</v>
      </c>
      <c r="AS57" s="958">
        <f t="shared" si="33"/>
        <v>0</v>
      </c>
      <c r="AT57" s="958">
        <f t="shared" si="34"/>
        <v>0</v>
      </c>
      <c r="AU57" s="958">
        <f t="shared" si="35"/>
        <v>0</v>
      </c>
      <c r="AV57" s="958">
        <f t="shared" si="36"/>
        <v>0</v>
      </c>
      <c r="AW57" s="16">
        <f t="shared" si="37"/>
        <v>0</v>
      </c>
      <c r="AX57" s="16">
        <f t="shared" si="38"/>
        <v>0</v>
      </c>
      <c r="AY57" s="16">
        <f t="shared" si="39"/>
        <v>0</v>
      </c>
      <c r="AZ57" s="16">
        <f t="shared" si="40"/>
        <v>0</v>
      </c>
      <c r="BA57" s="16">
        <f t="shared" si="41"/>
        <v>0</v>
      </c>
      <c r="BB57" s="1382">
        <f>IF(AB57,VLOOKUP(IF(ISNUMBER(MATCH(Overview!$B$14,useless_spell_races,0)),Overview!$B$14,"Other"),Constants!$P$89:$S$102,4,FALSE),IF(BB56&gt;0,BB56-1,0))</f>
        <v>0</v>
      </c>
    </row>
    <row r="58" spans="1:54" s="16" customFormat="1">
      <c r="A58" s="987">
        <f>Rezone!J58</f>
        <v>56</v>
      </c>
      <c r="B58" s="16">
        <f>Construction!E58</f>
        <v>1000</v>
      </c>
      <c r="C58" s="26">
        <f ca="1">Production!K58</f>
        <v>48511</v>
      </c>
      <c r="D58" s="62">
        <f>MIN(1,D57+0.04+ROUNDDOWN(10*Military!BN57,0)+MAX(Techs!AN57,Techs!AW57*3))-AE58</f>
        <v>1</v>
      </c>
      <c r="E58" s="532">
        <f t="shared" si="24"/>
        <v>43694.291666666533</v>
      </c>
      <c r="F58" s="62">
        <f ca="1">Imps!J58</f>
        <v>1</v>
      </c>
      <c r="G58" s="393"/>
      <c r="H58" s="394"/>
      <c r="I58" s="394"/>
      <c r="J58" s="394"/>
      <c r="K58" s="380"/>
      <c r="L58" s="393"/>
      <c r="M58" s="394"/>
      <c r="N58" s="380"/>
      <c r="O58" s="380"/>
      <c r="P58" s="380"/>
      <c r="Q58" s="380"/>
      <c r="R58" s="380"/>
      <c r="S58" s="380"/>
      <c r="T58" s="380"/>
      <c r="U58" s="380"/>
      <c r="V58" s="380"/>
      <c r="W58" s="380"/>
      <c r="X58" s="380"/>
      <c r="Y58" s="380"/>
      <c r="Z58" s="380"/>
      <c r="AA58" s="380"/>
      <c r="AB58" s="395"/>
      <c r="AD58" s="152">
        <f>(MAX(1-wg_spell_cost_cap,1-wg_spell_cost_red*ROUND(Construction!BM58/Construction!E58,4))+Constants!$M$45*Techs!AL58)*(B58-Explore!S58*20)*(G58*Constants!$B$72+H58*Constants!$B$73+I58*Constants!$B$74+J58*Constants!$B$76+K58*Constants!$B$75+L58*dwarf_spell_cost+M58*halfling_spell_cost + N58*sylvan_spell_cost + O58*woodelf_spell_cost + P58*kobold_spell_cost + Q58*icekin_spell_cost + R58*firewalker_spell_cost + S58*nox_spell_cost + T58*human_spell_cost + U58*goblin_spell_cost + V58*orc_spell_cost + W58*ants_spell_cost + X58*armada_spell_cost + Y58*lux_spell_cost + Z58*growth_spell_cost + AA58*impgnome_spell_cost + AB58*VLOOKUP(IF(ISNUMBER(MATCH(Overview!$B$14,useless_spell_races,0)),Overview!$B$14,"Other"),Constants!$P$89:$S$102,3,FALSE))</f>
        <v>0</v>
      </c>
      <c r="AE58" s="62">
        <f t="shared" si="25"/>
        <v>0</v>
      </c>
      <c r="AG58" s="635">
        <f t="shared" si="19"/>
        <v>0</v>
      </c>
      <c r="AH58" s="529">
        <f t="shared" si="20"/>
        <v>0</v>
      </c>
      <c r="AI58" s="529">
        <f t="shared" si="21"/>
        <v>0</v>
      </c>
      <c r="AJ58" s="529">
        <f t="shared" si="22"/>
        <v>0</v>
      </c>
      <c r="AK58" s="527">
        <f t="shared" si="23"/>
        <v>0</v>
      </c>
      <c r="AL58" s="529">
        <f t="shared" si="26"/>
        <v>0</v>
      </c>
      <c r="AM58" s="529">
        <f t="shared" si="27"/>
        <v>0</v>
      </c>
      <c r="AN58" s="529">
        <f t="shared" si="28"/>
        <v>0</v>
      </c>
      <c r="AO58" s="529">
        <f t="shared" si="29"/>
        <v>0</v>
      </c>
      <c r="AP58" s="529">
        <f t="shared" si="30"/>
        <v>0</v>
      </c>
      <c r="AQ58" s="529">
        <f t="shared" si="31"/>
        <v>0</v>
      </c>
      <c r="AR58" s="958">
        <f t="shared" si="32"/>
        <v>0</v>
      </c>
      <c r="AS58" s="958">
        <f t="shared" si="33"/>
        <v>0</v>
      </c>
      <c r="AT58" s="958">
        <f t="shared" si="34"/>
        <v>0</v>
      </c>
      <c r="AU58" s="958">
        <f t="shared" si="35"/>
        <v>0</v>
      </c>
      <c r="AV58" s="958">
        <f t="shared" si="36"/>
        <v>0</v>
      </c>
      <c r="AW58" s="16">
        <f t="shared" si="37"/>
        <v>0</v>
      </c>
      <c r="AX58" s="16">
        <f t="shared" si="38"/>
        <v>0</v>
      </c>
      <c r="AY58" s="16">
        <f t="shared" si="39"/>
        <v>0</v>
      </c>
      <c r="AZ58" s="16">
        <f t="shared" si="40"/>
        <v>0</v>
      </c>
      <c r="BA58" s="16">
        <f t="shared" si="41"/>
        <v>0</v>
      </c>
      <c r="BB58" s="1382">
        <f>IF(AB58,VLOOKUP(IF(ISNUMBER(MATCH(Overview!$B$14,useless_spell_races,0)),Overview!$B$14,"Other"),Constants!$P$89:$S$102,4,FALSE),IF(BB57&gt;0,BB57-1,0))</f>
        <v>0</v>
      </c>
    </row>
    <row r="59" spans="1:54" s="16" customFormat="1">
      <c r="A59" s="987">
        <f>Rezone!J59</f>
        <v>57</v>
      </c>
      <c r="B59" s="16">
        <f>Construction!E59</f>
        <v>1000</v>
      </c>
      <c r="C59" s="26">
        <f ca="1">Production!K59</f>
        <v>48791</v>
      </c>
      <c r="D59" s="62">
        <f>MIN(1,D58+0.04+ROUNDDOWN(10*Military!BN58,0)+MAX(Techs!AN58,Techs!AW58*3))-AE59</f>
        <v>1</v>
      </c>
      <c r="E59" s="532">
        <f t="shared" si="24"/>
        <v>43694.333333333198</v>
      </c>
      <c r="F59" s="62">
        <f ca="1">Imps!J59</f>
        <v>1</v>
      </c>
      <c r="G59" s="393"/>
      <c r="H59" s="394"/>
      <c r="I59" s="394"/>
      <c r="J59" s="394"/>
      <c r="K59" s="380"/>
      <c r="L59" s="393"/>
      <c r="M59" s="394"/>
      <c r="N59" s="380"/>
      <c r="O59" s="380"/>
      <c r="P59" s="380"/>
      <c r="Q59" s="380"/>
      <c r="R59" s="380"/>
      <c r="S59" s="380"/>
      <c r="T59" s="380"/>
      <c r="U59" s="380"/>
      <c r="V59" s="380"/>
      <c r="W59" s="380"/>
      <c r="X59" s="380"/>
      <c r="Y59" s="380"/>
      <c r="Z59" s="380"/>
      <c r="AA59" s="380"/>
      <c r="AB59" s="395"/>
      <c r="AD59" s="152">
        <f>(MAX(1-wg_spell_cost_cap,1-wg_spell_cost_red*ROUND(Construction!BM59/Construction!E59,4))+Constants!$M$45*Techs!AL59)*(B59-Explore!S59*20)*(G59*Constants!$B$72+H59*Constants!$B$73+I59*Constants!$B$74+J59*Constants!$B$76+K59*Constants!$B$75+L59*dwarf_spell_cost+M59*halfling_spell_cost + N59*sylvan_spell_cost + O59*woodelf_spell_cost + P59*kobold_spell_cost + Q59*icekin_spell_cost + R59*firewalker_spell_cost + S59*nox_spell_cost + T59*human_spell_cost + U59*goblin_spell_cost + V59*orc_spell_cost + W59*ants_spell_cost + X59*armada_spell_cost + Y59*lux_spell_cost + Z59*growth_spell_cost + AA59*impgnome_spell_cost + AB59*VLOOKUP(IF(ISNUMBER(MATCH(Overview!$B$14,useless_spell_races,0)),Overview!$B$14,"Other"),Constants!$P$89:$S$102,3,FALSE))</f>
        <v>0</v>
      </c>
      <c r="AE59" s="62">
        <f t="shared" si="25"/>
        <v>0</v>
      </c>
      <c r="AG59" s="635">
        <f t="shared" si="19"/>
        <v>0</v>
      </c>
      <c r="AH59" s="529">
        <f t="shared" si="20"/>
        <v>0</v>
      </c>
      <c r="AI59" s="529">
        <f t="shared" si="21"/>
        <v>0</v>
      </c>
      <c r="AJ59" s="529">
        <f t="shared" si="22"/>
        <v>0</v>
      </c>
      <c r="AK59" s="527">
        <f t="shared" si="23"/>
        <v>0</v>
      </c>
      <c r="AL59" s="529">
        <f t="shared" si="26"/>
        <v>0</v>
      </c>
      <c r="AM59" s="529">
        <f t="shared" si="27"/>
        <v>0</v>
      </c>
      <c r="AN59" s="529">
        <f t="shared" si="28"/>
        <v>0</v>
      </c>
      <c r="AO59" s="529">
        <f t="shared" si="29"/>
        <v>0</v>
      </c>
      <c r="AP59" s="529">
        <f t="shared" si="30"/>
        <v>0</v>
      </c>
      <c r="AQ59" s="529">
        <f t="shared" si="31"/>
        <v>0</v>
      </c>
      <c r="AR59" s="958">
        <f t="shared" si="32"/>
        <v>0</v>
      </c>
      <c r="AS59" s="958">
        <f t="shared" si="33"/>
        <v>0</v>
      </c>
      <c r="AT59" s="958">
        <f t="shared" si="34"/>
        <v>0</v>
      </c>
      <c r="AU59" s="958">
        <f t="shared" si="35"/>
        <v>0</v>
      </c>
      <c r="AV59" s="958">
        <f t="shared" si="36"/>
        <v>0</v>
      </c>
      <c r="AW59" s="16">
        <f t="shared" si="37"/>
        <v>0</v>
      </c>
      <c r="AX59" s="16">
        <f t="shared" si="38"/>
        <v>0</v>
      </c>
      <c r="AY59" s="16">
        <f t="shared" si="39"/>
        <v>0</v>
      </c>
      <c r="AZ59" s="16">
        <f t="shared" si="40"/>
        <v>0</v>
      </c>
      <c r="BA59" s="16">
        <f t="shared" si="41"/>
        <v>0</v>
      </c>
      <c r="BB59" s="1382">
        <f>IF(AB59,VLOOKUP(IF(ISNUMBER(MATCH(Overview!$B$14,useless_spell_races,0)),Overview!$B$14,"Other"),Constants!$P$89:$S$102,4,FALSE),IF(BB58&gt;0,BB58-1,0))</f>
        <v>0</v>
      </c>
    </row>
    <row r="60" spans="1:54" s="16" customFormat="1">
      <c r="A60" s="987">
        <f>Rezone!J60</f>
        <v>58</v>
      </c>
      <c r="B60" s="16">
        <f>Construction!E60</f>
        <v>1000</v>
      </c>
      <c r="C60" s="26">
        <f ca="1">Production!K60</f>
        <v>49065</v>
      </c>
      <c r="D60" s="62">
        <f>MIN(1,D59+0.04+ROUNDDOWN(10*Military!BN59,0)+MAX(Techs!AN59,Techs!AW59*3))-AE60</f>
        <v>1</v>
      </c>
      <c r="E60" s="532">
        <f t="shared" si="24"/>
        <v>43694.374999999862</v>
      </c>
      <c r="F60" s="62">
        <f ca="1">Imps!J60</f>
        <v>1</v>
      </c>
      <c r="G60" s="393"/>
      <c r="H60" s="394"/>
      <c r="I60" s="394"/>
      <c r="J60" s="394"/>
      <c r="K60" s="380"/>
      <c r="L60" s="393"/>
      <c r="M60" s="394"/>
      <c r="N60" s="380"/>
      <c r="O60" s="380"/>
      <c r="P60" s="380"/>
      <c r="Q60" s="380"/>
      <c r="R60" s="380"/>
      <c r="S60" s="380"/>
      <c r="T60" s="380"/>
      <c r="U60" s="380"/>
      <c r="V60" s="380"/>
      <c r="W60" s="380"/>
      <c r="X60" s="380"/>
      <c r="Y60" s="380"/>
      <c r="Z60" s="380"/>
      <c r="AA60" s="380"/>
      <c r="AB60" s="395"/>
      <c r="AD60" s="152">
        <f>(MAX(1-wg_spell_cost_cap,1-wg_spell_cost_red*ROUND(Construction!BM60/Construction!E60,4))+Constants!$M$45*Techs!AL60)*(B60-Explore!S60*20)*(G60*Constants!$B$72+H60*Constants!$B$73+I60*Constants!$B$74+J60*Constants!$B$76+K60*Constants!$B$75+L60*dwarf_spell_cost+M60*halfling_spell_cost + N60*sylvan_spell_cost + O60*woodelf_spell_cost + P60*kobold_spell_cost + Q60*icekin_spell_cost + R60*firewalker_spell_cost + S60*nox_spell_cost + T60*human_spell_cost + U60*goblin_spell_cost + V60*orc_spell_cost + W60*ants_spell_cost + X60*armada_spell_cost + Y60*lux_spell_cost + Z60*growth_spell_cost + AA60*impgnome_spell_cost + AB60*VLOOKUP(IF(ISNUMBER(MATCH(Overview!$B$14,useless_spell_races,0)),Overview!$B$14,"Other"),Constants!$P$89:$S$102,3,FALSE))</f>
        <v>0</v>
      </c>
      <c r="AE60" s="62">
        <f t="shared" si="25"/>
        <v>0</v>
      </c>
      <c r="AG60" s="635">
        <f t="shared" si="19"/>
        <v>0</v>
      </c>
      <c r="AH60" s="529">
        <f t="shared" si="20"/>
        <v>0</v>
      </c>
      <c r="AI60" s="529">
        <f t="shared" si="21"/>
        <v>0</v>
      </c>
      <c r="AJ60" s="529">
        <f t="shared" si="22"/>
        <v>0</v>
      </c>
      <c r="AK60" s="527">
        <f t="shared" si="23"/>
        <v>0</v>
      </c>
      <c r="AL60" s="529">
        <f t="shared" si="26"/>
        <v>0</v>
      </c>
      <c r="AM60" s="529">
        <f t="shared" si="27"/>
        <v>0</v>
      </c>
      <c r="AN60" s="529">
        <f t="shared" si="28"/>
        <v>0</v>
      </c>
      <c r="AO60" s="529">
        <f t="shared" si="29"/>
        <v>0</v>
      </c>
      <c r="AP60" s="529">
        <f t="shared" si="30"/>
        <v>0</v>
      </c>
      <c r="AQ60" s="529">
        <f t="shared" si="31"/>
        <v>0</v>
      </c>
      <c r="AR60" s="958">
        <f t="shared" si="32"/>
        <v>0</v>
      </c>
      <c r="AS60" s="958">
        <f t="shared" si="33"/>
        <v>0</v>
      </c>
      <c r="AT60" s="958">
        <f t="shared" si="34"/>
        <v>0</v>
      </c>
      <c r="AU60" s="958">
        <f t="shared" si="35"/>
        <v>0</v>
      </c>
      <c r="AV60" s="958">
        <f t="shared" si="36"/>
        <v>0</v>
      </c>
      <c r="AW60" s="16">
        <f t="shared" si="37"/>
        <v>0</v>
      </c>
      <c r="AX60" s="16">
        <f t="shared" si="38"/>
        <v>0</v>
      </c>
      <c r="AY60" s="16">
        <f t="shared" si="39"/>
        <v>0</v>
      </c>
      <c r="AZ60" s="16">
        <f t="shared" si="40"/>
        <v>0</v>
      </c>
      <c r="BA60" s="16">
        <f t="shared" si="41"/>
        <v>0</v>
      </c>
      <c r="BB60" s="1382">
        <f>IF(AB60,VLOOKUP(IF(ISNUMBER(MATCH(Overview!$B$14,useless_spell_races,0)),Overview!$B$14,"Other"),Constants!$P$89:$S$102,4,FALSE),IF(BB59&gt;0,BB59-1,0))</f>
        <v>0</v>
      </c>
    </row>
    <row r="61" spans="1:54" s="16" customFormat="1">
      <c r="A61" s="987">
        <f>Rezone!J61</f>
        <v>59</v>
      </c>
      <c r="B61" s="16">
        <f>Construction!E61</f>
        <v>1000</v>
      </c>
      <c r="C61" s="26">
        <f ca="1">Production!K61</f>
        <v>49334</v>
      </c>
      <c r="D61" s="62">
        <f>MIN(1,D60+0.04+ROUNDDOWN(10*Military!BN60,0)+MAX(Techs!AN60,Techs!AW60*3))-AE61</f>
        <v>1</v>
      </c>
      <c r="E61" s="532">
        <f t="shared" si="24"/>
        <v>43694.416666666526</v>
      </c>
      <c r="F61" s="62">
        <f ca="1">Imps!J61</f>
        <v>1</v>
      </c>
      <c r="G61" s="393"/>
      <c r="H61" s="394"/>
      <c r="I61" s="394"/>
      <c r="J61" s="394"/>
      <c r="K61" s="380"/>
      <c r="L61" s="393"/>
      <c r="M61" s="394"/>
      <c r="N61" s="380"/>
      <c r="O61" s="380"/>
      <c r="P61" s="380"/>
      <c r="Q61" s="380"/>
      <c r="R61" s="380"/>
      <c r="S61" s="380"/>
      <c r="T61" s="380"/>
      <c r="U61" s="380"/>
      <c r="V61" s="380"/>
      <c r="W61" s="380"/>
      <c r="X61" s="380"/>
      <c r="Y61" s="380"/>
      <c r="Z61" s="380"/>
      <c r="AA61" s="380"/>
      <c r="AB61" s="395"/>
      <c r="AD61" s="152">
        <f>(MAX(1-wg_spell_cost_cap,1-wg_spell_cost_red*ROUND(Construction!BM61/Construction!E61,4))+Constants!$M$45*Techs!AL61)*(B61-Explore!S61*20)*(G61*Constants!$B$72+H61*Constants!$B$73+I61*Constants!$B$74+J61*Constants!$B$76+K61*Constants!$B$75+L61*dwarf_spell_cost+M61*halfling_spell_cost + N61*sylvan_spell_cost + O61*woodelf_spell_cost + P61*kobold_spell_cost + Q61*icekin_spell_cost + R61*firewalker_spell_cost + S61*nox_spell_cost + T61*human_spell_cost + U61*goblin_spell_cost + V61*orc_spell_cost + W61*ants_spell_cost + X61*armada_spell_cost + Y61*lux_spell_cost + Z61*growth_spell_cost + AA61*impgnome_spell_cost + AB61*VLOOKUP(IF(ISNUMBER(MATCH(Overview!$B$14,useless_spell_races,0)),Overview!$B$14,"Other"),Constants!$P$89:$S$102,3,FALSE))</f>
        <v>0</v>
      </c>
      <c r="AE61" s="62">
        <f t="shared" si="25"/>
        <v>0</v>
      </c>
      <c r="AG61" s="635">
        <f t="shared" si="19"/>
        <v>0</v>
      </c>
      <c r="AH61" s="529">
        <f t="shared" si="20"/>
        <v>0</v>
      </c>
      <c r="AI61" s="529">
        <f t="shared" si="21"/>
        <v>0</v>
      </c>
      <c r="AJ61" s="529">
        <f t="shared" si="22"/>
        <v>0</v>
      </c>
      <c r="AK61" s="527">
        <f t="shared" si="23"/>
        <v>0</v>
      </c>
      <c r="AL61" s="529">
        <f t="shared" si="26"/>
        <v>0</v>
      </c>
      <c r="AM61" s="529">
        <f t="shared" si="27"/>
        <v>0</v>
      </c>
      <c r="AN61" s="529">
        <f t="shared" si="28"/>
        <v>0</v>
      </c>
      <c r="AO61" s="529">
        <f t="shared" si="29"/>
        <v>0</v>
      </c>
      <c r="AP61" s="529">
        <f t="shared" si="30"/>
        <v>0</v>
      </c>
      <c r="AQ61" s="529">
        <f t="shared" si="31"/>
        <v>0</v>
      </c>
      <c r="AR61" s="958">
        <f t="shared" si="32"/>
        <v>0</v>
      </c>
      <c r="AS61" s="958">
        <f t="shared" si="33"/>
        <v>0</v>
      </c>
      <c r="AT61" s="958">
        <f t="shared" si="34"/>
        <v>0</v>
      </c>
      <c r="AU61" s="958">
        <f t="shared" si="35"/>
        <v>0</v>
      </c>
      <c r="AV61" s="958">
        <f t="shared" si="36"/>
        <v>0</v>
      </c>
      <c r="AW61" s="16">
        <f t="shared" si="37"/>
        <v>0</v>
      </c>
      <c r="AX61" s="16">
        <f t="shared" si="38"/>
        <v>0</v>
      </c>
      <c r="AY61" s="16">
        <f t="shared" si="39"/>
        <v>0</v>
      </c>
      <c r="AZ61" s="16">
        <f t="shared" si="40"/>
        <v>0</v>
      </c>
      <c r="BA61" s="16">
        <f t="shared" si="41"/>
        <v>0</v>
      </c>
      <c r="BB61" s="1382">
        <f>IF(AB61,VLOOKUP(IF(ISNUMBER(MATCH(Overview!$B$14,useless_spell_races,0)),Overview!$B$14,"Other"),Constants!$P$89:$S$102,4,FALSE),IF(BB60&gt;0,BB60-1,0))</f>
        <v>0</v>
      </c>
    </row>
    <row r="62" spans="1:54" s="16" customFormat="1">
      <c r="A62" s="987">
        <f>Rezone!J62</f>
        <v>60</v>
      </c>
      <c r="B62" s="16">
        <f>Construction!E62</f>
        <v>1000</v>
      </c>
      <c r="C62" s="26">
        <f ca="1">Production!K62</f>
        <v>49597</v>
      </c>
      <c r="D62" s="62">
        <f>MIN(1,D61+0.04+ROUNDDOWN(10*Military!BN61,0)+MAX(Techs!AN61,Techs!AW61*3))-AE62</f>
        <v>1</v>
      </c>
      <c r="E62" s="532">
        <f t="shared" si="24"/>
        <v>43694.45833333319</v>
      </c>
      <c r="F62" s="62">
        <f ca="1">Imps!J62</f>
        <v>1</v>
      </c>
      <c r="G62" s="393"/>
      <c r="H62" s="394"/>
      <c r="I62" s="394"/>
      <c r="J62" s="394"/>
      <c r="K62" s="380"/>
      <c r="L62" s="393"/>
      <c r="M62" s="394"/>
      <c r="N62" s="380"/>
      <c r="O62" s="380"/>
      <c r="P62" s="380"/>
      <c r="Q62" s="380"/>
      <c r="R62" s="380"/>
      <c r="S62" s="380"/>
      <c r="T62" s="380"/>
      <c r="U62" s="380"/>
      <c r="V62" s="380"/>
      <c r="W62" s="380"/>
      <c r="X62" s="380"/>
      <c r="Y62" s="380"/>
      <c r="Z62" s="380"/>
      <c r="AA62" s="380"/>
      <c r="AB62" s="395"/>
      <c r="AD62" s="152">
        <f>(MAX(1-wg_spell_cost_cap,1-wg_spell_cost_red*ROUND(Construction!BM62/Construction!E62,4))+Constants!$M$45*Techs!AL62)*(B62-Explore!S62*20)*(G62*Constants!$B$72+H62*Constants!$B$73+I62*Constants!$B$74+J62*Constants!$B$76+K62*Constants!$B$75+L62*dwarf_spell_cost+M62*halfling_spell_cost + N62*sylvan_spell_cost + O62*woodelf_spell_cost + P62*kobold_spell_cost + Q62*icekin_spell_cost + R62*firewalker_spell_cost + S62*nox_spell_cost + T62*human_spell_cost + U62*goblin_spell_cost + V62*orc_spell_cost + W62*ants_spell_cost + X62*armada_spell_cost + Y62*lux_spell_cost + Z62*growth_spell_cost + AA62*impgnome_spell_cost + AB62*VLOOKUP(IF(ISNUMBER(MATCH(Overview!$B$14,useless_spell_races,0)),Overview!$B$14,"Other"),Constants!$P$89:$S$102,3,FALSE))</f>
        <v>0</v>
      </c>
      <c r="AE62" s="62">
        <f t="shared" si="25"/>
        <v>0</v>
      </c>
      <c r="AG62" s="635">
        <f t="shared" si="19"/>
        <v>0</v>
      </c>
      <c r="AH62" s="529">
        <f t="shared" si="20"/>
        <v>0</v>
      </c>
      <c r="AI62" s="529">
        <f t="shared" si="21"/>
        <v>0</v>
      </c>
      <c r="AJ62" s="529">
        <f t="shared" si="22"/>
        <v>0</v>
      </c>
      <c r="AK62" s="527">
        <f t="shared" si="23"/>
        <v>0</v>
      </c>
      <c r="AL62" s="529">
        <f t="shared" si="26"/>
        <v>0</v>
      </c>
      <c r="AM62" s="529">
        <f t="shared" si="27"/>
        <v>0</v>
      </c>
      <c r="AN62" s="529">
        <f t="shared" si="28"/>
        <v>0</v>
      </c>
      <c r="AO62" s="529">
        <f t="shared" si="29"/>
        <v>0</v>
      </c>
      <c r="AP62" s="529">
        <f t="shared" si="30"/>
        <v>0</v>
      </c>
      <c r="AQ62" s="529">
        <f t="shared" si="31"/>
        <v>0</v>
      </c>
      <c r="AR62" s="958">
        <f t="shared" si="32"/>
        <v>0</v>
      </c>
      <c r="AS62" s="958">
        <f t="shared" si="33"/>
        <v>0</v>
      </c>
      <c r="AT62" s="958">
        <f t="shared" si="34"/>
        <v>0</v>
      </c>
      <c r="AU62" s="958">
        <f t="shared" si="35"/>
        <v>0</v>
      </c>
      <c r="AV62" s="958">
        <f t="shared" si="36"/>
        <v>0</v>
      </c>
      <c r="AW62" s="16">
        <f t="shared" si="37"/>
        <v>0</v>
      </c>
      <c r="AX62" s="16">
        <f t="shared" si="38"/>
        <v>0</v>
      </c>
      <c r="AY62" s="16">
        <f t="shared" si="39"/>
        <v>0</v>
      </c>
      <c r="AZ62" s="16">
        <f t="shared" si="40"/>
        <v>0</v>
      </c>
      <c r="BA62" s="16">
        <f t="shared" si="41"/>
        <v>0</v>
      </c>
      <c r="BB62" s="1382">
        <f>IF(AB62,VLOOKUP(IF(ISNUMBER(MATCH(Overview!$B$14,useless_spell_races,0)),Overview!$B$14,"Other"),Constants!$P$89:$S$102,4,FALSE),IF(BB61&gt;0,BB61-1,0))</f>
        <v>0</v>
      </c>
    </row>
    <row r="63" spans="1:54" s="12" customFormat="1">
      <c r="A63" s="990">
        <f>Rezone!J63</f>
        <v>61</v>
      </c>
      <c r="B63" s="12">
        <f>Construction!E63</f>
        <v>1000</v>
      </c>
      <c r="C63" s="13">
        <f ca="1">Production!K63</f>
        <v>49855</v>
      </c>
      <c r="D63" s="61">
        <f>MIN(1,D62+0.04+ROUNDDOWN(10*Military!BN62,0)+MAX(Techs!AN62,Techs!AW62*3))-AE63</f>
        <v>1</v>
      </c>
      <c r="E63" s="533">
        <f t="shared" si="24"/>
        <v>43694.499999999854</v>
      </c>
      <c r="F63" s="61">
        <f ca="1">Imps!J63</f>
        <v>1</v>
      </c>
      <c r="G63" s="400"/>
      <c r="H63" s="388"/>
      <c r="I63" s="401"/>
      <c r="J63" s="401"/>
      <c r="K63" s="382"/>
      <c r="L63" s="400"/>
      <c r="M63" s="401"/>
      <c r="N63" s="382"/>
      <c r="O63" s="382"/>
      <c r="P63" s="382"/>
      <c r="Q63" s="382"/>
      <c r="R63" s="382"/>
      <c r="S63" s="382"/>
      <c r="T63" s="382"/>
      <c r="U63" s="382"/>
      <c r="V63" s="382"/>
      <c r="W63" s="382"/>
      <c r="X63" s="382"/>
      <c r="Y63" s="382"/>
      <c r="Z63" s="382"/>
      <c r="AA63" s="382"/>
      <c r="AB63" s="402"/>
      <c r="AD63" s="151">
        <f>(MAX(1-wg_spell_cost_cap,1-wg_spell_cost_red*ROUND(Construction!BM63/Construction!E63,4))+Constants!$M$45*Techs!AL63)*(B63-Explore!S63*20)*(G63*Constants!$B$72+H63*Constants!$B$73+I63*Constants!$B$74+J63*Constants!$B$76+K63*Constants!$B$75+L63*dwarf_spell_cost+M63*halfling_spell_cost + N63*sylvan_spell_cost + O63*woodelf_spell_cost + P63*kobold_spell_cost + Q63*icekin_spell_cost + R63*firewalker_spell_cost + S63*nox_spell_cost + T63*human_spell_cost + U63*goblin_spell_cost + V63*orc_spell_cost + W63*ants_spell_cost + X63*armada_spell_cost + Y63*lux_spell_cost + Z63*growth_spell_cost + AA63*impgnome_spell_cost + AB63*VLOOKUP(IF(ISNUMBER(MATCH(Overview!$B$14,useless_spell_races,0)),Overview!$B$14,"Other"),Constants!$P$89:$S$102,3,FALSE))</f>
        <v>0</v>
      </c>
      <c r="AE63" s="61">
        <f t="shared" si="25"/>
        <v>0</v>
      </c>
      <c r="AG63" s="755">
        <f t="shared" si="19"/>
        <v>0</v>
      </c>
      <c r="AH63" s="631">
        <f t="shared" si="20"/>
        <v>0</v>
      </c>
      <c r="AI63" s="631">
        <f t="shared" si="21"/>
        <v>0</v>
      </c>
      <c r="AJ63" s="631">
        <f t="shared" si="22"/>
        <v>0</v>
      </c>
      <c r="AK63" s="551">
        <f t="shared" si="23"/>
        <v>0</v>
      </c>
      <c r="AL63" s="631">
        <f t="shared" si="26"/>
        <v>0</v>
      </c>
      <c r="AM63" s="631">
        <f t="shared" si="27"/>
        <v>0</v>
      </c>
      <c r="AN63" s="631">
        <f t="shared" si="28"/>
        <v>0</v>
      </c>
      <c r="AO63" s="631">
        <f t="shared" si="29"/>
        <v>0</v>
      </c>
      <c r="AP63" s="631">
        <f t="shared" si="30"/>
        <v>0</v>
      </c>
      <c r="AQ63" s="631">
        <f t="shared" si="31"/>
        <v>0</v>
      </c>
      <c r="AR63" s="804">
        <f t="shared" si="32"/>
        <v>0</v>
      </c>
      <c r="AS63" s="804">
        <f t="shared" si="33"/>
        <v>0</v>
      </c>
      <c r="AT63" s="804">
        <f t="shared" si="34"/>
        <v>0</v>
      </c>
      <c r="AU63" s="804">
        <f t="shared" si="35"/>
        <v>0</v>
      </c>
      <c r="AV63" s="804">
        <f t="shared" si="36"/>
        <v>0</v>
      </c>
      <c r="AW63" s="12">
        <f t="shared" si="37"/>
        <v>0</v>
      </c>
      <c r="AX63" s="12">
        <f t="shared" si="38"/>
        <v>0</v>
      </c>
      <c r="AY63" s="12">
        <f t="shared" si="39"/>
        <v>0</v>
      </c>
      <c r="AZ63" s="12">
        <f t="shared" si="40"/>
        <v>0</v>
      </c>
      <c r="BA63" s="12">
        <f t="shared" si="41"/>
        <v>0</v>
      </c>
      <c r="BB63" s="1385">
        <f>IF(AB63,VLOOKUP(IF(ISNUMBER(MATCH(Overview!$B$14,useless_spell_races,0)),Overview!$B$14,"Other"),Constants!$P$89:$S$102,4,FALSE),IF(BB62&gt;0,BB62-1,0))</f>
        <v>0</v>
      </c>
    </row>
    <row r="64" spans="1:54" s="15" customFormat="1">
      <c r="A64" s="1004">
        <f>Rezone!J64</f>
        <v>62</v>
      </c>
      <c r="B64" s="15">
        <f>Construction!E64</f>
        <v>1000</v>
      </c>
      <c r="C64" s="23">
        <f ca="1">Production!K64</f>
        <v>50108</v>
      </c>
      <c r="D64" s="62">
        <f>MIN(1,D63+0.04+ROUNDDOWN(10*Military!BN63,0)+MAX(Techs!AN63,Techs!AW63*3))-AE64</f>
        <v>1</v>
      </c>
      <c r="E64" s="532">
        <f t="shared" si="24"/>
        <v>43694.541666666519</v>
      </c>
      <c r="F64" s="62">
        <f ca="1">Imps!J64</f>
        <v>1</v>
      </c>
      <c r="G64" s="403"/>
      <c r="H64" s="404"/>
      <c r="I64" s="404"/>
      <c r="J64" s="404"/>
      <c r="K64" s="383"/>
      <c r="L64" s="403"/>
      <c r="M64" s="404"/>
      <c r="N64" s="383"/>
      <c r="O64" s="383"/>
      <c r="P64" s="383"/>
      <c r="Q64" s="383"/>
      <c r="R64" s="383"/>
      <c r="S64" s="383"/>
      <c r="T64" s="383"/>
      <c r="U64" s="383"/>
      <c r="V64" s="383"/>
      <c r="W64" s="383"/>
      <c r="X64" s="383"/>
      <c r="Y64" s="383"/>
      <c r="Z64" s="383"/>
      <c r="AA64" s="383"/>
      <c r="AB64" s="405"/>
      <c r="AC64" s="16"/>
      <c r="AD64" s="152">
        <f>(MAX(1-wg_spell_cost_cap,1-wg_spell_cost_red*ROUND(Construction!BM64/Construction!E64,4))+Constants!$M$45*Techs!AL64)*(B64-Explore!S64*20)*(G64*Constants!$B$72+H64*Constants!$B$73+I64*Constants!$B$74+J64*Constants!$B$76+K64*Constants!$B$75+L64*dwarf_spell_cost+M64*halfling_spell_cost + N64*sylvan_spell_cost + O64*woodelf_spell_cost + P64*kobold_spell_cost + Q64*icekin_spell_cost + R64*firewalker_spell_cost + S64*nox_spell_cost + T64*human_spell_cost + U64*goblin_spell_cost + V64*orc_spell_cost + W64*ants_spell_cost + X64*armada_spell_cost + Y64*lux_spell_cost + Z64*growth_spell_cost + AA64*impgnome_spell_cost + AB64*VLOOKUP(IF(ISNUMBER(MATCH(Overview!$B$14,useless_spell_races,0)),Overview!$B$14,"Other"),Constants!$P$89:$S$102,3,FALSE))</f>
        <v>0</v>
      </c>
      <c r="AE64" s="101">
        <f t="shared" si="25"/>
        <v>0</v>
      </c>
      <c r="AF64" s="16"/>
      <c r="AG64" s="756">
        <f t="shared" si="19"/>
        <v>0</v>
      </c>
      <c r="AH64" s="632">
        <f t="shared" si="20"/>
        <v>0</v>
      </c>
      <c r="AI64" s="632">
        <f t="shared" si="21"/>
        <v>0</v>
      </c>
      <c r="AJ64" s="632">
        <f t="shared" si="22"/>
        <v>0</v>
      </c>
      <c r="AK64" s="528">
        <f t="shared" si="23"/>
        <v>0</v>
      </c>
      <c r="AL64" s="632">
        <f t="shared" si="26"/>
        <v>0</v>
      </c>
      <c r="AM64" s="632">
        <f t="shared" si="27"/>
        <v>0</v>
      </c>
      <c r="AN64" s="632">
        <f t="shared" si="28"/>
        <v>0</v>
      </c>
      <c r="AO64" s="632">
        <f t="shared" si="29"/>
        <v>0</v>
      </c>
      <c r="AP64" s="632">
        <f t="shared" si="30"/>
        <v>0</v>
      </c>
      <c r="AQ64" s="632">
        <f t="shared" si="31"/>
        <v>0</v>
      </c>
      <c r="AR64" s="962">
        <f t="shared" si="32"/>
        <v>0</v>
      </c>
      <c r="AS64" s="962">
        <f t="shared" si="33"/>
        <v>0</v>
      </c>
      <c r="AT64" s="962">
        <f t="shared" si="34"/>
        <v>0</v>
      </c>
      <c r="AU64" s="962">
        <f t="shared" si="35"/>
        <v>0</v>
      </c>
      <c r="AV64" s="962">
        <f t="shared" si="36"/>
        <v>0</v>
      </c>
      <c r="AW64" s="15">
        <f t="shared" si="37"/>
        <v>0</v>
      </c>
      <c r="AX64" s="15">
        <f t="shared" si="38"/>
        <v>0</v>
      </c>
      <c r="AY64" s="15">
        <f t="shared" si="39"/>
        <v>0</v>
      </c>
      <c r="AZ64" s="15">
        <f t="shared" si="40"/>
        <v>0</v>
      </c>
      <c r="BA64" s="15">
        <f t="shared" si="41"/>
        <v>0</v>
      </c>
      <c r="BB64" s="1386">
        <f>IF(AB64,VLOOKUP(IF(ISNUMBER(MATCH(Overview!$B$14,useless_spell_races,0)),Overview!$B$14,"Other"),Constants!$P$89:$S$102,4,FALSE),IF(BB63&gt;0,BB63-1,0))</f>
        <v>0</v>
      </c>
    </row>
    <row r="65" spans="1:54" s="16" customFormat="1">
      <c r="A65" s="987">
        <f>Rezone!J65</f>
        <v>63</v>
      </c>
      <c r="B65" s="16">
        <f>Construction!E65</f>
        <v>1000</v>
      </c>
      <c r="C65" s="26">
        <f ca="1">Production!K65</f>
        <v>50356</v>
      </c>
      <c r="D65" s="62">
        <f>MIN(1,D64+0.04+ROUNDDOWN(10*Military!BN64,0)+MAX(Techs!AN64,Techs!AW64*3))-AE65</f>
        <v>1</v>
      </c>
      <c r="E65" s="532">
        <f t="shared" si="24"/>
        <v>43694.583333333183</v>
      </c>
      <c r="F65" s="62">
        <f ca="1">Imps!J65</f>
        <v>1</v>
      </c>
      <c r="G65" s="393"/>
      <c r="H65" s="394"/>
      <c r="I65" s="394"/>
      <c r="J65" s="394"/>
      <c r="K65" s="380"/>
      <c r="L65" s="393"/>
      <c r="M65" s="394"/>
      <c r="N65" s="380"/>
      <c r="O65" s="380"/>
      <c r="P65" s="380"/>
      <c r="Q65" s="380"/>
      <c r="R65" s="380"/>
      <c r="S65" s="380"/>
      <c r="T65" s="380"/>
      <c r="U65" s="380"/>
      <c r="V65" s="380"/>
      <c r="W65" s="380"/>
      <c r="X65" s="380"/>
      <c r="Y65" s="380"/>
      <c r="Z65" s="380"/>
      <c r="AA65" s="380"/>
      <c r="AB65" s="395"/>
      <c r="AD65" s="152">
        <f>(MAX(1-wg_spell_cost_cap,1-wg_spell_cost_red*ROUND(Construction!BM65/Construction!E65,4))+Constants!$M$45*Techs!AL65)*(B65-Explore!S65*20)*(G65*Constants!$B$72+H65*Constants!$B$73+I65*Constants!$B$74+J65*Constants!$B$76+K65*Constants!$B$75+L65*dwarf_spell_cost+M65*halfling_spell_cost + N65*sylvan_spell_cost + O65*woodelf_spell_cost + P65*kobold_spell_cost + Q65*icekin_spell_cost + R65*firewalker_spell_cost + S65*nox_spell_cost + T65*human_spell_cost + U65*goblin_spell_cost + V65*orc_spell_cost + W65*ants_spell_cost + X65*armada_spell_cost + Y65*lux_spell_cost + Z65*growth_spell_cost + AA65*impgnome_spell_cost + AB65*VLOOKUP(IF(ISNUMBER(MATCH(Overview!$B$14,useless_spell_races,0)),Overview!$B$14,"Other"),Constants!$P$89:$S$102,3,FALSE))</f>
        <v>0</v>
      </c>
      <c r="AE65" s="62">
        <f t="shared" si="25"/>
        <v>0</v>
      </c>
      <c r="AG65" s="635">
        <f t="shared" si="19"/>
        <v>0</v>
      </c>
      <c r="AH65" s="529">
        <f t="shared" si="20"/>
        <v>0</v>
      </c>
      <c r="AI65" s="529">
        <f t="shared" si="21"/>
        <v>0</v>
      </c>
      <c r="AJ65" s="529">
        <f t="shared" si="22"/>
        <v>0</v>
      </c>
      <c r="AK65" s="527">
        <f t="shared" si="23"/>
        <v>0</v>
      </c>
      <c r="AL65" s="529">
        <f t="shared" si="26"/>
        <v>0</v>
      </c>
      <c r="AM65" s="529">
        <f t="shared" si="27"/>
        <v>0</v>
      </c>
      <c r="AN65" s="529">
        <f t="shared" si="28"/>
        <v>0</v>
      </c>
      <c r="AO65" s="529">
        <f t="shared" si="29"/>
        <v>0</v>
      </c>
      <c r="AP65" s="529">
        <f t="shared" si="30"/>
        <v>0</v>
      </c>
      <c r="AQ65" s="529">
        <f t="shared" si="31"/>
        <v>0</v>
      </c>
      <c r="AR65" s="958">
        <f t="shared" si="32"/>
        <v>0</v>
      </c>
      <c r="AS65" s="958">
        <f t="shared" si="33"/>
        <v>0</v>
      </c>
      <c r="AT65" s="958">
        <f t="shared" si="34"/>
        <v>0</v>
      </c>
      <c r="AU65" s="958">
        <f t="shared" si="35"/>
        <v>0</v>
      </c>
      <c r="AV65" s="958">
        <f t="shared" si="36"/>
        <v>0</v>
      </c>
      <c r="AW65" s="16">
        <f t="shared" si="37"/>
        <v>0</v>
      </c>
      <c r="AX65" s="16">
        <f t="shared" si="38"/>
        <v>0</v>
      </c>
      <c r="AY65" s="16">
        <f t="shared" si="39"/>
        <v>0</v>
      </c>
      <c r="AZ65" s="16">
        <f t="shared" si="40"/>
        <v>0</v>
      </c>
      <c r="BA65" s="16">
        <f t="shared" si="41"/>
        <v>0</v>
      </c>
      <c r="BB65" s="1382">
        <f>IF(AB65,VLOOKUP(IF(ISNUMBER(MATCH(Overview!$B$14,useless_spell_races,0)),Overview!$B$14,"Other"),Constants!$P$89:$S$102,4,FALSE),IF(BB64&gt;0,BB64-1,0))</f>
        <v>0</v>
      </c>
    </row>
    <row r="66" spans="1:54" s="16" customFormat="1">
      <c r="A66" s="987">
        <f>Rezone!J66</f>
        <v>64</v>
      </c>
      <c r="B66" s="16">
        <f>Construction!E66</f>
        <v>1000</v>
      </c>
      <c r="C66" s="26">
        <f ca="1">Production!K66</f>
        <v>50599</v>
      </c>
      <c r="D66" s="62">
        <f>MIN(1,D65+0.04+ROUNDDOWN(10*Military!BN65,0)+MAX(Techs!AN65,Techs!AW65*3))-AE66</f>
        <v>1</v>
      </c>
      <c r="E66" s="532">
        <f t="shared" si="24"/>
        <v>43694.624999999847</v>
      </c>
      <c r="F66" s="62">
        <f ca="1">Imps!J66</f>
        <v>1</v>
      </c>
      <c r="G66" s="393"/>
      <c r="H66" s="394"/>
      <c r="I66" s="394"/>
      <c r="J66" s="394"/>
      <c r="K66" s="380"/>
      <c r="L66" s="393"/>
      <c r="M66" s="394"/>
      <c r="N66" s="380"/>
      <c r="O66" s="380"/>
      <c r="P66" s="380"/>
      <c r="Q66" s="380"/>
      <c r="R66" s="380"/>
      <c r="S66" s="380"/>
      <c r="T66" s="380"/>
      <c r="U66" s="380"/>
      <c r="V66" s="380"/>
      <c r="W66" s="380"/>
      <c r="X66" s="380"/>
      <c r="Y66" s="380"/>
      <c r="Z66" s="380"/>
      <c r="AA66" s="380"/>
      <c r="AB66" s="395"/>
      <c r="AD66" s="152">
        <f>(MAX(1-wg_spell_cost_cap,1-wg_spell_cost_red*ROUND(Construction!BM66/Construction!E66,4))+Constants!$M$45*Techs!AL66)*(B66-Explore!S66*20)*(G66*Constants!$B$72+H66*Constants!$B$73+I66*Constants!$B$74+J66*Constants!$B$76+K66*Constants!$B$75+L66*dwarf_spell_cost+M66*halfling_spell_cost + N66*sylvan_spell_cost + O66*woodelf_spell_cost + P66*kobold_spell_cost + Q66*icekin_spell_cost + R66*firewalker_spell_cost + S66*nox_spell_cost + T66*human_spell_cost + U66*goblin_spell_cost + V66*orc_spell_cost + W66*ants_spell_cost + X66*armada_spell_cost + Y66*lux_spell_cost + Z66*growth_spell_cost + AA66*impgnome_spell_cost + AB66*VLOOKUP(IF(ISNUMBER(MATCH(Overview!$B$14,useless_spell_races,0)),Overview!$B$14,"Other"),Constants!$P$89:$S$102,3,FALSE))</f>
        <v>0</v>
      </c>
      <c r="AE66" s="62">
        <f t="shared" si="25"/>
        <v>0</v>
      </c>
      <c r="AG66" s="635">
        <f t="shared" si="19"/>
        <v>0</v>
      </c>
      <c r="AH66" s="529">
        <f t="shared" si="20"/>
        <v>0</v>
      </c>
      <c r="AI66" s="529">
        <f t="shared" si="21"/>
        <v>0</v>
      </c>
      <c r="AJ66" s="529">
        <f t="shared" si="22"/>
        <v>0</v>
      </c>
      <c r="AK66" s="527">
        <f t="shared" si="23"/>
        <v>0</v>
      </c>
      <c r="AL66" s="529">
        <f t="shared" si="26"/>
        <v>0</v>
      </c>
      <c r="AM66" s="529">
        <f t="shared" si="27"/>
        <v>0</v>
      </c>
      <c r="AN66" s="529">
        <f t="shared" si="28"/>
        <v>0</v>
      </c>
      <c r="AO66" s="529">
        <f t="shared" si="29"/>
        <v>0</v>
      </c>
      <c r="AP66" s="529">
        <f t="shared" si="30"/>
        <v>0</v>
      </c>
      <c r="AQ66" s="529">
        <f t="shared" si="31"/>
        <v>0</v>
      </c>
      <c r="AR66" s="958">
        <f t="shared" si="32"/>
        <v>0</v>
      </c>
      <c r="AS66" s="958">
        <f t="shared" si="33"/>
        <v>0</v>
      </c>
      <c r="AT66" s="958">
        <f t="shared" si="34"/>
        <v>0</v>
      </c>
      <c r="AU66" s="958">
        <f t="shared" si="35"/>
        <v>0</v>
      </c>
      <c r="AV66" s="958">
        <f t="shared" si="36"/>
        <v>0</v>
      </c>
      <c r="AW66" s="16">
        <f t="shared" si="37"/>
        <v>0</v>
      </c>
      <c r="AX66" s="16">
        <f t="shared" si="38"/>
        <v>0</v>
      </c>
      <c r="AY66" s="16">
        <f t="shared" si="39"/>
        <v>0</v>
      </c>
      <c r="AZ66" s="16">
        <f t="shared" si="40"/>
        <v>0</v>
      </c>
      <c r="BA66" s="16">
        <f t="shared" si="41"/>
        <v>0</v>
      </c>
      <c r="BB66" s="1382">
        <f>IF(AB66,VLOOKUP(IF(ISNUMBER(MATCH(Overview!$B$14,useless_spell_races,0)),Overview!$B$14,"Other"),Constants!$P$89:$S$102,4,FALSE),IF(BB65&gt;0,BB65-1,0))</f>
        <v>0</v>
      </c>
    </row>
    <row r="67" spans="1:54" s="16" customFormat="1">
      <c r="A67" s="987">
        <f>Rezone!J67</f>
        <v>65</v>
      </c>
      <c r="B67" s="16">
        <f>Construction!E67</f>
        <v>1000</v>
      </c>
      <c r="C67" s="26">
        <f ca="1">Production!K67</f>
        <v>50837</v>
      </c>
      <c r="D67" s="62">
        <f>MIN(1,D66+0.04+ROUNDDOWN(10*Military!BN66,0)+MAX(Techs!AN66,Techs!AW66*3))-AE67</f>
        <v>1</v>
      </c>
      <c r="E67" s="532">
        <f t="shared" si="24"/>
        <v>43694.666666666511</v>
      </c>
      <c r="F67" s="62">
        <f ca="1">Imps!J67</f>
        <v>1</v>
      </c>
      <c r="G67" s="393"/>
      <c r="H67" s="394"/>
      <c r="I67" s="394"/>
      <c r="J67" s="394"/>
      <c r="K67" s="380"/>
      <c r="L67" s="393"/>
      <c r="M67" s="394"/>
      <c r="N67" s="380"/>
      <c r="O67" s="380"/>
      <c r="P67" s="380"/>
      <c r="Q67" s="380"/>
      <c r="R67" s="380"/>
      <c r="S67" s="380"/>
      <c r="T67" s="380"/>
      <c r="U67" s="380"/>
      <c r="V67" s="380"/>
      <c r="W67" s="380"/>
      <c r="X67" s="380"/>
      <c r="Y67" s="380"/>
      <c r="Z67" s="380"/>
      <c r="AA67" s="380"/>
      <c r="AB67" s="395"/>
      <c r="AD67" s="152">
        <f>(MAX(1-wg_spell_cost_cap,1-wg_spell_cost_red*ROUND(Construction!BM67/Construction!E67,4))+Constants!$M$45*Techs!AL67)*(B67-Explore!S67*20)*(G67*Constants!$B$72+H67*Constants!$B$73+I67*Constants!$B$74+J67*Constants!$B$76+K67*Constants!$B$75+L67*dwarf_spell_cost+M67*halfling_spell_cost + N67*sylvan_spell_cost + O67*woodelf_spell_cost + P67*kobold_spell_cost + Q67*icekin_spell_cost + R67*firewalker_spell_cost + S67*nox_spell_cost + T67*human_spell_cost + U67*goblin_spell_cost + V67*orc_spell_cost + W67*ants_spell_cost + X67*armada_spell_cost + Y67*lux_spell_cost + Z67*growth_spell_cost + AA67*impgnome_spell_cost + AB67*VLOOKUP(IF(ISNUMBER(MATCH(Overview!$B$14,useless_spell_races,0)),Overview!$B$14,"Other"),Constants!$P$89:$S$102,3,FALSE))</f>
        <v>0</v>
      </c>
      <c r="AE67" s="62">
        <f t="shared" si="25"/>
        <v>0</v>
      </c>
      <c r="AG67" s="635">
        <f t="shared" si="19"/>
        <v>0</v>
      </c>
      <c r="AH67" s="529">
        <f t="shared" si="20"/>
        <v>0</v>
      </c>
      <c r="AI67" s="529">
        <f t="shared" si="21"/>
        <v>0</v>
      </c>
      <c r="AJ67" s="529">
        <f t="shared" si="22"/>
        <v>0</v>
      </c>
      <c r="AK67" s="527">
        <f t="shared" si="23"/>
        <v>0</v>
      </c>
      <c r="AL67" s="529">
        <f t="shared" si="26"/>
        <v>0</v>
      </c>
      <c r="AM67" s="529">
        <f t="shared" si="27"/>
        <v>0</v>
      </c>
      <c r="AN67" s="529">
        <f t="shared" si="28"/>
        <v>0</v>
      </c>
      <c r="AO67" s="529">
        <f t="shared" si="29"/>
        <v>0</v>
      </c>
      <c r="AP67" s="529">
        <f t="shared" si="30"/>
        <v>0</v>
      </c>
      <c r="AQ67" s="529">
        <f t="shared" si="31"/>
        <v>0</v>
      </c>
      <c r="AR67" s="958">
        <f t="shared" si="32"/>
        <v>0</v>
      </c>
      <c r="AS67" s="958">
        <f t="shared" si="33"/>
        <v>0</v>
      </c>
      <c r="AT67" s="958">
        <f t="shared" si="34"/>
        <v>0</v>
      </c>
      <c r="AU67" s="958">
        <f t="shared" si="35"/>
        <v>0</v>
      </c>
      <c r="AV67" s="958">
        <f t="shared" si="36"/>
        <v>0</v>
      </c>
      <c r="AW67" s="16">
        <f t="shared" si="37"/>
        <v>0</v>
      </c>
      <c r="AX67" s="16">
        <f t="shared" si="38"/>
        <v>0</v>
      </c>
      <c r="AY67" s="16">
        <f t="shared" si="39"/>
        <v>0</v>
      </c>
      <c r="AZ67" s="16">
        <f t="shared" si="40"/>
        <v>0</v>
      </c>
      <c r="BA67" s="16">
        <f t="shared" si="41"/>
        <v>0</v>
      </c>
      <c r="BB67" s="1382">
        <f>IF(AB67,VLOOKUP(IF(ISNUMBER(MATCH(Overview!$B$14,useless_spell_races,0)),Overview!$B$14,"Other"),Constants!$P$89:$S$102,4,FALSE),IF(BB66&gt;0,BB66-1,0))</f>
        <v>0</v>
      </c>
    </row>
    <row r="68" spans="1:54" s="16" customFormat="1">
      <c r="A68" s="987">
        <f>Rezone!J68</f>
        <v>66</v>
      </c>
      <c r="B68" s="16">
        <f>Construction!E68</f>
        <v>1000</v>
      </c>
      <c r="C68" s="26">
        <f ca="1">Production!K68</f>
        <v>51070</v>
      </c>
      <c r="D68" s="62">
        <f>MIN(1,D67+0.04+ROUNDDOWN(10*Military!BN67,0)+MAX(Techs!AN67,Techs!AW67*3))-AE68</f>
        <v>1</v>
      </c>
      <c r="E68" s="532">
        <f t="shared" si="24"/>
        <v>43694.708333333176</v>
      </c>
      <c r="F68" s="62">
        <f ca="1">Imps!J68</f>
        <v>1</v>
      </c>
      <c r="G68" s="393"/>
      <c r="H68" s="394"/>
      <c r="I68" s="394"/>
      <c r="J68" s="394"/>
      <c r="K68" s="380"/>
      <c r="L68" s="393"/>
      <c r="M68" s="394"/>
      <c r="N68" s="380"/>
      <c r="O68" s="380"/>
      <c r="P68" s="380"/>
      <c r="Q68" s="380"/>
      <c r="R68" s="380"/>
      <c r="S68" s="380"/>
      <c r="T68" s="380"/>
      <c r="U68" s="380"/>
      <c r="V68" s="380"/>
      <c r="W68" s="380"/>
      <c r="X68" s="380"/>
      <c r="Y68" s="380"/>
      <c r="Z68" s="380"/>
      <c r="AA68" s="380"/>
      <c r="AB68" s="395"/>
      <c r="AD68" s="152">
        <f>(MAX(1-wg_spell_cost_cap,1-wg_spell_cost_red*ROUND(Construction!BM68/Construction!E68,4))+Constants!$M$45*Techs!AL68)*(B68-Explore!S68*20)*(G68*Constants!$B$72+H68*Constants!$B$73+I68*Constants!$B$74+J68*Constants!$B$76+K68*Constants!$B$75+L68*dwarf_spell_cost+M68*halfling_spell_cost + N68*sylvan_spell_cost + O68*woodelf_spell_cost + P68*kobold_spell_cost + Q68*icekin_spell_cost + R68*firewalker_spell_cost + S68*nox_spell_cost + T68*human_spell_cost + U68*goblin_spell_cost + V68*orc_spell_cost + W68*ants_spell_cost + X68*armada_spell_cost + Y68*lux_spell_cost + Z68*growth_spell_cost + AA68*impgnome_spell_cost + AB68*VLOOKUP(IF(ISNUMBER(MATCH(Overview!$B$14,useless_spell_races,0)),Overview!$B$14,"Other"),Constants!$P$89:$S$102,3,FALSE))</f>
        <v>0</v>
      </c>
      <c r="AE68" s="62">
        <f t="shared" si="25"/>
        <v>0</v>
      </c>
      <c r="AG68" s="635">
        <f t="shared" si="19"/>
        <v>0</v>
      </c>
      <c r="AH68" s="529">
        <f t="shared" si="20"/>
        <v>0</v>
      </c>
      <c r="AI68" s="529">
        <f t="shared" si="21"/>
        <v>0</v>
      </c>
      <c r="AJ68" s="529">
        <f t="shared" si="22"/>
        <v>0</v>
      </c>
      <c r="AK68" s="527">
        <f t="shared" si="23"/>
        <v>0</v>
      </c>
      <c r="AL68" s="529">
        <f t="shared" ref="AL68:AL99" si="42">IF(L68,dwarf_spell_time,IF(AL67&gt;0,AL67-1,0))</f>
        <v>0</v>
      </c>
      <c r="AM68" s="529">
        <f t="shared" ref="AM68:AM99" si="43">IF(M68,halfling_spell_time,IF(AM67&gt;0,AM67-1,0))</f>
        <v>0</v>
      </c>
      <c r="AN68" s="529">
        <f t="shared" ref="AN68:AN99" si="44">IF(N68,sylvan_spell_time,IF(AN67&gt;0,AN67-1,0))</f>
        <v>0</v>
      </c>
      <c r="AO68" s="529">
        <f t="shared" ref="AO68:AO99" si="45">IF(O68,woodelf_spell_time,IF(AO67&gt;0,AO67-1,0))</f>
        <v>0</v>
      </c>
      <c r="AP68" s="529">
        <f t="shared" ref="AP68:AP99" si="46">IF(P68,kobold_spell_time,IF(AP67&gt;0,AP67-1,0))</f>
        <v>0</v>
      </c>
      <c r="AQ68" s="529">
        <f t="shared" ref="AQ68:AQ99" si="47">IF(Q68,icekin_spell_time,IF(AQ67&gt;0,AQ67-1,0))</f>
        <v>0</v>
      </c>
      <c r="AR68" s="958">
        <f t="shared" ref="AR68:AR99" si="48">IF(R68,firewalker_spell_time,IF(AR67&gt;0,AR67-1,0))</f>
        <v>0</v>
      </c>
      <c r="AS68" s="958">
        <f t="shared" ref="AS68:AS99" si="49">IF(S68,nox_spell_time,IF(AS67&gt;0,AS67-1,0))</f>
        <v>0</v>
      </c>
      <c r="AT68" s="958">
        <f t="shared" ref="AT68:AT99" si="50">IF(T68,human_spell_time,IF(AT67&gt;0,AT67-1,0))</f>
        <v>0</v>
      </c>
      <c r="AU68" s="958">
        <f t="shared" ref="AU68:AU99" si="51">IF(U68,goblin_spell_time,IF(AU67&gt;0,AU67-1,0))</f>
        <v>0</v>
      </c>
      <c r="AV68" s="958">
        <f t="shared" ref="AV68:AV99" si="52">IF(V68,orc_spell_time,IF(AV67&gt;0,AV67-1,0))</f>
        <v>0</v>
      </c>
      <c r="AW68" s="16">
        <f t="shared" ref="AW68:AW99" si="53">IF(W68,ants_spell_time,IF(AW67&gt;0,AW67-1,0))</f>
        <v>0</v>
      </c>
      <c r="AX68" s="16">
        <f t="shared" ref="AX68:AX99" si="54">IF(X68,armada_spell_time,IF(AX67&gt;0,AX67-1,0))</f>
        <v>0</v>
      </c>
      <c r="AY68" s="16">
        <f t="shared" ref="AY68:AY99" si="55">IF(Y68,lux_spell_time,IF(AY67&gt;0,AY67-1,0))</f>
        <v>0</v>
      </c>
      <c r="AZ68" s="16">
        <f t="shared" ref="AZ68:AZ99" si="56">IF(Z68,growth_spell_time,IF(AZ67&gt;0,AZ67-1,0))</f>
        <v>0</v>
      </c>
      <c r="BA68" s="16">
        <f t="shared" ref="BA68:BA99" si="57">IF(AA68,impgnome_spell_time,IF(BA67&gt;0,BA67-1,0))</f>
        <v>0</v>
      </c>
      <c r="BB68" s="1382">
        <f>IF(AB68,VLOOKUP(IF(ISNUMBER(MATCH(Overview!$B$14,useless_spell_races,0)),Overview!$B$14,"Other"),Constants!$P$89:$S$102,4,FALSE),IF(BB67&gt;0,BB67-1,0))</f>
        <v>0</v>
      </c>
    </row>
    <row r="69" spans="1:54" s="16" customFormat="1">
      <c r="A69" s="987">
        <f>Rezone!J69</f>
        <v>67</v>
      </c>
      <c r="B69" s="16">
        <f>Construction!E69</f>
        <v>1000</v>
      </c>
      <c r="C69" s="26">
        <f ca="1">Production!K69</f>
        <v>51299</v>
      </c>
      <c r="D69" s="62">
        <f>MIN(1,D68+0.04+ROUNDDOWN(10*Military!BN68,0)+MAX(Techs!AN68,Techs!AW68*3))-AE69</f>
        <v>1</v>
      </c>
      <c r="E69" s="532">
        <f t="shared" si="24"/>
        <v>43694.74999999984</v>
      </c>
      <c r="F69" s="62">
        <f ca="1">Imps!J69</f>
        <v>1</v>
      </c>
      <c r="G69" s="393"/>
      <c r="H69" s="394"/>
      <c r="I69" s="394"/>
      <c r="J69" s="394"/>
      <c r="K69" s="380"/>
      <c r="L69" s="393"/>
      <c r="M69" s="394"/>
      <c r="N69" s="380"/>
      <c r="O69" s="380"/>
      <c r="P69" s="380"/>
      <c r="Q69" s="380"/>
      <c r="R69" s="380"/>
      <c r="S69" s="380"/>
      <c r="T69" s="380"/>
      <c r="U69" s="380"/>
      <c r="V69" s="380"/>
      <c r="W69" s="380"/>
      <c r="X69" s="380"/>
      <c r="Y69" s="380"/>
      <c r="Z69" s="380"/>
      <c r="AA69" s="380"/>
      <c r="AB69" s="395"/>
      <c r="AD69" s="152">
        <f>(MAX(1-wg_spell_cost_cap,1-wg_spell_cost_red*ROUND(Construction!BM69/Construction!E69,4))+Constants!$M$45*Techs!AL69)*(B69-Explore!S69*20)*(G69*Constants!$B$72+H69*Constants!$B$73+I69*Constants!$B$74+J69*Constants!$B$76+K69*Constants!$B$75+L69*dwarf_spell_cost+M69*halfling_spell_cost + N69*sylvan_spell_cost + O69*woodelf_spell_cost + P69*kobold_spell_cost + Q69*icekin_spell_cost + R69*firewalker_spell_cost + S69*nox_spell_cost + T69*human_spell_cost + U69*goblin_spell_cost + V69*orc_spell_cost + W69*ants_spell_cost + X69*armada_spell_cost + Y69*lux_spell_cost + Z69*growth_spell_cost + AA69*impgnome_spell_cost + AB69*VLOOKUP(IF(ISNUMBER(MATCH(Overview!$B$14,useless_spell_races,0)),Overview!$B$14,"Other"),Constants!$P$89:$S$102,3,FALSE))</f>
        <v>0</v>
      </c>
      <c r="AE69" s="62">
        <f t="shared" si="25"/>
        <v>0</v>
      </c>
      <c r="AG69" s="635">
        <f t="shared" ref="AG69:AG132" si="58">IF(G69,12*4,IF(AG68&gt;0,AG68-1,0))</f>
        <v>0</v>
      </c>
      <c r="AH69" s="529">
        <f t="shared" ref="AH69:AH132" si="59">IF(H69,12*4,IF(AH68&gt;0,AH68-1,0))</f>
        <v>0</v>
      </c>
      <c r="AI69" s="529">
        <f t="shared" ref="AI69:AI132" si="60">IF(I69,12*4,IF(AI68&gt;0,AI68-1,0))</f>
        <v>0</v>
      </c>
      <c r="AJ69" s="529">
        <f t="shared" ref="AJ69:AJ132" si="61">IF(J69,12*4,IF(AJ68&gt;0,AJ68-1,0))</f>
        <v>0</v>
      </c>
      <c r="AK69" s="527">
        <f t="shared" ref="AK69:AK132" si="62">IF(K69,12*4,IF(AK68&gt;0,AK68-1,0))</f>
        <v>0</v>
      </c>
      <c r="AL69" s="529">
        <f t="shared" si="42"/>
        <v>0</v>
      </c>
      <c r="AM69" s="529">
        <f t="shared" si="43"/>
        <v>0</v>
      </c>
      <c r="AN69" s="529">
        <f t="shared" si="44"/>
        <v>0</v>
      </c>
      <c r="AO69" s="529">
        <f t="shared" si="45"/>
        <v>0</v>
      </c>
      <c r="AP69" s="529">
        <f t="shared" si="46"/>
        <v>0</v>
      </c>
      <c r="AQ69" s="529">
        <f t="shared" si="47"/>
        <v>0</v>
      </c>
      <c r="AR69" s="958">
        <f t="shared" si="48"/>
        <v>0</v>
      </c>
      <c r="AS69" s="958">
        <f t="shared" si="49"/>
        <v>0</v>
      </c>
      <c r="AT69" s="958">
        <f t="shared" si="50"/>
        <v>0</v>
      </c>
      <c r="AU69" s="958">
        <f t="shared" si="51"/>
        <v>0</v>
      </c>
      <c r="AV69" s="958">
        <f t="shared" si="52"/>
        <v>0</v>
      </c>
      <c r="AW69" s="16">
        <f t="shared" si="53"/>
        <v>0</v>
      </c>
      <c r="AX69" s="16">
        <f t="shared" si="54"/>
        <v>0</v>
      </c>
      <c r="AY69" s="16">
        <f t="shared" si="55"/>
        <v>0</v>
      </c>
      <c r="AZ69" s="16">
        <f t="shared" si="56"/>
        <v>0</v>
      </c>
      <c r="BA69" s="16">
        <f t="shared" si="57"/>
        <v>0</v>
      </c>
      <c r="BB69" s="1382">
        <f>IF(AB69,VLOOKUP(IF(ISNUMBER(MATCH(Overview!$B$14,useless_spell_races,0)),Overview!$B$14,"Other"),Constants!$P$89:$S$102,4,FALSE),IF(BB68&gt;0,BB68-1,0))</f>
        <v>0</v>
      </c>
    </row>
    <row r="70" spans="1:54" s="16" customFormat="1">
      <c r="A70" s="987">
        <f>Rezone!J70</f>
        <v>68</v>
      </c>
      <c r="B70" s="16">
        <f>Construction!E70</f>
        <v>1000</v>
      </c>
      <c r="C70" s="26">
        <f ca="1">Production!K70</f>
        <v>51523</v>
      </c>
      <c r="D70" s="62">
        <f>MIN(1,D69+0.04+ROUNDDOWN(10*Military!BN69,0)+MAX(Techs!AN69,Techs!AW69*3))-AE70</f>
        <v>1</v>
      </c>
      <c r="E70" s="532">
        <f t="shared" si="24"/>
        <v>43694.791666666504</v>
      </c>
      <c r="F70" s="62">
        <f ca="1">Imps!J70</f>
        <v>1</v>
      </c>
      <c r="G70" s="393"/>
      <c r="H70" s="394"/>
      <c r="I70" s="394"/>
      <c r="J70" s="394"/>
      <c r="K70" s="380"/>
      <c r="L70" s="393"/>
      <c r="M70" s="394"/>
      <c r="N70" s="380"/>
      <c r="O70" s="380"/>
      <c r="P70" s="380"/>
      <c r="Q70" s="380"/>
      <c r="R70" s="380"/>
      <c r="S70" s="380"/>
      <c r="T70" s="380"/>
      <c r="U70" s="380"/>
      <c r="V70" s="380"/>
      <c r="W70" s="380"/>
      <c r="X70" s="380"/>
      <c r="Y70" s="380"/>
      <c r="Z70" s="380"/>
      <c r="AA70" s="380"/>
      <c r="AB70" s="395"/>
      <c r="AD70" s="152">
        <f>(MAX(1-wg_spell_cost_cap,1-wg_spell_cost_red*ROUND(Construction!BM70/Construction!E70,4))+Constants!$M$45*Techs!AL70)*(B70-Explore!S70*20)*(G70*Constants!$B$72+H70*Constants!$B$73+I70*Constants!$B$74+J70*Constants!$B$76+K70*Constants!$B$75+L70*dwarf_spell_cost+M70*halfling_spell_cost + N70*sylvan_spell_cost + O70*woodelf_spell_cost + P70*kobold_spell_cost + Q70*icekin_spell_cost + R70*firewalker_spell_cost + S70*nox_spell_cost + T70*human_spell_cost + U70*goblin_spell_cost + V70*orc_spell_cost + W70*ants_spell_cost + X70*armada_spell_cost + Y70*lux_spell_cost + Z70*growth_spell_cost + AA70*impgnome_spell_cost + AB70*VLOOKUP(IF(ISNUMBER(MATCH(Overview!$B$14,useless_spell_races,0)),Overview!$B$14,"Other"),Constants!$P$89:$S$102,3,FALSE))</f>
        <v>0</v>
      </c>
      <c r="AE70" s="62">
        <f t="shared" si="25"/>
        <v>0</v>
      </c>
      <c r="AG70" s="635">
        <f t="shared" si="58"/>
        <v>0</v>
      </c>
      <c r="AH70" s="529">
        <f t="shared" si="59"/>
        <v>0</v>
      </c>
      <c r="AI70" s="529">
        <f t="shared" si="60"/>
        <v>0</v>
      </c>
      <c r="AJ70" s="529">
        <f t="shared" si="61"/>
        <v>0</v>
      </c>
      <c r="AK70" s="527">
        <f t="shared" si="62"/>
        <v>0</v>
      </c>
      <c r="AL70" s="529">
        <f t="shared" si="42"/>
        <v>0</v>
      </c>
      <c r="AM70" s="529">
        <f t="shared" si="43"/>
        <v>0</v>
      </c>
      <c r="AN70" s="529">
        <f t="shared" si="44"/>
        <v>0</v>
      </c>
      <c r="AO70" s="529">
        <f t="shared" si="45"/>
        <v>0</v>
      </c>
      <c r="AP70" s="529">
        <f t="shared" si="46"/>
        <v>0</v>
      </c>
      <c r="AQ70" s="529">
        <f t="shared" si="47"/>
        <v>0</v>
      </c>
      <c r="AR70" s="958">
        <f t="shared" si="48"/>
        <v>0</v>
      </c>
      <c r="AS70" s="958">
        <f t="shared" si="49"/>
        <v>0</v>
      </c>
      <c r="AT70" s="958">
        <f t="shared" si="50"/>
        <v>0</v>
      </c>
      <c r="AU70" s="958">
        <f t="shared" si="51"/>
        <v>0</v>
      </c>
      <c r="AV70" s="958">
        <f t="shared" si="52"/>
        <v>0</v>
      </c>
      <c r="AW70" s="16">
        <f t="shared" si="53"/>
        <v>0</v>
      </c>
      <c r="AX70" s="16">
        <f t="shared" si="54"/>
        <v>0</v>
      </c>
      <c r="AY70" s="16">
        <f t="shared" si="55"/>
        <v>0</v>
      </c>
      <c r="AZ70" s="16">
        <f t="shared" si="56"/>
        <v>0</v>
      </c>
      <c r="BA70" s="16">
        <f t="shared" si="57"/>
        <v>0</v>
      </c>
      <c r="BB70" s="1382">
        <f>IF(AB70,VLOOKUP(IF(ISNUMBER(MATCH(Overview!$B$14,useless_spell_races,0)),Overview!$B$14,"Other"),Constants!$P$89:$S$102,4,FALSE),IF(BB69&gt;0,BB69-1,0))</f>
        <v>0</v>
      </c>
    </row>
    <row r="71" spans="1:54" s="16" customFormat="1">
      <c r="A71" s="987">
        <f>Rezone!J71</f>
        <v>69</v>
      </c>
      <c r="B71" s="16">
        <f>Construction!E71</f>
        <v>1000</v>
      </c>
      <c r="C71" s="26">
        <f ca="1">Production!K71</f>
        <v>51743</v>
      </c>
      <c r="D71" s="62">
        <f>MIN(1,D70+0.04+ROUNDDOWN(10*Military!BN70,0)+MAX(Techs!AN70,Techs!AW70*3))-AE71</f>
        <v>1</v>
      </c>
      <c r="E71" s="532">
        <f t="shared" si="24"/>
        <v>43694.833333333168</v>
      </c>
      <c r="F71" s="62">
        <f ca="1">Imps!J71</f>
        <v>1</v>
      </c>
      <c r="G71" s="393"/>
      <c r="H71" s="394"/>
      <c r="I71" s="394"/>
      <c r="J71" s="394"/>
      <c r="K71" s="380"/>
      <c r="L71" s="393"/>
      <c r="M71" s="394"/>
      <c r="N71" s="380"/>
      <c r="O71" s="380"/>
      <c r="P71" s="380"/>
      <c r="Q71" s="380"/>
      <c r="R71" s="380"/>
      <c r="S71" s="380"/>
      <c r="T71" s="380"/>
      <c r="U71" s="380"/>
      <c r="V71" s="380"/>
      <c r="W71" s="380"/>
      <c r="X71" s="380"/>
      <c r="Y71" s="380"/>
      <c r="Z71" s="380"/>
      <c r="AA71" s="380"/>
      <c r="AB71" s="395"/>
      <c r="AD71" s="152">
        <f>(MAX(1-wg_spell_cost_cap,1-wg_spell_cost_red*ROUND(Construction!BM71/Construction!E71,4))+Constants!$M$45*Techs!AL71)*(B71-Explore!S71*20)*(G71*Constants!$B$72+H71*Constants!$B$73+I71*Constants!$B$74+J71*Constants!$B$76+K71*Constants!$B$75+L71*dwarf_spell_cost+M71*halfling_spell_cost + N71*sylvan_spell_cost + O71*woodelf_spell_cost + P71*kobold_spell_cost + Q71*icekin_spell_cost + R71*firewalker_spell_cost + S71*nox_spell_cost + T71*human_spell_cost + U71*goblin_spell_cost + V71*orc_spell_cost + W71*ants_spell_cost + X71*armada_spell_cost + Y71*lux_spell_cost + Z71*growth_spell_cost + AA71*impgnome_spell_cost + AB71*VLOOKUP(IF(ISNUMBER(MATCH(Overview!$B$14,useless_spell_races,0)),Overview!$B$14,"Other"),Constants!$P$89:$S$102,3,FALSE))</f>
        <v>0</v>
      </c>
      <c r="AE71" s="62">
        <f t="shared" si="25"/>
        <v>0</v>
      </c>
      <c r="AG71" s="635">
        <f t="shared" si="58"/>
        <v>0</v>
      </c>
      <c r="AH71" s="529">
        <f t="shared" si="59"/>
        <v>0</v>
      </c>
      <c r="AI71" s="529">
        <f t="shared" si="60"/>
        <v>0</v>
      </c>
      <c r="AJ71" s="529">
        <f t="shared" si="61"/>
        <v>0</v>
      </c>
      <c r="AK71" s="527">
        <f t="shared" si="62"/>
        <v>0</v>
      </c>
      <c r="AL71" s="529">
        <f t="shared" si="42"/>
        <v>0</v>
      </c>
      <c r="AM71" s="529">
        <f t="shared" si="43"/>
        <v>0</v>
      </c>
      <c r="AN71" s="529">
        <f t="shared" si="44"/>
        <v>0</v>
      </c>
      <c r="AO71" s="529">
        <f t="shared" si="45"/>
        <v>0</v>
      </c>
      <c r="AP71" s="529">
        <f t="shared" si="46"/>
        <v>0</v>
      </c>
      <c r="AQ71" s="529">
        <f t="shared" si="47"/>
        <v>0</v>
      </c>
      <c r="AR71" s="958">
        <f t="shared" si="48"/>
        <v>0</v>
      </c>
      <c r="AS71" s="958">
        <f t="shared" si="49"/>
        <v>0</v>
      </c>
      <c r="AT71" s="958">
        <f t="shared" si="50"/>
        <v>0</v>
      </c>
      <c r="AU71" s="958">
        <f t="shared" si="51"/>
        <v>0</v>
      </c>
      <c r="AV71" s="958">
        <f t="shared" si="52"/>
        <v>0</v>
      </c>
      <c r="AW71" s="16">
        <f t="shared" si="53"/>
        <v>0</v>
      </c>
      <c r="AX71" s="16">
        <f t="shared" si="54"/>
        <v>0</v>
      </c>
      <c r="AY71" s="16">
        <f t="shared" si="55"/>
        <v>0</v>
      </c>
      <c r="AZ71" s="16">
        <f t="shared" si="56"/>
        <v>0</v>
      </c>
      <c r="BA71" s="16">
        <f t="shared" si="57"/>
        <v>0</v>
      </c>
      <c r="BB71" s="1382">
        <f>IF(AB71,VLOOKUP(IF(ISNUMBER(MATCH(Overview!$B$14,useless_spell_races,0)),Overview!$B$14,"Other"),Constants!$P$89:$S$102,4,FALSE),IF(BB70&gt;0,BB70-1,0))</f>
        <v>0</v>
      </c>
    </row>
    <row r="72" spans="1:54" s="16" customFormat="1">
      <c r="A72" s="987">
        <f>Rezone!J72</f>
        <v>70</v>
      </c>
      <c r="B72" s="16">
        <f>Construction!E72</f>
        <v>1000</v>
      </c>
      <c r="C72" s="26">
        <f ca="1">Production!K72</f>
        <v>51958</v>
      </c>
      <c r="D72" s="62">
        <f>MIN(1,D71+0.04+ROUNDDOWN(10*Military!BN71,0)+MAX(Techs!AN71,Techs!AW71*3))-AE72</f>
        <v>1</v>
      </c>
      <c r="E72" s="532">
        <f t="shared" si="24"/>
        <v>43694.874999999833</v>
      </c>
      <c r="F72" s="62">
        <f ca="1">Imps!J72</f>
        <v>1</v>
      </c>
      <c r="G72" s="393"/>
      <c r="H72" s="394"/>
      <c r="I72" s="394"/>
      <c r="J72" s="394"/>
      <c r="K72" s="380"/>
      <c r="L72" s="393"/>
      <c r="M72" s="394"/>
      <c r="N72" s="380"/>
      <c r="O72" s="380"/>
      <c r="P72" s="380"/>
      <c r="Q72" s="380"/>
      <c r="R72" s="380"/>
      <c r="S72" s="380"/>
      <c r="T72" s="380"/>
      <c r="U72" s="380"/>
      <c r="V72" s="380"/>
      <c r="W72" s="380"/>
      <c r="X72" s="380"/>
      <c r="Y72" s="380"/>
      <c r="Z72" s="380"/>
      <c r="AA72" s="380"/>
      <c r="AB72" s="395"/>
      <c r="AD72" s="152">
        <f>(MAX(1-wg_spell_cost_cap,1-wg_spell_cost_red*ROUND(Construction!BM72/Construction!E72,4))+Constants!$M$45*Techs!AL72)*(B72-Explore!S72*20)*(G72*Constants!$B$72+H72*Constants!$B$73+I72*Constants!$B$74+J72*Constants!$B$76+K72*Constants!$B$75+L72*dwarf_spell_cost+M72*halfling_spell_cost + N72*sylvan_spell_cost + O72*woodelf_spell_cost + P72*kobold_spell_cost + Q72*icekin_spell_cost + R72*firewalker_spell_cost + S72*nox_spell_cost + T72*human_spell_cost + U72*goblin_spell_cost + V72*orc_spell_cost + W72*ants_spell_cost + X72*armada_spell_cost + Y72*lux_spell_cost + Z72*growth_spell_cost + AA72*impgnome_spell_cost + AB72*VLOOKUP(IF(ISNUMBER(MATCH(Overview!$B$14,useless_spell_races,0)),Overview!$B$14,"Other"),Constants!$P$89:$S$102,3,FALSE))</f>
        <v>0</v>
      </c>
      <c r="AE72" s="62">
        <f t="shared" si="25"/>
        <v>0</v>
      </c>
      <c r="AG72" s="635">
        <f t="shared" si="58"/>
        <v>0</v>
      </c>
      <c r="AH72" s="529">
        <f t="shared" si="59"/>
        <v>0</v>
      </c>
      <c r="AI72" s="529">
        <f t="shared" si="60"/>
        <v>0</v>
      </c>
      <c r="AJ72" s="529">
        <f t="shared" si="61"/>
        <v>0</v>
      </c>
      <c r="AK72" s="527">
        <f t="shared" si="62"/>
        <v>0</v>
      </c>
      <c r="AL72" s="529">
        <f t="shared" si="42"/>
        <v>0</v>
      </c>
      <c r="AM72" s="529">
        <f t="shared" si="43"/>
        <v>0</v>
      </c>
      <c r="AN72" s="529">
        <f t="shared" si="44"/>
        <v>0</v>
      </c>
      <c r="AO72" s="529">
        <f t="shared" si="45"/>
        <v>0</v>
      </c>
      <c r="AP72" s="529">
        <f t="shared" si="46"/>
        <v>0</v>
      </c>
      <c r="AQ72" s="529">
        <f t="shared" si="47"/>
        <v>0</v>
      </c>
      <c r="AR72" s="958">
        <f t="shared" si="48"/>
        <v>0</v>
      </c>
      <c r="AS72" s="958">
        <f t="shared" si="49"/>
        <v>0</v>
      </c>
      <c r="AT72" s="958">
        <f t="shared" si="50"/>
        <v>0</v>
      </c>
      <c r="AU72" s="958">
        <f t="shared" si="51"/>
        <v>0</v>
      </c>
      <c r="AV72" s="958">
        <f t="shared" si="52"/>
        <v>0</v>
      </c>
      <c r="AW72" s="16">
        <f t="shared" si="53"/>
        <v>0</v>
      </c>
      <c r="AX72" s="16">
        <f t="shared" si="54"/>
        <v>0</v>
      </c>
      <c r="AY72" s="16">
        <f t="shared" si="55"/>
        <v>0</v>
      </c>
      <c r="AZ72" s="16">
        <f t="shared" si="56"/>
        <v>0</v>
      </c>
      <c r="BA72" s="16">
        <f t="shared" si="57"/>
        <v>0</v>
      </c>
      <c r="BB72" s="1382">
        <f>IF(AB72,VLOOKUP(IF(ISNUMBER(MATCH(Overview!$B$14,useless_spell_races,0)),Overview!$B$14,"Other"),Constants!$P$89:$S$102,4,FALSE),IF(BB71&gt;0,BB71-1,0))</f>
        <v>0</v>
      </c>
    </row>
    <row r="73" spans="1:54" s="16" customFormat="1">
      <c r="A73" s="987">
        <f>Rezone!J73</f>
        <v>71</v>
      </c>
      <c r="B73" s="16">
        <f>Construction!E73</f>
        <v>1000</v>
      </c>
      <c r="C73" s="26">
        <f ca="1">Production!K73</f>
        <v>52169</v>
      </c>
      <c r="D73" s="62">
        <f>MIN(1,D72+0.04+ROUNDDOWN(10*Military!BN72,0)+MAX(Techs!AN72,Techs!AW72*3))-AE73</f>
        <v>1</v>
      </c>
      <c r="E73" s="532">
        <f t="shared" si="24"/>
        <v>43694.916666666497</v>
      </c>
      <c r="F73" s="62">
        <f ca="1">Imps!J73</f>
        <v>1</v>
      </c>
      <c r="G73" s="393"/>
      <c r="H73" s="394"/>
      <c r="I73" s="394"/>
      <c r="J73" s="394"/>
      <c r="K73" s="380"/>
      <c r="L73" s="393"/>
      <c r="M73" s="394"/>
      <c r="N73" s="380"/>
      <c r="O73" s="380"/>
      <c r="P73" s="380"/>
      <c r="Q73" s="380"/>
      <c r="R73" s="380"/>
      <c r="S73" s="380"/>
      <c r="T73" s="380"/>
      <c r="U73" s="380"/>
      <c r="V73" s="380"/>
      <c r="W73" s="380"/>
      <c r="X73" s="380"/>
      <c r="Y73" s="380"/>
      <c r="Z73" s="380"/>
      <c r="AA73" s="380"/>
      <c r="AB73" s="395"/>
      <c r="AD73" s="152">
        <f>(MAX(1-wg_spell_cost_cap,1-wg_spell_cost_red*ROUND(Construction!BM73/Construction!E73,4))+Constants!$M$45*Techs!AL73)*(B73-Explore!S73*20)*(G73*Constants!$B$72+H73*Constants!$B$73+I73*Constants!$B$74+J73*Constants!$B$76+K73*Constants!$B$75+L73*dwarf_spell_cost+M73*halfling_spell_cost + N73*sylvan_spell_cost + O73*woodelf_spell_cost + P73*kobold_spell_cost + Q73*icekin_spell_cost + R73*firewalker_spell_cost + S73*nox_spell_cost + T73*human_spell_cost + U73*goblin_spell_cost + V73*orc_spell_cost + W73*ants_spell_cost + X73*armada_spell_cost + Y73*lux_spell_cost + Z73*growth_spell_cost + AA73*impgnome_spell_cost + AB73*VLOOKUP(IF(ISNUMBER(MATCH(Overview!$B$14,useless_spell_races,0)),Overview!$B$14,"Other"),Constants!$P$89:$S$102,3,FALSE))</f>
        <v>0</v>
      </c>
      <c r="AE73" s="62">
        <f t="shared" si="25"/>
        <v>0</v>
      </c>
      <c r="AG73" s="635">
        <f t="shared" si="58"/>
        <v>0</v>
      </c>
      <c r="AH73" s="529">
        <f t="shared" si="59"/>
        <v>0</v>
      </c>
      <c r="AI73" s="529">
        <f t="shared" si="60"/>
        <v>0</v>
      </c>
      <c r="AJ73" s="529">
        <f t="shared" si="61"/>
        <v>0</v>
      </c>
      <c r="AK73" s="527">
        <f t="shared" si="62"/>
        <v>0</v>
      </c>
      <c r="AL73" s="529">
        <f t="shared" si="42"/>
        <v>0</v>
      </c>
      <c r="AM73" s="529">
        <f t="shared" si="43"/>
        <v>0</v>
      </c>
      <c r="AN73" s="529">
        <f t="shared" si="44"/>
        <v>0</v>
      </c>
      <c r="AO73" s="529">
        <f t="shared" si="45"/>
        <v>0</v>
      </c>
      <c r="AP73" s="529">
        <f t="shared" si="46"/>
        <v>0</v>
      </c>
      <c r="AQ73" s="529">
        <f t="shared" si="47"/>
        <v>0</v>
      </c>
      <c r="AR73" s="958">
        <f t="shared" si="48"/>
        <v>0</v>
      </c>
      <c r="AS73" s="958">
        <f t="shared" si="49"/>
        <v>0</v>
      </c>
      <c r="AT73" s="958">
        <f t="shared" si="50"/>
        <v>0</v>
      </c>
      <c r="AU73" s="958">
        <f t="shared" si="51"/>
        <v>0</v>
      </c>
      <c r="AV73" s="958">
        <f t="shared" si="52"/>
        <v>0</v>
      </c>
      <c r="AW73" s="16">
        <f t="shared" si="53"/>
        <v>0</v>
      </c>
      <c r="AX73" s="16">
        <f t="shared" si="54"/>
        <v>0</v>
      </c>
      <c r="AY73" s="16">
        <f t="shared" si="55"/>
        <v>0</v>
      </c>
      <c r="AZ73" s="16">
        <f t="shared" si="56"/>
        <v>0</v>
      </c>
      <c r="BA73" s="16">
        <f t="shared" si="57"/>
        <v>0</v>
      </c>
      <c r="BB73" s="1382">
        <f>IF(AB73,VLOOKUP(IF(ISNUMBER(MATCH(Overview!$B$14,useless_spell_races,0)),Overview!$B$14,"Other"),Constants!$P$89:$S$102,4,FALSE),IF(BB72&gt;0,BB72-1,0))</f>
        <v>0</v>
      </c>
    </row>
    <row r="74" spans="1:54" s="16" customFormat="1" ht="13.5" thickBot="1">
      <c r="A74" s="987">
        <f>Rezone!J74</f>
        <v>72</v>
      </c>
      <c r="B74" s="16">
        <f>Construction!E74</f>
        <v>1000</v>
      </c>
      <c r="C74" s="26">
        <f ca="1">Production!K74</f>
        <v>52376</v>
      </c>
      <c r="D74" s="62">
        <f>MIN(1,D73+0.04+ROUNDDOWN(10*Military!BN73,0)+MAX(Techs!AN73,Techs!AW73*3))-AE74</f>
        <v>1</v>
      </c>
      <c r="E74" s="532">
        <f t="shared" si="24"/>
        <v>43694.958333333161</v>
      </c>
      <c r="F74" s="62">
        <f ca="1">Imps!J74</f>
        <v>1</v>
      </c>
      <c r="G74" s="393"/>
      <c r="H74" s="394"/>
      <c r="I74" s="394"/>
      <c r="J74" s="394"/>
      <c r="K74" s="380"/>
      <c r="L74" s="393"/>
      <c r="M74" s="394"/>
      <c r="N74" s="380"/>
      <c r="O74" s="380"/>
      <c r="P74" s="380"/>
      <c r="Q74" s="380"/>
      <c r="R74" s="380"/>
      <c r="S74" s="380"/>
      <c r="T74" s="380"/>
      <c r="U74" s="380"/>
      <c r="V74" s="380"/>
      <c r="W74" s="380"/>
      <c r="X74" s="380"/>
      <c r="Y74" s="380"/>
      <c r="Z74" s="380"/>
      <c r="AA74" s="380"/>
      <c r="AB74" s="395"/>
      <c r="AD74" s="152">
        <f>(MAX(1-wg_spell_cost_cap,1-wg_spell_cost_red*ROUND(Construction!BM74/Construction!E74,4))+Constants!$M$45*Techs!AL74)*(B74-Explore!S74*20)*(G74*Constants!$B$72+H74*Constants!$B$73+I74*Constants!$B$74+J74*Constants!$B$76+K74*Constants!$B$75+L74*dwarf_spell_cost+M74*halfling_spell_cost + N74*sylvan_spell_cost + O74*woodelf_spell_cost + P74*kobold_spell_cost + Q74*icekin_spell_cost + R74*firewalker_spell_cost + S74*nox_spell_cost + T74*human_spell_cost + U74*goblin_spell_cost + V74*orc_spell_cost + W74*ants_spell_cost + X74*armada_spell_cost + Y74*lux_spell_cost + Z74*growth_spell_cost + AA74*impgnome_spell_cost + AB74*VLOOKUP(IF(ISNUMBER(MATCH(Overview!$B$14,useless_spell_races,0)),Overview!$B$14,"Other"),Constants!$P$89:$S$102,3,FALSE))</f>
        <v>0</v>
      </c>
      <c r="AE74" s="62">
        <f t="shared" si="25"/>
        <v>0</v>
      </c>
      <c r="AG74" s="635">
        <f t="shared" si="58"/>
        <v>0</v>
      </c>
      <c r="AH74" s="529">
        <f t="shared" si="59"/>
        <v>0</v>
      </c>
      <c r="AI74" s="529">
        <f t="shared" si="60"/>
        <v>0</v>
      </c>
      <c r="AJ74" s="529">
        <f t="shared" si="61"/>
        <v>0</v>
      </c>
      <c r="AK74" s="527">
        <f t="shared" si="62"/>
        <v>0</v>
      </c>
      <c r="AL74" s="529">
        <f t="shared" si="42"/>
        <v>0</v>
      </c>
      <c r="AM74" s="529">
        <f t="shared" si="43"/>
        <v>0</v>
      </c>
      <c r="AN74" s="529">
        <f t="shared" si="44"/>
        <v>0</v>
      </c>
      <c r="AO74" s="529">
        <f t="shared" si="45"/>
        <v>0</v>
      </c>
      <c r="AP74" s="529">
        <f t="shared" si="46"/>
        <v>0</v>
      </c>
      <c r="AQ74" s="529">
        <f t="shared" si="47"/>
        <v>0</v>
      </c>
      <c r="AR74" s="958">
        <f t="shared" si="48"/>
        <v>0</v>
      </c>
      <c r="AS74" s="958">
        <f t="shared" si="49"/>
        <v>0</v>
      </c>
      <c r="AT74" s="958">
        <f t="shared" si="50"/>
        <v>0</v>
      </c>
      <c r="AU74" s="958">
        <f t="shared" si="51"/>
        <v>0</v>
      </c>
      <c r="AV74" s="958">
        <f t="shared" si="52"/>
        <v>0</v>
      </c>
      <c r="AW74" s="16">
        <f t="shared" si="53"/>
        <v>0</v>
      </c>
      <c r="AX74" s="16">
        <f t="shared" si="54"/>
        <v>0</v>
      </c>
      <c r="AY74" s="16">
        <f t="shared" si="55"/>
        <v>0</v>
      </c>
      <c r="AZ74" s="16">
        <f t="shared" si="56"/>
        <v>0</v>
      </c>
      <c r="BA74" s="16">
        <f t="shared" si="57"/>
        <v>0</v>
      </c>
      <c r="BB74" s="1382">
        <f>IF(AB74,VLOOKUP(IF(ISNUMBER(MATCH(Overview!$B$14,useless_spell_races,0)),Overview!$B$14,"Other"),Constants!$P$89:$S$102,4,FALSE),IF(BB73&gt;0,BB73-1,0))</f>
        <v>0</v>
      </c>
    </row>
    <row r="75" spans="1:54" s="936" customFormat="1" ht="13.5" thickBot="1">
      <c r="A75" s="1294">
        <f>Rezone!J75</f>
        <v>73</v>
      </c>
      <c r="B75" s="936">
        <f>Construction!E75</f>
        <v>1000</v>
      </c>
      <c r="C75" s="279">
        <f ca="1">Production!K75</f>
        <v>52578</v>
      </c>
      <c r="D75" s="1295">
        <f>MIN(1,D74+0.04+ROUNDDOWN(10*Military!BN74,0)+MAX(Techs!AN74,Techs!AW74*3))-AE75</f>
        <v>1</v>
      </c>
      <c r="E75" s="573">
        <f t="shared" si="24"/>
        <v>43694.999999999825</v>
      </c>
      <c r="F75" s="1295">
        <f ca="1">Imps!J75</f>
        <v>1</v>
      </c>
      <c r="G75" s="1296"/>
      <c r="H75" s="1297"/>
      <c r="I75" s="1297"/>
      <c r="J75" s="1297"/>
      <c r="K75" s="1298"/>
      <c r="L75" s="1296"/>
      <c r="M75" s="1297"/>
      <c r="N75" s="1298"/>
      <c r="O75" s="1298"/>
      <c r="P75" s="1298"/>
      <c r="Q75" s="1298"/>
      <c r="R75" s="1298"/>
      <c r="S75" s="1298"/>
      <c r="T75" s="1298"/>
      <c r="U75" s="1298"/>
      <c r="V75" s="1298"/>
      <c r="W75" s="1298"/>
      <c r="X75" s="1298"/>
      <c r="Y75" s="1298"/>
      <c r="Z75" s="1298"/>
      <c r="AA75" s="1298"/>
      <c r="AB75" s="1299"/>
      <c r="AD75" s="175">
        <f>(MAX(1-wg_spell_cost_cap,1-wg_spell_cost_red*ROUND(Construction!BM75/Construction!E75,4))+Constants!$M$45*Techs!AL75)*(B75-Explore!S75*20)*(G75*Constants!$B$72+H75*Constants!$B$73+I75*Constants!$B$74+J75*Constants!$B$76+K75*Constants!$B$75+L75*dwarf_spell_cost+M75*halfling_spell_cost + N75*sylvan_spell_cost + O75*woodelf_spell_cost + P75*kobold_spell_cost + Q75*icekin_spell_cost + R75*firewalker_spell_cost + S75*nox_spell_cost + T75*human_spell_cost + U75*goblin_spell_cost + V75*orc_spell_cost + W75*ants_spell_cost + X75*armada_spell_cost + Y75*lux_spell_cost + Z75*growth_spell_cost + AA75*impgnome_spell_cost + AB75*VLOOKUP(IF(ISNUMBER(MATCH(Overview!$B$14,useless_spell_races,0)),Overview!$B$14,"Other"),Constants!$P$89:$S$102,3,FALSE))</f>
        <v>0</v>
      </c>
      <c r="AE75" s="1295">
        <f t="shared" si="25"/>
        <v>0</v>
      </c>
      <c r="AG75" s="1300">
        <f t="shared" si="58"/>
        <v>0</v>
      </c>
      <c r="AH75" s="1301">
        <f t="shared" si="59"/>
        <v>0</v>
      </c>
      <c r="AI75" s="1301">
        <f t="shared" si="60"/>
        <v>0</v>
      </c>
      <c r="AJ75" s="1301">
        <f t="shared" si="61"/>
        <v>0</v>
      </c>
      <c r="AK75" s="1302">
        <f t="shared" si="62"/>
        <v>0</v>
      </c>
      <c r="AL75" s="1301">
        <f t="shared" si="42"/>
        <v>0</v>
      </c>
      <c r="AM75" s="1301">
        <f t="shared" si="43"/>
        <v>0</v>
      </c>
      <c r="AN75" s="1301">
        <f t="shared" si="44"/>
        <v>0</v>
      </c>
      <c r="AO75" s="1301">
        <f t="shared" si="45"/>
        <v>0</v>
      </c>
      <c r="AP75" s="1301">
        <f t="shared" si="46"/>
        <v>0</v>
      </c>
      <c r="AQ75" s="1301">
        <f t="shared" si="47"/>
        <v>0</v>
      </c>
      <c r="AR75" s="1303">
        <f t="shared" si="48"/>
        <v>0</v>
      </c>
      <c r="AS75" s="1303">
        <f t="shared" si="49"/>
        <v>0</v>
      </c>
      <c r="AT75" s="1303">
        <f t="shared" si="50"/>
        <v>0</v>
      </c>
      <c r="AU75" s="1303">
        <f t="shared" si="51"/>
        <v>0</v>
      </c>
      <c r="AV75" s="1303">
        <f t="shared" si="52"/>
        <v>0</v>
      </c>
      <c r="AW75" s="936">
        <f t="shared" si="53"/>
        <v>0</v>
      </c>
      <c r="AX75" s="936">
        <f t="shared" si="54"/>
        <v>0</v>
      </c>
      <c r="AY75" s="936">
        <f t="shared" si="55"/>
        <v>0</v>
      </c>
      <c r="AZ75" s="936">
        <f t="shared" si="56"/>
        <v>0</v>
      </c>
      <c r="BA75" s="936">
        <f t="shared" si="57"/>
        <v>0</v>
      </c>
      <c r="BB75" s="1388">
        <f>IF(AB75,VLOOKUP(IF(ISNUMBER(MATCH(Overview!$B$14,useless_spell_races,0)),Overview!$B$14,"Other"),Constants!$P$89:$S$102,4,FALSE),IF(BB74&gt;0,BB74-1,0))</f>
        <v>0</v>
      </c>
    </row>
    <row r="76" spans="1:54" s="170" customFormat="1">
      <c r="A76" s="986">
        <f>Rezone!J76</f>
        <v>74</v>
      </c>
      <c r="B76" s="170">
        <f>Construction!E76</f>
        <v>1000</v>
      </c>
      <c r="C76" s="164">
        <f ca="1">Production!K76</f>
        <v>52776</v>
      </c>
      <c r="D76" s="193">
        <f>MIN(1,D75+0.04+ROUNDDOWN(10*Military!BN75,0)+MAX(Techs!AN75,Techs!AW75*3))-AE76</f>
        <v>1</v>
      </c>
      <c r="E76" s="532">
        <f t="shared" si="24"/>
        <v>43695.04166666649</v>
      </c>
      <c r="F76" s="193">
        <f ca="1">Imps!J76</f>
        <v>1</v>
      </c>
      <c r="G76" s="384"/>
      <c r="H76" s="385"/>
      <c r="I76" s="385"/>
      <c r="J76" s="385"/>
      <c r="K76" s="377"/>
      <c r="L76" s="384"/>
      <c r="M76" s="385"/>
      <c r="N76" s="377"/>
      <c r="O76" s="377"/>
      <c r="P76" s="377"/>
      <c r="Q76" s="377"/>
      <c r="R76" s="377"/>
      <c r="S76" s="377"/>
      <c r="T76" s="377"/>
      <c r="U76" s="377"/>
      <c r="V76" s="377"/>
      <c r="W76" s="377"/>
      <c r="X76" s="377"/>
      <c r="Y76" s="377"/>
      <c r="Z76" s="377"/>
      <c r="AA76" s="377"/>
      <c r="AB76" s="386"/>
      <c r="AD76" s="152">
        <f>(MAX(1-wg_spell_cost_cap,1-wg_spell_cost_red*ROUND(Construction!BM76/Construction!E76,4))+Constants!$M$45*Techs!AL76)*(B76-Explore!S76*20)*(G76*Constants!$B$72+H76*Constants!$B$73+I76*Constants!$B$74+J76*Constants!$B$76+K76*Constants!$B$75+L76*dwarf_spell_cost+M76*halfling_spell_cost + N76*sylvan_spell_cost + O76*woodelf_spell_cost + P76*kobold_spell_cost + Q76*icekin_spell_cost + R76*firewalker_spell_cost + S76*nox_spell_cost + T76*human_spell_cost + U76*goblin_spell_cost + V76*orc_spell_cost + W76*ants_spell_cost + X76*armada_spell_cost + Y76*lux_spell_cost + Z76*growth_spell_cost + AA76*impgnome_spell_cost + AB76*VLOOKUP(IF(ISNUMBER(MATCH(Overview!$B$14,useless_spell_races,0)),Overview!$B$14,"Other"),Constants!$P$89:$S$102,3,FALSE))</f>
        <v>0</v>
      </c>
      <c r="AE76" s="193">
        <f t="shared" si="25"/>
        <v>0</v>
      </c>
      <c r="AG76" s="634">
        <f t="shared" si="58"/>
        <v>0</v>
      </c>
      <c r="AH76" s="629">
        <f t="shared" si="59"/>
        <v>0</v>
      </c>
      <c r="AI76" s="629">
        <f t="shared" si="60"/>
        <v>0</v>
      </c>
      <c r="AJ76" s="629">
        <f t="shared" si="61"/>
        <v>0</v>
      </c>
      <c r="AK76" s="548">
        <f t="shared" si="62"/>
        <v>0</v>
      </c>
      <c r="AL76" s="629">
        <f t="shared" si="42"/>
        <v>0</v>
      </c>
      <c r="AM76" s="629">
        <f t="shared" si="43"/>
        <v>0</v>
      </c>
      <c r="AN76" s="629">
        <f t="shared" si="44"/>
        <v>0</v>
      </c>
      <c r="AO76" s="629">
        <f t="shared" si="45"/>
        <v>0</v>
      </c>
      <c r="AP76" s="629">
        <f t="shared" si="46"/>
        <v>0</v>
      </c>
      <c r="AQ76" s="629">
        <f t="shared" si="47"/>
        <v>0</v>
      </c>
      <c r="AR76" s="957">
        <f t="shared" si="48"/>
        <v>0</v>
      </c>
      <c r="AS76" s="957">
        <f t="shared" si="49"/>
        <v>0</v>
      </c>
      <c r="AT76" s="957">
        <f t="shared" si="50"/>
        <v>0</v>
      </c>
      <c r="AU76" s="957">
        <f t="shared" si="51"/>
        <v>0</v>
      </c>
      <c r="AV76" s="957">
        <f t="shared" si="52"/>
        <v>0</v>
      </c>
      <c r="AW76" s="170">
        <f t="shared" si="53"/>
        <v>0</v>
      </c>
      <c r="AX76" s="170">
        <f t="shared" si="54"/>
        <v>0</v>
      </c>
      <c r="AY76" s="170">
        <f t="shared" si="55"/>
        <v>0</v>
      </c>
      <c r="AZ76" s="170">
        <f t="shared" si="56"/>
        <v>0</v>
      </c>
      <c r="BA76" s="170">
        <f t="shared" si="57"/>
        <v>0</v>
      </c>
      <c r="BB76" s="1381">
        <f>IF(AB76,VLOOKUP(IF(ISNUMBER(MATCH(Overview!$B$14,useless_spell_races,0)),Overview!$B$14,"Other"),Constants!$P$89:$S$102,4,FALSE),IF(BB75&gt;0,BB75-1,0))</f>
        <v>0</v>
      </c>
    </row>
    <row r="77" spans="1:54" s="170" customFormat="1">
      <c r="A77" s="986">
        <f>Rezone!J77</f>
        <v>75</v>
      </c>
      <c r="B77" s="170">
        <f>Construction!E77</f>
        <v>1000</v>
      </c>
      <c r="C77" s="164">
        <f ca="1">Production!K77</f>
        <v>52970</v>
      </c>
      <c r="D77" s="193">
        <f>MIN(1,D76+0.04+ROUNDDOWN(10*Military!BN76,0)+MAX(Techs!AN76,Techs!AW76*3))-AE77</f>
        <v>1</v>
      </c>
      <c r="E77" s="532">
        <f t="shared" si="24"/>
        <v>43695.083333333154</v>
      </c>
      <c r="F77" s="193">
        <f ca="1">Imps!J77</f>
        <v>1</v>
      </c>
      <c r="G77" s="384"/>
      <c r="H77" s="385"/>
      <c r="I77" s="385"/>
      <c r="J77" s="385"/>
      <c r="K77" s="377"/>
      <c r="L77" s="384"/>
      <c r="M77" s="385"/>
      <c r="N77" s="377"/>
      <c r="O77" s="377"/>
      <c r="P77" s="377"/>
      <c r="Q77" s="377"/>
      <c r="R77" s="377"/>
      <c r="S77" s="377"/>
      <c r="T77" s="377"/>
      <c r="U77" s="377"/>
      <c r="V77" s="377"/>
      <c r="W77" s="377"/>
      <c r="X77" s="377"/>
      <c r="Y77" s="377"/>
      <c r="Z77" s="377"/>
      <c r="AA77" s="377"/>
      <c r="AB77" s="386"/>
      <c r="AD77" s="152">
        <f>(MAX(1-wg_spell_cost_cap,1-wg_spell_cost_red*ROUND(Construction!BM77/Construction!E77,4))+Constants!$M$45*Techs!AL77)*(B77-Explore!S77*20)*(G77*Constants!$B$72+H77*Constants!$B$73+I77*Constants!$B$74+J77*Constants!$B$76+K77*Constants!$B$75+L77*dwarf_spell_cost+M77*halfling_spell_cost + N77*sylvan_spell_cost + O77*woodelf_spell_cost + P77*kobold_spell_cost + Q77*icekin_spell_cost + R77*firewalker_spell_cost + S77*nox_spell_cost + T77*human_spell_cost + U77*goblin_spell_cost + V77*orc_spell_cost + W77*ants_spell_cost + X77*armada_spell_cost + Y77*lux_spell_cost + Z77*growth_spell_cost + AA77*impgnome_spell_cost + AB77*VLOOKUP(IF(ISNUMBER(MATCH(Overview!$B$14,useless_spell_races,0)),Overview!$B$14,"Other"),Constants!$P$89:$S$102,3,FALSE))</f>
        <v>0</v>
      </c>
      <c r="AE77" s="193">
        <f t="shared" si="25"/>
        <v>0</v>
      </c>
      <c r="AG77" s="634">
        <f t="shared" si="58"/>
        <v>0</v>
      </c>
      <c r="AH77" s="629">
        <f t="shared" si="59"/>
        <v>0</v>
      </c>
      <c r="AI77" s="629">
        <f t="shared" si="60"/>
        <v>0</v>
      </c>
      <c r="AJ77" s="629">
        <f t="shared" si="61"/>
        <v>0</v>
      </c>
      <c r="AK77" s="548">
        <f t="shared" si="62"/>
        <v>0</v>
      </c>
      <c r="AL77" s="629">
        <f t="shared" si="42"/>
        <v>0</v>
      </c>
      <c r="AM77" s="629">
        <f t="shared" si="43"/>
        <v>0</v>
      </c>
      <c r="AN77" s="629">
        <f t="shared" si="44"/>
        <v>0</v>
      </c>
      <c r="AO77" s="629">
        <f t="shared" si="45"/>
        <v>0</v>
      </c>
      <c r="AP77" s="629">
        <f t="shared" si="46"/>
        <v>0</v>
      </c>
      <c r="AQ77" s="629">
        <f t="shared" si="47"/>
        <v>0</v>
      </c>
      <c r="AR77" s="957">
        <f t="shared" si="48"/>
        <v>0</v>
      </c>
      <c r="AS77" s="957">
        <f t="shared" si="49"/>
        <v>0</v>
      </c>
      <c r="AT77" s="957">
        <f t="shared" si="50"/>
        <v>0</v>
      </c>
      <c r="AU77" s="957">
        <f t="shared" si="51"/>
        <v>0</v>
      </c>
      <c r="AV77" s="957">
        <f t="shared" si="52"/>
        <v>0</v>
      </c>
      <c r="AW77" s="170">
        <f t="shared" si="53"/>
        <v>0</v>
      </c>
      <c r="AX77" s="170">
        <f t="shared" si="54"/>
        <v>0</v>
      </c>
      <c r="AY77" s="170">
        <f t="shared" si="55"/>
        <v>0</v>
      </c>
      <c r="AZ77" s="170">
        <f t="shared" si="56"/>
        <v>0</v>
      </c>
      <c r="BA77" s="170">
        <f t="shared" si="57"/>
        <v>0</v>
      </c>
      <c r="BB77" s="1381">
        <f>IF(AB77,VLOOKUP(IF(ISNUMBER(MATCH(Overview!$B$14,useless_spell_races,0)),Overview!$B$14,"Other"),Constants!$P$89:$S$102,4,FALSE),IF(BB76&gt;0,BB76-1,0))</f>
        <v>0</v>
      </c>
    </row>
    <row r="78" spans="1:54" s="16" customFormat="1">
      <c r="A78" s="987">
        <f>Rezone!J78</f>
        <v>76</v>
      </c>
      <c r="B78" s="16">
        <f>Construction!E78</f>
        <v>1000</v>
      </c>
      <c r="C78" s="26">
        <f ca="1">Production!K78</f>
        <v>53161</v>
      </c>
      <c r="D78" s="62">
        <f>MIN(1,D77+0.04+ROUNDDOWN(10*Military!BN77,0)+MAX(Techs!AN77,Techs!AW77*3))-AE78</f>
        <v>1</v>
      </c>
      <c r="E78" s="532">
        <f t="shared" si="24"/>
        <v>43695.124999999818</v>
      </c>
      <c r="F78" s="62">
        <f ca="1">Imps!J78</f>
        <v>1</v>
      </c>
      <c r="G78" s="393"/>
      <c r="H78" s="394"/>
      <c r="I78" s="394"/>
      <c r="J78" s="394"/>
      <c r="K78" s="380"/>
      <c r="L78" s="393"/>
      <c r="M78" s="394"/>
      <c r="N78" s="380"/>
      <c r="O78" s="380"/>
      <c r="P78" s="380"/>
      <c r="Q78" s="380"/>
      <c r="R78" s="380"/>
      <c r="S78" s="380"/>
      <c r="T78" s="380"/>
      <c r="U78" s="380"/>
      <c r="V78" s="380"/>
      <c r="W78" s="380"/>
      <c r="X78" s="380"/>
      <c r="Y78" s="380"/>
      <c r="Z78" s="380"/>
      <c r="AA78" s="380"/>
      <c r="AB78" s="395"/>
      <c r="AD78" s="152">
        <f>(MAX(1-wg_spell_cost_cap,1-wg_spell_cost_red*ROUND(Construction!BM78/Construction!E78,4))+Constants!$M$45*Techs!AL78)*(B78-Explore!S78*20)*(G78*Constants!$B$72+H78*Constants!$B$73+I78*Constants!$B$74+J78*Constants!$B$76+K78*Constants!$B$75+L78*dwarf_spell_cost+M78*halfling_spell_cost + N78*sylvan_spell_cost + O78*woodelf_spell_cost + P78*kobold_spell_cost + Q78*icekin_spell_cost + R78*firewalker_spell_cost + S78*nox_spell_cost + T78*human_spell_cost + U78*goblin_spell_cost + V78*orc_spell_cost + W78*ants_spell_cost + X78*armada_spell_cost + Y78*lux_spell_cost + Z78*growth_spell_cost + AA78*impgnome_spell_cost + AB78*VLOOKUP(IF(ISNUMBER(MATCH(Overview!$B$14,useless_spell_races,0)),Overview!$B$14,"Other"),Constants!$P$89:$S$102,3,FALSE))</f>
        <v>0</v>
      </c>
      <c r="AE78" s="62">
        <f t="shared" si="25"/>
        <v>0</v>
      </c>
      <c r="AG78" s="635">
        <f t="shared" si="58"/>
        <v>0</v>
      </c>
      <c r="AH78" s="529">
        <f t="shared" si="59"/>
        <v>0</v>
      </c>
      <c r="AI78" s="529">
        <f t="shared" si="60"/>
        <v>0</v>
      </c>
      <c r="AJ78" s="529">
        <f t="shared" si="61"/>
        <v>0</v>
      </c>
      <c r="AK78" s="527">
        <f t="shared" si="62"/>
        <v>0</v>
      </c>
      <c r="AL78" s="529">
        <f t="shared" si="42"/>
        <v>0</v>
      </c>
      <c r="AM78" s="529">
        <f t="shared" si="43"/>
        <v>0</v>
      </c>
      <c r="AN78" s="529">
        <f t="shared" si="44"/>
        <v>0</v>
      </c>
      <c r="AO78" s="529">
        <f t="shared" si="45"/>
        <v>0</v>
      </c>
      <c r="AP78" s="529">
        <f t="shared" si="46"/>
        <v>0</v>
      </c>
      <c r="AQ78" s="529">
        <f t="shared" si="47"/>
        <v>0</v>
      </c>
      <c r="AR78" s="958">
        <f t="shared" si="48"/>
        <v>0</v>
      </c>
      <c r="AS78" s="958">
        <f t="shared" si="49"/>
        <v>0</v>
      </c>
      <c r="AT78" s="958">
        <f t="shared" si="50"/>
        <v>0</v>
      </c>
      <c r="AU78" s="958">
        <f t="shared" si="51"/>
        <v>0</v>
      </c>
      <c r="AV78" s="958">
        <f t="shared" si="52"/>
        <v>0</v>
      </c>
      <c r="AW78" s="16">
        <f t="shared" si="53"/>
        <v>0</v>
      </c>
      <c r="AX78" s="16">
        <f t="shared" si="54"/>
        <v>0</v>
      </c>
      <c r="AY78" s="16">
        <f t="shared" si="55"/>
        <v>0</v>
      </c>
      <c r="AZ78" s="16">
        <f t="shared" si="56"/>
        <v>0</v>
      </c>
      <c r="BA78" s="16">
        <f t="shared" si="57"/>
        <v>0</v>
      </c>
      <c r="BB78" s="1382">
        <f>IF(AB78,VLOOKUP(IF(ISNUMBER(MATCH(Overview!$B$14,useless_spell_races,0)),Overview!$B$14,"Other"),Constants!$P$89:$S$102,4,FALSE),IF(BB77&gt;0,BB77-1,0))</f>
        <v>0</v>
      </c>
    </row>
    <row r="79" spans="1:54" s="16" customFormat="1">
      <c r="A79" s="987">
        <f>Rezone!J79</f>
        <v>77</v>
      </c>
      <c r="B79" s="16">
        <f>Construction!E79</f>
        <v>1000</v>
      </c>
      <c r="C79" s="26">
        <f ca="1">Production!K79</f>
        <v>53348</v>
      </c>
      <c r="D79" s="62">
        <f>MIN(1,D78+0.04+ROUNDDOWN(10*Military!BN78,0)+MAX(Techs!AN78,Techs!AW78*3))-AE79</f>
        <v>1</v>
      </c>
      <c r="E79" s="532">
        <f t="shared" si="24"/>
        <v>43695.166666666482</v>
      </c>
      <c r="F79" s="62">
        <f ca="1">Imps!J79</f>
        <v>1</v>
      </c>
      <c r="G79" s="393"/>
      <c r="H79" s="394"/>
      <c r="I79" s="394"/>
      <c r="J79" s="394"/>
      <c r="K79" s="380"/>
      <c r="L79" s="393"/>
      <c r="M79" s="394"/>
      <c r="N79" s="380"/>
      <c r="O79" s="380"/>
      <c r="P79" s="380"/>
      <c r="Q79" s="380"/>
      <c r="R79" s="380"/>
      <c r="S79" s="380"/>
      <c r="T79" s="380"/>
      <c r="U79" s="380"/>
      <c r="V79" s="380"/>
      <c r="W79" s="380"/>
      <c r="X79" s="380"/>
      <c r="Y79" s="380"/>
      <c r="Z79" s="380"/>
      <c r="AA79" s="380"/>
      <c r="AB79" s="395"/>
      <c r="AD79" s="152">
        <f>(MAX(1-wg_spell_cost_cap,1-wg_spell_cost_red*ROUND(Construction!BM79/Construction!E79,4))+Constants!$M$45*Techs!AL79)*(B79-Explore!S79*20)*(G79*Constants!$B$72+H79*Constants!$B$73+I79*Constants!$B$74+J79*Constants!$B$76+K79*Constants!$B$75+L79*dwarf_spell_cost+M79*halfling_spell_cost + N79*sylvan_spell_cost + O79*woodelf_spell_cost + P79*kobold_spell_cost + Q79*icekin_spell_cost + R79*firewalker_spell_cost + S79*nox_spell_cost + T79*human_spell_cost + U79*goblin_spell_cost + V79*orc_spell_cost + W79*ants_spell_cost + X79*armada_spell_cost + Y79*lux_spell_cost + Z79*growth_spell_cost + AA79*impgnome_spell_cost + AB79*VLOOKUP(IF(ISNUMBER(MATCH(Overview!$B$14,useless_spell_races,0)),Overview!$B$14,"Other"),Constants!$P$89:$S$102,3,FALSE))</f>
        <v>0</v>
      </c>
      <c r="AE79" s="62">
        <f t="shared" si="25"/>
        <v>0</v>
      </c>
      <c r="AG79" s="635">
        <f t="shared" si="58"/>
        <v>0</v>
      </c>
      <c r="AH79" s="529">
        <f t="shared" si="59"/>
        <v>0</v>
      </c>
      <c r="AI79" s="529">
        <f t="shared" si="60"/>
        <v>0</v>
      </c>
      <c r="AJ79" s="529">
        <f t="shared" si="61"/>
        <v>0</v>
      </c>
      <c r="AK79" s="527">
        <f t="shared" si="62"/>
        <v>0</v>
      </c>
      <c r="AL79" s="529">
        <f t="shared" si="42"/>
        <v>0</v>
      </c>
      <c r="AM79" s="529">
        <f t="shared" si="43"/>
        <v>0</v>
      </c>
      <c r="AN79" s="529">
        <f t="shared" si="44"/>
        <v>0</v>
      </c>
      <c r="AO79" s="529">
        <f t="shared" si="45"/>
        <v>0</v>
      </c>
      <c r="AP79" s="529">
        <f t="shared" si="46"/>
        <v>0</v>
      </c>
      <c r="AQ79" s="529">
        <f t="shared" si="47"/>
        <v>0</v>
      </c>
      <c r="AR79" s="958">
        <f t="shared" si="48"/>
        <v>0</v>
      </c>
      <c r="AS79" s="958">
        <f t="shared" si="49"/>
        <v>0</v>
      </c>
      <c r="AT79" s="958">
        <f t="shared" si="50"/>
        <v>0</v>
      </c>
      <c r="AU79" s="958">
        <f t="shared" si="51"/>
        <v>0</v>
      </c>
      <c r="AV79" s="958">
        <f t="shared" si="52"/>
        <v>0</v>
      </c>
      <c r="AW79" s="16">
        <f t="shared" si="53"/>
        <v>0</v>
      </c>
      <c r="AX79" s="16">
        <f t="shared" si="54"/>
        <v>0</v>
      </c>
      <c r="AY79" s="16">
        <f t="shared" si="55"/>
        <v>0</v>
      </c>
      <c r="AZ79" s="16">
        <f t="shared" si="56"/>
        <v>0</v>
      </c>
      <c r="BA79" s="16">
        <f t="shared" si="57"/>
        <v>0</v>
      </c>
      <c r="BB79" s="1382">
        <f>IF(AB79,VLOOKUP(IF(ISNUMBER(MATCH(Overview!$B$14,useless_spell_races,0)),Overview!$B$14,"Other"),Constants!$P$89:$S$102,4,FALSE),IF(BB78&gt;0,BB78-1,0))</f>
        <v>0</v>
      </c>
    </row>
    <row r="80" spans="1:54" s="16" customFormat="1">
      <c r="A80" s="987">
        <f>Rezone!J80</f>
        <v>78</v>
      </c>
      <c r="B80" s="16">
        <f>Construction!E80</f>
        <v>1000</v>
      </c>
      <c r="C80" s="26">
        <f ca="1">Production!K80</f>
        <v>53531</v>
      </c>
      <c r="D80" s="62">
        <f>MIN(1,D79+0.04+ROUNDDOWN(10*Military!BN79,0)+MAX(Techs!AN79,Techs!AW79*3))-AE80</f>
        <v>1</v>
      </c>
      <c r="E80" s="532">
        <f t="shared" ref="E80:E86" si="63">E79+1/24</f>
        <v>43695.208333333147</v>
      </c>
      <c r="F80" s="62">
        <f ca="1">Imps!J80</f>
        <v>1</v>
      </c>
      <c r="G80" s="393"/>
      <c r="H80" s="394"/>
      <c r="I80" s="394"/>
      <c r="J80" s="394"/>
      <c r="K80" s="380"/>
      <c r="L80" s="393"/>
      <c r="M80" s="394"/>
      <c r="N80" s="380"/>
      <c r="O80" s="380"/>
      <c r="P80" s="380"/>
      <c r="Q80" s="380"/>
      <c r="R80" s="380"/>
      <c r="S80" s="380"/>
      <c r="T80" s="380"/>
      <c r="U80" s="380"/>
      <c r="V80" s="380"/>
      <c r="W80" s="380"/>
      <c r="X80" s="380"/>
      <c r="Y80" s="380"/>
      <c r="Z80" s="380"/>
      <c r="AA80" s="380"/>
      <c r="AB80" s="395"/>
      <c r="AD80" s="152">
        <f>(MAX(1-wg_spell_cost_cap,1-wg_spell_cost_red*ROUND(Construction!BM80/Construction!E80,4))+Constants!$M$45*Techs!AL80)*(B80-Explore!S80*20)*(G80*Constants!$B$72+H80*Constants!$B$73+I80*Constants!$B$74+J80*Constants!$B$76+K80*Constants!$B$75+L80*dwarf_spell_cost+M80*halfling_spell_cost + N80*sylvan_spell_cost + O80*woodelf_spell_cost + P80*kobold_spell_cost + Q80*icekin_spell_cost + R80*firewalker_spell_cost + S80*nox_spell_cost + T80*human_spell_cost + U80*goblin_spell_cost + V80*orc_spell_cost + W80*ants_spell_cost + X80*armada_spell_cost + Y80*lux_spell_cost + Z80*growth_spell_cost + AA80*impgnome_spell_cost + AB80*VLOOKUP(IF(ISNUMBER(MATCH(Overview!$B$14,useless_spell_races,0)),Overview!$B$14,"Other"),Constants!$P$89:$S$102,3,FALSE))</f>
        <v>0</v>
      </c>
      <c r="AE80" s="62">
        <f t="shared" ref="AE80:AE135" si="64">SUMIF(G80:AB80,1)*0.05</f>
        <v>0</v>
      </c>
      <c r="AG80" s="635">
        <f t="shared" si="58"/>
        <v>0</v>
      </c>
      <c r="AH80" s="529">
        <f t="shared" si="59"/>
        <v>0</v>
      </c>
      <c r="AI80" s="529">
        <f t="shared" si="60"/>
        <v>0</v>
      </c>
      <c r="AJ80" s="529">
        <f t="shared" si="61"/>
        <v>0</v>
      </c>
      <c r="AK80" s="527">
        <f t="shared" si="62"/>
        <v>0</v>
      </c>
      <c r="AL80" s="529">
        <f t="shared" si="42"/>
        <v>0</v>
      </c>
      <c r="AM80" s="529">
        <f t="shared" si="43"/>
        <v>0</v>
      </c>
      <c r="AN80" s="529">
        <f t="shared" si="44"/>
        <v>0</v>
      </c>
      <c r="AO80" s="529">
        <f t="shared" si="45"/>
        <v>0</v>
      </c>
      <c r="AP80" s="529">
        <f t="shared" si="46"/>
        <v>0</v>
      </c>
      <c r="AQ80" s="529">
        <f t="shared" si="47"/>
        <v>0</v>
      </c>
      <c r="AR80" s="958">
        <f t="shared" si="48"/>
        <v>0</v>
      </c>
      <c r="AS80" s="958">
        <f t="shared" si="49"/>
        <v>0</v>
      </c>
      <c r="AT80" s="958">
        <f t="shared" si="50"/>
        <v>0</v>
      </c>
      <c r="AU80" s="958">
        <f t="shared" si="51"/>
        <v>0</v>
      </c>
      <c r="AV80" s="958">
        <f t="shared" si="52"/>
        <v>0</v>
      </c>
      <c r="AW80" s="16">
        <f t="shared" si="53"/>
        <v>0</v>
      </c>
      <c r="AX80" s="16">
        <f t="shared" si="54"/>
        <v>0</v>
      </c>
      <c r="AY80" s="16">
        <f t="shared" si="55"/>
        <v>0</v>
      </c>
      <c r="AZ80" s="16">
        <f t="shared" si="56"/>
        <v>0</v>
      </c>
      <c r="BA80" s="16">
        <f t="shared" si="57"/>
        <v>0</v>
      </c>
      <c r="BB80" s="1382">
        <f>IF(AB80,VLOOKUP(IF(ISNUMBER(MATCH(Overview!$B$14,useless_spell_races,0)),Overview!$B$14,"Other"),Constants!$P$89:$S$102,4,FALSE),IF(BB79&gt;0,BB79-1,0))</f>
        <v>0</v>
      </c>
    </row>
    <row r="81" spans="1:54" s="16" customFormat="1">
      <c r="A81" s="987">
        <f>Rezone!J81</f>
        <v>79</v>
      </c>
      <c r="B81" s="16">
        <f>Construction!E81</f>
        <v>1000</v>
      </c>
      <c r="C81" s="26">
        <f ca="1">Production!K81</f>
        <v>53710</v>
      </c>
      <c r="D81" s="62">
        <f>MIN(1,D80+0.04+ROUNDDOWN(10*Military!BN80,0)+MAX(Techs!AN80,Techs!AW80*3))-AE81</f>
        <v>1</v>
      </c>
      <c r="E81" s="532">
        <f t="shared" si="63"/>
        <v>43695.249999999811</v>
      </c>
      <c r="F81" s="62">
        <f ca="1">Imps!J81</f>
        <v>1</v>
      </c>
      <c r="G81" s="393"/>
      <c r="H81" s="394"/>
      <c r="I81" s="394"/>
      <c r="J81" s="394"/>
      <c r="K81" s="380"/>
      <c r="L81" s="393"/>
      <c r="M81" s="394"/>
      <c r="N81" s="380"/>
      <c r="O81" s="380"/>
      <c r="P81" s="380"/>
      <c r="Q81" s="380"/>
      <c r="R81" s="380"/>
      <c r="S81" s="380"/>
      <c r="T81" s="380"/>
      <c r="U81" s="380"/>
      <c r="V81" s="380"/>
      <c r="W81" s="380"/>
      <c r="X81" s="380"/>
      <c r="Y81" s="380"/>
      <c r="Z81" s="380"/>
      <c r="AA81" s="380"/>
      <c r="AB81" s="395"/>
      <c r="AD81" s="152">
        <f>(MAX(1-wg_spell_cost_cap,1-wg_spell_cost_red*ROUND(Construction!BM81/Construction!E81,4))+Constants!$M$45*Techs!AL81)*(B81-Explore!S81*20)*(G81*Constants!$B$72+H81*Constants!$B$73+I81*Constants!$B$74+J81*Constants!$B$76+K81*Constants!$B$75+L81*dwarf_spell_cost+M81*halfling_spell_cost + N81*sylvan_spell_cost + O81*woodelf_spell_cost + P81*kobold_spell_cost + Q81*icekin_spell_cost + R81*firewalker_spell_cost + S81*nox_spell_cost + T81*human_spell_cost + U81*goblin_spell_cost + V81*orc_spell_cost + W81*ants_spell_cost + X81*armada_spell_cost + Y81*lux_spell_cost + Z81*growth_spell_cost + AA81*impgnome_spell_cost + AB81*VLOOKUP(IF(ISNUMBER(MATCH(Overview!$B$14,useless_spell_races,0)),Overview!$B$14,"Other"),Constants!$P$89:$S$102,3,FALSE))</f>
        <v>0</v>
      </c>
      <c r="AE81" s="62">
        <f t="shared" si="64"/>
        <v>0</v>
      </c>
      <c r="AG81" s="635">
        <f t="shared" si="58"/>
        <v>0</v>
      </c>
      <c r="AH81" s="529">
        <f t="shared" si="59"/>
        <v>0</v>
      </c>
      <c r="AI81" s="529">
        <f t="shared" si="60"/>
        <v>0</v>
      </c>
      <c r="AJ81" s="529">
        <f t="shared" si="61"/>
        <v>0</v>
      </c>
      <c r="AK81" s="527">
        <f t="shared" si="62"/>
        <v>0</v>
      </c>
      <c r="AL81" s="529">
        <f t="shared" si="42"/>
        <v>0</v>
      </c>
      <c r="AM81" s="529">
        <f t="shared" si="43"/>
        <v>0</v>
      </c>
      <c r="AN81" s="529">
        <f t="shared" si="44"/>
        <v>0</v>
      </c>
      <c r="AO81" s="529">
        <f t="shared" si="45"/>
        <v>0</v>
      </c>
      <c r="AP81" s="529">
        <f t="shared" si="46"/>
        <v>0</v>
      </c>
      <c r="AQ81" s="529">
        <f t="shared" si="47"/>
        <v>0</v>
      </c>
      <c r="AR81" s="958">
        <f t="shared" si="48"/>
        <v>0</v>
      </c>
      <c r="AS81" s="958">
        <f t="shared" si="49"/>
        <v>0</v>
      </c>
      <c r="AT81" s="958">
        <f t="shared" si="50"/>
        <v>0</v>
      </c>
      <c r="AU81" s="958">
        <f t="shared" si="51"/>
        <v>0</v>
      </c>
      <c r="AV81" s="958">
        <f t="shared" si="52"/>
        <v>0</v>
      </c>
      <c r="AW81" s="16">
        <f t="shared" si="53"/>
        <v>0</v>
      </c>
      <c r="AX81" s="16">
        <f t="shared" si="54"/>
        <v>0</v>
      </c>
      <c r="AY81" s="16">
        <f t="shared" si="55"/>
        <v>0</v>
      </c>
      <c r="AZ81" s="16">
        <f t="shared" si="56"/>
        <v>0</v>
      </c>
      <c r="BA81" s="16">
        <f t="shared" si="57"/>
        <v>0</v>
      </c>
      <c r="BB81" s="1382">
        <f>IF(AB81,VLOOKUP(IF(ISNUMBER(MATCH(Overview!$B$14,useless_spell_races,0)),Overview!$B$14,"Other"),Constants!$P$89:$S$102,4,FALSE),IF(BB80&gt;0,BB80-1,0))</f>
        <v>0</v>
      </c>
    </row>
    <row r="82" spans="1:54" s="16" customFormat="1">
      <c r="A82" s="987">
        <f>Rezone!J82</f>
        <v>80</v>
      </c>
      <c r="B82" s="16">
        <f>Construction!E82</f>
        <v>1000</v>
      </c>
      <c r="C82" s="26">
        <f ca="1">Production!K82</f>
        <v>53886</v>
      </c>
      <c r="D82" s="62">
        <f>MIN(1,D81+0.04+ROUNDDOWN(10*Military!BN81,0)+MAX(Techs!AN81,Techs!AW81*3))-AE82</f>
        <v>1</v>
      </c>
      <c r="E82" s="532">
        <f t="shared" si="63"/>
        <v>43695.291666666475</v>
      </c>
      <c r="F82" s="62">
        <f ca="1">Imps!J82</f>
        <v>1</v>
      </c>
      <c r="G82" s="393"/>
      <c r="H82" s="394"/>
      <c r="I82" s="394"/>
      <c r="J82" s="394"/>
      <c r="K82" s="380"/>
      <c r="L82" s="393"/>
      <c r="M82" s="394"/>
      <c r="N82" s="380"/>
      <c r="O82" s="380"/>
      <c r="P82" s="380"/>
      <c r="Q82" s="380"/>
      <c r="R82" s="380"/>
      <c r="S82" s="380"/>
      <c r="T82" s="380"/>
      <c r="U82" s="380"/>
      <c r="V82" s="380"/>
      <c r="W82" s="380"/>
      <c r="X82" s="380"/>
      <c r="Y82" s="380"/>
      <c r="Z82" s="380"/>
      <c r="AA82" s="380"/>
      <c r="AB82" s="395"/>
      <c r="AD82" s="152">
        <f>(MAX(1-wg_spell_cost_cap,1-wg_spell_cost_red*ROUND(Construction!BM82/Construction!E82,4))+Constants!$M$45*Techs!AL82)*(B82-Explore!S82*20)*(G82*Constants!$B$72+H82*Constants!$B$73+I82*Constants!$B$74+J82*Constants!$B$76+K82*Constants!$B$75+L82*dwarf_spell_cost+M82*halfling_spell_cost + N82*sylvan_spell_cost + O82*woodelf_spell_cost + P82*kobold_spell_cost + Q82*icekin_spell_cost + R82*firewalker_spell_cost + S82*nox_spell_cost + T82*human_spell_cost + U82*goblin_spell_cost + V82*orc_spell_cost + W82*ants_spell_cost + X82*armada_spell_cost + Y82*lux_spell_cost + Z82*growth_spell_cost + AA82*impgnome_spell_cost + AB82*VLOOKUP(IF(ISNUMBER(MATCH(Overview!$B$14,useless_spell_races,0)),Overview!$B$14,"Other"),Constants!$P$89:$S$102,3,FALSE))</f>
        <v>0</v>
      </c>
      <c r="AE82" s="62">
        <f t="shared" si="64"/>
        <v>0</v>
      </c>
      <c r="AG82" s="635">
        <f t="shared" si="58"/>
        <v>0</v>
      </c>
      <c r="AH82" s="529">
        <f t="shared" si="59"/>
        <v>0</v>
      </c>
      <c r="AI82" s="529">
        <f t="shared" si="60"/>
        <v>0</v>
      </c>
      <c r="AJ82" s="529">
        <f t="shared" si="61"/>
        <v>0</v>
      </c>
      <c r="AK82" s="527">
        <f t="shared" si="62"/>
        <v>0</v>
      </c>
      <c r="AL82" s="529">
        <f t="shared" si="42"/>
        <v>0</v>
      </c>
      <c r="AM82" s="529">
        <f t="shared" si="43"/>
        <v>0</v>
      </c>
      <c r="AN82" s="529">
        <f t="shared" si="44"/>
        <v>0</v>
      </c>
      <c r="AO82" s="529">
        <f t="shared" si="45"/>
        <v>0</v>
      </c>
      <c r="AP82" s="529">
        <f t="shared" si="46"/>
        <v>0</v>
      </c>
      <c r="AQ82" s="529">
        <f t="shared" si="47"/>
        <v>0</v>
      </c>
      <c r="AR82" s="958">
        <f t="shared" si="48"/>
        <v>0</v>
      </c>
      <c r="AS82" s="958">
        <f t="shared" si="49"/>
        <v>0</v>
      </c>
      <c r="AT82" s="958">
        <f t="shared" si="50"/>
        <v>0</v>
      </c>
      <c r="AU82" s="958">
        <f t="shared" si="51"/>
        <v>0</v>
      </c>
      <c r="AV82" s="958">
        <f t="shared" si="52"/>
        <v>0</v>
      </c>
      <c r="AW82" s="16">
        <f t="shared" si="53"/>
        <v>0</v>
      </c>
      <c r="AX82" s="16">
        <f t="shared" si="54"/>
        <v>0</v>
      </c>
      <c r="AY82" s="16">
        <f t="shared" si="55"/>
        <v>0</v>
      </c>
      <c r="AZ82" s="16">
        <f t="shared" si="56"/>
        <v>0</v>
      </c>
      <c r="BA82" s="16">
        <f t="shared" si="57"/>
        <v>0</v>
      </c>
      <c r="BB82" s="1382">
        <f>IF(AB82,VLOOKUP(IF(ISNUMBER(MATCH(Overview!$B$14,useless_spell_races,0)),Overview!$B$14,"Other"),Constants!$P$89:$S$102,4,FALSE),IF(BB81&gt;0,BB81-1,0))</f>
        <v>0</v>
      </c>
    </row>
    <row r="83" spans="1:54" s="16" customFormat="1">
      <c r="A83" s="987">
        <f>Rezone!J83</f>
        <v>81</v>
      </c>
      <c r="B83" s="16">
        <f>Construction!E83</f>
        <v>1000</v>
      </c>
      <c r="C83" s="26">
        <f ca="1">Production!K83</f>
        <v>54058</v>
      </c>
      <c r="D83" s="62">
        <f>MIN(1,D82+0.04+ROUNDDOWN(10*Military!BN82,0)+MAX(Techs!AN82,Techs!AW82*3))-AE83</f>
        <v>1</v>
      </c>
      <c r="E83" s="532">
        <f t="shared" si="63"/>
        <v>43695.333333333139</v>
      </c>
      <c r="F83" s="62">
        <f ca="1">Imps!J83</f>
        <v>1</v>
      </c>
      <c r="G83" s="393"/>
      <c r="H83" s="394"/>
      <c r="I83" s="394"/>
      <c r="J83" s="394"/>
      <c r="K83" s="380"/>
      <c r="L83" s="393"/>
      <c r="M83" s="394"/>
      <c r="N83" s="380"/>
      <c r="O83" s="380"/>
      <c r="P83" s="380"/>
      <c r="Q83" s="380"/>
      <c r="R83" s="380"/>
      <c r="S83" s="380"/>
      <c r="T83" s="380"/>
      <c r="U83" s="380"/>
      <c r="V83" s="380"/>
      <c r="W83" s="380"/>
      <c r="X83" s="380"/>
      <c r="Y83" s="380"/>
      <c r="Z83" s="380"/>
      <c r="AA83" s="380"/>
      <c r="AB83" s="395"/>
      <c r="AD83" s="152">
        <f>(MAX(1-wg_spell_cost_cap,1-wg_spell_cost_red*ROUND(Construction!BM83/Construction!E83,4))+Constants!$M$45*Techs!AL83)*(B83-Explore!S83*20)*(G83*Constants!$B$72+H83*Constants!$B$73+I83*Constants!$B$74+J83*Constants!$B$76+K83*Constants!$B$75+L83*dwarf_spell_cost+M83*halfling_spell_cost + N83*sylvan_spell_cost + O83*woodelf_spell_cost + P83*kobold_spell_cost + Q83*icekin_spell_cost + R83*firewalker_spell_cost + S83*nox_spell_cost + T83*human_spell_cost + U83*goblin_spell_cost + V83*orc_spell_cost + W83*ants_spell_cost + X83*armada_spell_cost + Y83*lux_spell_cost + Z83*growth_spell_cost + AA83*impgnome_spell_cost + AB83*VLOOKUP(IF(ISNUMBER(MATCH(Overview!$B$14,useless_spell_races,0)),Overview!$B$14,"Other"),Constants!$P$89:$S$102,3,FALSE))</f>
        <v>0</v>
      </c>
      <c r="AE83" s="62">
        <f t="shared" si="64"/>
        <v>0</v>
      </c>
      <c r="AG83" s="635">
        <f t="shared" si="58"/>
        <v>0</v>
      </c>
      <c r="AH83" s="529">
        <f t="shared" si="59"/>
        <v>0</v>
      </c>
      <c r="AI83" s="529">
        <f t="shared" si="60"/>
        <v>0</v>
      </c>
      <c r="AJ83" s="529">
        <f t="shared" si="61"/>
        <v>0</v>
      </c>
      <c r="AK83" s="527">
        <f t="shared" si="62"/>
        <v>0</v>
      </c>
      <c r="AL83" s="529">
        <f t="shared" si="42"/>
        <v>0</v>
      </c>
      <c r="AM83" s="529">
        <f t="shared" si="43"/>
        <v>0</v>
      </c>
      <c r="AN83" s="529">
        <f t="shared" si="44"/>
        <v>0</v>
      </c>
      <c r="AO83" s="529">
        <f t="shared" si="45"/>
        <v>0</v>
      </c>
      <c r="AP83" s="529">
        <f t="shared" si="46"/>
        <v>0</v>
      </c>
      <c r="AQ83" s="529">
        <f t="shared" si="47"/>
        <v>0</v>
      </c>
      <c r="AR83" s="958">
        <f t="shared" si="48"/>
        <v>0</v>
      </c>
      <c r="AS83" s="958">
        <f t="shared" si="49"/>
        <v>0</v>
      </c>
      <c r="AT83" s="958">
        <f t="shared" si="50"/>
        <v>0</v>
      </c>
      <c r="AU83" s="958">
        <f t="shared" si="51"/>
        <v>0</v>
      </c>
      <c r="AV83" s="958">
        <f t="shared" si="52"/>
        <v>0</v>
      </c>
      <c r="AW83" s="16">
        <f t="shared" si="53"/>
        <v>0</v>
      </c>
      <c r="AX83" s="16">
        <f t="shared" si="54"/>
        <v>0</v>
      </c>
      <c r="AY83" s="16">
        <f t="shared" si="55"/>
        <v>0</v>
      </c>
      <c r="AZ83" s="16">
        <f t="shared" si="56"/>
        <v>0</v>
      </c>
      <c r="BA83" s="16">
        <f t="shared" si="57"/>
        <v>0</v>
      </c>
      <c r="BB83" s="1382">
        <f>IF(AB83,VLOOKUP(IF(ISNUMBER(MATCH(Overview!$B$14,useless_spell_races,0)),Overview!$B$14,"Other"),Constants!$P$89:$S$102,4,FALSE),IF(BB82&gt;0,BB82-1,0))</f>
        <v>0</v>
      </c>
    </row>
    <row r="84" spans="1:54" s="16" customFormat="1">
      <c r="A84" s="987">
        <f>Rezone!J84</f>
        <v>82</v>
      </c>
      <c r="B84" s="16">
        <f>Construction!E84</f>
        <v>1000</v>
      </c>
      <c r="C84" s="26">
        <f ca="1">Production!K84</f>
        <v>54227</v>
      </c>
      <c r="D84" s="62">
        <f>MIN(1,D83+0.04+ROUNDDOWN(10*Military!BN83,0)+MAX(Techs!AN83,Techs!AW83*3))-AE84</f>
        <v>1</v>
      </c>
      <c r="E84" s="532">
        <f t="shared" si="63"/>
        <v>43695.374999999804</v>
      </c>
      <c r="F84" s="62">
        <f ca="1">Imps!J84</f>
        <v>1</v>
      </c>
      <c r="G84" s="393"/>
      <c r="H84" s="394"/>
      <c r="I84" s="394"/>
      <c r="J84" s="394"/>
      <c r="K84" s="380"/>
      <c r="L84" s="393"/>
      <c r="M84" s="394"/>
      <c r="N84" s="380"/>
      <c r="O84" s="380"/>
      <c r="P84" s="380"/>
      <c r="Q84" s="380"/>
      <c r="R84" s="380"/>
      <c r="S84" s="380"/>
      <c r="T84" s="380"/>
      <c r="U84" s="380"/>
      <c r="V84" s="380"/>
      <c r="W84" s="380"/>
      <c r="X84" s="380"/>
      <c r="Y84" s="380"/>
      <c r="Z84" s="380"/>
      <c r="AA84" s="380"/>
      <c r="AB84" s="395"/>
      <c r="AD84" s="152">
        <f>(MAX(1-wg_spell_cost_cap,1-wg_spell_cost_red*ROUND(Construction!BM84/Construction!E84,4))+Constants!$M$45*Techs!AL84)*(B84-Explore!S84*20)*(G84*Constants!$B$72+H84*Constants!$B$73+I84*Constants!$B$74+J84*Constants!$B$76+K84*Constants!$B$75+L84*dwarf_spell_cost+M84*halfling_spell_cost + N84*sylvan_spell_cost + O84*woodelf_spell_cost + P84*kobold_spell_cost + Q84*icekin_spell_cost + R84*firewalker_spell_cost + S84*nox_spell_cost + T84*human_spell_cost + U84*goblin_spell_cost + V84*orc_spell_cost + W84*ants_spell_cost + X84*armada_spell_cost + Y84*lux_spell_cost + Z84*growth_spell_cost + AA84*impgnome_spell_cost + AB84*VLOOKUP(IF(ISNUMBER(MATCH(Overview!$B$14,useless_spell_races,0)),Overview!$B$14,"Other"),Constants!$P$89:$S$102,3,FALSE))</f>
        <v>0</v>
      </c>
      <c r="AE84" s="62">
        <f t="shared" si="64"/>
        <v>0</v>
      </c>
      <c r="AG84" s="635">
        <f t="shared" si="58"/>
        <v>0</v>
      </c>
      <c r="AH84" s="529">
        <f t="shared" si="59"/>
        <v>0</v>
      </c>
      <c r="AI84" s="529">
        <f t="shared" si="60"/>
        <v>0</v>
      </c>
      <c r="AJ84" s="529">
        <f t="shared" si="61"/>
        <v>0</v>
      </c>
      <c r="AK84" s="527">
        <f t="shared" si="62"/>
        <v>0</v>
      </c>
      <c r="AL84" s="529">
        <f t="shared" si="42"/>
        <v>0</v>
      </c>
      <c r="AM84" s="529">
        <f t="shared" si="43"/>
        <v>0</v>
      </c>
      <c r="AN84" s="529">
        <f t="shared" si="44"/>
        <v>0</v>
      </c>
      <c r="AO84" s="529">
        <f t="shared" si="45"/>
        <v>0</v>
      </c>
      <c r="AP84" s="529">
        <f t="shared" si="46"/>
        <v>0</v>
      </c>
      <c r="AQ84" s="529">
        <f t="shared" si="47"/>
        <v>0</v>
      </c>
      <c r="AR84" s="958">
        <f t="shared" si="48"/>
        <v>0</v>
      </c>
      <c r="AS84" s="958">
        <f t="shared" si="49"/>
        <v>0</v>
      </c>
      <c r="AT84" s="958">
        <f t="shared" si="50"/>
        <v>0</v>
      </c>
      <c r="AU84" s="958">
        <f t="shared" si="51"/>
        <v>0</v>
      </c>
      <c r="AV84" s="958">
        <f t="shared" si="52"/>
        <v>0</v>
      </c>
      <c r="AW84" s="16">
        <f t="shared" si="53"/>
        <v>0</v>
      </c>
      <c r="AX84" s="16">
        <f t="shared" si="54"/>
        <v>0</v>
      </c>
      <c r="AY84" s="16">
        <f t="shared" si="55"/>
        <v>0</v>
      </c>
      <c r="AZ84" s="16">
        <f t="shared" si="56"/>
        <v>0</v>
      </c>
      <c r="BA84" s="16">
        <f t="shared" si="57"/>
        <v>0</v>
      </c>
      <c r="BB84" s="1382">
        <f>IF(AB84,VLOOKUP(IF(ISNUMBER(MATCH(Overview!$B$14,useless_spell_races,0)),Overview!$B$14,"Other"),Constants!$P$89:$S$102,4,FALSE),IF(BB83&gt;0,BB83-1,0))</f>
        <v>0</v>
      </c>
    </row>
    <row r="85" spans="1:54" s="16" customFormat="1">
      <c r="A85" s="987">
        <f>Rezone!J85</f>
        <v>83</v>
      </c>
      <c r="B85" s="16">
        <f>Construction!E85</f>
        <v>1000</v>
      </c>
      <c r="C85" s="26">
        <f ca="1">Production!K85</f>
        <v>54392</v>
      </c>
      <c r="D85" s="62">
        <f>MIN(1,D84+0.04+ROUNDDOWN(10*Military!BN84,0)+MAX(Techs!AN84,Techs!AW84*3))-AE85</f>
        <v>1</v>
      </c>
      <c r="E85" s="532">
        <f t="shared" si="63"/>
        <v>43695.416666666468</v>
      </c>
      <c r="F85" s="62">
        <f ca="1">Imps!J85</f>
        <v>1</v>
      </c>
      <c r="G85" s="393"/>
      <c r="H85" s="394"/>
      <c r="I85" s="394"/>
      <c r="J85" s="394"/>
      <c r="K85" s="380"/>
      <c r="L85" s="393"/>
      <c r="M85" s="394"/>
      <c r="N85" s="380"/>
      <c r="O85" s="380"/>
      <c r="P85" s="380"/>
      <c r="Q85" s="380"/>
      <c r="R85" s="380"/>
      <c r="S85" s="380"/>
      <c r="T85" s="380"/>
      <c r="U85" s="380"/>
      <c r="V85" s="380"/>
      <c r="W85" s="380"/>
      <c r="X85" s="380"/>
      <c r="Y85" s="380"/>
      <c r="Z85" s="380"/>
      <c r="AA85" s="380"/>
      <c r="AB85" s="395"/>
      <c r="AD85" s="152">
        <f>(MAX(1-wg_spell_cost_cap,1-wg_spell_cost_red*ROUND(Construction!BM85/Construction!E85,4))+Constants!$M$45*Techs!AL85)*(B85-Explore!S85*20)*(G85*Constants!$B$72+H85*Constants!$B$73+I85*Constants!$B$74+J85*Constants!$B$76+K85*Constants!$B$75+L85*dwarf_spell_cost+M85*halfling_spell_cost + N85*sylvan_spell_cost + O85*woodelf_spell_cost + P85*kobold_spell_cost + Q85*icekin_spell_cost + R85*firewalker_spell_cost + S85*nox_spell_cost + T85*human_spell_cost + U85*goblin_spell_cost + V85*orc_spell_cost + W85*ants_spell_cost + X85*armada_spell_cost + Y85*lux_spell_cost + Z85*growth_spell_cost + AA85*impgnome_spell_cost + AB85*VLOOKUP(IF(ISNUMBER(MATCH(Overview!$B$14,useless_spell_races,0)),Overview!$B$14,"Other"),Constants!$P$89:$S$102,3,FALSE))</f>
        <v>0</v>
      </c>
      <c r="AE85" s="62">
        <f t="shared" si="64"/>
        <v>0</v>
      </c>
      <c r="AG85" s="635">
        <f t="shared" si="58"/>
        <v>0</v>
      </c>
      <c r="AH85" s="529">
        <f t="shared" si="59"/>
        <v>0</v>
      </c>
      <c r="AI85" s="529">
        <f t="shared" si="60"/>
        <v>0</v>
      </c>
      <c r="AJ85" s="529">
        <f t="shared" si="61"/>
        <v>0</v>
      </c>
      <c r="AK85" s="527">
        <f t="shared" si="62"/>
        <v>0</v>
      </c>
      <c r="AL85" s="529">
        <f t="shared" si="42"/>
        <v>0</v>
      </c>
      <c r="AM85" s="529">
        <f t="shared" si="43"/>
        <v>0</v>
      </c>
      <c r="AN85" s="529">
        <f t="shared" si="44"/>
        <v>0</v>
      </c>
      <c r="AO85" s="529">
        <f t="shared" si="45"/>
        <v>0</v>
      </c>
      <c r="AP85" s="529">
        <f t="shared" si="46"/>
        <v>0</v>
      </c>
      <c r="AQ85" s="529">
        <f t="shared" si="47"/>
        <v>0</v>
      </c>
      <c r="AR85" s="958">
        <f t="shared" si="48"/>
        <v>0</v>
      </c>
      <c r="AS85" s="958">
        <f t="shared" si="49"/>
        <v>0</v>
      </c>
      <c r="AT85" s="958">
        <f t="shared" si="50"/>
        <v>0</v>
      </c>
      <c r="AU85" s="958">
        <f t="shared" si="51"/>
        <v>0</v>
      </c>
      <c r="AV85" s="958">
        <f t="shared" si="52"/>
        <v>0</v>
      </c>
      <c r="AW85" s="16">
        <f t="shared" si="53"/>
        <v>0</v>
      </c>
      <c r="AX85" s="16">
        <f t="shared" si="54"/>
        <v>0</v>
      </c>
      <c r="AY85" s="16">
        <f t="shared" si="55"/>
        <v>0</v>
      </c>
      <c r="AZ85" s="16">
        <f t="shared" si="56"/>
        <v>0</v>
      </c>
      <c r="BA85" s="16">
        <f t="shared" si="57"/>
        <v>0</v>
      </c>
      <c r="BB85" s="1382">
        <f>IF(AB85,VLOOKUP(IF(ISNUMBER(MATCH(Overview!$B$14,useless_spell_races,0)),Overview!$B$14,"Other"),Constants!$P$89:$S$102,4,FALSE),IF(BB84&gt;0,BB84-1,0))</f>
        <v>0</v>
      </c>
    </row>
    <row r="86" spans="1:54" s="170" customFormat="1">
      <c r="A86" s="986">
        <f>Rezone!J86</f>
        <v>84</v>
      </c>
      <c r="B86" s="170">
        <f>Construction!E86</f>
        <v>1000</v>
      </c>
      <c r="C86" s="164">
        <f ca="1">Production!K86</f>
        <v>54554</v>
      </c>
      <c r="D86" s="193">
        <f>MIN(1,D85+0.04+ROUNDDOWN(10*Military!BN85,0)+MAX(Techs!AN85,Techs!AW85*3))-AE86</f>
        <v>1</v>
      </c>
      <c r="E86" s="532">
        <f t="shared" si="63"/>
        <v>43695.458333333132</v>
      </c>
      <c r="F86" s="193">
        <f ca="1">Imps!J86</f>
        <v>1</v>
      </c>
      <c r="G86" s="384"/>
      <c r="H86" s="385"/>
      <c r="I86" s="385"/>
      <c r="J86" s="385"/>
      <c r="K86" s="377"/>
      <c r="L86" s="384"/>
      <c r="M86" s="385"/>
      <c r="N86" s="377"/>
      <c r="O86" s="377"/>
      <c r="P86" s="377"/>
      <c r="Q86" s="377"/>
      <c r="R86" s="377"/>
      <c r="S86" s="377"/>
      <c r="T86" s="377"/>
      <c r="U86" s="377"/>
      <c r="V86" s="377"/>
      <c r="W86" s="377"/>
      <c r="X86" s="377"/>
      <c r="Y86" s="377"/>
      <c r="Z86" s="377"/>
      <c r="AA86" s="377"/>
      <c r="AB86" s="386"/>
      <c r="AD86" s="152">
        <f>(MAX(1-wg_spell_cost_cap,1-wg_spell_cost_red*ROUND(Construction!BM86/Construction!E86,4))+Constants!$M$45*Techs!AL86)*(B86-Explore!S86*20)*(G86*Constants!$B$72+H86*Constants!$B$73+I86*Constants!$B$74+J86*Constants!$B$76+K86*Constants!$B$75+L86*dwarf_spell_cost+M86*halfling_spell_cost + N86*sylvan_spell_cost + O86*woodelf_spell_cost + P86*kobold_spell_cost + Q86*icekin_spell_cost + R86*firewalker_spell_cost + S86*nox_spell_cost + T86*human_spell_cost + U86*goblin_spell_cost + V86*orc_spell_cost + W86*ants_spell_cost + X86*armada_spell_cost + Y86*lux_spell_cost + Z86*growth_spell_cost + AA86*impgnome_spell_cost + AB86*VLOOKUP(IF(ISNUMBER(MATCH(Overview!$B$14,useless_spell_races,0)),Overview!$B$14,"Other"),Constants!$P$89:$S$102,3,FALSE))</f>
        <v>0</v>
      </c>
      <c r="AE86" s="193">
        <f t="shared" si="64"/>
        <v>0</v>
      </c>
      <c r="AG86" s="634">
        <f t="shared" si="58"/>
        <v>0</v>
      </c>
      <c r="AH86" s="629">
        <f t="shared" si="59"/>
        <v>0</v>
      </c>
      <c r="AI86" s="629">
        <f t="shared" si="60"/>
        <v>0</v>
      </c>
      <c r="AJ86" s="629">
        <f t="shared" si="61"/>
        <v>0</v>
      </c>
      <c r="AK86" s="548">
        <f t="shared" si="62"/>
        <v>0</v>
      </c>
      <c r="AL86" s="629">
        <f t="shared" si="42"/>
        <v>0</v>
      </c>
      <c r="AM86" s="629">
        <f t="shared" si="43"/>
        <v>0</v>
      </c>
      <c r="AN86" s="629">
        <f t="shared" si="44"/>
        <v>0</v>
      </c>
      <c r="AO86" s="629">
        <f t="shared" si="45"/>
        <v>0</v>
      </c>
      <c r="AP86" s="629">
        <f t="shared" si="46"/>
        <v>0</v>
      </c>
      <c r="AQ86" s="629">
        <f t="shared" si="47"/>
        <v>0</v>
      </c>
      <c r="AR86" s="957">
        <f t="shared" si="48"/>
        <v>0</v>
      </c>
      <c r="AS86" s="957">
        <f t="shared" si="49"/>
        <v>0</v>
      </c>
      <c r="AT86" s="957">
        <f t="shared" si="50"/>
        <v>0</v>
      </c>
      <c r="AU86" s="957">
        <f t="shared" si="51"/>
        <v>0</v>
      </c>
      <c r="AV86" s="957">
        <f t="shared" si="52"/>
        <v>0</v>
      </c>
      <c r="AW86" s="170">
        <f t="shared" si="53"/>
        <v>0</v>
      </c>
      <c r="AX86" s="170">
        <f t="shared" si="54"/>
        <v>0</v>
      </c>
      <c r="AY86" s="170">
        <f t="shared" si="55"/>
        <v>0</v>
      </c>
      <c r="AZ86" s="170">
        <f t="shared" si="56"/>
        <v>0</v>
      </c>
      <c r="BA86" s="170">
        <f t="shared" si="57"/>
        <v>0</v>
      </c>
      <c r="BB86" s="1381">
        <f>IF(AB86,VLOOKUP(IF(ISNUMBER(MATCH(Overview!$B$14,useless_spell_races,0)),Overview!$B$14,"Other"),Constants!$P$89:$S$102,4,FALSE),IF(BB85&gt;0,BB85-1,0))</f>
        <v>0</v>
      </c>
    </row>
    <row r="87" spans="1:54" s="163" customFormat="1">
      <c r="A87" s="988">
        <f>Rezone!J87</f>
        <v>85</v>
      </c>
      <c r="B87" s="163">
        <f>Construction!E87</f>
        <v>1000</v>
      </c>
      <c r="C87" s="153">
        <f ca="1">Production!K87</f>
        <v>54713</v>
      </c>
      <c r="D87" s="194">
        <f>MIN(1,D86+0.04+ROUNDDOWN(10*Military!BN86,0)+MAX(Techs!AN86,Techs!AW86*3))-AE87</f>
        <v>1</v>
      </c>
      <c r="E87" s="677">
        <f>E86+1/24</f>
        <v>43695.499999999796</v>
      </c>
      <c r="F87" s="194">
        <f ca="1">Imps!J87</f>
        <v>1</v>
      </c>
      <c r="G87" s="387"/>
      <c r="H87" s="388"/>
      <c r="I87" s="388"/>
      <c r="J87" s="388"/>
      <c r="K87" s="378"/>
      <c r="L87" s="387"/>
      <c r="M87" s="388"/>
      <c r="N87" s="378"/>
      <c r="O87" s="378"/>
      <c r="P87" s="378"/>
      <c r="Q87" s="378"/>
      <c r="R87" s="378"/>
      <c r="S87" s="378"/>
      <c r="T87" s="378"/>
      <c r="U87" s="378"/>
      <c r="V87" s="378"/>
      <c r="W87" s="378"/>
      <c r="X87" s="378"/>
      <c r="Y87" s="378"/>
      <c r="Z87" s="378"/>
      <c r="AA87" s="378"/>
      <c r="AB87" s="389"/>
      <c r="AD87" s="151">
        <f>(MAX(1-wg_spell_cost_cap,1-wg_spell_cost_red*ROUND(Construction!BM87/Construction!E87,4))+Constants!$M$45*Techs!AL87)*(B87-Explore!S87*20)*(G87*Constants!$B$72+H87*Constants!$B$73+I87*Constants!$B$74+J87*Constants!$B$76+K87*Constants!$B$75+L87*dwarf_spell_cost+M87*halfling_spell_cost + N87*sylvan_spell_cost + O87*woodelf_spell_cost + P87*kobold_spell_cost + Q87*icekin_spell_cost + R87*firewalker_spell_cost + S87*nox_spell_cost + T87*human_spell_cost + U87*goblin_spell_cost + V87*orc_spell_cost + W87*ants_spell_cost + X87*armada_spell_cost + Y87*lux_spell_cost + Z87*growth_spell_cost + AA87*impgnome_spell_cost + AB87*VLOOKUP(IF(ISNUMBER(MATCH(Overview!$B$14,useless_spell_races,0)),Overview!$B$14,"Other"),Constants!$P$89:$S$102,3,FALSE))</f>
        <v>0</v>
      </c>
      <c r="AE87" s="194">
        <f t="shared" si="64"/>
        <v>0</v>
      </c>
      <c r="AG87" s="318">
        <f t="shared" si="58"/>
        <v>0</v>
      </c>
      <c r="AH87" s="627">
        <f t="shared" si="59"/>
        <v>0</v>
      </c>
      <c r="AI87" s="627">
        <f t="shared" si="60"/>
        <v>0</v>
      </c>
      <c r="AJ87" s="627">
        <f t="shared" si="61"/>
        <v>0</v>
      </c>
      <c r="AK87" s="319">
        <f t="shared" si="62"/>
        <v>0</v>
      </c>
      <c r="AL87" s="627">
        <f t="shared" si="42"/>
        <v>0</v>
      </c>
      <c r="AM87" s="627">
        <f t="shared" si="43"/>
        <v>0</v>
      </c>
      <c r="AN87" s="627">
        <f t="shared" si="44"/>
        <v>0</v>
      </c>
      <c r="AO87" s="627">
        <f t="shared" si="45"/>
        <v>0</v>
      </c>
      <c r="AP87" s="627">
        <f t="shared" si="46"/>
        <v>0</v>
      </c>
      <c r="AQ87" s="627">
        <f t="shared" si="47"/>
        <v>0</v>
      </c>
      <c r="AR87" s="959">
        <f t="shared" si="48"/>
        <v>0</v>
      </c>
      <c r="AS87" s="959">
        <f t="shared" si="49"/>
        <v>0</v>
      </c>
      <c r="AT87" s="959">
        <f t="shared" si="50"/>
        <v>0</v>
      </c>
      <c r="AU87" s="959">
        <f t="shared" si="51"/>
        <v>0</v>
      </c>
      <c r="AV87" s="959">
        <f t="shared" si="52"/>
        <v>0</v>
      </c>
      <c r="AW87" s="163">
        <f t="shared" si="53"/>
        <v>0</v>
      </c>
      <c r="AX87" s="163">
        <f t="shared" si="54"/>
        <v>0</v>
      </c>
      <c r="AY87" s="163">
        <f t="shared" si="55"/>
        <v>0</v>
      </c>
      <c r="AZ87" s="163">
        <f t="shared" si="56"/>
        <v>0</v>
      </c>
      <c r="BA87" s="163">
        <f t="shared" si="57"/>
        <v>0</v>
      </c>
      <c r="BB87" s="1383">
        <f>IF(AB87,VLOOKUP(IF(ISNUMBER(MATCH(Overview!$B$14,useless_spell_races,0)),Overview!$B$14,"Other"),Constants!$P$89:$S$102,4,FALSE),IF(BB86&gt;0,BB86-1,0))</f>
        <v>0</v>
      </c>
    </row>
    <row r="88" spans="1:54" s="170" customFormat="1">
      <c r="A88" s="986">
        <f>Rezone!J88</f>
        <v>86</v>
      </c>
      <c r="B88" s="170">
        <f>Construction!E88</f>
        <v>1000</v>
      </c>
      <c r="C88" s="164">
        <f ca="1">Production!K88</f>
        <v>54869</v>
      </c>
      <c r="D88" s="193">
        <f>MIN(1,D87+0.04+ROUNDDOWN(10*Military!BN87,0)+MAX(Techs!AN87,Techs!AW87*3))-AE88</f>
        <v>1</v>
      </c>
      <c r="E88" s="532">
        <f t="shared" ref="E88:E135" si="65">E87+1/24</f>
        <v>43695.541666666461</v>
      </c>
      <c r="F88" s="193">
        <f ca="1">Imps!J88</f>
        <v>1</v>
      </c>
      <c r="G88" s="384"/>
      <c r="H88" s="385"/>
      <c r="I88" s="385"/>
      <c r="J88" s="385"/>
      <c r="K88" s="377"/>
      <c r="L88" s="384"/>
      <c r="M88" s="385"/>
      <c r="N88" s="377"/>
      <c r="O88" s="377"/>
      <c r="P88" s="377"/>
      <c r="Q88" s="377"/>
      <c r="R88" s="377"/>
      <c r="S88" s="377"/>
      <c r="T88" s="377"/>
      <c r="U88" s="377"/>
      <c r="V88" s="377"/>
      <c r="W88" s="377"/>
      <c r="X88" s="377"/>
      <c r="Y88" s="377"/>
      <c r="Z88" s="377"/>
      <c r="AA88" s="377"/>
      <c r="AB88" s="386"/>
      <c r="AD88" s="152">
        <f>(MAX(1-wg_spell_cost_cap,1-wg_spell_cost_red*ROUND(Construction!BM88/Construction!E88,4))+Constants!$M$45*Techs!AL88)*(B88-Explore!S88*20)*(G88*Constants!$B$72+H88*Constants!$B$73+I88*Constants!$B$74+J88*Constants!$B$76+K88*Constants!$B$75+L88*dwarf_spell_cost+M88*halfling_spell_cost + N88*sylvan_spell_cost + O88*woodelf_spell_cost + P88*kobold_spell_cost + Q88*icekin_spell_cost + R88*firewalker_spell_cost + S88*nox_spell_cost + T88*human_spell_cost + U88*goblin_spell_cost + V88*orc_spell_cost + W88*ants_spell_cost + X88*armada_spell_cost + Y88*lux_spell_cost + Z88*growth_spell_cost + AA88*impgnome_spell_cost + AB88*VLOOKUP(IF(ISNUMBER(MATCH(Overview!$B$14,useless_spell_races,0)),Overview!$B$14,"Other"),Constants!$P$89:$S$102,3,FALSE))</f>
        <v>0</v>
      </c>
      <c r="AE88" s="193">
        <f t="shared" si="64"/>
        <v>0</v>
      </c>
      <c r="AG88" s="634">
        <f t="shared" si="58"/>
        <v>0</v>
      </c>
      <c r="AH88" s="629">
        <f t="shared" si="59"/>
        <v>0</v>
      </c>
      <c r="AI88" s="629">
        <f t="shared" si="60"/>
        <v>0</v>
      </c>
      <c r="AJ88" s="629">
        <f t="shared" si="61"/>
        <v>0</v>
      </c>
      <c r="AK88" s="548">
        <f t="shared" si="62"/>
        <v>0</v>
      </c>
      <c r="AL88" s="629">
        <f t="shared" si="42"/>
        <v>0</v>
      </c>
      <c r="AM88" s="629">
        <f t="shared" si="43"/>
        <v>0</v>
      </c>
      <c r="AN88" s="629">
        <f t="shared" si="44"/>
        <v>0</v>
      </c>
      <c r="AO88" s="629">
        <f t="shared" si="45"/>
        <v>0</v>
      </c>
      <c r="AP88" s="629">
        <f t="shared" si="46"/>
        <v>0</v>
      </c>
      <c r="AQ88" s="629">
        <f t="shared" si="47"/>
        <v>0</v>
      </c>
      <c r="AR88" s="957">
        <f t="shared" si="48"/>
        <v>0</v>
      </c>
      <c r="AS88" s="957">
        <f t="shared" si="49"/>
        <v>0</v>
      </c>
      <c r="AT88" s="957">
        <f t="shared" si="50"/>
        <v>0</v>
      </c>
      <c r="AU88" s="957">
        <f t="shared" si="51"/>
        <v>0</v>
      </c>
      <c r="AV88" s="957">
        <f t="shared" si="52"/>
        <v>0</v>
      </c>
      <c r="AW88" s="170">
        <f t="shared" si="53"/>
        <v>0</v>
      </c>
      <c r="AX88" s="170">
        <f t="shared" si="54"/>
        <v>0</v>
      </c>
      <c r="AY88" s="170">
        <f t="shared" si="55"/>
        <v>0</v>
      </c>
      <c r="AZ88" s="170">
        <f t="shared" si="56"/>
        <v>0</v>
      </c>
      <c r="BA88" s="170">
        <f t="shared" si="57"/>
        <v>0</v>
      </c>
      <c r="BB88" s="1381">
        <f>IF(AB88,VLOOKUP(IF(ISNUMBER(MATCH(Overview!$B$14,useless_spell_races,0)),Overview!$B$14,"Other"),Constants!$P$89:$S$102,4,FALSE),IF(BB87&gt;0,BB87-1,0))</f>
        <v>0</v>
      </c>
    </row>
    <row r="89" spans="1:54" s="170" customFormat="1">
      <c r="A89" s="986">
        <f>Rezone!J89</f>
        <v>87</v>
      </c>
      <c r="B89" s="170">
        <f>Construction!E89</f>
        <v>1000</v>
      </c>
      <c r="C89" s="164">
        <f ca="1">Production!K89</f>
        <v>55022</v>
      </c>
      <c r="D89" s="193">
        <f>MIN(1,D88+0.04+ROUNDDOWN(10*Military!BN88,0)+MAX(Techs!AN88,Techs!AW88*3))-AE89</f>
        <v>1</v>
      </c>
      <c r="E89" s="532">
        <f t="shared" si="65"/>
        <v>43695.583333333125</v>
      </c>
      <c r="F89" s="193">
        <f ca="1">Imps!J89</f>
        <v>1</v>
      </c>
      <c r="G89" s="384"/>
      <c r="H89" s="385"/>
      <c r="I89" s="385"/>
      <c r="J89" s="385"/>
      <c r="K89" s="377"/>
      <c r="L89" s="384"/>
      <c r="M89" s="385"/>
      <c r="N89" s="377"/>
      <c r="O89" s="377"/>
      <c r="P89" s="377"/>
      <c r="Q89" s="377"/>
      <c r="R89" s="377"/>
      <c r="S89" s="377"/>
      <c r="T89" s="377"/>
      <c r="U89" s="377"/>
      <c r="V89" s="377"/>
      <c r="W89" s="377"/>
      <c r="X89" s="377"/>
      <c r="Y89" s="377"/>
      <c r="Z89" s="377"/>
      <c r="AA89" s="377"/>
      <c r="AB89" s="386"/>
      <c r="AD89" s="152">
        <f>(MAX(1-wg_spell_cost_cap,1-wg_spell_cost_red*ROUND(Construction!BM89/Construction!E89,4))+Constants!$M$45*Techs!AL89)*(B89-Explore!S89*20)*(G89*Constants!$B$72+H89*Constants!$B$73+I89*Constants!$B$74+J89*Constants!$B$76+K89*Constants!$B$75+L89*dwarf_spell_cost+M89*halfling_spell_cost + N89*sylvan_spell_cost + O89*woodelf_spell_cost + P89*kobold_spell_cost + Q89*icekin_spell_cost + R89*firewalker_spell_cost + S89*nox_spell_cost + T89*human_spell_cost + U89*goblin_spell_cost + V89*orc_spell_cost + W89*ants_spell_cost + X89*armada_spell_cost + Y89*lux_spell_cost + Z89*growth_spell_cost + AA89*impgnome_spell_cost + AB89*VLOOKUP(IF(ISNUMBER(MATCH(Overview!$B$14,useless_spell_races,0)),Overview!$B$14,"Other"),Constants!$P$89:$S$102,3,FALSE))</f>
        <v>0</v>
      </c>
      <c r="AE89" s="193">
        <f t="shared" si="64"/>
        <v>0</v>
      </c>
      <c r="AG89" s="634">
        <f t="shared" si="58"/>
        <v>0</v>
      </c>
      <c r="AH89" s="629">
        <f t="shared" si="59"/>
        <v>0</v>
      </c>
      <c r="AI89" s="629">
        <f t="shared" si="60"/>
        <v>0</v>
      </c>
      <c r="AJ89" s="629">
        <f t="shared" si="61"/>
        <v>0</v>
      </c>
      <c r="AK89" s="548">
        <f t="shared" si="62"/>
        <v>0</v>
      </c>
      <c r="AL89" s="629">
        <f t="shared" si="42"/>
        <v>0</v>
      </c>
      <c r="AM89" s="629">
        <f t="shared" si="43"/>
        <v>0</v>
      </c>
      <c r="AN89" s="629">
        <f t="shared" si="44"/>
        <v>0</v>
      </c>
      <c r="AO89" s="629">
        <f t="shared" si="45"/>
        <v>0</v>
      </c>
      <c r="AP89" s="629">
        <f t="shared" si="46"/>
        <v>0</v>
      </c>
      <c r="AQ89" s="629">
        <f t="shared" si="47"/>
        <v>0</v>
      </c>
      <c r="AR89" s="957">
        <f t="shared" si="48"/>
        <v>0</v>
      </c>
      <c r="AS89" s="957">
        <f t="shared" si="49"/>
        <v>0</v>
      </c>
      <c r="AT89" s="957">
        <f t="shared" si="50"/>
        <v>0</v>
      </c>
      <c r="AU89" s="957">
        <f t="shared" si="51"/>
        <v>0</v>
      </c>
      <c r="AV89" s="957">
        <f t="shared" si="52"/>
        <v>0</v>
      </c>
      <c r="AW89" s="170">
        <f t="shared" si="53"/>
        <v>0</v>
      </c>
      <c r="AX89" s="170">
        <f t="shared" si="54"/>
        <v>0</v>
      </c>
      <c r="AY89" s="170">
        <f t="shared" si="55"/>
        <v>0</v>
      </c>
      <c r="AZ89" s="170">
        <f t="shared" si="56"/>
        <v>0</v>
      </c>
      <c r="BA89" s="170">
        <f t="shared" si="57"/>
        <v>0</v>
      </c>
      <c r="BB89" s="1381">
        <f>IF(AB89,VLOOKUP(IF(ISNUMBER(MATCH(Overview!$B$14,useless_spell_races,0)),Overview!$B$14,"Other"),Constants!$P$89:$S$102,4,FALSE),IF(BB88&gt;0,BB88-1,0))</f>
        <v>0</v>
      </c>
    </row>
    <row r="90" spans="1:54" s="16" customFormat="1">
      <c r="A90" s="987">
        <f>Rezone!J90</f>
        <v>88</v>
      </c>
      <c r="B90" s="16">
        <f>Construction!E90</f>
        <v>1000</v>
      </c>
      <c r="C90" s="26">
        <f ca="1">Production!K90</f>
        <v>55172</v>
      </c>
      <c r="D90" s="62">
        <f>MIN(1,D89+0.04+ROUNDDOWN(10*Military!BN89,0)+MAX(Techs!AN89,Techs!AW89*3))-AE90</f>
        <v>1</v>
      </c>
      <c r="E90" s="532">
        <f t="shared" si="65"/>
        <v>43695.624999999789</v>
      </c>
      <c r="F90" s="62">
        <f ca="1">Imps!J90</f>
        <v>1</v>
      </c>
      <c r="G90" s="393"/>
      <c r="H90" s="394"/>
      <c r="I90" s="394"/>
      <c r="J90" s="394"/>
      <c r="K90" s="380"/>
      <c r="L90" s="393"/>
      <c r="M90" s="394"/>
      <c r="N90" s="380"/>
      <c r="O90" s="380"/>
      <c r="P90" s="380"/>
      <c r="Q90" s="380"/>
      <c r="R90" s="380"/>
      <c r="S90" s="380"/>
      <c r="T90" s="380"/>
      <c r="U90" s="380"/>
      <c r="V90" s="380"/>
      <c r="W90" s="380"/>
      <c r="X90" s="380"/>
      <c r="Y90" s="380"/>
      <c r="Z90" s="380"/>
      <c r="AA90" s="380"/>
      <c r="AB90" s="395"/>
      <c r="AD90" s="152">
        <f>(MAX(1-wg_spell_cost_cap,1-wg_spell_cost_red*ROUND(Construction!BM90/Construction!E90,4))+Constants!$M$45*Techs!AL90)*(B90-Explore!S90*20)*(G90*Constants!$B$72+H90*Constants!$B$73+I90*Constants!$B$74+J90*Constants!$B$76+K90*Constants!$B$75+L90*dwarf_spell_cost+M90*halfling_spell_cost + N90*sylvan_spell_cost + O90*woodelf_spell_cost + P90*kobold_spell_cost + Q90*icekin_spell_cost + R90*firewalker_spell_cost + S90*nox_spell_cost + T90*human_spell_cost + U90*goblin_spell_cost + V90*orc_spell_cost + W90*ants_spell_cost + X90*armada_spell_cost + Y90*lux_spell_cost + Z90*growth_spell_cost + AA90*impgnome_spell_cost + AB90*VLOOKUP(IF(ISNUMBER(MATCH(Overview!$B$14,useless_spell_races,0)),Overview!$B$14,"Other"),Constants!$P$89:$S$102,3,FALSE))</f>
        <v>0</v>
      </c>
      <c r="AE90" s="62">
        <f t="shared" si="64"/>
        <v>0</v>
      </c>
      <c r="AG90" s="635">
        <f t="shared" si="58"/>
        <v>0</v>
      </c>
      <c r="AH90" s="529">
        <f t="shared" si="59"/>
        <v>0</v>
      </c>
      <c r="AI90" s="529">
        <f t="shared" si="60"/>
        <v>0</v>
      </c>
      <c r="AJ90" s="529">
        <f t="shared" si="61"/>
        <v>0</v>
      </c>
      <c r="AK90" s="527">
        <f t="shared" si="62"/>
        <v>0</v>
      </c>
      <c r="AL90" s="529">
        <f t="shared" si="42"/>
        <v>0</v>
      </c>
      <c r="AM90" s="529">
        <f t="shared" si="43"/>
        <v>0</v>
      </c>
      <c r="AN90" s="529">
        <f t="shared" si="44"/>
        <v>0</v>
      </c>
      <c r="AO90" s="529">
        <f t="shared" si="45"/>
        <v>0</v>
      </c>
      <c r="AP90" s="529">
        <f t="shared" si="46"/>
        <v>0</v>
      </c>
      <c r="AQ90" s="529">
        <f t="shared" si="47"/>
        <v>0</v>
      </c>
      <c r="AR90" s="958">
        <f t="shared" si="48"/>
        <v>0</v>
      </c>
      <c r="AS90" s="958">
        <f t="shared" si="49"/>
        <v>0</v>
      </c>
      <c r="AT90" s="958">
        <f t="shared" si="50"/>
        <v>0</v>
      </c>
      <c r="AU90" s="958">
        <f t="shared" si="51"/>
        <v>0</v>
      </c>
      <c r="AV90" s="958">
        <f t="shared" si="52"/>
        <v>0</v>
      </c>
      <c r="AW90" s="16">
        <f t="shared" si="53"/>
        <v>0</v>
      </c>
      <c r="AX90" s="16">
        <f t="shared" si="54"/>
        <v>0</v>
      </c>
      <c r="AY90" s="16">
        <f t="shared" si="55"/>
        <v>0</v>
      </c>
      <c r="AZ90" s="16">
        <f t="shared" si="56"/>
        <v>0</v>
      </c>
      <c r="BA90" s="16">
        <f t="shared" si="57"/>
        <v>0</v>
      </c>
      <c r="BB90" s="1382">
        <f>IF(AB90,VLOOKUP(IF(ISNUMBER(MATCH(Overview!$B$14,useless_spell_races,0)),Overview!$B$14,"Other"),Constants!$P$89:$S$102,4,FALSE),IF(BB89&gt;0,BB89-1,0))</f>
        <v>0</v>
      </c>
    </row>
    <row r="91" spans="1:54" s="16" customFormat="1">
      <c r="A91" s="987">
        <f>Rezone!J91</f>
        <v>89</v>
      </c>
      <c r="B91" s="16">
        <f>Construction!E91</f>
        <v>1000</v>
      </c>
      <c r="C91" s="26">
        <f ca="1">Production!K91</f>
        <v>55319</v>
      </c>
      <c r="D91" s="62">
        <f>MIN(1,D90+0.04+ROUNDDOWN(10*Military!BN90,0)+MAX(Techs!AN90,Techs!AW90*3))-AE91</f>
        <v>1</v>
      </c>
      <c r="E91" s="532">
        <f t="shared" si="65"/>
        <v>43695.666666666453</v>
      </c>
      <c r="F91" s="62">
        <f ca="1">Imps!J91</f>
        <v>1</v>
      </c>
      <c r="G91" s="393"/>
      <c r="H91" s="394"/>
      <c r="I91" s="394"/>
      <c r="J91" s="394"/>
      <c r="K91" s="380"/>
      <c r="L91" s="393"/>
      <c r="M91" s="394"/>
      <c r="N91" s="380"/>
      <c r="O91" s="380"/>
      <c r="P91" s="380"/>
      <c r="Q91" s="380"/>
      <c r="R91" s="380"/>
      <c r="S91" s="380"/>
      <c r="T91" s="380"/>
      <c r="U91" s="380"/>
      <c r="V91" s="380"/>
      <c r="W91" s="380"/>
      <c r="X91" s="380"/>
      <c r="Y91" s="380"/>
      <c r="Z91" s="380"/>
      <c r="AA91" s="380"/>
      <c r="AB91" s="395"/>
      <c r="AD91" s="152">
        <f>(MAX(1-wg_spell_cost_cap,1-wg_spell_cost_red*ROUND(Construction!BM91/Construction!E91,4))+Constants!$M$45*Techs!AL91)*(B91-Explore!S91*20)*(G91*Constants!$B$72+H91*Constants!$B$73+I91*Constants!$B$74+J91*Constants!$B$76+K91*Constants!$B$75+L91*dwarf_spell_cost+M91*halfling_spell_cost + N91*sylvan_spell_cost + O91*woodelf_spell_cost + P91*kobold_spell_cost + Q91*icekin_spell_cost + R91*firewalker_spell_cost + S91*nox_spell_cost + T91*human_spell_cost + U91*goblin_spell_cost + V91*orc_spell_cost + W91*ants_spell_cost + X91*armada_spell_cost + Y91*lux_spell_cost + Z91*growth_spell_cost + AA91*impgnome_spell_cost + AB91*VLOOKUP(IF(ISNUMBER(MATCH(Overview!$B$14,useless_spell_races,0)),Overview!$B$14,"Other"),Constants!$P$89:$S$102,3,FALSE))</f>
        <v>0</v>
      </c>
      <c r="AE91" s="62">
        <f t="shared" si="64"/>
        <v>0</v>
      </c>
      <c r="AG91" s="635">
        <f t="shared" si="58"/>
        <v>0</v>
      </c>
      <c r="AH91" s="529">
        <f t="shared" si="59"/>
        <v>0</v>
      </c>
      <c r="AI91" s="529">
        <f t="shared" si="60"/>
        <v>0</v>
      </c>
      <c r="AJ91" s="529">
        <f t="shared" si="61"/>
        <v>0</v>
      </c>
      <c r="AK91" s="527">
        <f t="shared" si="62"/>
        <v>0</v>
      </c>
      <c r="AL91" s="529">
        <f t="shared" si="42"/>
        <v>0</v>
      </c>
      <c r="AM91" s="529">
        <f t="shared" si="43"/>
        <v>0</v>
      </c>
      <c r="AN91" s="529">
        <f t="shared" si="44"/>
        <v>0</v>
      </c>
      <c r="AO91" s="529">
        <f t="shared" si="45"/>
        <v>0</v>
      </c>
      <c r="AP91" s="529">
        <f t="shared" si="46"/>
        <v>0</v>
      </c>
      <c r="AQ91" s="529">
        <f t="shared" si="47"/>
        <v>0</v>
      </c>
      <c r="AR91" s="958">
        <f t="shared" si="48"/>
        <v>0</v>
      </c>
      <c r="AS91" s="958">
        <f t="shared" si="49"/>
        <v>0</v>
      </c>
      <c r="AT91" s="958">
        <f t="shared" si="50"/>
        <v>0</v>
      </c>
      <c r="AU91" s="958">
        <f t="shared" si="51"/>
        <v>0</v>
      </c>
      <c r="AV91" s="958">
        <f t="shared" si="52"/>
        <v>0</v>
      </c>
      <c r="AW91" s="16">
        <f t="shared" si="53"/>
        <v>0</v>
      </c>
      <c r="AX91" s="16">
        <f t="shared" si="54"/>
        <v>0</v>
      </c>
      <c r="AY91" s="16">
        <f t="shared" si="55"/>
        <v>0</v>
      </c>
      <c r="AZ91" s="16">
        <f t="shared" si="56"/>
        <v>0</v>
      </c>
      <c r="BA91" s="16">
        <f t="shared" si="57"/>
        <v>0</v>
      </c>
      <c r="BB91" s="1382">
        <f>IF(AB91,VLOOKUP(IF(ISNUMBER(MATCH(Overview!$B$14,useless_spell_races,0)),Overview!$B$14,"Other"),Constants!$P$89:$S$102,4,FALSE),IF(BB90&gt;0,BB90-1,0))</f>
        <v>0</v>
      </c>
    </row>
    <row r="92" spans="1:54" s="16" customFormat="1">
      <c r="A92" s="987">
        <f>Rezone!J92</f>
        <v>90</v>
      </c>
      <c r="B92" s="16">
        <f>Construction!E92</f>
        <v>1000</v>
      </c>
      <c r="C92" s="26">
        <f ca="1">Production!K92</f>
        <v>55463</v>
      </c>
      <c r="D92" s="62">
        <f>MIN(1,D91+0.04+ROUNDDOWN(10*Military!BN91,0)+MAX(Techs!AN91,Techs!AW91*3))-AE92</f>
        <v>1</v>
      </c>
      <c r="E92" s="532">
        <f t="shared" si="65"/>
        <v>43695.708333333117</v>
      </c>
      <c r="F92" s="62">
        <f ca="1">Imps!J92</f>
        <v>1</v>
      </c>
      <c r="G92" s="393"/>
      <c r="H92" s="394"/>
      <c r="I92" s="394"/>
      <c r="J92" s="394"/>
      <c r="K92" s="380"/>
      <c r="L92" s="393"/>
      <c r="M92" s="394"/>
      <c r="N92" s="380"/>
      <c r="O92" s="380"/>
      <c r="P92" s="380"/>
      <c r="Q92" s="380"/>
      <c r="R92" s="380"/>
      <c r="S92" s="380"/>
      <c r="T92" s="380"/>
      <c r="U92" s="380"/>
      <c r="V92" s="380"/>
      <c r="W92" s="380"/>
      <c r="X92" s="380"/>
      <c r="Y92" s="380"/>
      <c r="Z92" s="380"/>
      <c r="AA92" s="380"/>
      <c r="AB92" s="395"/>
      <c r="AD92" s="152">
        <f>(MAX(1-wg_spell_cost_cap,1-wg_spell_cost_red*ROUND(Construction!BM92/Construction!E92,4))+Constants!$M$45*Techs!AL92)*(B92-Explore!S92*20)*(G92*Constants!$B$72+H92*Constants!$B$73+I92*Constants!$B$74+J92*Constants!$B$76+K92*Constants!$B$75+L92*dwarf_spell_cost+M92*halfling_spell_cost + N92*sylvan_spell_cost + O92*woodelf_spell_cost + P92*kobold_spell_cost + Q92*icekin_spell_cost + R92*firewalker_spell_cost + S92*nox_spell_cost + T92*human_spell_cost + U92*goblin_spell_cost + V92*orc_spell_cost + W92*ants_spell_cost + X92*armada_spell_cost + Y92*lux_spell_cost + Z92*growth_spell_cost + AA92*impgnome_spell_cost + AB92*VLOOKUP(IF(ISNUMBER(MATCH(Overview!$B$14,useless_spell_races,0)),Overview!$B$14,"Other"),Constants!$P$89:$S$102,3,FALSE))</f>
        <v>0</v>
      </c>
      <c r="AE92" s="62">
        <f t="shared" si="64"/>
        <v>0</v>
      </c>
      <c r="AG92" s="635">
        <f t="shared" si="58"/>
        <v>0</v>
      </c>
      <c r="AH92" s="529">
        <f t="shared" si="59"/>
        <v>0</v>
      </c>
      <c r="AI92" s="529">
        <f t="shared" si="60"/>
        <v>0</v>
      </c>
      <c r="AJ92" s="529">
        <f t="shared" si="61"/>
        <v>0</v>
      </c>
      <c r="AK92" s="527">
        <f t="shared" si="62"/>
        <v>0</v>
      </c>
      <c r="AL92" s="529">
        <f t="shared" si="42"/>
        <v>0</v>
      </c>
      <c r="AM92" s="529">
        <f t="shared" si="43"/>
        <v>0</v>
      </c>
      <c r="AN92" s="529">
        <f t="shared" si="44"/>
        <v>0</v>
      </c>
      <c r="AO92" s="529">
        <f t="shared" si="45"/>
        <v>0</v>
      </c>
      <c r="AP92" s="529">
        <f t="shared" si="46"/>
        <v>0</v>
      </c>
      <c r="AQ92" s="529">
        <f t="shared" si="47"/>
        <v>0</v>
      </c>
      <c r="AR92" s="958">
        <f t="shared" si="48"/>
        <v>0</v>
      </c>
      <c r="AS92" s="958">
        <f t="shared" si="49"/>
        <v>0</v>
      </c>
      <c r="AT92" s="958">
        <f t="shared" si="50"/>
        <v>0</v>
      </c>
      <c r="AU92" s="958">
        <f t="shared" si="51"/>
        <v>0</v>
      </c>
      <c r="AV92" s="958">
        <f t="shared" si="52"/>
        <v>0</v>
      </c>
      <c r="AW92" s="16">
        <f t="shared" si="53"/>
        <v>0</v>
      </c>
      <c r="AX92" s="16">
        <f t="shared" si="54"/>
        <v>0</v>
      </c>
      <c r="AY92" s="16">
        <f t="shared" si="55"/>
        <v>0</v>
      </c>
      <c r="AZ92" s="16">
        <f t="shared" si="56"/>
        <v>0</v>
      </c>
      <c r="BA92" s="16">
        <f t="shared" si="57"/>
        <v>0</v>
      </c>
      <c r="BB92" s="1382">
        <f>IF(AB92,VLOOKUP(IF(ISNUMBER(MATCH(Overview!$B$14,useless_spell_races,0)),Overview!$B$14,"Other"),Constants!$P$89:$S$102,4,FALSE),IF(BB91&gt;0,BB91-1,0))</f>
        <v>0</v>
      </c>
    </row>
    <row r="93" spans="1:54" s="16" customFormat="1">
      <c r="A93" s="987">
        <f>Rezone!J93</f>
        <v>91</v>
      </c>
      <c r="B93" s="16">
        <f>Construction!E93</f>
        <v>1000</v>
      </c>
      <c r="C93" s="26">
        <f ca="1">Production!K93</f>
        <v>55604</v>
      </c>
      <c r="D93" s="62">
        <f>MIN(1,D92+0.04+ROUNDDOWN(10*Military!BN92,0)+MAX(Techs!AN92,Techs!AW92*3))-AE93</f>
        <v>1</v>
      </c>
      <c r="E93" s="532">
        <f t="shared" si="65"/>
        <v>43695.749999999782</v>
      </c>
      <c r="F93" s="62">
        <f ca="1">Imps!J93</f>
        <v>1</v>
      </c>
      <c r="G93" s="393"/>
      <c r="H93" s="394"/>
      <c r="I93" s="394"/>
      <c r="J93" s="394"/>
      <c r="K93" s="380"/>
      <c r="L93" s="393"/>
      <c r="M93" s="394"/>
      <c r="N93" s="380"/>
      <c r="O93" s="380"/>
      <c r="P93" s="380"/>
      <c r="Q93" s="380"/>
      <c r="R93" s="380"/>
      <c r="S93" s="380"/>
      <c r="T93" s="380"/>
      <c r="U93" s="380"/>
      <c r="V93" s="380"/>
      <c r="W93" s="380"/>
      <c r="X93" s="380"/>
      <c r="Y93" s="380"/>
      <c r="Z93" s="380"/>
      <c r="AA93" s="380"/>
      <c r="AB93" s="395"/>
      <c r="AD93" s="152">
        <f>(MAX(1-wg_spell_cost_cap,1-wg_spell_cost_red*ROUND(Construction!BM93/Construction!E93,4))+Constants!$M$45*Techs!AL93)*(B93-Explore!S93*20)*(G93*Constants!$B$72+H93*Constants!$B$73+I93*Constants!$B$74+J93*Constants!$B$76+K93*Constants!$B$75+L93*dwarf_spell_cost+M93*halfling_spell_cost + N93*sylvan_spell_cost + O93*woodelf_spell_cost + P93*kobold_spell_cost + Q93*icekin_spell_cost + R93*firewalker_spell_cost + S93*nox_spell_cost + T93*human_spell_cost + U93*goblin_spell_cost + V93*orc_spell_cost + W93*ants_spell_cost + X93*armada_spell_cost + Y93*lux_spell_cost + Z93*growth_spell_cost + AA93*impgnome_spell_cost + AB93*VLOOKUP(IF(ISNUMBER(MATCH(Overview!$B$14,useless_spell_races,0)),Overview!$B$14,"Other"),Constants!$P$89:$S$102,3,FALSE))</f>
        <v>0</v>
      </c>
      <c r="AE93" s="62">
        <f t="shared" si="64"/>
        <v>0</v>
      </c>
      <c r="AG93" s="635">
        <f t="shared" si="58"/>
        <v>0</v>
      </c>
      <c r="AH93" s="529">
        <f t="shared" si="59"/>
        <v>0</v>
      </c>
      <c r="AI93" s="529">
        <f t="shared" si="60"/>
        <v>0</v>
      </c>
      <c r="AJ93" s="529">
        <f t="shared" si="61"/>
        <v>0</v>
      </c>
      <c r="AK93" s="527">
        <f t="shared" si="62"/>
        <v>0</v>
      </c>
      <c r="AL93" s="529">
        <f t="shared" si="42"/>
        <v>0</v>
      </c>
      <c r="AM93" s="529">
        <f t="shared" si="43"/>
        <v>0</v>
      </c>
      <c r="AN93" s="529">
        <f t="shared" si="44"/>
        <v>0</v>
      </c>
      <c r="AO93" s="529">
        <f t="shared" si="45"/>
        <v>0</v>
      </c>
      <c r="AP93" s="529">
        <f t="shared" si="46"/>
        <v>0</v>
      </c>
      <c r="AQ93" s="529">
        <f t="shared" si="47"/>
        <v>0</v>
      </c>
      <c r="AR93" s="958">
        <f t="shared" si="48"/>
        <v>0</v>
      </c>
      <c r="AS93" s="958">
        <f t="shared" si="49"/>
        <v>0</v>
      </c>
      <c r="AT93" s="958">
        <f t="shared" si="50"/>
        <v>0</v>
      </c>
      <c r="AU93" s="958">
        <f t="shared" si="51"/>
        <v>0</v>
      </c>
      <c r="AV93" s="958">
        <f t="shared" si="52"/>
        <v>0</v>
      </c>
      <c r="AW93" s="16">
        <f t="shared" si="53"/>
        <v>0</v>
      </c>
      <c r="AX93" s="16">
        <f t="shared" si="54"/>
        <v>0</v>
      </c>
      <c r="AY93" s="16">
        <f t="shared" si="55"/>
        <v>0</v>
      </c>
      <c r="AZ93" s="16">
        <f t="shared" si="56"/>
        <v>0</v>
      </c>
      <c r="BA93" s="16">
        <f t="shared" si="57"/>
        <v>0</v>
      </c>
      <c r="BB93" s="1382">
        <f>IF(AB93,VLOOKUP(IF(ISNUMBER(MATCH(Overview!$B$14,useless_spell_races,0)),Overview!$B$14,"Other"),Constants!$P$89:$S$102,4,FALSE),IF(BB92&gt;0,BB92-1,0))</f>
        <v>0</v>
      </c>
    </row>
    <row r="94" spans="1:54" s="16" customFormat="1">
      <c r="A94" s="987">
        <f>Rezone!J94</f>
        <v>92</v>
      </c>
      <c r="B94" s="16">
        <f>Construction!E94</f>
        <v>1000</v>
      </c>
      <c r="C94" s="26">
        <f ca="1">Production!K94</f>
        <v>55742</v>
      </c>
      <c r="D94" s="62">
        <f>MIN(1,D93+0.04+ROUNDDOWN(10*Military!BN93,0)+MAX(Techs!AN93,Techs!AW93*3))-AE94</f>
        <v>1</v>
      </c>
      <c r="E94" s="532">
        <f t="shared" si="65"/>
        <v>43695.791666666446</v>
      </c>
      <c r="F94" s="62">
        <f ca="1">Imps!J94</f>
        <v>1</v>
      </c>
      <c r="G94" s="393"/>
      <c r="H94" s="394"/>
      <c r="I94" s="394"/>
      <c r="J94" s="394"/>
      <c r="K94" s="380"/>
      <c r="L94" s="393"/>
      <c r="M94" s="394"/>
      <c r="N94" s="380"/>
      <c r="O94" s="380"/>
      <c r="P94" s="380"/>
      <c r="Q94" s="380"/>
      <c r="R94" s="380"/>
      <c r="S94" s="380"/>
      <c r="T94" s="380"/>
      <c r="U94" s="380"/>
      <c r="V94" s="380"/>
      <c r="W94" s="380"/>
      <c r="X94" s="380"/>
      <c r="Y94" s="380"/>
      <c r="Z94" s="380"/>
      <c r="AA94" s="380"/>
      <c r="AB94" s="395"/>
      <c r="AD94" s="152">
        <f>(MAX(1-wg_spell_cost_cap,1-wg_spell_cost_red*ROUND(Construction!BM94/Construction!E94,4))+Constants!$M$45*Techs!AL94)*(B94-Explore!S94*20)*(G94*Constants!$B$72+H94*Constants!$B$73+I94*Constants!$B$74+J94*Constants!$B$76+K94*Constants!$B$75+L94*dwarf_spell_cost+M94*halfling_spell_cost + N94*sylvan_spell_cost + O94*woodelf_spell_cost + P94*kobold_spell_cost + Q94*icekin_spell_cost + R94*firewalker_spell_cost + S94*nox_spell_cost + T94*human_spell_cost + U94*goblin_spell_cost + V94*orc_spell_cost + W94*ants_spell_cost + X94*armada_spell_cost + Y94*lux_spell_cost + Z94*growth_spell_cost + AA94*impgnome_spell_cost + AB94*VLOOKUP(IF(ISNUMBER(MATCH(Overview!$B$14,useless_spell_races,0)),Overview!$B$14,"Other"),Constants!$P$89:$S$102,3,FALSE))</f>
        <v>0</v>
      </c>
      <c r="AE94" s="62">
        <f t="shared" si="64"/>
        <v>0</v>
      </c>
      <c r="AG94" s="635">
        <f t="shared" si="58"/>
        <v>0</v>
      </c>
      <c r="AH94" s="529">
        <f t="shared" si="59"/>
        <v>0</v>
      </c>
      <c r="AI94" s="529">
        <f t="shared" si="60"/>
        <v>0</v>
      </c>
      <c r="AJ94" s="529">
        <f t="shared" si="61"/>
        <v>0</v>
      </c>
      <c r="AK94" s="527">
        <f t="shared" si="62"/>
        <v>0</v>
      </c>
      <c r="AL94" s="529">
        <f t="shared" si="42"/>
        <v>0</v>
      </c>
      <c r="AM94" s="529">
        <f t="shared" si="43"/>
        <v>0</v>
      </c>
      <c r="AN94" s="529">
        <f t="shared" si="44"/>
        <v>0</v>
      </c>
      <c r="AO94" s="529">
        <f t="shared" si="45"/>
        <v>0</v>
      </c>
      <c r="AP94" s="529">
        <f t="shared" si="46"/>
        <v>0</v>
      </c>
      <c r="AQ94" s="529">
        <f t="shared" si="47"/>
        <v>0</v>
      </c>
      <c r="AR94" s="958">
        <f t="shared" si="48"/>
        <v>0</v>
      </c>
      <c r="AS94" s="958">
        <f t="shared" si="49"/>
        <v>0</v>
      </c>
      <c r="AT94" s="958">
        <f t="shared" si="50"/>
        <v>0</v>
      </c>
      <c r="AU94" s="958">
        <f t="shared" si="51"/>
        <v>0</v>
      </c>
      <c r="AV94" s="958">
        <f t="shared" si="52"/>
        <v>0</v>
      </c>
      <c r="AW94" s="16">
        <f t="shared" si="53"/>
        <v>0</v>
      </c>
      <c r="AX94" s="16">
        <f t="shared" si="54"/>
        <v>0</v>
      </c>
      <c r="AY94" s="16">
        <f t="shared" si="55"/>
        <v>0</v>
      </c>
      <c r="AZ94" s="16">
        <f t="shared" si="56"/>
        <v>0</v>
      </c>
      <c r="BA94" s="16">
        <f t="shared" si="57"/>
        <v>0</v>
      </c>
      <c r="BB94" s="1382">
        <f>IF(AB94,VLOOKUP(IF(ISNUMBER(MATCH(Overview!$B$14,useless_spell_races,0)),Overview!$B$14,"Other"),Constants!$P$89:$S$102,4,FALSE),IF(BB93&gt;0,BB93-1,0))</f>
        <v>0</v>
      </c>
    </row>
    <row r="95" spans="1:54" s="16" customFormat="1">
      <c r="A95" s="987">
        <f>Rezone!J95</f>
        <v>93</v>
      </c>
      <c r="B95" s="16">
        <f>Construction!E95</f>
        <v>1000</v>
      </c>
      <c r="C95" s="26">
        <f ca="1">Production!K95</f>
        <v>55877</v>
      </c>
      <c r="D95" s="62">
        <f>MIN(1,D94+0.04+ROUNDDOWN(10*Military!BN94,0)+MAX(Techs!AN94,Techs!AW94*3))-AE95</f>
        <v>1</v>
      </c>
      <c r="E95" s="532">
        <f t="shared" si="65"/>
        <v>43695.83333333311</v>
      </c>
      <c r="F95" s="62">
        <f ca="1">Imps!J95</f>
        <v>1</v>
      </c>
      <c r="G95" s="393"/>
      <c r="H95" s="394"/>
      <c r="I95" s="394"/>
      <c r="J95" s="394"/>
      <c r="K95" s="380"/>
      <c r="L95" s="393"/>
      <c r="M95" s="394"/>
      <c r="N95" s="380"/>
      <c r="O95" s="380"/>
      <c r="P95" s="380"/>
      <c r="Q95" s="380"/>
      <c r="R95" s="380"/>
      <c r="S95" s="380"/>
      <c r="T95" s="380"/>
      <c r="U95" s="380"/>
      <c r="V95" s="380"/>
      <c r="W95" s="380"/>
      <c r="X95" s="380"/>
      <c r="Y95" s="380"/>
      <c r="Z95" s="380"/>
      <c r="AA95" s="380"/>
      <c r="AB95" s="395"/>
      <c r="AD95" s="152">
        <f>(MAX(1-wg_spell_cost_cap,1-wg_spell_cost_red*ROUND(Construction!BM95/Construction!E95,4))+Constants!$M$45*Techs!AL95)*(B95-Explore!S95*20)*(G95*Constants!$B$72+H95*Constants!$B$73+I95*Constants!$B$74+J95*Constants!$B$76+K95*Constants!$B$75+L95*dwarf_spell_cost+M95*halfling_spell_cost + N95*sylvan_spell_cost + O95*woodelf_spell_cost + P95*kobold_spell_cost + Q95*icekin_spell_cost + R95*firewalker_spell_cost + S95*nox_spell_cost + T95*human_spell_cost + U95*goblin_spell_cost + V95*orc_spell_cost + W95*ants_spell_cost + X95*armada_spell_cost + Y95*lux_spell_cost + Z95*growth_spell_cost + AA95*impgnome_spell_cost + AB95*VLOOKUP(IF(ISNUMBER(MATCH(Overview!$B$14,useless_spell_races,0)),Overview!$B$14,"Other"),Constants!$P$89:$S$102,3,FALSE))</f>
        <v>0</v>
      </c>
      <c r="AE95" s="62">
        <f t="shared" si="64"/>
        <v>0</v>
      </c>
      <c r="AG95" s="635">
        <f t="shared" si="58"/>
        <v>0</v>
      </c>
      <c r="AH95" s="529">
        <f t="shared" si="59"/>
        <v>0</v>
      </c>
      <c r="AI95" s="529">
        <f t="shared" si="60"/>
        <v>0</v>
      </c>
      <c r="AJ95" s="529">
        <f t="shared" si="61"/>
        <v>0</v>
      </c>
      <c r="AK95" s="527">
        <f t="shared" si="62"/>
        <v>0</v>
      </c>
      <c r="AL95" s="529">
        <f t="shared" si="42"/>
        <v>0</v>
      </c>
      <c r="AM95" s="529">
        <f t="shared" si="43"/>
        <v>0</v>
      </c>
      <c r="AN95" s="529">
        <f t="shared" si="44"/>
        <v>0</v>
      </c>
      <c r="AO95" s="529">
        <f t="shared" si="45"/>
        <v>0</v>
      </c>
      <c r="AP95" s="529">
        <f t="shared" si="46"/>
        <v>0</v>
      </c>
      <c r="AQ95" s="529">
        <f t="shared" si="47"/>
        <v>0</v>
      </c>
      <c r="AR95" s="958">
        <f t="shared" si="48"/>
        <v>0</v>
      </c>
      <c r="AS95" s="958">
        <f t="shared" si="49"/>
        <v>0</v>
      </c>
      <c r="AT95" s="958">
        <f t="shared" si="50"/>
        <v>0</v>
      </c>
      <c r="AU95" s="958">
        <f t="shared" si="51"/>
        <v>0</v>
      </c>
      <c r="AV95" s="958">
        <f t="shared" si="52"/>
        <v>0</v>
      </c>
      <c r="AW95" s="16">
        <f t="shared" si="53"/>
        <v>0</v>
      </c>
      <c r="AX95" s="16">
        <f t="shared" si="54"/>
        <v>0</v>
      </c>
      <c r="AY95" s="16">
        <f t="shared" si="55"/>
        <v>0</v>
      </c>
      <c r="AZ95" s="16">
        <f t="shared" si="56"/>
        <v>0</v>
      </c>
      <c r="BA95" s="16">
        <f t="shared" si="57"/>
        <v>0</v>
      </c>
      <c r="BB95" s="1382">
        <f>IF(AB95,VLOOKUP(IF(ISNUMBER(MATCH(Overview!$B$14,useless_spell_races,0)),Overview!$B$14,"Other"),Constants!$P$89:$S$102,4,FALSE),IF(BB94&gt;0,BB94-1,0))</f>
        <v>0</v>
      </c>
    </row>
    <row r="96" spans="1:54" s="16" customFormat="1">
      <c r="A96" s="987">
        <f>Rezone!J96</f>
        <v>94</v>
      </c>
      <c r="B96" s="16">
        <f>Construction!E96</f>
        <v>1000</v>
      </c>
      <c r="C96" s="26">
        <f ca="1">Production!K96</f>
        <v>56009</v>
      </c>
      <c r="D96" s="62">
        <f>MIN(1,D95+0.04+ROUNDDOWN(10*Military!BN95,0)+MAX(Techs!AN95,Techs!AW95*3))-AE96</f>
        <v>1</v>
      </c>
      <c r="E96" s="532">
        <f t="shared" si="65"/>
        <v>43695.874999999774</v>
      </c>
      <c r="F96" s="62">
        <f ca="1">Imps!J96</f>
        <v>1</v>
      </c>
      <c r="G96" s="393"/>
      <c r="H96" s="394"/>
      <c r="I96" s="394"/>
      <c r="J96" s="394"/>
      <c r="K96" s="380"/>
      <c r="L96" s="393"/>
      <c r="M96" s="394"/>
      <c r="N96" s="380"/>
      <c r="O96" s="380"/>
      <c r="P96" s="380"/>
      <c r="Q96" s="380"/>
      <c r="R96" s="380"/>
      <c r="S96" s="380"/>
      <c r="T96" s="380"/>
      <c r="U96" s="380"/>
      <c r="V96" s="380"/>
      <c r="W96" s="380"/>
      <c r="X96" s="380"/>
      <c r="Y96" s="380"/>
      <c r="Z96" s="380"/>
      <c r="AA96" s="380"/>
      <c r="AB96" s="395"/>
      <c r="AD96" s="152">
        <f>(MAX(1-wg_spell_cost_cap,1-wg_spell_cost_red*ROUND(Construction!BM96/Construction!E96,4))+Constants!$M$45*Techs!AL96)*(B96-Explore!S96*20)*(G96*Constants!$B$72+H96*Constants!$B$73+I96*Constants!$B$74+J96*Constants!$B$76+K96*Constants!$B$75+L96*dwarf_spell_cost+M96*halfling_spell_cost + N96*sylvan_spell_cost + O96*woodelf_spell_cost + P96*kobold_spell_cost + Q96*icekin_spell_cost + R96*firewalker_spell_cost + S96*nox_spell_cost + T96*human_spell_cost + U96*goblin_spell_cost + V96*orc_spell_cost + W96*ants_spell_cost + X96*armada_spell_cost + Y96*lux_spell_cost + Z96*growth_spell_cost + AA96*impgnome_spell_cost + AB96*VLOOKUP(IF(ISNUMBER(MATCH(Overview!$B$14,useless_spell_races,0)),Overview!$B$14,"Other"),Constants!$P$89:$S$102,3,FALSE))</f>
        <v>0</v>
      </c>
      <c r="AE96" s="62">
        <f t="shared" si="64"/>
        <v>0</v>
      </c>
      <c r="AG96" s="635">
        <f t="shared" si="58"/>
        <v>0</v>
      </c>
      <c r="AH96" s="529">
        <f t="shared" si="59"/>
        <v>0</v>
      </c>
      <c r="AI96" s="529">
        <f t="shared" si="60"/>
        <v>0</v>
      </c>
      <c r="AJ96" s="529">
        <f t="shared" si="61"/>
        <v>0</v>
      </c>
      <c r="AK96" s="527">
        <f t="shared" si="62"/>
        <v>0</v>
      </c>
      <c r="AL96" s="529">
        <f t="shared" si="42"/>
        <v>0</v>
      </c>
      <c r="AM96" s="529">
        <f t="shared" si="43"/>
        <v>0</v>
      </c>
      <c r="AN96" s="529">
        <f t="shared" si="44"/>
        <v>0</v>
      </c>
      <c r="AO96" s="529">
        <f t="shared" si="45"/>
        <v>0</v>
      </c>
      <c r="AP96" s="529">
        <f t="shared" si="46"/>
        <v>0</v>
      </c>
      <c r="AQ96" s="529">
        <f t="shared" si="47"/>
        <v>0</v>
      </c>
      <c r="AR96" s="958">
        <f t="shared" si="48"/>
        <v>0</v>
      </c>
      <c r="AS96" s="958">
        <f t="shared" si="49"/>
        <v>0</v>
      </c>
      <c r="AT96" s="958">
        <f t="shared" si="50"/>
        <v>0</v>
      </c>
      <c r="AU96" s="958">
        <f t="shared" si="51"/>
        <v>0</v>
      </c>
      <c r="AV96" s="958">
        <f t="shared" si="52"/>
        <v>0</v>
      </c>
      <c r="AW96" s="16">
        <f t="shared" si="53"/>
        <v>0</v>
      </c>
      <c r="AX96" s="16">
        <f t="shared" si="54"/>
        <v>0</v>
      </c>
      <c r="AY96" s="16">
        <f t="shared" si="55"/>
        <v>0</v>
      </c>
      <c r="AZ96" s="16">
        <f t="shared" si="56"/>
        <v>0</v>
      </c>
      <c r="BA96" s="16">
        <f t="shared" si="57"/>
        <v>0</v>
      </c>
      <c r="BB96" s="1382">
        <f>IF(AB96,VLOOKUP(IF(ISNUMBER(MATCH(Overview!$B$14,useless_spell_races,0)),Overview!$B$14,"Other"),Constants!$P$89:$S$102,4,FALSE),IF(BB95&gt;0,BB95-1,0))</f>
        <v>0</v>
      </c>
    </row>
    <row r="97" spans="1:54" s="16" customFormat="1">
      <c r="A97" s="987">
        <f>Rezone!J97</f>
        <v>95</v>
      </c>
      <c r="B97" s="16">
        <f>Construction!E97</f>
        <v>1000</v>
      </c>
      <c r="C97" s="26">
        <f ca="1">Production!K97</f>
        <v>56139</v>
      </c>
      <c r="D97" s="62">
        <f>MIN(1,D96+0.04+ROUNDDOWN(10*Military!BN96,0)+MAX(Techs!AN96,Techs!AW96*3))-AE97</f>
        <v>1</v>
      </c>
      <c r="E97" s="532">
        <f t="shared" si="65"/>
        <v>43695.916666666439</v>
      </c>
      <c r="F97" s="62">
        <f ca="1">Imps!J97</f>
        <v>1</v>
      </c>
      <c r="G97" s="393"/>
      <c r="H97" s="394"/>
      <c r="I97" s="394"/>
      <c r="J97" s="394"/>
      <c r="K97" s="380"/>
      <c r="L97" s="393"/>
      <c r="M97" s="394"/>
      <c r="N97" s="380"/>
      <c r="O97" s="380"/>
      <c r="P97" s="380"/>
      <c r="Q97" s="380"/>
      <c r="R97" s="380"/>
      <c r="S97" s="380"/>
      <c r="T97" s="380"/>
      <c r="U97" s="380"/>
      <c r="V97" s="380"/>
      <c r="W97" s="380"/>
      <c r="X97" s="380"/>
      <c r="Y97" s="380"/>
      <c r="Z97" s="380"/>
      <c r="AA97" s="380"/>
      <c r="AB97" s="395"/>
      <c r="AD97" s="152">
        <f>(MAX(1-wg_spell_cost_cap,1-wg_spell_cost_red*ROUND(Construction!BM97/Construction!E97,4))+Constants!$M$45*Techs!AL97)*(B97-Explore!S97*20)*(G97*Constants!$B$72+H97*Constants!$B$73+I97*Constants!$B$74+J97*Constants!$B$76+K97*Constants!$B$75+L97*dwarf_spell_cost+M97*halfling_spell_cost + N97*sylvan_spell_cost + O97*woodelf_spell_cost + P97*kobold_spell_cost + Q97*icekin_spell_cost + R97*firewalker_spell_cost + S97*nox_spell_cost + T97*human_spell_cost + U97*goblin_spell_cost + V97*orc_spell_cost + W97*ants_spell_cost + X97*armada_spell_cost + Y97*lux_spell_cost + Z97*growth_spell_cost + AA97*impgnome_spell_cost + AB97*VLOOKUP(IF(ISNUMBER(MATCH(Overview!$B$14,useless_spell_races,0)),Overview!$B$14,"Other"),Constants!$P$89:$S$102,3,FALSE))</f>
        <v>0</v>
      </c>
      <c r="AE97" s="62">
        <f t="shared" si="64"/>
        <v>0</v>
      </c>
      <c r="AG97" s="635">
        <f t="shared" si="58"/>
        <v>0</v>
      </c>
      <c r="AH97" s="529">
        <f t="shared" si="59"/>
        <v>0</v>
      </c>
      <c r="AI97" s="529">
        <f t="shared" si="60"/>
        <v>0</v>
      </c>
      <c r="AJ97" s="529">
        <f t="shared" si="61"/>
        <v>0</v>
      </c>
      <c r="AK97" s="527">
        <f t="shared" si="62"/>
        <v>0</v>
      </c>
      <c r="AL97" s="529">
        <f t="shared" si="42"/>
        <v>0</v>
      </c>
      <c r="AM97" s="529">
        <f t="shared" si="43"/>
        <v>0</v>
      </c>
      <c r="AN97" s="529">
        <f t="shared" si="44"/>
        <v>0</v>
      </c>
      <c r="AO97" s="529">
        <f t="shared" si="45"/>
        <v>0</v>
      </c>
      <c r="AP97" s="529">
        <f t="shared" si="46"/>
        <v>0</v>
      </c>
      <c r="AQ97" s="529">
        <f t="shared" si="47"/>
        <v>0</v>
      </c>
      <c r="AR97" s="958">
        <f t="shared" si="48"/>
        <v>0</v>
      </c>
      <c r="AS97" s="958">
        <f t="shared" si="49"/>
        <v>0</v>
      </c>
      <c r="AT97" s="958">
        <f t="shared" si="50"/>
        <v>0</v>
      </c>
      <c r="AU97" s="958">
        <f t="shared" si="51"/>
        <v>0</v>
      </c>
      <c r="AV97" s="958">
        <f t="shared" si="52"/>
        <v>0</v>
      </c>
      <c r="AW97" s="16">
        <f t="shared" si="53"/>
        <v>0</v>
      </c>
      <c r="AX97" s="16">
        <f t="shared" si="54"/>
        <v>0</v>
      </c>
      <c r="AY97" s="16">
        <f t="shared" si="55"/>
        <v>0</v>
      </c>
      <c r="AZ97" s="16">
        <f t="shared" si="56"/>
        <v>0</v>
      </c>
      <c r="BA97" s="16">
        <f t="shared" si="57"/>
        <v>0</v>
      </c>
      <c r="BB97" s="1382">
        <f>IF(AB97,VLOOKUP(IF(ISNUMBER(MATCH(Overview!$B$14,useless_spell_races,0)),Overview!$B$14,"Other"),Constants!$P$89:$S$102,4,FALSE),IF(BB96&gt;0,BB96-1,0))</f>
        <v>0</v>
      </c>
    </row>
    <row r="98" spans="1:54" s="170" customFormat="1" ht="13.5" thickBot="1">
      <c r="A98" s="986">
        <f>Rezone!J98</f>
        <v>96</v>
      </c>
      <c r="B98" s="170">
        <f>Construction!E98</f>
        <v>1000</v>
      </c>
      <c r="C98" s="164">
        <f ca="1">Production!K98</f>
        <v>56266</v>
      </c>
      <c r="D98" s="193">
        <f>MIN(1,D97+0.04+ROUNDDOWN(10*Military!BN97,0)+MAX(Techs!AN97,Techs!AW97*3))-AE98</f>
        <v>1</v>
      </c>
      <c r="E98" s="532">
        <f t="shared" si="65"/>
        <v>43695.958333333103</v>
      </c>
      <c r="F98" s="193">
        <f ca="1">Imps!J98</f>
        <v>1</v>
      </c>
      <c r="G98" s="384"/>
      <c r="H98" s="385"/>
      <c r="I98" s="385"/>
      <c r="J98" s="385"/>
      <c r="K98" s="377"/>
      <c r="L98" s="384"/>
      <c r="M98" s="385"/>
      <c r="N98" s="377"/>
      <c r="O98" s="377"/>
      <c r="P98" s="377"/>
      <c r="Q98" s="377"/>
      <c r="R98" s="377"/>
      <c r="S98" s="377"/>
      <c r="T98" s="377"/>
      <c r="U98" s="377"/>
      <c r="V98" s="377"/>
      <c r="W98" s="377"/>
      <c r="X98" s="377"/>
      <c r="Y98" s="377"/>
      <c r="Z98" s="377"/>
      <c r="AA98" s="377"/>
      <c r="AB98" s="386"/>
      <c r="AD98" s="152">
        <f>(MAX(1-wg_spell_cost_cap,1-wg_spell_cost_red*ROUND(Construction!BM98/Construction!E98,4))+Constants!$M$45*Techs!AL98)*(B98-Explore!S98*20)*(G98*Constants!$B$72+H98*Constants!$B$73+I98*Constants!$B$74+J98*Constants!$B$76+K98*Constants!$B$75+L98*dwarf_spell_cost+M98*halfling_spell_cost + N98*sylvan_spell_cost + O98*woodelf_spell_cost + P98*kobold_spell_cost + Q98*icekin_spell_cost + R98*firewalker_spell_cost + S98*nox_spell_cost + T98*human_spell_cost + U98*goblin_spell_cost + V98*orc_spell_cost + W98*ants_spell_cost + X98*armada_spell_cost + Y98*lux_spell_cost + Z98*growth_spell_cost + AA98*impgnome_spell_cost + AB98*VLOOKUP(IF(ISNUMBER(MATCH(Overview!$B$14,useless_spell_races,0)),Overview!$B$14,"Other"),Constants!$P$89:$S$102,3,FALSE))</f>
        <v>0</v>
      </c>
      <c r="AE98" s="193">
        <f t="shared" si="64"/>
        <v>0</v>
      </c>
      <c r="AG98" s="634">
        <f t="shared" si="58"/>
        <v>0</v>
      </c>
      <c r="AH98" s="629">
        <f t="shared" si="59"/>
        <v>0</v>
      </c>
      <c r="AI98" s="629">
        <f t="shared" si="60"/>
        <v>0</v>
      </c>
      <c r="AJ98" s="629">
        <f t="shared" si="61"/>
        <v>0</v>
      </c>
      <c r="AK98" s="548">
        <f t="shared" si="62"/>
        <v>0</v>
      </c>
      <c r="AL98" s="629">
        <f t="shared" si="42"/>
        <v>0</v>
      </c>
      <c r="AM98" s="629">
        <f t="shared" si="43"/>
        <v>0</v>
      </c>
      <c r="AN98" s="629">
        <f t="shared" si="44"/>
        <v>0</v>
      </c>
      <c r="AO98" s="629">
        <f t="shared" si="45"/>
        <v>0</v>
      </c>
      <c r="AP98" s="629">
        <f t="shared" si="46"/>
        <v>0</v>
      </c>
      <c r="AQ98" s="629">
        <f t="shared" si="47"/>
        <v>0</v>
      </c>
      <c r="AR98" s="957">
        <f t="shared" si="48"/>
        <v>0</v>
      </c>
      <c r="AS98" s="957">
        <f t="shared" si="49"/>
        <v>0</v>
      </c>
      <c r="AT98" s="957">
        <f t="shared" si="50"/>
        <v>0</v>
      </c>
      <c r="AU98" s="957">
        <f t="shared" si="51"/>
        <v>0</v>
      </c>
      <c r="AV98" s="957">
        <f t="shared" si="52"/>
        <v>0</v>
      </c>
      <c r="AW98" s="170">
        <f t="shared" si="53"/>
        <v>0</v>
      </c>
      <c r="AX98" s="170">
        <f t="shared" si="54"/>
        <v>0</v>
      </c>
      <c r="AY98" s="170">
        <f t="shared" si="55"/>
        <v>0</v>
      </c>
      <c r="AZ98" s="170">
        <f t="shared" si="56"/>
        <v>0</v>
      </c>
      <c r="BA98" s="170">
        <f t="shared" si="57"/>
        <v>0</v>
      </c>
      <c r="BB98" s="1381">
        <f>IF(AB98,VLOOKUP(IF(ISNUMBER(MATCH(Overview!$B$14,useless_spell_races,0)),Overview!$B$14,"Other"),Constants!$P$89:$S$102,4,FALSE),IF(BB97&gt;0,BB97-1,0))</f>
        <v>0</v>
      </c>
    </row>
    <row r="99" spans="1:54" s="173" customFormat="1" ht="13.5" thickBot="1">
      <c r="A99" s="989">
        <f>Rezone!J99</f>
        <v>97</v>
      </c>
      <c r="B99" s="173">
        <f>Construction!E99</f>
        <v>1000</v>
      </c>
      <c r="C99" s="174">
        <f ca="1">Production!K99</f>
        <v>56391</v>
      </c>
      <c r="D99" s="195">
        <f>MIN(1,D98+0.04+ROUNDDOWN(10*Military!BN98,0)+MAX(Techs!AN98,Techs!AW98*3))-AE99</f>
        <v>1</v>
      </c>
      <c r="E99" s="536">
        <f t="shared" si="65"/>
        <v>43695.999999999767</v>
      </c>
      <c r="F99" s="195">
        <f ca="1">Imps!J99</f>
        <v>1</v>
      </c>
      <c r="G99" s="390"/>
      <c r="H99" s="391"/>
      <c r="I99" s="391"/>
      <c r="J99" s="391"/>
      <c r="K99" s="379"/>
      <c r="L99" s="390"/>
      <c r="M99" s="391"/>
      <c r="N99" s="379"/>
      <c r="O99" s="379"/>
      <c r="P99" s="379"/>
      <c r="Q99" s="379"/>
      <c r="R99" s="379"/>
      <c r="S99" s="379"/>
      <c r="T99" s="379"/>
      <c r="U99" s="379"/>
      <c r="V99" s="379"/>
      <c r="W99" s="379"/>
      <c r="X99" s="379"/>
      <c r="Y99" s="379"/>
      <c r="Z99" s="379"/>
      <c r="AA99" s="379"/>
      <c r="AB99" s="392"/>
      <c r="AD99" s="175">
        <f>(MAX(1-wg_spell_cost_cap,1-wg_spell_cost_red*ROUND(Construction!BM99/Construction!E99,4))+Constants!$M$45*Techs!AL99)*(B99-Explore!S99*20)*(G99*Constants!$B$72+H99*Constants!$B$73+I99*Constants!$B$74+J99*Constants!$B$76+K99*Constants!$B$75+L99*dwarf_spell_cost+M99*halfling_spell_cost + N99*sylvan_spell_cost + O99*woodelf_spell_cost + P99*kobold_spell_cost + Q99*icekin_spell_cost + R99*firewalker_spell_cost + S99*nox_spell_cost + T99*human_spell_cost + U99*goblin_spell_cost + V99*orc_spell_cost + W99*ants_spell_cost + X99*armada_spell_cost + Y99*lux_spell_cost + Z99*growth_spell_cost + AA99*impgnome_spell_cost + AB99*VLOOKUP(IF(ISNUMBER(MATCH(Overview!$B$14,useless_spell_races,0)),Overview!$B$14,"Other"),Constants!$P$89:$S$102,3,FALSE))</f>
        <v>0</v>
      </c>
      <c r="AE99" s="195">
        <f t="shared" si="64"/>
        <v>0</v>
      </c>
      <c r="AG99" s="636">
        <f t="shared" si="58"/>
        <v>0</v>
      </c>
      <c r="AH99" s="630">
        <f t="shared" si="59"/>
        <v>0</v>
      </c>
      <c r="AI99" s="630">
        <f t="shared" si="60"/>
        <v>0</v>
      </c>
      <c r="AJ99" s="630">
        <f t="shared" si="61"/>
        <v>0</v>
      </c>
      <c r="AK99" s="550">
        <f t="shared" si="62"/>
        <v>0</v>
      </c>
      <c r="AL99" s="630">
        <f t="shared" si="42"/>
        <v>0</v>
      </c>
      <c r="AM99" s="630">
        <f t="shared" si="43"/>
        <v>0</v>
      </c>
      <c r="AN99" s="630">
        <f t="shared" si="44"/>
        <v>0</v>
      </c>
      <c r="AO99" s="630">
        <f t="shared" si="45"/>
        <v>0</v>
      </c>
      <c r="AP99" s="630">
        <f t="shared" si="46"/>
        <v>0</v>
      </c>
      <c r="AQ99" s="630">
        <f t="shared" si="47"/>
        <v>0</v>
      </c>
      <c r="AR99" s="960">
        <f t="shared" si="48"/>
        <v>0</v>
      </c>
      <c r="AS99" s="960">
        <f t="shared" si="49"/>
        <v>0</v>
      </c>
      <c r="AT99" s="960">
        <f t="shared" si="50"/>
        <v>0</v>
      </c>
      <c r="AU99" s="960">
        <f t="shared" si="51"/>
        <v>0</v>
      </c>
      <c r="AV99" s="960">
        <f t="shared" si="52"/>
        <v>0</v>
      </c>
      <c r="AW99" s="173">
        <f t="shared" si="53"/>
        <v>0</v>
      </c>
      <c r="AX99" s="173">
        <f t="shared" si="54"/>
        <v>0</v>
      </c>
      <c r="AY99" s="173">
        <f t="shared" si="55"/>
        <v>0</v>
      </c>
      <c r="AZ99" s="173">
        <f t="shared" si="56"/>
        <v>0</v>
      </c>
      <c r="BA99" s="173">
        <f t="shared" si="57"/>
        <v>0</v>
      </c>
      <c r="BB99" s="1389">
        <f>IF(AB99,VLOOKUP(IF(ISNUMBER(MATCH(Overview!$B$14,useless_spell_races,0)),Overview!$B$14,"Other"),Constants!$P$89:$S$102,4,FALSE),IF(BB98&gt;0,BB98-1,0))</f>
        <v>0</v>
      </c>
    </row>
    <row r="100" spans="1:54" s="170" customFormat="1">
      <c r="A100" s="986">
        <f>Rezone!J100</f>
        <v>98</v>
      </c>
      <c r="B100" s="170">
        <f>Construction!E100</f>
        <v>1000</v>
      </c>
      <c r="C100" s="164">
        <f ca="1">Production!K100</f>
        <v>56513</v>
      </c>
      <c r="D100" s="193">
        <f>MIN(1,D99+0.04+ROUNDDOWN(10*Military!BN99,0)+MAX(Techs!AN99,Techs!AW99*3))-AE100</f>
        <v>1</v>
      </c>
      <c r="E100" s="532">
        <f t="shared" si="65"/>
        <v>43696.041666666431</v>
      </c>
      <c r="F100" s="193">
        <f ca="1">Imps!J100</f>
        <v>1</v>
      </c>
      <c r="G100" s="384"/>
      <c r="H100" s="385"/>
      <c r="I100" s="385"/>
      <c r="J100" s="385"/>
      <c r="K100" s="377"/>
      <c r="L100" s="384"/>
      <c r="M100" s="385"/>
      <c r="N100" s="377"/>
      <c r="O100" s="377"/>
      <c r="P100" s="377"/>
      <c r="Q100" s="377"/>
      <c r="R100" s="377"/>
      <c r="S100" s="377"/>
      <c r="T100" s="377"/>
      <c r="U100" s="377"/>
      <c r="V100" s="377"/>
      <c r="W100" s="377"/>
      <c r="X100" s="377"/>
      <c r="Y100" s="377"/>
      <c r="Z100" s="377"/>
      <c r="AA100" s="377"/>
      <c r="AB100" s="386"/>
      <c r="AD100" s="152">
        <f>(MAX(1-wg_spell_cost_cap,1-wg_spell_cost_red*ROUND(Construction!BM100/Construction!E100,4))+Constants!$M$45*Techs!AL100)*(B100-Explore!S100*20)*(G100*Constants!$B$72+H100*Constants!$B$73+I100*Constants!$B$74+J100*Constants!$B$76+K100*Constants!$B$75+L100*dwarf_spell_cost+M100*halfling_spell_cost + N100*sylvan_spell_cost + O100*woodelf_spell_cost + P100*kobold_spell_cost + Q100*icekin_spell_cost + R100*firewalker_spell_cost + S100*nox_spell_cost + T100*human_spell_cost + U100*goblin_spell_cost + V100*orc_spell_cost + W100*ants_spell_cost + X100*armada_spell_cost + Y100*lux_spell_cost + Z100*growth_spell_cost + AA100*impgnome_spell_cost + AB100*VLOOKUP(IF(ISNUMBER(MATCH(Overview!$B$14,useless_spell_races,0)),Overview!$B$14,"Other"),Constants!$P$89:$S$102,3,FALSE))</f>
        <v>0</v>
      </c>
      <c r="AE100" s="193">
        <f t="shared" si="64"/>
        <v>0</v>
      </c>
      <c r="AG100" s="634">
        <f t="shared" si="58"/>
        <v>0</v>
      </c>
      <c r="AH100" s="629">
        <f t="shared" si="59"/>
        <v>0</v>
      </c>
      <c r="AI100" s="629">
        <f t="shared" si="60"/>
        <v>0</v>
      </c>
      <c r="AJ100" s="629">
        <f t="shared" si="61"/>
        <v>0</v>
      </c>
      <c r="AK100" s="548">
        <f t="shared" si="62"/>
        <v>0</v>
      </c>
      <c r="AL100" s="629">
        <f t="shared" ref="AL100:AL135" si="66">IF(L100,dwarf_spell_time,IF(AL99&gt;0,AL99-1,0))</f>
        <v>0</v>
      </c>
      <c r="AM100" s="629">
        <f t="shared" ref="AM100:AM135" si="67">IF(M100,halfling_spell_time,IF(AM99&gt;0,AM99-1,0))</f>
        <v>0</v>
      </c>
      <c r="AN100" s="629">
        <f t="shared" ref="AN100:AN135" si="68">IF(N100,sylvan_spell_time,IF(AN99&gt;0,AN99-1,0))</f>
        <v>0</v>
      </c>
      <c r="AO100" s="629">
        <f t="shared" ref="AO100:AO135" si="69">IF(O100,woodelf_spell_time,IF(AO99&gt;0,AO99-1,0))</f>
        <v>0</v>
      </c>
      <c r="AP100" s="629">
        <f t="shared" ref="AP100:AP135" si="70">IF(P100,kobold_spell_time,IF(AP99&gt;0,AP99-1,0))</f>
        <v>0</v>
      </c>
      <c r="AQ100" s="629">
        <f t="shared" ref="AQ100:AQ135" si="71">IF(Q100,icekin_spell_time,IF(AQ99&gt;0,AQ99-1,0))</f>
        <v>0</v>
      </c>
      <c r="AR100" s="957">
        <f t="shared" ref="AR100:AR135" si="72">IF(R100,firewalker_spell_time,IF(AR99&gt;0,AR99-1,0))</f>
        <v>0</v>
      </c>
      <c r="AS100" s="957">
        <f t="shared" ref="AS100:AS135" si="73">IF(S100,nox_spell_time,IF(AS99&gt;0,AS99-1,0))</f>
        <v>0</v>
      </c>
      <c r="AT100" s="957">
        <f t="shared" ref="AT100:AT135" si="74">IF(T100,human_spell_time,IF(AT99&gt;0,AT99-1,0))</f>
        <v>0</v>
      </c>
      <c r="AU100" s="957">
        <f t="shared" ref="AU100:AU135" si="75">IF(U100,goblin_spell_time,IF(AU99&gt;0,AU99-1,0))</f>
        <v>0</v>
      </c>
      <c r="AV100" s="957">
        <f t="shared" ref="AV100:AV135" si="76">IF(V100,orc_spell_time,IF(AV99&gt;0,AV99-1,0))</f>
        <v>0</v>
      </c>
      <c r="AW100" s="170">
        <f t="shared" ref="AW100:AW135" si="77">IF(W100,ants_spell_time,IF(AW99&gt;0,AW99-1,0))</f>
        <v>0</v>
      </c>
      <c r="AX100" s="170">
        <f t="shared" ref="AX100:AX135" si="78">IF(X100,armada_spell_time,IF(AX99&gt;0,AX99-1,0))</f>
        <v>0</v>
      </c>
      <c r="AY100" s="170">
        <f t="shared" ref="AY100:AY135" si="79">IF(Y100,lux_spell_time,IF(AY99&gt;0,AY99-1,0))</f>
        <v>0</v>
      </c>
      <c r="AZ100" s="170">
        <f t="shared" ref="AZ100:AZ135" si="80">IF(Z100,growth_spell_time,IF(AZ99&gt;0,AZ99-1,0))</f>
        <v>0</v>
      </c>
      <c r="BA100" s="170">
        <f t="shared" ref="BA100:BA135" si="81">IF(AA100,impgnome_spell_time,IF(BA99&gt;0,BA99-1,0))</f>
        <v>0</v>
      </c>
      <c r="BB100" s="1381">
        <f>IF(AB100,VLOOKUP(IF(ISNUMBER(MATCH(Overview!$B$14,useless_spell_races,0)),Overview!$B$14,"Other"),Constants!$P$89:$S$102,4,FALSE),IF(BB99&gt;0,BB99-1,0))</f>
        <v>0</v>
      </c>
    </row>
    <row r="101" spans="1:54" s="170" customFormat="1">
      <c r="A101" s="986">
        <f>Rezone!J101</f>
        <v>99</v>
      </c>
      <c r="B101" s="170">
        <f>Construction!E101</f>
        <v>1000</v>
      </c>
      <c r="C101" s="164">
        <f ca="1">Production!K101</f>
        <v>56633</v>
      </c>
      <c r="D101" s="193">
        <f>MIN(1,D100+0.04+ROUNDDOWN(10*Military!BN100,0)+MAX(Techs!AN100,Techs!AW100*3))-AE101</f>
        <v>1</v>
      </c>
      <c r="E101" s="532">
        <f t="shared" si="65"/>
        <v>43696.083333333096</v>
      </c>
      <c r="F101" s="193">
        <f ca="1">Imps!J101</f>
        <v>1</v>
      </c>
      <c r="G101" s="384"/>
      <c r="H101" s="385"/>
      <c r="I101" s="385"/>
      <c r="J101" s="385"/>
      <c r="K101" s="377"/>
      <c r="L101" s="384"/>
      <c r="M101" s="385"/>
      <c r="N101" s="377"/>
      <c r="O101" s="377"/>
      <c r="P101" s="377"/>
      <c r="Q101" s="377"/>
      <c r="R101" s="377"/>
      <c r="S101" s="377"/>
      <c r="T101" s="377"/>
      <c r="U101" s="377"/>
      <c r="V101" s="377"/>
      <c r="W101" s="377"/>
      <c r="X101" s="377"/>
      <c r="Y101" s="377"/>
      <c r="Z101" s="377"/>
      <c r="AA101" s="377"/>
      <c r="AB101" s="386"/>
      <c r="AD101" s="152">
        <f>(MAX(1-wg_spell_cost_cap,1-wg_spell_cost_red*ROUND(Construction!BM101/Construction!E101,4))+Constants!$M$45*Techs!AL101)*(B101-Explore!S101*20)*(G101*Constants!$B$72+H101*Constants!$B$73+I101*Constants!$B$74+J101*Constants!$B$76+K101*Constants!$B$75+L101*dwarf_spell_cost+M101*halfling_spell_cost + N101*sylvan_spell_cost + O101*woodelf_spell_cost + P101*kobold_spell_cost + Q101*icekin_spell_cost + R101*firewalker_spell_cost + S101*nox_spell_cost + T101*human_spell_cost + U101*goblin_spell_cost + V101*orc_spell_cost + W101*ants_spell_cost + X101*armada_spell_cost + Y101*lux_spell_cost + Z101*growth_spell_cost + AA101*impgnome_spell_cost + AB101*VLOOKUP(IF(ISNUMBER(MATCH(Overview!$B$14,useless_spell_races,0)),Overview!$B$14,"Other"),Constants!$P$89:$S$102,3,FALSE))</f>
        <v>0</v>
      </c>
      <c r="AE101" s="193">
        <f t="shared" si="64"/>
        <v>0</v>
      </c>
      <c r="AG101" s="634">
        <f t="shared" si="58"/>
        <v>0</v>
      </c>
      <c r="AH101" s="629">
        <f t="shared" si="59"/>
        <v>0</v>
      </c>
      <c r="AI101" s="629">
        <f t="shared" si="60"/>
        <v>0</v>
      </c>
      <c r="AJ101" s="629">
        <f t="shared" si="61"/>
        <v>0</v>
      </c>
      <c r="AK101" s="548">
        <f t="shared" si="62"/>
        <v>0</v>
      </c>
      <c r="AL101" s="629">
        <f t="shared" si="66"/>
        <v>0</v>
      </c>
      <c r="AM101" s="629">
        <f t="shared" si="67"/>
        <v>0</v>
      </c>
      <c r="AN101" s="629">
        <f t="shared" si="68"/>
        <v>0</v>
      </c>
      <c r="AO101" s="629">
        <f t="shared" si="69"/>
        <v>0</v>
      </c>
      <c r="AP101" s="629">
        <f t="shared" si="70"/>
        <v>0</v>
      </c>
      <c r="AQ101" s="629">
        <f t="shared" si="71"/>
        <v>0</v>
      </c>
      <c r="AR101" s="957">
        <f t="shared" si="72"/>
        <v>0</v>
      </c>
      <c r="AS101" s="957">
        <f t="shared" si="73"/>
        <v>0</v>
      </c>
      <c r="AT101" s="957">
        <f t="shared" si="74"/>
        <v>0</v>
      </c>
      <c r="AU101" s="957">
        <f t="shared" si="75"/>
        <v>0</v>
      </c>
      <c r="AV101" s="957">
        <f t="shared" si="76"/>
        <v>0</v>
      </c>
      <c r="AW101" s="170">
        <f t="shared" si="77"/>
        <v>0</v>
      </c>
      <c r="AX101" s="170">
        <f t="shared" si="78"/>
        <v>0</v>
      </c>
      <c r="AY101" s="170">
        <f t="shared" si="79"/>
        <v>0</v>
      </c>
      <c r="AZ101" s="170">
        <f t="shared" si="80"/>
        <v>0</v>
      </c>
      <c r="BA101" s="170">
        <f t="shared" si="81"/>
        <v>0</v>
      </c>
      <c r="BB101" s="1381">
        <f>IF(AB101,VLOOKUP(IF(ISNUMBER(MATCH(Overview!$B$14,useless_spell_races,0)),Overview!$B$14,"Other"),Constants!$P$89:$S$102,4,FALSE),IF(BB100&gt;0,BB100-1,0))</f>
        <v>0</v>
      </c>
    </row>
    <row r="102" spans="1:54" s="16" customFormat="1">
      <c r="A102" s="987">
        <f>Rezone!J102</f>
        <v>100</v>
      </c>
      <c r="B102" s="16">
        <f>Construction!E102</f>
        <v>1000</v>
      </c>
      <c r="C102" s="26">
        <f ca="1">Production!K102</f>
        <v>56750</v>
      </c>
      <c r="D102" s="62">
        <f>MIN(1,D101+0.04+ROUNDDOWN(10*Military!BN101,0)+MAX(Techs!AN101,Techs!AW101*3))-AE102</f>
        <v>1</v>
      </c>
      <c r="E102" s="532">
        <f t="shared" si="65"/>
        <v>43696.12499999976</v>
      </c>
      <c r="F102" s="62">
        <f ca="1">Imps!J102</f>
        <v>1</v>
      </c>
      <c r="G102" s="393"/>
      <c r="H102" s="394"/>
      <c r="I102" s="394"/>
      <c r="J102" s="394"/>
      <c r="K102" s="380"/>
      <c r="L102" s="393"/>
      <c r="M102" s="394"/>
      <c r="N102" s="380"/>
      <c r="O102" s="380"/>
      <c r="P102" s="380"/>
      <c r="Q102" s="380"/>
      <c r="R102" s="380"/>
      <c r="S102" s="380"/>
      <c r="T102" s="380"/>
      <c r="U102" s="380"/>
      <c r="V102" s="380"/>
      <c r="W102" s="380"/>
      <c r="X102" s="380"/>
      <c r="Y102" s="380"/>
      <c r="Z102" s="380"/>
      <c r="AA102" s="380"/>
      <c r="AB102" s="395"/>
      <c r="AD102" s="152">
        <f>(MAX(1-wg_spell_cost_cap,1-wg_spell_cost_red*ROUND(Construction!BM102/Construction!E102,4))+Constants!$M$45*Techs!AL102)*(B102-Explore!S102*20)*(G102*Constants!$B$72+H102*Constants!$B$73+I102*Constants!$B$74+J102*Constants!$B$76+K102*Constants!$B$75+L102*dwarf_spell_cost+M102*halfling_spell_cost + N102*sylvan_spell_cost + O102*woodelf_spell_cost + P102*kobold_spell_cost + Q102*icekin_spell_cost + R102*firewalker_spell_cost + S102*nox_spell_cost + T102*human_spell_cost + U102*goblin_spell_cost + V102*orc_spell_cost + W102*ants_spell_cost + X102*armada_spell_cost + Y102*lux_spell_cost + Z102*growth_spell_cost + AA102*impgnome_spell_cost + AB102*VLOOKUP(IF(ISNUMBER(MATCH(Overview!$B$14,useless_spell_races,0)),Overview!$B$14,"Other"),Constants!$P$89:$S$102,3,FALSE))</f>
        <v>0</v>
      </c>
      <c r="AE102" s="62">
        <f t="shared" si="64"/>
        <v>0</v>
      </c>
      <c r="AG102" s="635">
        <f t="shared" si="58"/>
        <v>0</v>
      </c>
      <c r="AH102" s="529">
        <f t="shared" si="59"/>
        <v>0</v>
      </c>
      <c r="AI102" s="529">
        <f t="shared" si="60"/>
        <v>0</v>
      </c>
      <c r="AJ102" s="529">
        <f t="shared" si="61"/>
        <v>0</v>
      </c>
      <c r="AK102" s="527">
        <f t="shared" si="62"/>
        <v>0</v>
      </c>
      <c r="AL102" s="529">
        <f t="shared" si="66"/>
        <v>0</v>
      </c>
      <c r="AM102" s="529">
        <f t="shared" si="67"/>
        <v>0</v>
      </c>
      <c r="AN102" s="529">
        <f t="shared" si="68"/>
        <v>0</v>
      </c>
      <c r="AO102" s="529">
        <f t="shared" si="69"/>
        <v>0</v>
      </c>
      <c r="AP102" s="529">
        <f t="shared" si="70"/>
        <v>0</v>
      </c>
      <c r="AQ102" s="529">
        <f t="shared" si="71"/>
        <v>0</v>
      </c>
      <c r="AR102" s="958">
        <f t="shared" si="72"/>
        <v>0</v>
      </c>
      <c r="AS102" s="958">
        <f t="shared" si="73"/>
        <v>0</v>
      </c>
      <c r="AT102" s="958">
        <f t="shared" si="74"/>
        <v>0</v>
      </c>
      <c r="AU102" s="958">
        <f t="shared" si="75"/>
        <v>0</v>
      </c>
      <c r="AV102" s="958">
        <f t="shared" si="76"/>
        <v>0</v>
      </c>
      <c r="AW102" s="16">
        <f t="shared" si="77"/>
        <v>0</v>
      </c>
      <c r="AX102" s="16">
        <f t="shared" si="78"/>
        <v>0</v>
      </c>
      <c r="AY102" s="16">
        <f t="shared" si="79"/>
        <v>0</v>
      </c>
      <c r="AZ102" s="16">
        <f t="shared" si="80"/>
        <v>0</v>
      </c>
      <c r="BA102" s="16">
        <f t="shared" si="81"/>
        <v>0</v>
      </c>
      <c r="BB102" s="1382">
        <f>IF(AB102,VLOOKUP(IF(ISNUMBER(MATCH(Overview!$B$14,useless_spell_races,0)),Overview!$B$14,"Other"),Constants!$P$89:$S$102,4,FALSE),IF(BB101&gt;0,BB101-1,0))</f>
        <v>0</v>
      </c>
    </row>
    <row r="103" spans="1:54" s="16" customFormat="1">
      <c r="A103" s="987">
        <f>Rezone!J103</f>
        <v>101</v>
      </c>
      <c r="B103" s="16">
        <f>Construction!E103</f>
        <v>1000</v>
      </c>
      <c r="C103" s="26">
        <f ca="1">Production!K103</f>
        <v>56865</v>
      </c>
      <c r="D103" s="62">
        <f>MIN(1,D102+0.04+ROUNDDOWN(10*Military!BN102,0)+MAX(Techs!AN102,Techs!AW102*3))-AE103</f>
        <v>1</v>
      </c>
      <c r="E103" s="532">
        <f t="shared" si="65"/>
        <v>43696.166666666424</v>
      </c>
      <c r="F103" s="62">
        <f ca="1">Imps!J103</f>
        <v>1</v>
      </c>
      <c r="G103" s="393"/>
      <c r="H103" s="394"/>
      <c r="I103" s="394"/>
      <c r="J103" s="394"/>
      <c r="K103" s="380"/>
      <c r="L103" s="393"/>
      <c r="M103" s="394"/>
      <c r="N103" s="380"/>
      <c r="O103" s="380"/>
      <c r="P103" s="380"/>
      <c r="Q103" s="380"/>
      <c r="R103" s="380"/>
      <c r="S103" s="380"/>
      <c r="T103" s="380"/>
      <c r="U103" s="380"/>
      <c r="V103" s="380"/>
      <c r="W103" s="380"/>
      <c r="X103" s="380"/>
      <c r="Y103" s="380"/>
      <c r="Z103" s="380"/>
      <c r="AA103" s="380"/>
      <c r="AB103" s="395"/>
      <c r="AD103" s="152">
        <f>(MAX(1-wg_spell_cost_cap,1-wg_spell_cost_red*ROUND(Construction!BM103/Construction!E103,4))+Constants!$M$45*Techs!AL103)*(B103-Explore!S103*20)*(G103*Constants!$B$72+H103*Constants!$B$73+I103*Constants!$B$74+J103*Constants!$B$76+K103*Constants!$B$75+L103*dwarf_spell_cost+M103*halfling_spell_cost + N103*sylvan_spell_cost + O103*woodelf_spell_cost + P103*kobold_spell_cost + Q103*icekin_spell_cost + R103*firewalker_spell_cost + S103*nox_spell_cost + T103*human_spell_cost + U103*goblin_spell_cost + V103*orc_spell_cost + W103*ants_spell_cost + X103*armada_spell_cost + Y103*lux_spell_cost + Z103*growth_spell_cost + AA103*impgnome_spell_cost + AB103*VLOOKUP(IF(ISNUMBER(MATCH(Overview!$B$14,useless_spell_races,0)),Overview!$B$14,"Other"),Constants!$P$89:$S$102,3,FALSE))</f>
        <v>0</v>
      </c>
      <c r="AE103" s="62">
        <f t="shared" si="64"/>
        <v>0</v>
      </c>
      <c r="AG103" s="635">
        <f t="shared" si="58"/>
        <v>0</v>
      </c>
      <c r="AH103" s="529">
        <f t="shared" si="59"/>
        <v>0</v>
      </c>
      <c r="AI103" s="529">
        <f t="shared" si="60"/>
        <v>0</v>
      </c>
      <c r="AJ103" s="529">
        <f t="shared" si="61"/>
        <v>0</v>
      </c>
      <c r="AK103" s="527">
        <f t="shared" si="62"/>
        <v>0</v>
      </c>
      <c r="AL103" s="529">
        <f t="shared" si="66"/>
        <v>0</v>
      </c>
      <c r="AM103" s="529">
        <f t="shared" si="67"/>
        <v>0</v>
      </c>
      <c r="AN103" s="529">
        <f t="shared" si="68"/>
        <v>0</v>
      </c>
      <c r="AO103" s="529">
        <f t="shared" si="69"/>
        <v>0</v>
      </c>
      <c r="AP103" s="529">
        <f t="shared" si="70"/>
        <v>0</v>
      </c>
      <c r="AQ103" s="529">
        <f t="shared" si="71"/>
        <v>0</v>
      </c>
      <c r="AR103" s="958">
        <f t="shared" si="72"/>
        <v>0</v>
      </c>
      <c r="AS103" s="958">
        <f t="shared" si="73"/>
        <v>0</v>
      </c>
      <c r="AT103" s="958">
        <f t="shared" si="74"/>
        <v>0</v>
      </c>
      <c r="AU103" s="958">
        <f t="shared" si="75"/>
        <v>0</v>
      </c>
      <c r="AV103" s="958">
        <f t="shared" si="76"/>
        <v>0</v>
      </c>
      <c r="AW103" s="16">
        <f t="shared" si="77"/>
        <v>0</v>
      </c>
      <c r="AX103" s="16">
        <f t="shared" si="78"/>
        <v>0</v>
      </c>
      <c r="AY103" s="16">
        <f t="shared" si="79"/>
        <v>0</v>
      </c>
      <c r="AZ103" s="16">
        <f t="shared" si="80"/>
        <v>0</v>
      </c>
      <c r="BA103" s="16">
        <f t="shared" si="81"/>
        <v>0</v>
      </c>
      <c r="BB103" s="1382">
        <f>IF(AB103,VLOOKUP(IF(ISNUMBER(MATCH(Overview!$B$14,useless_spell_races,0)),Overview!$B$14,"Other"),Constants!$P$89:$S$102,4,FALSE),IF(BB102&gt;0,BB102-1,0))</f>
        <v>0</v>
      </c>
    </row>
    <row r="104" spans="1:54" s="16" customFormat="1">
      <c r="A104" s="987">
        <f>Rezone!J104</f>
        <v>102</v>
      </c>
      <c r="B104" s="16">
        <f>Construction!E104</f>
        <v>1000</v>
      </c>
      <c r="C104" s="26">
        <f ca="1">Production!K104</f>
        <v>56978</v>
      </c>
      <c r="D104" s="62">
        <f>MIN(1,D103+0.04+ROUNDDOWN(10*Military!BN103,0)+MAX(Techs!AN103,Techs!AW103*3))-AE104</f>
        <v>1</v>
      </c>
      <c r="E104" s="532">
        <f t="shared" si="65"/>
        <v>43696.208333333088</v>
      </c>
      <c r="F104" s="62">
        <f ca="1">Imps!J104</f>
        <v>1</v>
      </c>
      <c r="G104" s="393"/>
      <c r="H104" s="394"/>
      <c r="I104" s="394"/>
      <c r="J104" s="394"/>
      <c r="K104" s="380"/>
      <c r="L104" s="393"/>
      <c r="M104" s="394"/>
      <c r="N104" s="380"/>
      <c r="O104" s="380"/>
      <c r="P104" s="380"/>
      <c r="Q104" s="380"/>
      <c r="R104" s="380"/>
      <c r="S104" s="380"/>
      <c r="T104" s="380"/>
      <c r="U104" s="380"/>
      <c r="V104" s="380"/>
      <c r="W104" s="380"/>
      <c r="X104" s="380"/>
      <c r="Y104" s="380"/>
      <c r="Z104" s="380"/>
      <c r="AA104" s="380"/>
      <c r="AB104" s="395"/>
      <c r="AD104" s="152">
        <f>(MAX(1-wg_spell_cost_cap,1-wg_spell_cost_red*ROUND(Construction!BM104/Construction!E104,4))+Constants!$M$45*Techs!AL104)*(B104-Explore!S104*20)*(G104*Constants!$B$72+H104*Constants!$B$73+I104*Constants!$B$74+J104*Constants!$B$76+K104*Constants!$B$75+L104*dwarf_spell_cost+M104*halfling_spell_cost + N104*sylvan_spell_cost + O104*woodelf_spell_cost + P104*kobold_spell_cost + Q104*icekin_spell_cost + R104*firewalker_spell_cost + S104*nox_spell_cost + T104*human_spell_cost + U104*goblin_spell_cost + V104*orc_spell_cost + W104*ants_spell_cost + X104*armada_spell_cost + Y104*lux_spell_cost + Z104*growth_spell_cost + AA104*impgnome_spell_cost + AB104*VLOOKUP(IF(ISNUMBER(MATCH(Overview!$B$14,useless_spell_races,0)),Overview!$B$14,"Other"),Constants!$P$89:$S$102,3,FALSE))</f>
        <v>0</v>
      </c>
      <c r="AE104" s="62">
        <f t="shared" si="64"/>
        <v>0</v>
      </c>
      <c r="AG104" s="635">
        <f t="shared" si="58"/>
        <v>0</v>
      </c>
      <c r="AH104" s="529">
        <f t="shared" si="59"/>
        <v>0</v>
      </c>
      <c r="AI104" s="529">
        <f t="shared" si="60"/>
        <v>0</v>
      </c>
      <c r="AJ104" s="529">
        <f t="shared" si="61"/>
        <v>0</v>
      </c>
      <c r="AK104" s="527">
        <f t="shared" si="62"/>
        <v>0</v>
      </c>
      <c r="AL104" s="529">
        <f t="shared" si="66"/>
        <v>0</v>
      </c>
      <c r="AM104" s="529">
        <f t="shared" si="67"/>
        <v>0</v>
      </c>
      <c r="AN104" s="529">
        <f t="shared" si="68"/>
        <v>0</v>
      </c>
      <c r="AO104" s="529">
        <f t="shared" si="69"/>
        <v>0</v>
      </c>
      <c r="AP104" s="529">
        <f t="shared" si="70"/>
        <v>0</v>
      </c>
      <c r="AQ104" s="529">
        <f t="shared" si="71"/>
        <v>0</v>
      </c>
      <c r="AR104" s="958">
        <f t="shared" si="72"/>
        <v>0</v>
      </c>
      <c r="AS104" s="958">
        <f t="shared" si="73"/>
        <v>0</v>
      </c>
      <c r="AT104" s="958">
        <f t="shared" si="74"/>
        <v>0</v>
      </c>
      <c r="AU104" s="958">
        <f t="shared" si="75"/>
        <v>0</v>
      </c>
      <c r="AV104" s="958">
        <f t="shared" si="76"/>
        <v>0</v>
      </c>
      <c r="AW104" s="16">
        <f t="shared" si="77"/>
        <v>0</v>
      </c>
      <c r="AX104" s="16">
        <f t="shared" si="78"/>
        <v>0</v>
      </c>
      <c r="AY104" s="16">
        <f t="shared" si="79"/>
        <v>0</v>
      </c>
      <c r="AZ104" s="16">
        <f t="shared" si="80"/>
        <v>0</v>
      </c>
      <c r="BA104" s="16">
        <f t="shared" si="81"/>
        <v>0</v>
      </c>
      <c r="BB104" s="1382">
        <f>IF(AB104,VLOOKUP(IF(ISNUMBER(MATCH(Overview!$B$14,useless_spell_races,0)),Overview!$B$14,"Other"),Constants!$P$89:$S$102,4,FALSE),IF(BB103&gt;0,BB103-1,0))</f>
        <v>0</v>
      </c>
    </row>
    <row r="105" spans="1:54" s="16" customFormat="1">
      <c r="A105" s="987">
        <f>Rezone!J105</f>
        <v>103</v>
      </c>
      <c r="B105" s="16">
        <f>Construction!E105</f>
        <v>1000</v>
      </c>
      <c r="C105" s="26">
        <f ca="1">Production!K105</f>
        <v>57088</v>
      </c>
      <c r="D105" s="62">
        <f>MIN(1,D104+0.04+ROUNDDOWN(10*Military!BN104,0)+MAX(Techs!AN104,Techs!AW104*3))-AE105</f>
        <v>1</v>
      </c>
      <c r="E105" s="532">
        <f t="shared" si="65"/>
        <v>43696.249999999753</v>
      </c>
      <c r="F105" s="62">
        <f ca="1">Imps!J105</f>
        <v>1</v>
      </c>
      <c r="G105" s="393"/>
      <c r="H105" s="394"/>
      <c r="I105" s="394"/>
      <c r="J105" s="394"/>
      <c r="K105" s="380"/>
      <c r="L105" s="393"/>
      <c r="M105" s="394"/>
      <c r="N105" s="380"/>
      <c r="O105" s="380"/>
      <c r="P105" s="380"/>
      <c r="Q105" s="380"/>
      <c r="R105" s="380"/>
      <c r="S105" s="380"/>
      <c r="T105" s="380"/>
      <c r="U105" s="380"/>
      <c r="V105" s="380"/>
      <c r="W105" s="380"/>
      <c r="X105" s="380"/>
      <c r="Y105" s="380"/>
      <c r="Z105" s="380"/>
      <c r="AA105" s="380"/>
      <c r="AB105" s="395"/>
      <c r="AD105" s="152">
        <f>(MAX(1-wg_spell_cost_cap,1-wg_spell_cost_red*ROUND(Construction!BM105/Construction!E105,4))+Constants!$M$45*Techs!AL105)*(B105-Explore!S105*20)*(G105*Constants!$B$72+H105*Constants!$B$73+I105*Constants!$B$74+J105*Constants!$B$76+K105*Constants!$B$75+L105*dwarf_spell_cost+M105*halfling_spell_cost + N105*sylvan_spell_cost + O105*woodelf_spell_cost + P105*kobold_spell_cost + Q105*icekin_spell_cost + R105*firewalker_spell_cost + S105*nox_spell_cost + T105*human_spell_cost + U105*goblin_spell_cost + V105*orc_spell_cost + W105*ants_spell_cost + X105*armada_spell_cost + Y105*lux_spell_cost + Z105*growth_spell_cost + AA105*impgnome_spell_cost + AB105*VLOOKUP(IF(ISNUMBER(MATCH(Overview!$B$14,useless_spell_races,0)),Overview!$B$14,"Other"),Constants!$P$89:$S$102,3,FALSE))</f>
        <v>0</v>
      </c>
      <c r="AE105" s="62">
        <f t="shared" si="64"/>
        <v>0</v>
      </c>
      <c r="AG105" s="635">
        <f t="shared" si="58"/>
        <v>0</v>
      </c>
      <c r="AH105" s="529">
        <f t="shared" si="59"/>
        <v>0</v>
      </c>
      <c r="AI105" s="529">
        <f t="shared" si="60"/>
        <v>0</v>
      </c>
      <c r="AJ105" s="529">
        <f t="shared" si="61"/>
        <v>0</v>
      </c>
      <c r="AK105" s="527">
        <f t="shared" si="62"/>
        <v>0</v>
      </c>
      <c r="AL105" s="529">
        <f t="shared" si="66"/>
        <v>0</v>
      </c>
      <c r="AM105" s="529">
        <f t="shared" si="67"/>
        <v>0</v>
      </c>
      <c r="AN105" s="529">
        <f t="shared" si="68"/>
        <v>0</v>
      </c>
      <c r="AO105" s="529">
        <f t="shared" si="69"/>
        <v>0</v>
      </c>
      <c r="AP105" s="529">
        <f t="shared" si="70"/>
        <v>0</v>
      </c>
      <c r="AQ105" s="529">
        <f t="shared" si="71"/>
        <v>0</v>
      </c>
      <c r="AR105" s="958">
        <f t="shared" si="72"/>
        <v>0</v>
      </c>
      <c r="AS105" s="958">
        <f t="shared" si="73"/>
        <v>0</v>
      </c>
      <c r="AT105" s="958">
        <f t="shared" si="74"/>
        <v>0</v>
      </c>
      <c r="AU105" s="958">
        <f t="shared" si="75"/>
        <v>0</v>
      </c>
      <c r="AV105" s="958">
        <f t="shared" si="76"/>
        <v>0</v>
      </c>
      <c r="AW105" s="16">
        <f t="shared" si="77"/>
        <v>0</v>
      </c>
      <c r="AX105" s="16">
        <f t="shared" si="78"/>
        <v>0</v>
      </c>
      <c r="AY105" s="16">
        <f t="shared" si="79"/>
        <v>0</v>
      </c>
      <c r="AZ105" s="16">
        <f t="shared" si="80"/>
        <v>0</v>
      </c>
      <c r="BA105" s="16">
        <f t="shared" si="81"/>
        <v>0</v>
      </c>
      <c r="BB105" s="1382">
        <f>IF(AB105,VLOOKUP(IF(ISNUMBER(MATCH(Overview!$B$14,useless_spell_races,0)),Overview!$B$14,"Other"),Constants!$P$89:$S$102,4,FALSE),IF(BB104&gt;0,BB104-1,0))</f>
        <v>0</v>
      </c>
    </row>
    <row r="106" spans="1:54" s="16" customFormat="1">
      <c r="A106" s="987">
        <f>Rezone!J106</f>
        <v>104</v>
      </c>
      <c r="B106" s="16">
        <f>Construction!E106</f>
        <v>1000</v>
      </c>
      <c r="C106" s="26">
        <f ca="1">Production!K106</f>
        <v>57196</v>
      </c>
      <c r="D106" s="62">
        <f>MIN(1,D105+0.04+ROUNDDOWN(10*Military!BN105,0)+MAX(Techs!AN105,Techs!AW105*3))-AE106</f>
        <v>1</v>
      </c>
      <c r="E106" s="532">
        <f t="shared" si="65"/>
        <v>43696.291666666417</v>
      </c>
      <c r="F106" s="62">
        <f ca="1">Imps!J106</f>
        <v>1</v>
      </c>
      <c r="G106" s="393"/>
      <c r="H106" s="394"/>
      <c r="I106" s="394"/>
      <c r="J106" s="394"/>
      <c r="K106" s="380"/>
      <c r="L106" s="393"/>
      <c r="M106" s="394"/>
      <c r="N106" s="380"/>
      <c r="O106" s="380"/>
      <c r="P106" s="380"/>
      <c r="Q106" s="380"/>
      <c r="R106" s="380"/>
      <c r="S106" s="380"/>
      <c r="T106" s="380"/>
      <c r="U106" s="380"/>
      <c r="V106" s="380"/>
      <c r="W106" s="380"/>
      <c r="X106" s="380"/>
      <c r="Y106" s="380"/>
      <c r="Z106" s="380"/>
      <c r="AA106" s="380"/>
      <c r="AB106" s="395"/>
      <c r="AD106" s="152">
        <f>(MAX(1-wg_spell_cost_cap,1-wg_spell_cost_red*ROUND(Construction!BM106/Construction!E106,4))+Constants!$M$45*Techs!AL106)*(B106-Explore!S106*20)*(G106*Constants!$B$72+H106*Constants!$B$73+I106*Constants!$B$74+J106*Constants!$B$76+K106*Constants!$B$75+L106*dwarf_spell_cost+M106*halfling_spell_cost + N106*sylvan_spell_cost + O106*woodelf_spell_cost + P106*kobold_spell_cost + Q106*icekin_spell_cost + R106*firewalker_spell_cost + S106*nox_spell_cost + T106*human_spell_cost + U106*goblin_spell_cost + V106*orc_spell_cost + W106*ants_spell_cost + X106*armada_spell_cost + Y106*lux_spell_cost + Z106*growth_spell_cost + AA106*impgnome_spell_cost + AB106*VLOOKUP(IF(ISNUMBER(MATCH(Overview!$B$14,useless_spell_races,0)),Overview!$B$14,"Other"),Constants!$P$89:$S$102,3,FALSE))</f>
        <v>0</v>
      </c>
      <c r="AE106" s="62">
        <f t="shared" si="64"/>
        <v>0</v>
      </c>
      <c r="AG106" s="635">
        <f t="shared" si="58"/>
        <v>0</v>
      </c>
      <c r="AH106" s="529">
        <f t="shared" si="59"/>
        <v>0</v>
      </c>
      <c r="AI106" s="529">
        <f t="shared" si="60"/>
        <v>0</v>
      </c>
      <c r="AJ106" s="529">
        <f t="shared" si="61"/>
        <v>0</v>
      </c>
      <c r="AK106" s="527">
        <f t="shared" si="62"/>
        <v>0</v>
      </c>
      <c r="AL106" s="529">
        <f t="shared" si="66"/>
        <v>0</v>
      </c>
      <c r="AM106" s="529">
        <f t="shared" si="67"/>
        <v>0</v>
      </c>
      <c r="AN106" s="529">
        <f t="shared" si="68"/>
        <v>0</v>
      </c>
      <c r="AO106" s="529">
        <f t="shared" si="69"/>
        <v>0</v>
      </c>
      <c r="AP106" s="529">
        <f t="shared" si="70"/>
        <v>0</v>
      </c>
      <c r="AQ106" s="529">
        <f t="shared" si="71"/>
        <v>0</v>
      </c>
      <c r="AR106" s="958">
        <f t="shared" si="72"/>
        <v>0</v>
      </c>
      <c r="AS106" s="958">
        <f t="shared" si="73"/>
        <v>0</v>
      </c>
      <c r="AT106" s="958">
        <f t="shared" si="74"/>
        <v>0</v>
      </c>
      <c r="AU106" s="958">
        <f t="shared" si="75"/>
        <v>0</v>
      </c>
      <c r="AV106" s="958">
        <f t="shared" si="76"/>
        <v>0</v>
      </c>
      <c r="AW106" s="16">
        <f t="shared" si="77"/>
        <v>0</v>
      </c>
      <c r="AX106" s="16">
        <f t="shared" si="78"/>
        <v>0</v>
      </c>
      <c r="AY106" s="16">
        <f t="shared" si="79"/>
        <v>0</v>
      </c>
      <c r="AZ106" s="16">
        <f t="shared" si="80"/>
        <v>0</v>
      </c>
      <c r="BA106" s="16">
        <f t="shared" si="81"/>
        <v>0</v>
      </c>
      <c r="BB106" s="1382">
        <f>IF(AB106,VLOOKUP(IF(ISNUMBER(MATCH(Overview!$B$14,useless_spell_races,0)),Overview!$B$14,"Other"),Constants!$P$89:$S$102,4,FALSE),IF(BB105&gt;0,BB105-1,0))</f>
        <v>0</v>
      </c>
    </row>
    <row r="107" spans="1:54" s="16" customFormat="1">
      <c r="A107" s="987">
        <f>Rezone!J107</f>
        <v>105</v>
      </c>
      <c r="B107" s="16">
        <f>Construction!E107</f>
        <v>1000</v>
      </c>
      <c r="C107" s="26">
        <f ca="1">Production!K107</f>
        <v>57302</v>
      </c>
      <c r="D107" s="62">
        <f>MIN(1,D106+0.04+ROUNDDOWN(10*Military!BN106,0)+MAX(Techs!AN106,Techs!AW106*3))-AE107</f>
        <v>1</v>
      </c>
      <c r="E107" s="532">
        <f t="shared" si="65"/>
        <v>43696.333333333081</v>
      </c>
      <c r="F107" s="62">
        <f ca="1">Imps!J107</f>
        <v>1</v>
      </c>
      <c r="G107" s="393"/>
      <c r="H107" s="394"/>
      <c r="I107" s="394"/>
      <c r="J107" s="394"/>
      <c r="K107" s="380"/>
      <c r="L107" s="393"/>
      <c r="M107" s="394"/>
      <c r="N107" s="380"/>
      <c r="O107" s="380"/>
      <c r="P107" s="380"/>
      <c r="Q107" s="380"/>
      <c r="R107" s="380"/>
      <c r="S107" s="380"/>
      <c r="T107" s="380"/>
      <c r="U107" s="380"/>
      <c r="V107" s="380"/>
      <c r="W107" s="380"/>
      <c r="X107" s="380"/>
      <c r="Y107" s="380"/>
      <c r="Z107" s="380"/>
      <c r="AA107" s="380"/>
      <c r="AB107" s="395"/>
      <c r="AD107" s="152">
        <f>(MAX(1-wg_spell_cost_cap,1-wg_spell_cost_red*ROUND(Construction!BM107/Construction!E107,4))+Constants!$M$45*Techs!AL107)*(B107-Explore!S107*20)*(G107*Constants!$B$72+H107*Constants!$B$73+I107*Constants!$B$74+J107*Constants!$B$76+K107*Constants!$B$75+L107*dwarf_spell_cost+M107*halfling_spell_cost + N107*sylvan_spell_cost + O107*woodelf_spell_cost + P107*kobold_spell_cost + Q107*icekin_spell_cost + R107*firewalker_spell_cost + S107*nox_spell_cost + T107*human_spell_cost + U107*goblin_spell_cost + V107*orc_spell_cost + W107*ants_spell_cost + X107*armada_spell_cost + Y107*lux_spell_cost + Z107*growth_spell_cost + AA107*impgnome_spell_cost + AB107*VLOOKUP(IF(ISNUMBER(MATCH(Overview!$B$14,useless_spell_races,0)),Overview!$B$14,"Other"),Constants!$P$89:$S$102,3,FALSE))</f>
        <v>0</v>
      </c>
      <c r="AE107" s="62">
        <f t="shared" si="64"/>
        <v>0</v>
      </c>
      <c r="AG107" s="635">
        <f t="shared" si="58"/>
        <v>0</v>
      </c>
      <c r="AH107" s="529">
        <f t="shared" si="59"/>
        <v>0</v>
      </c>
      <c r="AI107" s="529">
        <f t="shared" si="60"/>
        <v>0</v>
      </c>
      <c r="AJ107" s="529">
        <f t="shared" si="61"/>
        <v>0</v>
      </c>
      <c r="AK107" s="527">
        <f t="shared" si="62"/>
        <v>0</v>
      </c>
      <c r="AL107" s="529">
        <f t="shared" si="66"/>
        <v>0</v>
      </c>
      <c r="AM107" s="529">
        <f t="shared" si="67"/>
        <v>0</v>
      </c>
      <c r="AN107" s="529">
        <f t="shared" si="68"/>
        <v>0</v>
      </c>
      <c r="AO107" s="529">
        <f t="shared" si="69"/>
        <v>0</v>
      </c>
      <c r="AP107" s="529">
        <f t="shared" si="70"/>
        <v>0</v>
      </c>
      <c r="AQ107" s="529">
        <f t="shared" si="71"/>
        <v>0</v>
      </c>
      <c r="AR107" s="958">
        <f t="shared" si="72"/>
        <v>0</v>
      </c>
      <c r="AS107" s="958">
        <f t="shared" si="73"/>
        <v>0</v>
      </c>
      <c r="AT107" s="958">
        <f t="shared" si="74"/>
        <v>0</v>
      </c>
      <c r="AU107" s="958">
        <f t="shared" si="75"/>
        <v>0</v>
      </c>
      <c r="AV107" s="958">
        <f t="shared" si="76"/>
        <v>0</v>
      </c>
      <c r="AW107" s="16">
        <f t="shared" si="77"/>
        <v>0</v>
      </c>
      <c r="AX107" s="16">
        <f t="shared" si="78"/>
        <v>0</v>
      </c>
      <c r="AY107" s="16">
        <f t="shared" si="79"/>
        <v>0</v>
      </c>
      <c r="AZ107" s="16">
        <f t="shared" si="80"/>
        <v>0</v>
      </c>
      <c r="BA107" s="16">
        <f t="shared" si="81"/>
        <v>0</v>
      </c>
      <c r="BB107" s="1382">
        <f>IF(AB107,VLOOKUP(IF(ISNUMBER(MATCH(Overview!$B$14,useless_spell_races,0)),Overview!$B$14,"Other"),Constants!$P$89:$S$102,4,FALSE),IF(BB106&gt;0,BB106-1,0))</f>
        <v>0</v>
      </c>
    </row>
    <row r="108" spans="1:54" s="16" customFormat="1">
      <c r="A108" s="987">
        <f>Rezone!J108</f>
        <v>106</v>
      </c>
      <c r="B108" s="16">
        <f>Construction!E108</f>
        <v>1000</v>
      </c>
      <c r="C108" s="26">
        <f ca="1">Production!K108</f>
        <v>57406</v>
      </c>
      <c r="D108" s="62">
        <f>MIN(1,D107+0.04+ROUNDDOWN(10*Military!BN107,0)+MAX(Techs!AN107,Techs!AW107*3))-AE108</f>
        <v>1</v>
      </c>
      <c r="E108" s="532">
        <f t="shared" si="65"/>
        <v>43696.374999999745</v>
      </c>
      <c r="F108" s="62">
        <f ca="1">Imps!J108</f>
        <v>1</v>
      </c>
      <c r="G108" s="393"/>
      <c r="H108" s="394"/>
      <c r="I108" s="394"/>
      <c r="J108" s="394"/>
      <c r="K108" s="380"/>
      <c r="L108" s="393"/>
      <c r="M108" s="394"/>
      <c r="N108" s="380"/>
      <c r="O108" s="380"/>
      <c r="P108" s="380"/>
      <c r="Q108" s="380"/>
      <c r="R108" s="380"/>
      <c r="S108" s="380"/>
      <c r="T108" s="380"/>
      <c r="U108" s="380"/>
      <c r="V108" s="380"/>
      <c r="W108" s="380"/>
      <c r="X108" s="380"/>
      <c r="Y108" s="380"/>
      <c r="Z108" s="380"/>
      <c r="AA108" s="380"/>
      <c r="AB108" s="395"/>
      <c r="AD108" s="152">
        <f>(MAX(1-wg_spell_cost_cap,1-wg_spell_cost_red*ROUND(Construction!BM108/Construction!E108,4))+Constants!$M$45*Techs!AL108)*(B108-Explore!S108*20)*(G108*Constants!$B$72+H108*Constants!$B$73+I108*Constants!$B$74+J108*Constants!$B$76+K108*Constants!$B$75+L108*dwarf_spell_cost+M108*halfling_spell_cost + N108*sylvan_spell_cost + O108*woodelf_spell_cost + P108*kobold_spell_cost + Q108*icekin_spell_cost + R108*firewalker_spell_cost + S108*nox_spell_cost + T108*human_spell_cost + U108*goblin_spell_cost + V108*orc_spell_cost + W108*ants_spell_cost + X108*armada_spell_cost + Y108*lux_spell_cost + Z108*growth_spell_cost + AA108*impgnome_spell_cost + AB108*VLOOKUP(IF(ISNUMBER(MATCH(Overview!$B$14,useless_spell_races,0)),Overview!$B$14,"Other"),Constants!$P$89:$S$102,3,FALSE))</f>
        <v>0</v>
      </c>
      <c r="AE108" s="62">
        <f t="shared" si="64"/>
        <v>0</v>
      </c>
      <c r="AG108" s="635">
        <f t="shared" si="58"/>
        <v>0</v>
      </c>
      <c r="AH108" s="529">
        <f t="shared" si="59"/>
        <v>0</v>
      </c>
      <c r="AI108" s="529">
        <f t="shared" si="60"/>
        <v>0</v>
      </c>
      <c r="AJ108" s="529">
        <f t="shared" si="61"/>
        <v>0</v>
      </c>
      <c r="AK108" s="527">
        <f t="shared" si="62"/>
        <v>0</v>
      </c>
      <c r="AL108" s="529">
        <f t="shared" si="66"/>
        <v>0</v>
      </c>
      <c r="AM108" s="529">
        <f t="shared" si="67"/>
        <v>0</v>
      </c>
      <c r="AN108" s="529">
        <f t="shared" si="68"/>
        <v>0</v>
      </c>
      <c r="AO108" s="529">
        <f t="shared" si="69"/>
        <v>0</v>
      </c>
      <c r="AP108" s="529">
        <f t="shared" si="70"/>
        <v>0</v>
      </c>
      <c r="AQ108" s="529">
        <f t="shared" si="71"/>
        <v>0</v>
      </c>
      <c r="AR108" s="958">
        <f t="shared" si="72"/>
        <v>0</v>
      </c>
      <c r="AS108" s="958">
        <f t="shared" si="73"/>
        <v>0</v>
      </c>
      <c r="AT108" s="958">
        <f t="shared" si="74"/>
        <v>0</v>
      </c>
      <c r="AU108" s="958">
        <f t="shared" si="75"/>
        <v>0</v>
      </c>
      <c r="AV108" s="958">
        <f t="shared" si="76"/>
        <v>0</v>
      </c>
      <c r="AW108" s="16">
        <f t="shared" si="77"/>
        <v>0</v>
      </c>
      <c r="AX108" s="16">
        <f t="shared" si="78"/>
        <v>0</v>
      </c>
      <c r="AY108" s="16">
        <f t="shared" si="79"/>
        <v>0</v>
      </c>
      <c r="AZ108" s="16">
        <f t="shared" si="80"/>
        <v>0</v>
      </c>
      <c r="BA108" s="16">
        <f t="shared" si="81"/>
        <v>0</v>
      </c>
      <c r="BB108" s="1382">
        <f>IF(AB108,VLOOKUP(IF(ISNUMBER(MATCH(Overview!$B$14,useless_spell_races,0)),Overview!$B$14,"Other"),Constants!$P$89:$S$102,4,FALSE),IF(BB107&gt;0,BB107-1,0))</f>
        <v>0</v>
      </c>
    </row>
    <row r="109" spans="1:54" s="16" customFormat="1">
      <c r="A109" s="987">
        <f>Rezone!J109</f>
        <v>107</v>
      </c>
      <c r="B109" s="16">
        <f>Construction!E109</f>
        <v>1000</v>
      </c>
      <c r="C109" s="26">
        <f ca="1">Production!K109</f>
        <v>57508</v>
      </c>
      <c r="D109" s="62">
        <f>MIN(1,D108+0.04+ROUNDDOWN(10*Military!BN108,0)+MAX(Techs!AN108,Techs!AW108*3))-AE109</f>
        <v>1</v>
      </c>
      <c r="E109" s="532">
        <f t="shared" si="65"/>
        <v>43696.41666666641</v>
      </c>
      <c r="F109" s="62">
        <f ca="1">Imps!J109</f>
        <v>1</v>
      </c>
      <c r="G109" s="393"/>
      <c r="H109" s="394"/>
      <c r="I109" s="394"/>
      <c r="J109" s="394"/>
      <c r="K109" s="380"/>
      <c r="L109" s="393"/>
      <c r="M109" s="394"/>
      <c r="N109" s="380"/>
      <c r="O109" s="380"/>
      <c r="P109" s="380"/>
      <c r="Q109" s="380"/>
      <c r="R109" s="380"/>
      <c r="S109" s="380"/>
      <c r="T109" s="380"/>
      <c r="U109" s="380"/>
      <c r="V109" s="380"/>
      <c r="W109" s="380"/>
      <c r="X109" s="380"/>
      <c r="Y109" s="380"/>
      <c r="Z109" s="380"/>
      <c r="AA109" s="380"/>
      <c r="AB109" s="395"/>
      <c r="AD109" s="152">
        <f>(MAX(1-wg_spell_cost_cap,1-wg_spell_cost_red*ROUND(Construction!BM109/Construction!E109,4))+Constants!$M$45*Techs!AL109)*(B109-Explore!S109*20)*(G109*Constants!$B$72+H109*Constants!$B$73+I109*Constants!$B$74+J109*Constants!$B$76+K109*Constants!$B$75+L109*dwarf_spell_cost+M109*halfling_spell_cost + N109*sylvan_spell_cost + O109*woodelf_spell_cost + P109*kobold_spell_cost + Q109*icekin_spell_cost + R109*firewalker_spell_cost + S109*nox_spell_cost + T109*human_spell_cost + U109*goblin_spell_cost + V109*orc_spell_cost + W109*ants_spell_cost + X109*armada_spell_cost + Y109*lux_spell_cost + Z109*growth_spell_cost + AA109*impgnome_spell_cost + AB109*VLOOKUP(IF(ISNUMBER(MATCH(Overview!$B$14,useless_spell_races,0)),Overview!$B$14,"Other"),Constants!$P$89:$S$102,3,FALSE))</f>
        <v>0</v>
      </c>
      <c r="AE109" s="62">
        <f t="shared" si="64"/>
        <v>0</v>
      </c>
      <c r="AG109" s="635">
        <f t="shared" si="58"/>
        <v>0</v>
      </c>
      <c r="AH109" s="529">
        <f t="shared" si="59"/>
        <v>0</v>
      </c>
      <c r="AI109" s="529">
        <f t="shared" si="60"/>
        <v>0</v>
      </c>
      <c r="AJ109" s="529">
        <f t="shared" si="61"/>
        <v>0</v>
      </c>
      <c r="AK109" s="527">
        <f t="shared" si="62"/>
        <v>0</v>
      </c>
      <c r="AL109" s="529">
        <f t="shared" si="66"/>
        <v>0</v>
      </c>
      <c r="AM109" s="529">
        <f t="shared" si="67"/>
        <v>0</v>
      </c>
      <c r="AN109" s="529">
        <f t="shared" si="68"/>
        <v>0</v>
      </c>
      <c r="AO109" s="529">
        <f t="shared" si="69"/>
        <v>0</v>
      </c>
      <c r="AP109" s="529">
        <f t="shared" si="70"/>
        <v>0</v>
      </c>
      <c r="AQ109" s="529">
        <f t="shared" si="71"/>
        <v>0</v>
      </c>
      <c r="AR109" s="958">
        <f t="shared" si="72"/>
        <v>0</v>
      </c>
      <c r="AS109" s="958">
        <f t="shared" si="73"/>
        <v>0</v>
      </c>
      <c r="AT109" s="958">
        <f t="shared" si="74"/>
        <v>0</v>
      </c>
      <c r="AU109" s="958">
        <f t="shared" si="75"/>
        <v>0</v>
      </c>
      <c r="AV109" s="958">
        <f t="shared" si="76"/>
        <v>0</v>
      </c>
      <c r="AW109" s="16">
        <f t="shared" si="77"/>
        <v>0</v>
      </c>
      <c r="AX109" s="16">
        <f t="shared" si="78"/>
        <v>0</v>
      </c>
      <c r="AY109" s="16">
        <f t="shared" si="79"/>
        <v>0</v>
      </c>
      <c r="AZ109" s="16">
        <f t="shared" si="80"/>
        <v>0</v>
      </c>
      <c r="BA109" s="16">
        <f t="shared" si="81"/>
        <v>0</v>
      </c>
      <c r="BB109" s="1382">
        <f>IF(AB109,VLOOKUP(IF(ISNUMBER(MATCH(Overview!$B$14,useless_spell_races,0)),Overview!$B$14,"Other"),Constants!$P$89:$S$102,4,FALSE),IF(BB108&gt;0,BB108-1,0))</f>
        <v>0</v>
      </c>
    </row>
    <row r="110" spans="1:54" s="16" customFormat="1">
      <c r="A110" s="987">
        <f>Rezone!J110</f>
        <v>108</v>
      </c>
      <c r="B110" s="16">
        <f>Construction!E110</f>
        <v>1000</v>
      </c>
      <c r="C110" s="26">
        <f ca="1">Production!K110</f>
        <v>57608</v>
      </c>
      <c r="D110" s="62">
        <f>MIN(1,D109+0.04+ROUNDDOWN(10*Military!BN109,0)+MAX(Techs!AN109,Techs!AW109*3))-AE110</f>
        <v>1</v>
      </c>
      <c r="E110" s="532">
        <f t="shared" si="65"/>
        <v>43696.458333333074</v>
      </c>
      <c r="F110" s="62">
        <f ca="1">Imps!J110</f>
        <v>1</v>
      </c>
      <c r="G110" s="393"/>
      <c r="H110" s="394"/>
      <c r="I110" s="394"/>
      <c r="J110" s="394"/>
      <c r="K110" s="380"/>
      <c r="L110" s="393"/>
      <c r="M110" s="394"/>
      <c r="N110" s="380"/>
      <c r="O110" s="380"/>
      <c r="P110" s="380"/>
      <c r="Q110" s="380"/>
      <c r="R110" s="380"/>
      <c r="S110" s="380"/>
      <c r="T110" s="380"/>
      <c r="U110" s="380"/>
      <c r="V110" s="380"/>
      <c r="W110" s="380"/>
      <c r="X110" s="380"/>
      <c r="Y110" s="380"/>
      <c r="Z110" s="380"/>
      <c r="AA110" s="380"/>
      <c r="AB110" s="395"/>
      <c r="AD110" s="152">
        <f>(MAX(1-wg_spell_cost_cap,1-wg_spell_cost_red*ROUND(Construction!BM110/Construction!E110,4))+Constants!$M$45*Techs!AL110)*(B110-Explore!S110*20)*(G110*Constants!$B$72+H110*Constants!$B$73+I110*Constants!$B$74+J110*Constants!$B$76+K110*Constants!$B$75+L110*dwarf_spell_cost+M110*halfling_spell_cost + N110*sylvan_spell_cost + O110*woodelf_spell_cost + P110*kobold_spell_cost + Q110*icekin_spell_cost + R110*firewalker_spell_cost + S110*nox_spell_cost + T110*human_spell_cost + U110*goblin_spell_cost + V110*orc_spell_cost + W110*ants_spell_cost + X110*armada_spell_cost + Y110*lux_spell_cost + Z110*growth_spell_cost + AA110*impgnome_spell_cost + AB110*VLOOKUP(IF(ISNUMBER(MATCH(Overview!$B$14,useless_spell_races,0)),Overview!$B$14,"Other"),Constants!$P$89:$S$102,3,FALSE))</f>
        <v>0</v>
      </c>
      <c r="AE110" s="62">
        <f t="shared" si="64"/>
        <v>0</v>
      </c>
      <c r="AG110" s="635">
        <f t="shared" si="58"/>
        <v>0</v>
      </c>
      <c r="AH110" s="529">
        <f t="shared" si="59"/>
        <v>0</v>
      </c>
      <c r="AI110" s="529">
        <f t="shared" si="60"/>
        <v>0</v>
      </c>
      <c r="AJ110" s="529">
        <f t="shared" si="61"/>
        <v>0</v>
      </c>
      <c r="AK110" s="527">
        <f t="shared" si="62"/>
        <v>0</v>
      </c>
      <c r="AL110" s="529">
        <f t="shared" si="66"/>
        <v>0</v>
      </c>
      <c r="AM110" s="529">
        <f t="shared" si="67"/>
        <v>0</v>
      </c>
      <c r="AN110" s="529">
        <f t="shared" si="68"/>
        <v>0</v>
      </c>
      <c r="AO110" s="529">
        <f t="shared" si="69"/>
        <v>0</v>
      </c>
      <c r="AP110" s="529">
        <f t="shared" si="70"/>
        <v>0</v>
      </c>
      <c r="AQ110" s="529">
        <f t="shared" si="71"/>
        <v>0</v>
      </c>
      <c r="AR110" s="958">
        <f t="shared" si="72"/>
        <v>0</v>
      </c>
      <c r="AS110" s="958">
        <f t="shared" si="73"/>
        <v>0</v>
      </c>
      <c r="AT110" s="958">
        <f t="shared" si="74"/>
        <v>0</v>
      </c>
      <c r="AU110" s="958">
        <f t="shared" si="75"/>
        <v>0</v>
      </c>
      <c r="AV110" s="958">
        <f t="shared" si="76"/>
        <v>0</v>
      </c>
      <c r="AW110" s="16">
        <f t="shared" si="77"/>
        <v>0</v>
      </c>
      <c r="AX110" s="16">
        <f t="shared" si="78"/>
        <v>0</v>
      </c>
      <c r="AY110" s="16">
        <f t="shared" si="79"/>
        <v>0</v>
      </c>
      <c r="AZ110" s="16">
        <f t="shared" si="80"/>
        <v>0</v>
      </c>
      <c r="BA110" s="16">
        <f t="shared" si="81"/>
        <v>0</v>
      </c>
      <c r="BB110" s="1382">
        <f>IF(AB110,VLOOKUP(IF(ISNUMBER(MATCH(Overview!$B$14,useless_spell_races,0)),Overview!$B$14,"Other"),Constants!$P$89:$S$102,4,FALSE),IF(BB109&gt;0,BB109-1,0))</f>
        <v>0</v>
      </c>
    </row>
    <row r="111" spans="1:54" s="12" customFormat="1">
      <c r="A111" s="990">
        <f>Rezone!J111</f>
        <v>109</v>
      </c>
      <c r="B111" s="12">
        <f>Construction!E111</f>
        <v>1000</v>
      </c>
      <c r="C111" s="13">
        <f ca="1">Production!K111</f>
        <v>57706</v>
      </c>
      <c r="D111" s="61">
        <f>MIN(1,D110+0.04+ROUNDDOWN(10*Military!BN110,0)+MAX(Techs!AN110,Techs!AW110*3))-AE111</f>
        <v>1</v>
      </c>
      <c r="E111" s="533">
        <f t="shared" si="65"/>
        <v>43696.499999999738</v>
      </c>
      <c r="F111" s="61">
        <f ca="1">Imps!J111</f>
        <v>1</v>
      </c>
      <c r="G111" s="400"/>
      <c r="H111" s="388"/>
      <c r="I111" s="401"/>
      <c r="J111" s="401"/>
      <c r="K111" s="382"/>
      <c r="L111" s="400"/>
      <c r="M111" s="401"/>
      <c r="N111" s="382"/>
      <c r="O111" s="382"/>
      <c r="P111" s="382"/>
      <c r="Q111" s="382"/>
      <c r="R111" s="382"/>
      <c r="S111" s="382"/>
      <c r="T111" s="382"/>
      <c r="U111" s="382"/>
      <c r="V111" s="382"/>
      <c r="W111" s="382"/>
      <c r="X111" s="382"/>
      <c r="Y111" s="382"/>
      <c r="Z111" s="382"/>
      <c r="AA111" s="382"/>
      <c r="AB111" s="402"/>
      <c r="AD111" s="151">
        <f>(MAX(1-wg_spell_cost_cap,1-wg_spell_cost_red*ROUND(Construction!BM111/Construction!E111,4))+Constants!$M$45*Techs!AL111)*(B111-Explore!S111*20)*(G111*Constants!$B$72+H111*Constants!$B$73+I111*Constants!$B$74+J111*Constants!$B$76+K111*Constants!$B$75+L111*dwarf_spell_cost+M111*halfling_spell_cost + N111*sylvan_spell_cost + O111*woodelf_spell_cost + P111*kobold_spell_cost + Q111*icekin_spell_cost + R111*firewalker_spell_cost + S111*nox_spell_cost + T111*human_spell_cost + U111*goblin_spell_cost + V111*orc_spell_cost + W111*ants_spell_cost + X111*armada_spell_cost + Y111*lux_spell_cost + Z111*growth_spell_cost + AA111*impgnome_spell_cost + AB111*VLOOKUP(IF(ISNUMBER(MATCH(Overview!$B$14,useless_spell_races,0)),Overview!$B$14,"Other"),Constants!$P$89:$S$102,3,FALSE))</f>
        <v>0</v>
      </c>
      <c r="AE111" s="61">
        <f t="shared" si="64"/>
        <v>0</v>
      </c>
      <c r="AG111" s="755">
        <f t="shared" si="58"/>
        <v>0</v>
      </c>
      <c r="AH111" s="631">
        <f t="shared" si="59"/>
        <v>0</v>
      </c>
      <c r="AI111" s="631">
        <f t="shared" si="60"/>
        <v>0</v>
      </c>
      <c r="AJ111" s="631">
        <f t="shared" si="61"/>
        <v>0</v>
      </c>
      <c r="AK111" s="551">
        <f t="shared" si="62"/>
        <v>0</v>
      </c>
      <c r="AL111" s="631">
        <f t="shared" si="66"/>
        <v>0</v>
      </c>
      <c r="AM111" s="631">
        <f t="shared" si="67"/>
        <v>0</v>
      </c>
      <c r="AN111" s="631">
        <f t="shared" si="68"/>
        <v>0</v>
      </c>
      <c r="AO111" s="631">
        <f t="shared" si="69"/>
        <v>0</v>
      </c>
      <c r="AP111" s="631">
        <f t="shared" si="70"/>
        <v>0</v>
      </c>
      <c r="AQ111" s="631">
        <f t="shared" si="71"/>
        <v>0</v>
      </c>
      <c r="AR111" s="804">
        <f t="shared" si="72"/>
        <v>0</v>
      </c>
      <c r="AS111" s="804">
        <f t="shared" si="73"/>
        <v>0</v>
      </c>
      <c r="AT111" s="804">
        <f t="shared" si="74"/>
        <v>0</v>
      </c>
      <c r="AU111" s="804">
        <f t="shared" si="75"/>
        <v>0</v>
      </c>
      <c r="AV111" s="804">
        <f t="shared" si="76"/>
        <v>0</v>
      </c>
      <c r="AW111" s="12">
        <f t="shared" si="77"/>
        <v>0</v>
      </c>
      <c r="AX111" s="12">
        <f t="shared" si="78"/>
        <v>0</v>
      </c>
      <c r="AY111" s="12">
        <f t="shared" si="79"/>
        <v>0</v>
      </c>
      <c r="AZ111" s="12">
        <f t="shared" si="80"/>
        <v>0</v>
      </c>
      <c r="BA111" s="12">
        <f t="shared" si="81"/>
        <v>0</v>
      </c>
      <c r="BB111" s="1385">
        <f>IF(AB111,VLOOKUP(IF(ISNUMBER(MATCH(Overview!$B$14,useless_spell_races,0)),Overview!$B$14,"Other"),Constants!$P$89:$S$102,4,FALSE),IF(BB110&gt;0,BB110-1,0))</f>
        <v>0</v>
      </c>
    </row>
    <row r="112" spans="1:54" s="15" customFormat="1">
      <c r="A112" s="1004">
        <f>Rezone!J112</f>
        <v>110</v>
      </c>
      <c r="B112" s="15">
        <f>Construction!E112</f>
        <v>1000</v>
      </c>
      <c r="C112" s="23">
        <f ca="1">Production!K112</f>
        <v>57802</v>
      </c>
      <c r="D112" s="62">
        <f>MIN(1,D111+0.04+ROUNDDOWN(10*Military!BN111,0)+MAX(Techs!AN111,Techs!AW111*3))-AE112</f>
        <v>1</v>
      </c>
      <c r="E112" s="532">
        <f t="shared" si="65"/>
        <v>43696.541666666402</v>
      </c>
      <c r="F112" s="62">
        <f ca="1">Imps!J112</f>
        <v>1</v>
      </c>
      <c r="G112" s="393"/>
      <c r="H112" s="394"/>
      <c r="I112" s="394"/>
      <c r="J112" s="394"/>
      <c r="K112" s="380"/>
      <c r="L112" s="393"/>
      <c r="M112" s="394"/>
      <c r="N112" s="380"/>
      <c r="O112" s="380"/>
      <c r="P112" s="380"/>
      <c r="Q112" s="380"/>
      <c r="R112" s="380"/>
      <c r="S112" s="380"/>
      <c r="T112" s="380"/>
      <c r="U112" s="380"/>
      <c r="V112" s="380"/>
      <c r="W112" s="380"/>
      <c r="X112" s="380"/>
      <c r="Y112" s="380"/>
      <c r="Z112" s="380"/>
      <c r="AA112" s="380"/>
      <c r="AB112" s="395"/>
      <c r="AC112" s="16"/>
      <c r="AD112" s="152">
        <f>(MAX(1-wg_spell_cost_cap,1-wg_spell_cost_red*ROUND(Construction!BM112/Construction!E112,4))+Constants!$M$45*Techs!AL112)*(B112-Explore!S112*20)*(G112*Constants!$B$72+H112*Constants!$B$73+I112*Constants!$B$74+J112*Constants!$B$76+K112*Constants!$B$75+L112*dwarf_spell_cost+M112*halfling_spell_cost + N112*sylvan_spell_cost + O112*woodelf_spell_cost + P112*kobold_spell_cost + Q112*icekin_spell_cost + R112*firewalker_spell_cost + S112*nox_spell_cost + T112*human_spell_cost + U112*goblin_spell_cost + V112*orc_spell_cost + W112*ants_spell_cost + X112*armada_spell_cost + Y112*lux_spell_cost + Z112*growth_spell_cost + AA112*impgnome_spell_cost + AB112*VLOOKUP(IF(ISNUMBER(MATCH(Overview!$B$14,useless_spell_races,0)),Overview!$B$14,"Other"),Constants!$P$89:$S$102,3,FALSE))</f>
        <v>0</v>
      </c>
      <c r="AE112" s="101">
        <f t="shared" si="64"/>
        <v>0</v>
      </c>
      <c r="AF112" s="16"/>
      <c r="AG112" s="756">
        <f t="shared" si="58"/>
        <v>0</v>
      </c>
      <c r="AH112" s="632">
        <f t="shared" si="59"/>
        <v>0</v>
      </c>
      <c r="AI112" s="632">
        <f t="shared" si="60"/>
        <v>0</v>
      </c>
      <c r="AJ112" s="632">
        <f t="shared" si="61"/>
        <v>0</v>
      </c>
      <c r="AK112" s="528">
        <f t="shared" si="62"/>
        <v>0</v>
      </c>
      <c r="AL112" s="632">
        <f t="shared" si="66"/>
        <v>0</v>
      </c>
      <c r="AM112" s="632">
        <f t="shared" si="67"/>
        <v>0</v>
      </c>
      <c r="AN112" s="632">
        <f t="shared" si="68"/>
        <v>0</v>
      </c>
      <c r="AO112" s="632">
        <f t="shared" si="69"/>
        <v>0</v>
      </c>
      <c r="AP112" s="632">
        <f t="shared" si="70"/>
        <v>0</v>
      </c>
      <c r="AQ112" s="632">
        <f t="shared" si="71"/>
        <v>0</v>
      </c>
      <c r="AR112" s="958">
        <f t="shared" si="72"/>
        <v>0</v>
      </c>
      <c r="AS112" s="958">
        <f t="shared" si="73"/>
        <v>0</v>
      </c>
      <c r="AT112" s="958">
        <f t="shared" si="74"/>
        <v>0</v>
      </c>
      <c r="AU112" s="958">
        <f t="shared" si="75"/>
        <v>0</v>
      </c>
      <c r="AV112" s="958">
        <f t="shared" si="76"/>
        <v>0</v>
      </c>
      <c r="AW112" s="15">
        <f t="shared" si="77"/>
        <v>0</v>
      </c>
      <c r="AX112" s="15">
        <f t="shared" si="78"/>
        <v>0</v>
      </c>
      <c r="AY112" s="15">
        <f t="shared" si="79"/>
        <v>0</v>
      </c>
      <c r="AZ112" s="15">
        <f t="shared" si="80"/>
        <v>0</v>
      </c>
      <c r="BA112" s="15">
        <f t="shared" si="81"/>
        <v>0</v>
      </c>
      <c r="BB112" s="1386">
        <f>IF(AB112,VLOOKUP(IF(ISNUMBER(MATCH(Overview!$B$14,useless_spell_races,0)),Overview!$B$14,"Other"),Constants!$P$89:$S$102,4,FALSE),IF(BB111&gt;0,BB111-1,0))</f>
        <v>0</v>
      </c>
    </row>
    <row r="113" spans="1:54" s="16" customFormat="1">
      <c r="A113" s="987">
        <f>Rezone!J113</f>
        <v>111</v>
      </c>
      <c r="B113" s="16">
        <f>Construction!E113</f>
        <v>1000</v>
      </c>
      <c r="C113" s="26">
        <f ca="1">Production!K113</f>
        <v>57896</v>
      </c>
      <c r="D113" s="62">
        <f>MIN(1,D112+0.04+ROUNDDOWN(10*Military!BN112,0)+MAX(Techs!AN112,Techs!AW112*3))-AE113</f>
        <v>1</v>
      </c>
      <c r="E113" s="532">
        <f t="shared" si="65"/>
        <v>43696.583333333067</v>
      </c>
      <c r="F113" s="62">
        <f ca="1">Imps!J113</f>
        <v>1</v>
      </c>
      <c r="G113" s="393"/>
      <c r="H113" s="394"/>
      <c r="I113" s="394"/>
      <c r="J113" s="394"/>
      <c r="K113" s="380"/>
      <c r="L113" s="393"/>
      <c r="M113" s="394"/>
      <c r="N113" s="380"/>
      <c r="O113" s="380"/>
      <c r="P113" s="380"/>
      <c r="Q113" s="380"/>
      <c r="R113" s="380"/>
      <c r="S113" s="380"/>
      <c r="T113" s="380"/>
      <c r="U113" s="380"/>
      <c r="V113" s="380"/>
      <c r="W113" s="380"/>
      <c r="X113" s="380"/>
      <c r="Y113" s="380"/>
      <c r="Z113" s="380"/>
      <c r="AA113" s="380"/>
      <c r="AB113" s="395"/>
      <c r="AD113" s="152">
        <f>(MAX(1-wg_spell_cost_cap,1-wg_spell_cost_red*ROUND(Construction!BM113/Construction!E113,4))+Constants!$M$45*Techs!AL113)*(B113-Explore!S113*20)*(G113*Constants!$B$72+H113*Constants!$B$73+I113*Constants!$B$74+J113*Constants!$B$76+K113*Constants!$B$75+L113*dwarf_spell_cost+M113*halfling_spell_cost + N113*sylvan_spell_cost + O113*woodelf_spell_cost + P113*kobold_spell_cost + Q113*icekin_spell_cost + R113*firewalker_spell_cost + S113*nox_spell_cost + T113*human_spell_cost + U113*goblin_spell_cost + V113*orc_spell_cost + W113*ants_spell_cost + X113*armada_spell_cost + Y113*lux_spell_cost + Z113*growth_spell_cost + AA113*impgnome_spell_cost + AB113*VLOOKUP(IF(ISNUMBER(MATCH(Overview!$B$14,useless_spell_races,0)),Overview!$B$14,"Other"),Constants!$P$89:$S$102,3,FALSE))</f>
        <v>0</v>
      </c>
      <c r="AE113" s="62">
        <f t="shared" si="64"/>
        <v>0</v>
      </c>
      <c r="AG113" s="635">
        <f t="shared" si="58"/>
        <v>0</v>
      </c>
      <c r="AH113" s="529">
        <f t="shared" si="59"/>
        <v>0</v>
      </c>
      <c r="AI113" s="529">
        <f t="shared" si="60"/>
        <v>0</v>
      </c>
      <c r="AJ113" s="529">
        <f t="shared" si="61"/>
        <v>0</v>
      </c>
      <c r="AK113" s="527">
        <f t="shared" si="62"/>
        <v>0</v>
      </c>
      <c r="AL113" s="529">
        <f t="shared" si="66"/>
        <v>0</v>
      </c>
      <c r="AM113" s="529">
        <f t="shared" si="67"/>
        <v>0</v>
      </c>
      <c r="AN113" s="529">
        <f t="shared" si="68"/>
        <v>0</v>
      </c>
      <c r="AO113" s="529">
        <f t="shared" si="69"/>
        <v>0</v>
      </c>
      <c r="AP113" s="529">
        <f t="shared" si="70"/>
        <v>0</v>
      </c>
      <c r="AQ113" s="529">
        <f t="shared" si="71"/>
        <v>0</v>
      </c>
      <c r="AR113" s="958">
        <f t="shared" si="72"/>
        <v>0</v>
      </c>
      <c r="AS113" s="958">
        <f t="shared" si="73"/>
        <v>0</v>
      </c>
      <c r="AT113" s="958">
        <f t="shared" si="74"/>
        <v>0</v>
      </c>
      <c r="AU113" s="958">
        <f t="shared" si="75"/>
        <v>0</v>
      </c>
      <c r="AV113" s="958">
        <f t="shared" si="76"/>
        <v>0</v>
      </c>
      <c r="AW113" s="16">
        <f t="shared" si="77"/>
        <v>0</v>
      </c>
      <c r="AX113" s="16">
        <f t="shared" si="78"/>
        <v>0</v>
      </c>
      <c r="AY113" s="16">
        <f t="shared" si="79"/>
        <v>0</v>
      </c>
      <c r="AZ113" s="16">
        <f t="shared" si="80"/>
        <v>0</v>
      </c>
      <c r="BA113" s="16">
        <f t="shared" si="81"/>
        <v>0</v>
      </c>
      <c r="BB113" s="1382">
        <f>IF(AB113,VLOOKUP(IF(ISNUMBER(MATCH(Overview!$B$14,useless_spell_races,0)),Overview!$B$14,"Other"),Constants!$P$89:$S$102,4,FALSE),IF(BB112&gt;0,BB112-1,0))</f>
        <v>0</v>
      </c>
    </row>
    <row r="114" spans="1:54" s="16" customFormat="1">
      <c r="A114" s="987">
        <f>Rezone!J114</f>
        <v>112</v>
      </c>
      <c r="B114" s="16">
        <f>Construction!E114</f>
        <v>1000</v>
      </c>
      <c r="C114" s="26">
        <f ca="1">Production!K114</f>
        <v>57988</v>
      </c>
      <c r="D114" s="62">
        <f>MIN(1,D113+0.04+ROUNDDOWN(10*Military!BN113,0)+MAX(Techs!AN113,Techs!AW113*3))-AE114</f>
        <v>1</v>
      </c>
      <c r="E114" s="532">
        <f t="shared" si="65"/>
        <v>43696.624999999731</v>
      </c>
      <c r="F114" s="62">
        <f ca="1">Imps!J114</f>
        <v>1</v>
      </c>
      <c r="G114" s="393"/>
      <c r="H114" s="394"/>
      <c r="I114" s="394"/>
      <c r="J114" s="394"/>
      <c r="K114" s="380"/>
      <c r="L114" s="393"/>
      <c r="M114" s="394"/>
      <c r="N114" s="380"/>
      <c r="O114" s="380"/>
      <c r="P114" s="380"/>
      <c r="Q114" s="380"/>
      <c r="R114" s="380"/>
      <c r="S114" s="380"/>
      <c r="T114" s="380"/>
      <c r="U114" s="380"/>
      <c r="V114" s="380"/>
      <c r="W114" s="380"/>
      <c r="X114" s="380"/>
      <c r="Y114" s="380"/>
      <c r="Z114" s="380"/>
      <c r="AA114" s="380"/>
      <c r="AB114" s="395"/>
      <c r="AD114" s="152">
        <f>(MAX(1-wg_spell_cost_cap,1-wg_spell_cost_red*ROUND(Construction!BM114/Construction!E114,4))+Constants!$M$45*Techs!AL114)*(B114-Explore!S114*20)*(G114*Constants!$B$72+H114*Constants!$B$73+I114*Constants!$B$74+J114*Constants!$B$76+K114*Constants!$B$75+L114*dwarf_spell_cost+M114*halfling_spell_cost + N114*sylvan_spell_cost + O114*woodelf_spell_cost + P114*kobold_spell_cost + Q114*icekin_spell_cost + R114*firewalker_spell_cost + S114*nox_spell_cost + T114*human_spell_cost + U114*goblin_spell_cost + V114*orc_spell_cost + W114*ants_spell_cost + X114*armada_spell_cost + Y114*lux_spell_cost + Z114*growth_spell_cost + AA114*impgnome_spell_cost + AB114*VLOOKUP(IF(ISNUMBER(MATCH(Overview!$B$14,useless_spell_races,0)),Overview!$B$14,"Other"),Constants!$P$89:$S$102,3,FALSE))</f>
        <v>0</v>
      </c>
      <c r="AE114" s="62">
        <f t="shared" si="64"/>
        <v>0</v>
      </c>
      <c r="AG114" s="635">
        <f t="shared" si="58"/>
        <v>0</v>
      </c>
      <c r="AH114" s="529">
        <f t="shared" si="59"/>
        <v>0</v>
      </c>
      <c r="AI114" s="529">
        <f t="shared" si="60"/>
        <v>0</v>
      </c>
      <c r="AJ114" s="529">
        <f t="shared" si="61"/>
        <v>0</v>
      </c>
      <c r="AK114" s="527">
        <f t="shared" si="62"/>
        <v>0</v>
      </c>
      <c r="AL114" s="529">
        <f t="shared" si="66"/>
        <v>0</v>
      </c>
      <c r="AM114" s="529">
        <f t="shared" si="67"/>
        <v>0</v>
      </c>
      <c r="AN114" s="529">
        <f t="shared" si="68"/>
        <v>0</v>
      </c>
      <c r="AO114" s="529">
        <f t="shared" si="69"/>
        <v>0</v>
      </c>
      <c r="AP114" s="529">
        <f t="shared" si="70"/>
        <v>0</v>
      </c>
      <c r="AQ114" s="529">
        <f t="shared" si="71"/>
        <v>0</v>
      </c>
      <c r="AR114" s="958">
        <f t="shared" si="72"/>
        <v>0</v>
      </c>
      <c r="AS114" s="958">
        <f t="shared" si="73"/>
        <v>0</v>
      </c>
      <c r="AT114" s="958">
        <f t="shared" si="74"/>
        <v>0</v>
      </c>
      <c r="AU114" s="958">
        <f t="shared" si="75"/>
        <v>0</v>
      </c>
      <c r="AV114" s="958">
        <f t="shared" si="76"/>
        <v>0</v>
      </c>
      <c r="AW114" s="16">
        <f t="shared" si="77"/>
        <v>0</v>
      </c>
      <c r="AX114" s="16">
        <f t="shared" si="78"/>
        <v>0</v>
      </c>
      <c r="AY114" s="16">
        <f t="shared" si="79"/>
        <v>0</v>
      </c>
      <c r="AZ114" s="16">
        <f t="shared" si="80"/>
        <v>0</v>
      </c>
      <c r="BA114" s="16">
        <f t="shared" si="81"/>
        <v>0</v>
      </c>
      <c r="BB114" s="1382">
        <f>IF(AB114,VLOOKUP(IF(ISNUMBER(MATCH(Overview!$B$14,useless_spell_races,0)),Overview!$B$14,"Other"),Constants!$P$89:$S$102,4,FALSE),IF(BB113&gt;0,BB113-1,0))</f>
        <v>0</v>
      </c>
    </row>
    <row r="115" spans="1:54" s="16" customFormat="1">
      <c r="A115" s="987">
        <f>Rezone!J115</f>
        <v>113</v>
      </c>
      <c r="B115" s="16">
        <f>Construction!E115</f>
        <v>1000</v>
      </c>
      <c r="C115" s="26">
        <f ca="1">Production!K115</f>
        <v>58078</v>
      </c>
      <c r="D115" s="62">
        <f>MIN(1,D114+0.04+ROUNDDOWN(10*Military!BN114,0)+MAX(Techs!AN114,Techs!AW114*3))-AE115</f>
        <v>1</v>
      </c>
      <c r="E115" s="532">
        <f t="shared" si="65"/>
        <v>43696.666666666395</v>
      </c>
      <c r="F115" s="62">
        <f ca="1">Imps!J115</f>
        <v>1</v>
      </c>
      <c r="G115" s="393"/>
      <c r="H115" s="394"/>
      <c r="I115" s="394"/>
      <c r="J115" s="394"/>
      <c r="K115" s="380"/>
      <c r="L115" s="393"/>
      <c r="M115" s="394"/>
      <c r="N115" s="380"/>
      <c r="O115" s="380"/>
      <c r="P115" s="380"/>
      <c r="Q115" s="380"/>
      <c r="R115" s="380"/>
      <c r="S115" s="380"/>
      <c r="T115" s="380"/>
      <c r="U115" s="380"/>
      <c r="V115" s="380"/>
      <c r="W115" s="380"/>
      <c r="X115" s="380"/>
      <c r="Y115" s="380"/>
      <c r="Z115" s="380"/>
      <c r="AA115" s="380"/>
      <c r="AB115" s="395"/>
      <c r="AD115" s="152">
        <f>(MAX(1-wg_spell_cost_cap,1-wg_spell_cost_red*ROUND(Construction!BM115/Construction!E115,4))+Constants!$M$45*Techs!AL115)*(B115-Explore!S115*20)*(G115*Constants!$B$72+H115*Constants!$B$73+I115*Constants!$B$74+J115*Constants!$B$76+K115*Constants!$B$75+L115*dwarf_spell_cost+M115*halfling_spell_cost + N115*sylvan_spell_cost + O115*woodelf_spell_cost + P115*kobold_spell_cost + Q115*icekin_spell_cost + R115*firewalker_spell_cost + S115*nox_spell_cost + T115*human_spell_cost + U115*goblin_spell_cost + V115*orc_spell_cost + W115*ants_spell_cost + X115*armada_spell_cost + Y115*lux_spell_cost + Z115*growth_spell_cost + AA115*impgnome_spell_cost + AB115*VLOOKUP(IF(ISNUMBER(MATCH(Overview!$B$14,useless_spell_races,0)),Overview!$B$14,"Other"),Constants!$P$89:$S$102,3,FALSE))</f>
        <v>0</v>
      </c>
      <c r="AE115" s="62">
        <f t="shared" si="64"/>
        <v>0</v>
      </c>
      <c r="AG115" s="635">
        <f t="shared" si="58"/>
        <v>0</v>
      </c>
      <c r="AH115" s="529">
        <f t="shared" si="59"/>
        <v>0</v>
      </c>
      <c r="AI115" s="529">
        <f t="shared" si="60"/>
        <v>0</v>
      </c>
      <c r="AJ115" s="529">
        <f t="shared" si="61"/>
        <v>0</v>
      </c>
      <c r="AK115" s="527">
        <f t="shared" si="62"/>
        <v>0</v>
      </c>
      <c r="AL115" s="529">
        <f t="shared" si="66"/>
        <v>0</v>
      </c>
      <c r="AM115" s="529">
        <f t="shared" si="67"/>
        <v>0</v>
      </c>
      <c r="AN115" s="529">
        <f t="shared" si="68"/>
        <v>0</v>
      </c>
      <c r="AO115" s="529">
        <f t="shared" si="69"/>
        <v>0</v>
      </c>
      <c r="AP115" s="529">
        <f t="shared" si="70"/>
        <v>0</v>
      </c>
      <c r="AQ115" s="529">
        <f t="shared" si="71"/>
        <v>0</v>
      </c>
      <c r="AR115" s="958">
        <f t="shared" si="72"/>
        <v>0</v>
      </c>
      <c r="AS115" s="958">
        <f t="shared" si="73"/>
        <v>0</v>
      </c>
      <c r="AT115" s="958">
        <f t="shared" si="74"/>
        <v>0</v>
      </c>
      <c r="AU115" s="958">
        <f t="shared" si="75"/>
        <v>0</v>
      </c>
      <c r="AV115" s="958">
        <f t="shared" si="76"/>
        <v>0</v>
      </c>
      <c r="AW115" s="16">
        <f t="shared" si="77"/>
        <v>0</v>
      </c>
      <c r="AX115" s="16">
        <f t="shared" si="78"/>
        <v>0</v>
      </c>
      <c r="AY115" s="16">
        <f t="shared" si="79"/>
        <v>0</v>
      </c>
      <c r="AZ115" s="16">
        <f t="shared" si="80"/>
        <v>0</v>
      </c>
      <c r="BA115" s="16">
        <f t="shared" si="81"/>
        <v>0</v>
      </c>
      <c r="BB115" s="1382">
        <f>IF(AB115,VLOOKUP(IF(ISNUMBER(MATCH(Overview!$B$14,useless_spell_races,0)),Overview!$B$14,"Other"),Constants!$P$89:$S$102,4,FALSE),IF(BB114&gt;0,BB114-1,0))</f>
        <v>0</v>
      </c>
    </row>
    <row r="116" spans="1:54" s="16" customFormat="1">
      <c r="A116" s="987">
        <f>Rezone!J116</f>
        <v>114</v>
      </c>
      <c r="B116" s="16">
        <f>Construction!E116</f>
        <v>1000</v>
      </c>
      <c r="C116" s="26">
        <f ca="1">Production!K116</f>
        <v>58166</v>
      </c>
      <c r="D116" s="62">
        <f>MIN(1,D115+0.04+ROUNDDOWN(10*Military!BN115,0)+MAX(Techs!AN115,Techs!AW115*3))-AE116</f>
        <v>1</v>
      </c>
      <c r="E116" s="532">
        <f t="shared" si="65"/>
        <v>43696.708333333059</v>
      </c>
      <c r="F116" s="62">
        <f ca="1">Imps!J116</f>
        <v>1</v>
      </c>
      <c r="G116" s="393"/>
      <c r="H116" s="394"/>
      <c r="I116" s="394"/>
      <c r="J116" s="394"/>
      <c r="K116" s="380"/>
      <c r="L116" s="393"/>
      <c r="M116" s="394"/>
      <c r="N116" s="380"/>
      <c r="O116" s="380"/>
      <c r="P116" s="380"/>
      <c r="Q116" s="380"/>
      <c r="R116" s="380"/>
      <c r="S116" s="380"/>
      <c r="T116" s="380"/>
      <c r="U116" s="380"/>
      <c r="V116" s="380"/>
      <c r="W116" s="380"/>
      <c r="X116" s="380"/>
      <c r="Y116" s="380"/>
      <c r="Z116" s="380"/>
      <c r="AA116" s="380"/>
      <c r="AB116" s="395"/>
      <c r="AD116" s="152">
        <f>(MAX(1-wg_spell_cost_cap,1-wg_spell_cost_red*ROUND(Construction!BM116/Construction!E116,4))+Constants!$M$45*Techs!AL116)*(B116-Explore!S116*20)*(G116*Constants!$B$72+H116*Constants!$B$73+I116*Constants!$B$74+J116*Constants!$B$76+K116*Constants!$B$75+L116*dwarf_spell_cost+M116*halfling_spell_cost + N116*sylvan_spell_cost + O116*woodelf_spell_cost + P116*kobold_spell_cost + Q116*icekin_spell_cost + R116*firewalker_spell_cost + S116*nox_spell_cost + T116*human_spell_cost + U116*goblin_spell_cost + V116*orc_spell_cost + W116*ants_spell_cost + X116*armada_spell_cost + Y116*lux_spell_cost + Z116*growth_spell_cost + AA116*impgnome_spell_cost + AB116*VLOOKUP(IF(ISNUMBER(MATCH(Overview!$B$14,useless_spell_races,0)),Overview!$B$14,"Other"),Constants!$P$89:$S$102,3,FALSE))</f>
        <v>0</v>
      </c>
      <c r="AE116" s="62">
        <f t="shared" si="64"/>
        <v>0</v>
      </c>
      <c r="AG116" s="635">
        <f t="shared" si="58"/>
        <v>0</v>
      </c>
      <c r="AH116" s="529">
        <f t="shared" si="59"/>
        <v>0</v>
      </c>
      <c r="AI116" s="529">
        <f t="shared" si="60"/>
        <v>0</v>
      </c>
      <c r="AJ116" s="529">
        <f t="shared" si="61"/>
        <v>0</v>
      </c>
      <c r="AK116" s="527">
        <f t="shared" si="62"/>
        <v>0</v>
      </c>
      <c r="AL116" s="529">
        <f t="shared" si="66"/>
        <v>0</v>
      </c>
      <c r="AM116" s="529">
        <f t="shared" si="67"/>
        <v>0</v>
      </c>
      <c r="AN116" s="529">
        <f t="shared" si="68"/>
        <v>0</v>
      </c>
      <c r="AO116" s="529">
        <f t="shared" si="69"/>
        <v>0</v>
      </c>
      <c r="AP116" s="529">
        <f t="shared" si="70"/>
        <v>0</v>
      </c>
      <c r="AQ116" s="529">
        <f t="shared" si="71"/>
        <v>0</v>
      </c>
      <c r="AR116" s="958">
        <f t="shared" si="72"/>
        <v>0</v>
      </c>
      <c r="AS116" s="958">
        <f t="shared" si="73"/>
        <v>0</v>
      </c>
      <c r="AT116" s="958">
        <f t="shared" si="74"/>
        <v>0</v>
      </c>
      <c r="AU116" s="958">
        <f t="shared" si="75"/>
        <v>0</v>
      </c>
      <c r="AV116" s="958">
        <f t="shared" si="76"/>
        <v>0</v>
      </c>
      <c r="AW116" s="16">
        <f t="shared" si="77"/>
        <v>0</v>
      </c>
      <c r="AX116" s="16">
        <f t="shared" si="78"/>
        <v>0</v>
      </c>
      <c r="AY116" s="16">
        <f t="shared" si="79"/>
        <v>0</v>
      </c>
      <c r="AZ116" s="16">
        <f t="shared" si="80"/>
        <v>0</v>
      </c>
      <c r="BA116" s="16">
        <f t="shared" si="81"/>
        <v>0</v>
      </c>
      <c r="BB116" s="1382">
        <f>IF(AB116,VLOOKUP(IF(ISNUMBER(MATCH(Overview!$B$14,useless_spell_races,0)),Overview!$B$14,"Other"),Constants!$P$89:$S$102,4,FALSE),IF(BB115&gt;0,BB115-1,0))</f>
        <v>0</v>
      </c>
    </row>
    <row r="117" spans="1:54" s="16" customFormat="1">
      <c r="A117" s="987">
        <f>Rezone!J117</f>
        <v>115</v>
      </c>
      <c r="B117" s="16">
        <f>Construction!E117</f>
        <v>1000</v>
      </c>
      <c r="C117" s="26">
        <f ca="1">Production!K117</f>
        <v>58253</v>
      </c>
      <c r="D117" s="62">
        <f>MIN(1,D116+0.04+ROUNDDOWN(10*Military!BN116,0)+MAX(Techs!AN116,Techs!AW116*3))-AE117</f>
        <v>1</v>
      </c>
      <c r="E117" s="532">
        <f t="shared" si="65"/>
        <v>43696.749999999724</v>
      </c>
      <c r="F117" s="62">
        <f ca="1">Imps!J117</f>
        <v>1</v>
      </c>
      <c r="G117" s="393"/>
      <c r="H117" s="394"/>
      <c r="I117" s="394"/>
      <c r="J117" s="394"/>
      <c r="K117" s="380"/>
      <c r="L117" s="393"/>
      <c r="M117" s="394"/>
      <c r="N117" s="380"/>
      <c r="O117" s="380"/>
      <c r="P117" s="380"/>
      <c r="Q117" s="380"/>
      <c r="R117" s="380"/>
      <c r="S117" s="380"/>
      <c r="T117" s="380"/>
      <c r="U117" s="380"/>
      <c r="V117" s="380"/>
      <c r="W117" s="380"/>
      <c r="X117" s="380"/>
      <c r="Y117" s="380"/>
      <c r="Z117" s="380"/>
      <c r="AA117" s="380"/>
      <c r="AB117" s="395"/>
      <c r="AD117" s="152">
        <f>(MAX(1-wg_spell_cost_cap,1-wg_spell_cost_red*ROUND(Construction!BM117/Construction!E117,4))+Constants!$M$45*Techs!AL117)*(B117-Explore!S117*20)*(G117*Constants!$B$72+H117*Constants!$B$73+I117*Constants!$B$74+J117*Constants!$B$76+K117*Constants!$B$75+L117*dwarf_spell_cost+M117*halfling_spell_cost + N117*sylvan_spell_cost + O117*woodelf_spell_cost + P117*kobold_spell_cost + Q117*icekin_spell_cost + R117*firewalker_spell_cost + S117*nox_spell_cost + T117*human_spell_cost + U117*goblin_spell_cost + V117*orc_spell_cost + W117*ants_spell_cost + X117*armada_spell_cost + Y117*lux_spell_cost + Z117*growth_spell_cost + AA117*impgnome_spell_cost + AB117*VLOOKUP(IF(ISNUMBER(MATCH(Overview!$B$14,useless_spell_races,0)),Overview!$B$14,"Other"),Constants!$P$89:$S$102,3,FALSE))</f>
        <v>0</v>
      </c>
      <c r="AE117" s="62">
        <f t="shared" si="64"/>
        <v>0</v>
      </c>
      <c r="AG117" s="635">
        <f t="shared" si="58"/>
        <v>0</v>
      </c>
      <c r="AH117" s="529">
        <f t="shared" si="59"/>
        <v>0</v>
      </c>
      <c r="AI117" s="529">
        <f t="shared" si="60"/>
        <v>0</v>
      </c>
      <c r="AJ117" s="529">
        <f t="shared" si="61"/>
        <v>0</v>
      </c>
      <c r="AK117" s="527">
        <f t="shared" si="62"/>
        <v>0</v>
      </c>
      <c r="AL117" s="529">
        <f t="shared" si="66"/>
        <v>0</v>
      </c>
      <c r="AM117" s="529">
        <f t="shared" si="67"/>
        <v>0</v>
      </c>
      <c r="AN117" s="529">
        <f t="shared" si="68"/>
        <v>0</v>
      </c>
      <c r="AO117" s="529">
        <f t="shared" si="69"/>
        <v>0</v>
      </c>
      <c r="AP117" s="529">
        <f t="shared" si="70"/>
        <v>0</v>
      </c>
      <c r="AQ117" s="529">
        <f t="shared" si="71"/>
        <v>0</v>
      </c>
      <c r="AR117" s="958">
        <f t="shared" si="72"/>
        <v>0</v>
      </c>
      <c r="AS117" s="958">
        <f t="shared" si="73"/>
        <v>0</v>
      </c>
      <c r="AT117" s="958">
        <f t="shared" si="74"/>
        <v>0</v>
      </c>
      <c r="AU117" s="958">
        <f t="shared" si="75"/>
        <v>0</v>
      </c>
      <c r="AV117" s="958">
        <f t="shared" si="76"/>
        <v>0</v>
      </c>
      <c r="AW117" s="16">
        <f t="shared" si="77"/>
        <v>0</v>
      </c>
      <c r="AX117" s="16">
        <f t="shared" si="78"/>
        <v>0</v>
      </c>
      <c r="AY117" s="16">
        <f t="shared" si="79"/>
        <v>0</v>
      </c>
      <c r="AZ117" s="16">
        <f t="shared" si="80"/>
        <v>0</v>
      </c>
      <c r="BA117" s="16">
        <f t="shared" si="81"/>
        <v>0</v>
      </c>
      <c r="BB117" s="1382">
        <f>IF(AB117,VLOOKUP(IF(ISNUMBER(MATCH(Overview!$B$14,useless_spell_races,0)),Overview!$B$14,"Other"),Constants!$P$89:$S$102,4,FALSE),IF(BB116&gt;0,BB116-1,0))</f>
        <v>0</v>
      </c>
    </row>
    <row r="118" spans="1:54" s="16" customFormat="1">
      <c r="A118" s="987">
        <f>Rezone!J118</f>
        <v>116</v>
      </c>
      <c r="B118" s="16">
        <f>Construction!E118</f>
        <v>1000</v>
      </c>
      <c r="C118" s="26">
        <f ca="1">Production!K118</f>
        <v>58338</v>
      </c>
      <c r="D118" s="62">
        <f>MIN(1,D117+0.04+ROUNDDOWN(10*Military!BN117,0)+MAX(Techs!AN117,Techs!AW117*3))-AE118</f>
        <v>1</v>
      </c>
      <c r="E118" s="532">
        <f t="shared" si="65"/>
        <v>43696.791666666388</v>
      </c>
      <c r="F118" s="62">
        <f ca="1">Imps!J118</f>
        <v>1</v>
      </c>
      <c r="G118" s="393"/>
      <c r="H118" s="394"/>
      <c r="I118" s="394"/>
      <c r="J118" s="394"/>
      <c r="K118" s="380"/>
      <c r="L118" s="393"/>
      <c r="M118" s="394"/>
      <c r="N118" s="380"/>
      <c r="O118" s="380"/>
      <c r="P118" s="380"/>
      <c r="Q118" s="380"/>
      <c r="R118" s="380"/>
      <c r="S118" s="380"/>
      <c r="T118" s="380"/>
      <c r="U118" s="380"/>
      <c r="V118" s="380"/>
      <c r="W118" s="380"/>
      <c r="X118" s="380"/>
      <c r="Y118" s="380"/>
      <c r="Z118" s="380"/>
      <c r="AA118" s="380"/>
      <c r="AB118" s="395"/>
      <c r="AD118" s="152">
        <f>(MAX(1-wg_spell_cost_cap,1-wg_spell_cost_red*ROUND(Construction!BM118/Construction!E118,4))+Constants!$M$45*Techs!AL118)*(B118-Explore!S118*20)*(G118*Constants!$B$72+H118*Constants!$B$73+I118*Constants!$B$74+J118*Constants!$B$76+K118*Constants!$B$75+L118*dwarf_spell_cost+M118*halfling_spell_cost + N118*sylvan_spell_cost + O118*woodelf_spell_cost + P118*kobold_spell_cost + Q118*icekin_spell_cost + R118*firewalker_spell_cost + S118*nox_spell_cost + T118*human_spell_cost + U118*goblin_spell_cost + V118*orc_spell_cost + W118*ants_spell_cost + X118*armada_spell_cost + Y118*lux_spell_cost + Z118*growth_spell_cost + AA118*impgnome_spell_cost + AB118*VLOOKUP(IF(ISNUMBER(MATCH(Overview!$B$14,useless_spell_races,0)),Overview!$B$14,"Other"),Constants!$P$89:$S$102,3,FALSE))</f>
        <v>0</v>
      </c>
      <c r="AE118" s="62">
        <f t="shared" si="64"/>
        <v>0</v>
      </c>
      <c r="AG118" s="635">
        <f t="shared" si="58"/>
        <v>0</v>
      </c>
      <c r="AH118" s="529">
        <f t="shared" si="59"/>
        <v>0</v>
      </c>
      <c r="AI118" s="529">
        <f t="shared" si="60"/>
        <v>0</v>
      </c>
      <c r="AJ118" s="529">
        <f t="shared" si="61"/>
        <v>0</v>
      </c>
      <c r="AK118" s="527">
        <f t="shared" si="62"/>
        <v>0</v>
      </c>
      <c r="AL118" s="529">
        <f t="shared" si="66"/>
        <v>0</v>
      </c>
      <c r="AM118" s="529">
        <f t="shared" si="67"/>
        <v>0</v>
      </c>
      <c r="AN118" s="529">
        <f t="shared" si="68"/>
        <v>0</v>
      </c>
      <c r="AO118" s="529">
        <f t="shared" si="69"/>
        <v>0</v>
      </c>
      <c r="AP118" s="529">
        <f t="shared" si="70"/>
        <v>0</v>
      </c>
      <c r="AQ118" s="529">
        <f t="shared" si="71"/>
        <v>0</v>
      </c>
      <c r="AR118" s="958">
        <f t="shared" si="72"/>
        <v>0</v>
      </c>
      <c r="AS118" s="958">
        <f t="shared" si="73"/>
        <v>0</v>
      </c>
      <c r="AT118" s="958">
        <f t="shared" si="74"/>
        <v>0</v>
      </c>
      <c r="AU118" s="958">
        <f t="shared" si="75"/>
        <v>0</v>
      </c>
      <c r="AV118" s="958">
        <f t="shared" si="76"/>
        <v>0</v>
      </c>
      <c r="AW118" s="16">
        <f t="shared" si="77"/>
        <v>0</v>
      </c>
      <c r="AX118" s="16">
        <f t="shared" si="78"/>
        <v>0</v>
      </c>
      <c r="AY118" s="16">
        <f t="shared" si="79"/>
        <v>0</v>
      </c>
      <c r="AZ118" s="16">
        <f t="shared" si="80"/>
        <v>0</v>
      </c>
      <c r="BA118" s="16">
        <f t="shared" si="81"/>
        <v>0</v>
      </c>
      <c r="BB118" s="1382">
        <f>IF(AB118,VLOOKUP(IF(ISNUMBER(MATCH(Overview!$B$14,useless_spell_races,0)),Overview!$B$14,"Other"),Constants!$P$89:$S$102,4,FALSE),IF(BB117&gt;0,BB117-1,0))</f>
        <v>0</v>
      </c>
    </row>
    <row r="119" spans="1:54" s="16" customFormat="1">
      <c r="A119" s="987">
        <f>Rezone!J119</f>
        <v>117</v>
      </c>
      <c r="B119" s="16">
        <f>Construction!E119</f>
        <v>1000</v>
      </c>
      <c r="C119" s="26">
        <f ca="1">Production!K119</f>
        <v>58421</v>
      </c>
      <c r="D119" s="62">
        <f>MIN(1,D118+0.04+ROUNDDOWN(10*Military!BN118,0)+MAX(Techs!AN118,Techs!AW118*3))-AE119</f>
        <v>1</v>
      </c>
      <c r="E119" s="532">
        <f t="shared" si="65"/>
        <v>43696.833333333052</v>
      </c>
      <c r="F119" s="62">
        <f ca="1">Imps!J119</f>
        <v>1</v>
      </c>
      <c r="G119" s="393"/>
      <c r="H119" s="394"/>
      <c r="I119" s="394"/>
      <c r="J119" s="394"/>
      <c r="K119" s="380"/>
      <c r="L119" s="393"/>
      <c r="M119" s="394"/>
      <c r="N119" s="380"/>
      <c r="O119" s="380"/>
      <c r="P119" s="380"/>
      <c r="Q119" s="380"/>
      <c r="R119" s="380"/>
      <c r="S119" s="380"/>
      <c r="T119" s="380"/>
      <c r="U119" s="380"/>
      <c r="V119" s="380"/>
      <c r="W119" s="380"/>
      <c r="X119" s="380"/>
      <c r="Y119" s="380"/>
      <c r="Z119" s="380"/>
      <c r="AA119" s="380"/>
      <c r="AB119" s="395"/>
      <c r="AD119" s="152">
        <f>(MAX(1-wg_spell_cost_cap,1-wg_spell_cost_red*ROUND(Construction!BM119/Construction!E119,4))+Constants!$M$45*Techs!AL119)*(B119-Explore!S119*20)*(G119*Constants!$B$72+H119*Constants!$B$73+I119*Constants!$B$74+J119*Constants!$B$76+K119*Constants!$B$75+L119*dwarf_spell_cost+M119*halfling_spell_cost + N119*sylvan_spell_cost + O119*woodelf_spell_cost + P119*kobold_spell_cost + Q119*icekin_spell_cost + R119*firewalker_spell_cost + S119*nox_spell_cost + T119*human_spell_cost + U119*goblin_spell_cost + V119*orc_spell_cost + W119*ants_spell_cost + X119*armada_spell_cost + Y119*lux_spell_cost + Z119*growth_spell_cost + AA119*impgnome_spell_cost + AB119*VLOOKUP(IF(ISNUMBER(MATCH(Overview!$B$14,useless_spell_races,0)),Overview!$B$14,"Other"),Constants!$P$89:$S$102,3,FALSE))</f>
        <v>0</v>
      </c>
      <c r="AE119" s="62">
        <f t="shared" si="64"/>
        <v>0</v>
      </c>
      <c r="AG119" s="635">
        <f t="shared" si="58"/>
        <v>0</v>
      </c>
      <c r="AH119" s="529">
        <f t="shared" si="59"/>
        <v>0</v>
      </c>
      <c r="AI119" s="529">
        <f t="shared" si="60"/>
        <v>0</v>
      </c>
      <c r="AJ119" s="529">
        <f t="shared" si="61"/>
        <v>0</v>
      </c>
      <c r="AK119" s="527">
        <f t="shared" si="62"/>
        <v>0</v>
      </c>
      <c r="AL119" s="529">
        <f t="shared" si="66"/>
        <v>0</v>
      </c>
      <c r="AM119" s="529">
        <f t="shared" si="67"/>
        <v>0</v>
      </c>
      <c r="AN119" s="529">
        <f t="shared" si="68"/>
        <v>0</v>
      </c>
      <c r="AO119" s="529">
        <f t="shared" si="69"/>
        <v>0</v>
      </c>
      <c r="AP119" s="529">
        <f t="shared" si="70"/>
        <v>0</v>
      </c>
      <c r="AQ119" s="529">
        <f t="shared" si="71"/>
        <v>0</v>
      </c>
      <c r="AR119" s="958">
        <f t="shared" si="72"/>
        <v>0</v>
      </c>
      <c r="AS119" s="958">
        <f t="shared" si="73"/>
        <v>0</v>
      </c>
      <c r="AT119" s="958">
        <f t="shared" si="74"/>
        <v>0</v>
      </c>
      <c r="AU119" s="958">
        <f t="shared" si="75"/>
        <v>0</v>
      </c>
      <c r="AV119" s="958">
        <f t="shared" si="76"/>
        <v>0</v>
      </c>
      <c r="AW119" s="16">
        <f t="shared" si="77"/>
        <v>0</v>
      </c>
      <c r="AX119" s="16">
        <f t="shared" si="78"/>
        <v>0</v>
      </c>
      <c r="AY119" s="16">
        <f t="shared" si="79"/>
        <v>0</v>
      </c>
      <c r="AZ119" s="16">
        <f t="shared" si="80"/>
        <v>0</v>
      </c>
      <c r="BA119" s="16">
        <f t="shared" si="81"/>
        <v>0</v>
      </c>
      <c r="BB119" s="1382">
        <f>IF(AB119,VLOOKUP(IF(ISNUMBER(MATCH(Overview!$B$14,useless_spell_races,0)),Overview!$B$14,"Other"),Constants!$P$89:$S$102,4,FALSE),IF(BB118&gt;0,BB118-1,0))</f>
        <v>0</v>
      </c>
    </row>
    <row r="120" spans="1:54" s="16" customFormat="1">
      <c r="A120" s="987">
        <f>Rezone!J120</f>
        <v>118</v>
      </c>
      <c r="B120" s="16">
        <f>Construction!E120</f>
        <v>1000</v>
      </c>
      <c r="C120" s="26">
        <f ca="1">Production!K120</f>
        <v>58503</v>
      </c>
      <c r="D120" s="62">
        <f>MIN(1,D119+0.04+ROUNDDOWN(10*Military!BN119,0)+MAX(Techs!AN119,Techs!AW119*3))-AE120</f>
        <v>1</v>
      </c>
      <c r="E120" s="532">
        <f t="shared" si="65"/>
        <v>43696.874999999716</v>
      </c>
      <c r="F120" s="62">
        <f ca="1">Imps!J120</f>
        <v>1</v>
      </c>
      <c r="G120" s="393"/>
      <c r="H120" s="394"/>
      <c r="I120" s="394"/>
      <c r="J120" s="394"/>
      <c r="K120" s="380"/>
      <c r="L120" s="393"/>
      <c r="M120" s="394"/>
      <c r="N120" s="380"/>
      <c r="O120" s="380"/>
      <c r="P120" s="380"/>
      <c r="Q120" s="380"/>
      <c r="R120" s="380"/>
      <c r="S120" s="380"/>
      <c r="T120" s="380"/>
      <c r="U120" s="380"/>
      <c r="V120" s="380"/>
      <c r="W120" s="380"/>
      <c r="X120" s="380"/>
      <c r="Y120" s="380"/>
      <c r="Z120" s="380"/>
      <c r="AA120" s="380"/>
      <c r="AB120" s="395"/>
      <c r="AD120" s="152">
        <f>(MAX(1-wg_spell_cost_cap,1-wg_spell_cost_red*ROUND(Construction!BM120/Construction!E120,4))+Constants!$M$45*Techs!AL120)*(B120-Explore!S120*20)*(G120*Constants!$B$72+H120*Constants!$B$73+I120*Constants!$B$74+J120*Constants!$B$76+K120*Constants!$B$75+L120*dwarf_spell_cost+M120*halfling_spell_cost + N120*sylvan_spell_cost + O120*woodelf_spell_cost + P120*kobold_spell_cost + Q120*icekin_spell_cost + R120*firewalker_spell_cost + S120*nox_spell_cost + T120*human_spell_cost + U120*goblin_spell_cost + V120*orc_spell_cost + W120*ants_spell_cost + X120*armada_spell_cost + Y120*lux_spell_cost + Z120*growth_spell_cost + AA120*impgnome_spell_cost + AB120*VLOOKUP(IF(ISNUMBER(MATCH(Overview!$B$14,useless_spell_races,0)),Overview!$B$14,"Other"),Constants!$P$89:$S$102,3,FALSE))</f>
        <v>0</v>
      </c>
      <c r="AE120" s="62">
        <f t="shared" si="64"/>
        <v>0</v>
      </c>
      <c r="AG120" s="635">
        <f t="shared" si="58"/>
        <v>0</v>
      </c>
      <c r="AH120" s="529">
        <f t="shared" si="59"/>
        <v>0</v>
      </c>
      <c r="AI120" s="529">
        <f t="shared" si="60"/>
        <v>0</v>
      </c>
      <c r="AJ120" s="529">
        <f t="shared" si="61"/>
        <v>0</v>
      </c>
      <c r="AK120" s="527">
        <f t="shared" si="62"/>
        <v>0</v>
      </c>
      <c r="AL120" s="529">
        <f t="shared" si="66"/>
        <v>0</v>
      </c>
      <c r="AM120" s="529">
        <f t="shared" si="67"/>
        <v>0</v>
      </c>
      <c r="AN120" s="529">
        <f t="shared" si="68"/>
        <v>0</v>
      </c>
      <c r="AO120" s="529">
        <f t="shared" si="69"/>
        <v>0</v>
      </c>
      <c r="AP120" s="529">
        <f t="shared" si="70"/>
        <v>0</v>
      </c>
      <c r="AQ120" s="529">
        <f t="shared" si="71"/>
        <v>0</v>
      </c>
      <c r="AR120" s="958">
        <f t="shared" si="72"/>
        <v>0</v>
      </c>
      <c r="AS120" s="958">
        <f t="shared" si="73"/>
        <v>0</v>
      </c>
      <c r="AT120" s="958">
        <f t="shared" si="74"/>
        <v>0</v>
      </c>
      <c r="AU120" s="958">
        <f t="shared" si="75"/>
        <v>0</v>
      </c>
      <c r="AV120" s="958">
        <f t="shared" si="76"/>
        <v>0</v>
      </c>
      <c r="AW120" s="16">
        <f t="shared" si="77"/>
        <v>0</v>
      </c>
      <c r="AX120" s="16">
        <f t="shared" si="78"/>
        <v>0</v>
      </c>
      <c r="AY120" s="16">
        <f t="shared" si="79"/>
        <v>0</v>
      </c>
      <c r="AZ120" s="16">
        <f t="shared" si="80"/>
        <v>0</v>
      </c>
      <c r="BA120" s="16">
        <f t="shared" si="81"/>
        <v>0</v>
      </c>
      <c r="BB120" s="1382">
        <f>IF(AB120,VLOOKUP(IF(ISNUMBER(MATCH(Overview!$B$14,useless_spell_races,0)),Overview!$B$14,"Other"),Constants!$P$89:$S$102,4,FALSE),IF(BB119&gt;0,BB119-1,0))</f>
        <v>0</v>
      </c>
    </row>
    <row r="121" spans="1:54" s="16" customFormat="1">
      <c r="A121" s="987">
        <f>Rezone!J121</f>
        <v>119</v>
      </c>
      <c r="B121" s="16">
        <f>Construction!E121</f>
        <v>1000</v>
      </c>
      <c r="C121" s="26">
        <f ca="1">Production!K121</f>
        <v>58583</v>
      </c>
      <c r="D121" s="62">
        <f>MIN(1,D120+0.04+ROUNDDOWN(10*Military!BN120,0)+MAX(Techs!AN120,Techs!AW120*3))-AE121</f>
        <v>1</v>
      </c>
      <c r="E121" s="532">
        <f t="shared" si="65"/>
        <v>43696.91666666638</v>
      </c>
      <c r="F121" s="62">
        <f ca="1">Imps!J121</f>
        <v>1</v>
      </c>
      <c r="G121" s="393"/>
      <c r="H121" s="394"/>
      <c r="I121" s="394"/>
      <c r="J121" s="394"/>
      <c r="K121" s="380"/>
      <c r="L121" s="393"/>
      <c r="M121" s="394"/>
      <c r="N121" s="380"/>
      <c r="O121" s="380"/>
      <c r="P121" s="380"/>
      <c r="Q121" s="380"/>
      <c r="R121" s="380"/>
      <c r="S121" s="380"/>
      <c r="T121" s="380"/>
      <c r="U121" s="380"/>
      <c r="V121" s="380"/>
      <c r="W121" s="380"/>
      <c r="X121" s="380"/>
      <c r="Y121" s="380"/>
      <c r="Z121" s="380"/>
      <c r="AA121" s="380"/>
      <c r="AB121" s="395"/>
      <c r="AD121" s="152">
        <f>(MAX(1-wg_spell_cost_cap,1-wg_spell_cost_red*ROUND(Construction!BM121/Construction!E121,4))+Constants!$M$45*Techs!AL121)*(B121-Explore!S121*20)*(G121*Constants!$B$72+H121*Constants!$B$73+I121*Constants!$B$74+J121*Constants!$B$76+K121*Constants!$B$75+L121*dwarf_spell_cost+M121*halfling_spell_cost + N121*sylvan_spell_cost + O121*woodelf_spell_cost + P121*kobold_spell_cost + Q121*icekin_spell_cost + R121*firewalker_spell_cost + S121*nox_spell_cost + T121*human_spell_cost + U121*goblin_spell_cost + V121*orc_spell_cost + W121*ants_spell_cost + X121*armada_spell_cost + Y121*lux_spell_cost + Z121*growth_spell_cost + AA121*impgnome_spell_cost + AB121*VLOOKUP(IF(ISNUMBER(MATCH(Overview!$B$14,useless_spell_races,0)),Overview!$B$14,"Other"),Constants!$P$89:$S$102,3,FALSE))</f>
        <v>0</v>
      </c>
      <c r="AE121" s="62">
        <f t="shared" si="64"/>
        <v>0</v>
      </c>
      <c r="AG121" s="635">
        <f t="shared" si="58"/>
        <v>0</v>
      </c>
      <c r="AH121" s="529">
        <f t="shared" si="59"/>
        <v>0</v>
      </c>
      <c r="AI121" s="529">
        <f t="shared" si="60"/>
        <v>0</v>
      </c>
      <c r="AJ121" s="529">
        <f t="shared" si="61"/>
        <v>0</v>
      </c>
      <c r="AK121" s="527">
        <f t="shared" si="62"/>
        <v>0</v>
      </c>
      <c r="AL121" s="529">
        <f t="shared" si="66"/>
        <v>0</v>
      </c>
      <c r="AM121" s="529">
        <f t="shared" si="67"/>
        <v>0</v>
      </c>
      <c r="AN121" s="529">
        <f t="shared" si="68"/>
        <v>0</v>
      </c>
      <c r="AO121" s="529">
        <f t="shared" si="69"/>
        <v>0</v>
      </c>
      <c r="AP121" s="529">
        <f t="shared" si="70"/>
        <v>0</v>
      </c>
      <c r="AQ121" s="529">
        <f t="shared" si="71"/>
        <v>0</v>
      </c>
      <c r="AR121" s="958">
        <f t="shared" si="72"/>
        <v>0</v>
      </c>
      <c r="AS121" s="958">
        <f t="shared" si="73"/>
        <v>0</v>
      </c>
      <c r="AT121" s="958">
        <f t="shared" si="74"/>
        <v>0</v>
      </c>
      <c r="AU121" s="958">
        <f t="shared" si="75"/>
        <v>0</v>
      </c>
      <c r="AV121" s="958">
        <f t="shared" si="76"/>
        <v>0</v>
      </c>
      <c r="AW121" s="16">
        <f t="shared" si="77"/>
        <v>0</v>
      </c>
      <c r="AX121" s="16">
        <f t="shared" si="78"/>
        <v>0</v>
      </c>
      <c r="AY121" s="16">
        <f t="shared" si="79"/>
        <v>0</v>
      </c>
      <c r="AZ121" s="16">
        <f t="shared" si="80"/>
        <v>0</v>
      </c>
      <c r="BA121" s="16">
        <f t="shared" si="81"/>
        <v>0</v>
      </c>
      <c r="BB121" s="1382">
        <f>IF(AB121,VLOOKUP(IF(ISNUMBER(MATCH(Overview!$B$14,useless_spell_races,0)),Overview!$B$14,"Other"),Constants!$P$89:$S$102,4,FALSE),IF(BB120&gt;0,BB120-1,0))</f>
        <v>0</v>
      </c>
    </row>
    <row r="122" spans="1:54" s="16" customFormat="1" ht="13.5" thickBot="1">
      <c r="A122" s="987">
        <f>Rezone!J122</f>
        <v>120</v>
      </c>
      <c r="B122" s="16">
        <f>Construction!E122</f>
        <v>1000</v>
      </c>
      <c r="C122" s="26">
        <f ca="1">Production!K122</f>
        <v>58661</v>
      </c>
      <c r="D122" s="62">
        <f>MIN(1,D121+0.04+ROUNDDOWN(10*Military!BN121,0)+MAX(Techs!AN121,Techs!AW121*3))-AE122</f>
        <v>1</v>
      </c>
      <c r="E122" s="532">
        <f t="shared" si="65"/>
        <v>43696.958333333045</v>
      </c>
      <c r="F122" s="62">
        <f ca="1">Imps!J122</f>
        <v>1</v>
      </c>
      <c r="G122" s="393"/>
      <c r="H122" s="394"/>
      <c r="I122" s="394"/>
      <c r="J122" s="394"/>
      <c r="K122" s="380"/>
      <c r="L122" s="393"/>
      <c r="M122" s="394"/>
      <c r="N122" s="380"/>
      <c r="O122" s="380"/>
      <c r="P122" s="380"/>
      <c r="Q122" s="380"/>
      <c r="R122" s="380"/>
      <c r="S122" s="380"/>
      <c r="T122" s="380"/>
      <c r="U122" s="380"/>
      <c r="V122" s="380"/>
      <c r="W122" s="380"/>
      <c r="X122" s="380"/>
      <c r="Y122" s="380"/>
      <c r="Z122" s="380"/>
      <c r="AA122" s="380"/>
      <c r="AB122" s="395"/>
      <c r="AD122" s="152">
        <f>(MAX(1-wg_spell_cost_cap,1-wg_spell_cost_red*ROUND(Construction!BM122/Construction!E122,4))+Constants!$M$45*Techs!AL122)*(B122-Explore!S122*20)*(G122*Constants!$B$72+H122*Constants!$B$73+I122*Constants!$B$74+J122*Constants!$B$76+K122*Constants!$B$75+L122*dwarf_spell_cost+M122*halfling_spell_cost + N122*sylvan_spell_cost + O122*woodelf_spell_cost + P122*kobold_spell_cost + Q122*icekin_spell_cost + R122*firewalker_spell_cost + S122*nox_spell_cost + T122*human_spell_cost + U122*goblin_spell_cost + V122*orc_spell_cost + W122*ants_spell_cost + X122*armada_spell_cost + Y122*lux_spell_cost + Z122*growth_spell_cost + AA122*impgnome_spell_cost + AB122*VLOOKUP(IF(ISNUMBER(MATCH(Overview!$B$14,useless_spell_races,0)),Overview!$B$14,"Other"),Constants!$P$89:$S$102,3,FALSE))</f>
        <v>0</v>
      </c>
      <c r="AE122" s="62">
        <f t="shared" si="64"/>
        <v>0</v>
      </c>
      <c r="AG122" s="635">
        <f t="shared" si="58"/>
        <v>0</v>
      </c>
      <c r="AH122" s="529">
        <f t="shared" si="59"/>
        <v>0</v>
      </c>
      <c r="AI122" s="529">
        <f t="shared" si="60"/>
        <v>0</v>
      </c>
      <c r="AJ122" s="529">
        <f t="shared" si="61"/>
        <v>0</v>
      </c>
      <c r="AK122" s="527">
        <f t="shared" si="62"/>
        <v>0</v>
      </c>
      <c r="AL122" s="529">
        <f t="shared" si="66"/>
        <v>0</v>
      </c>
      <c r="AM122" s="529">
        <f t="shared" si="67"/>
        <v>0</v>
      </c>
      <c r="AN122" s="529">
        <f t="shared" si="68"/>
        <v>0</v>
      </c>
      <c r="AO122" s="529">
        <f t="shared" si="69"/>
        <v>0</v>
      </c>
      <c r="AP122" s="529">
        <f t="shared" si="70"/>
        <v>0</v>
      </c>
      <c r="AQ122" s="529">
        <f t="shared" si="71"/>
        <v>0</v>
      </c>
      <c r="AR122" s="958">
        <f t="shared" si="72"/>
        <v>0</v>
      </c>
      <c r="AS122" s="958">
        <f t="shared" si="73"/>
        <v>0</v>
      </c>
      <c r="AT122" s="958">
        <f t="shared" si="74"/>
        <v>0</v>
      </c>
      <c r="AU122" s="958">
        <f t="shared" si="75"/>
        <v>0</v>
      </c>
      <c r="AV122" s="958">
        <f t="shared" si="76"/>
        <v>0</v>
      </c>
      <c r="AW122" s="16">
        <f t="shared" si="77"/>
        <v>0</v>
      </c>
      <c r="AX122" s="16">
        <f t="shared" si="78"/>
        <v>0</v>
      </c>
      <c r="AY122" s="16">
        <f t="shared" si="79"/>
        <v>0</v>
      </c>
      <c r="AZ122" s="16">
        <f t="shared" si="80"/>
        <v>0</v>
      </c>
      <c r="BA122" s="16">
        <f t="shared" si="81"/>
        <v>0</v>
      </c>
      <c r="BB122" s="1382">
        <f>IF(AB122,VLOOKUP(IF(ISNUMBER(MATCH(Overview!$B$14,useless_spell_races,0)),Overview!$B$14,"Other"),Constants!$P$89:$S$102,4,FALSE),IF(BB121&gt;0,BB121-1,0))</f>
        <v>0</v>
      </c>
    </row>
    <row r="123" spans="1:54" s="111" customFormat="1" ht="14.25" thickTop="1" thickBot="1">
      <c r="A123" s="991">
        <f>Rezone!J123</f>
        <v>121</v>
      </c>
      <c r="B123" s="111">
        <f>Construction!E123</f>
        <v>1000</v>
      </c>
      <c r="C123" s="108">
        <f ca="1">Production!K123</f>
        <v>58738</v>
      </c>
      <c r="D123" s="112">
        <f>MIN(1,D122+0.04+ROUNDDOWN(10*Military!BN122,0)+MAX(Techs!AN122,Techs!AW122*3))-AE123</f>
        <v>1</v>
      </c>
      <c r="E123" s="803">
        <f t="shared" si="65"/>
        <v>43696.999999999709</v>
      </c>
      <c r="F123" s="112">
        <f ca="1">Imps!J123</f>
        <v>1</v>
      </c>
      <c r="G123" s="397"/>
      <c r="H123" s="398"/>
      <c r="I123" s="398"/>
      <c r="J123" s="398"/>
      <c r="K123" s="381"/>
      <c r="L123" s="397"/>
      <c r="M123" s="398"/>
      <c r="N123" s="381"/>
      <c r="O123" s="381"/>
      <c r="P123" s="381"/>
      <c r="Q123" s="381"/>
      <c r="R123" s="381"/>
      <c r="S123" s="381"/>
      <c r="T123" s="381"/>
      <c r="U123" s="381"/>
      <c r="V123" s="381"/>
      <c r="W123" s="381"/>
      <c r="X123" s="381"/>
      <c r="Y123" s="381"/>
      <c r="Z123" s="381"/>
      <c r="AA123" s="381"/>
      <c r="AB123" s="399"/>
      <c r="AD123" s="273">
        <f>(MAX(1-wg_spell_cost_cap,1-wg_spell_cost_red*ROUND(Construction!BM123/Construction!E123,4))+Constants!$M$45*Techs!AL123)*(B123-Explore!S123*20)*(G123*Constants!$B$72+H123*Constants!$B$73+I123*Constants!$B$74+J123*Constants!$B$76+K123*Constants!$B$75+L123*dwarf_spell_cost+M123*halfling_spell_cost + N123*sylvan_spell_cost + O123*woodelf_spell_cost + P123*kobold_spell_cost + Q123*icekin_spell_cost + R123*firewalker_spell_cost + S123*nox_spell_cost + T123*human_spell_cost + U123*goblin_spell_cost + V123*orc_spell_cost + W123*ants_spell_cost + X123*armada_spell_cost + Y123*lux_spell_cost + Z123*growth_spell_cost + AA123*impgnome_spell_cost + AB123*VLOOKUP(IF(ISNUMBER(MATCH(Overview!$B$14,useless_spell_races,0)),Overview!$B$14,"Other"),Constants!$P$89:$S$102,3,FALSE))</f>
        <v>0</v>
      </c>
      <c r="AE123" s="112">
        <f t="shared" si="64"/>
        <v>0</v>
      </c>
      <c r="AG123" s="637">
        <f t="shared" si="58"/>
        <v>0</v>
      </c>
      <c r="AH123" s="633">
        <f t="shared" si="59"/>
        <v>0</v>
      </c>
      <c r="AI123" s="633">
        <f t="shared" si="60"/>
        <v>0</v>
      </c>
      <c r="AJ123" s="633">
        <f t="shared" si="61"/>
        <v>0</v>
      </c>
      <c r="AK123" s="552">
        <f t="shared" si="62"/>
        <v>0</v>
      </c>
      <c r="AL123" s="633">
        <f t="shared" si="66"/>
        <v>0</v>
      </c>
      <c r="AM123" s="633">
        <f t="shared" si="67"/>
        <v>0</v>
      </c>
      <c r="AN123" s="633">
        <f t="shared" si="68"/>
        <v>0</v>
      </c>
      <c r="AO123" s="633">
        <f t="shared" si="69"/>
        <v>0</v>
      </c>
      <c r="AP123" s="633">
        <f t="shared" si="70"/>
        <v>0</v>
      </c>
      <c r="AQ123" s="633">
        <f t="shared" si="71"/>
        <v>0</v>
      </c>
      <c r="AR123" s="961">
        <f t="shared" si="72"/>
        <v>0</v>
      </c>
      <c r="AS123" s="961">
        <f t="shared" si="73"/>
        <v>0</v>
      </c>
      <c r="AT123" s="961">
        <f t="shared" si="74"/>
        <v>0</v>
      </c>
      <c r="AU123" s="961">
        <f t="shared" si="75"/>
        <v>0</v>
      </c>
      <c r="AV123" s="961">
        <f t="shared" si="76"/>
        <v>0</v>
      </c>
      <c r="AW123" s="111">
        <f t="shared" si="77"/>
        <v>0</v>
      </c>
      <c r="AX123" s="111">
        <f t="shared" si="78"/>
        <v>0</v>
      </c>
      <c r="AY123" s="111">
        <f t="shared" si="79"/>
        <v>0</v>
      </c>
      <c r="AZ123" s="111">
        <f t="shared" si="80"/>
        <v>0</v>
      </c>
      <c r="BA123" s="111">
        <f t="shared" si="81"/>
        <v>0</v>
      </c>
      <c r="BB123" s="1387">
        <f>IF(AB123,VLOOKUP(IF(ISNUMBER(MATCH(Overview!$B$14,useless_spell_races,0)),Overview!$B$14,"Other"),Constants!$P$89:$S$102,4,FALSE),IF(BB122&gt;0,BB122-1,0))</f>
        <v>0</v>
      </c>
    </row>
    <row r="124" spans="1:54" s="16" customFormat="1" ht="13.5" thickTop="1">
      <c r="A124" s="987">
        <f>Rezone!J124</f>
        <v>122</v>
      </c>
      <c r="B124" s="16">
        <f>Construction!E124</f>
        <v>1000</v>
      </c>
      <c r="C124" s="26">
        <f ca="1">Production!K124</f>
        <v>58813</v>
      </c>
      <c r="D124" s="62">
        <f>MIN(1,D123+0.04+ROUNDDOWN(10*Military!BN123,0)+MAX(Techs!AN123,Techs!AW123*3))-AE124</f>
        <v>1</v>
      </c>
      <c r="E124" s="532">
        <f t="shared" si="65"/>
        <v>43697.041666666373</v>
      </c>
      <c r="F124" s="62">
        <f ca="1">Imps!J124</f>
        <v>1</v>
      </c>
      <c r="G124" s="393"/>
      <c r="H124" s="394"/>
      <c r="I124" s="394"/>
      <c r="J124" s="394"/>
      <c r="K124" s="380"/>
      <c r="L124" s="393"/>
      <c r="M124" s="394"/>
      <c r="N124" s="380"/>
      <c r="O124" s="380"/>
      <c r="P124" s="380"/>
      <c r="Q124" s="380"/>
      <c r="R124" s="380"/>
      <c r="S124" s="380"/>
      <c r="T124" s="380"/>
      <c r="U124" s="380"/>
      <c r="V124" s="380"/>
      <c r="W124" s="380"/>
      <c r="X124" s="380"/>
      <c r="Y124" s="380"/>
      <c r="Z124" s="380"/>
      <c r="AA124" s="380"/>
      <c r="AB124" s="395"/>
      <c r="AD124" s="152">
        <f>(MAX(1-wg_spell_cost_cap,1-wg_spell_cost_red*ROUND(Construction!BM124/Construction!E124,4))+Constants!$M$45*Techs!AL124)*(B124-Explore!S124*20)*(G124*Constants!$B$72+H124*Constants!$B$73+I124*Constants!$B$74+J124*Constants!$B$76+K124*Constants!$B$75+L124*dwarf_spell_cost+M124*halfling_spell_cost + N124*sylvan_spell_cost + O124*woodelf_spell_cost + P124*kobold_spell_cost + Q124*icekin_spell_cost + R124*firewalker_spell_cost + S124*nox_spell_cost + T124*human_spell_cost + U124*goblin_spell_cost + V124*orc_spell_cost + W124*ants_spell_cost + X124*armada_spell_cost + Y124*lux_spell_cost + Z124*growth_spell_cost + AA124*impgnome_spell_cost + AB124*VLOOKUP(IF(ISNUMBER(MATCH(Overview!$B$14,useless_spell_races,0)),Overview!$B$14,"Other"),Constants!$P$89:$S$102,3,FALSE))</f>
        <v>0</v>
      </c>
      <c r="AE124" s="62">
        <f t="shared" si="64"/>
        <v>0</v>
      </c>
      <c r="AG124" s="635">
        <f t="shared" si="58"/>
        <v>0</v>
      </c>
      <c r="AH124" s="529">
        <f t="shared" si="59"/>
        <v>0</v>
      </c>
      <c r="AI124" s="529">
        <f t="shared" si="60"/>
        <v>0</v>
      </c>
      <c r="AJ124" s="529">
        <f t="shared" si="61"/>
        <v>0</v>
      </c>
      <c r="AK124" s="527">
        <f t="shared" si="62"/>
        <v>0</v>
      </c>
      <c r="AL124" s="529">
        <f t="shared" si="66"/>
        <v>0</v>
      </c>
      <c r="AM124" s="529">
        <f t="shared" si="67"/>
        <v>0</v>
      </c>
      <c r="AN124" s="529">
        <f t="shared" si="68"/>
        <v>0</v>
      </c>
      <c r="AO124" s="529">
        <f t="shared" si="69"/>
        <v>0</v>
      </c>
      <c r="AP124" s="529">
        <f t="shared" si="70"/>
        <v>0</v>
      </c>
      <c r="AQ124" s="529">
        <f t="shared" si="71"/>
        <v>0</v>
      </c>
      <c r="AR124" s="958">
        <f t="shared" si="72"/>
        <v>0</v>
      </c>
      <c r="AS124" s="958">
        <f t="shared" si="73"/>
        <v>0</v>
      </c>
      <c r="AT124" s="958">
        <f t="shared" si="74"/>
        <v>0</v>
      </c>
      <c r="AU124" s="958">
        <f t="shared" si="75"/>
        <v>0</v>
      </c>
      <c r="AV124" s="958">
        <f t="shared" si="76"/>
        <v>0</v>
      </c>
      <c r="AW124" s="16">
        <f t="shared" si="77"/>
        <v>0</v>
      </c>
      <c r="AX124" s="16">
        <f t="shared" si="78"/>
        <v>0</v>
      </c>
      <c r="AY124" s="16">
        <f t="shared" si="79"/>
        <v>0</v>
      </c>
      <c r="AZ124" s="16">
        <f t="shared" si="80"/>
        <v>0</v>
      </c>
      <c r="BA124" s="16">
        <f t="shared" si="81"/>
        <v>0</v>
      </c>
      <c r="BB124" s="1382">
        <f>IF(AB124,VLOOKUP(IF(ISNUMBER(MATCH(Overview!$B$14,useless_spell_races,0)),Overview!$B$14,"Other"),Constants!$P$89:$S$102,4,FALSE),IF(BB123&gt;0,BB123-1,0))</f>
        <v>0</v>
      </c>
    </row>
    <row r="125" spans="1:54" s="16" customFormat="1">
      <c r="A125" s="987">
        <f>Rezone!J125</f>
        <v>123</v>
      </c>
      <c r="B125" s="16">
        <f>Construction!E125</f>
        <v>1000</v>
      </c>
      <c r="C125" s="26">
        <f ca="1">Production!K125</f>
        <v>58887</v>
      </c>
      <c r="D125" s="62">
        <f>MIN(1,D124+0.04+ROUNDDOWN(10*Military!BN124,0)+MAX(Techs!AN124,Techs!AW124*3))-AE125</f>
        <v>1</v>
      </c>
      <c r="E125" s="532">
        <f t="shared" si="65"/>
        <v>43697.083333333037</v>
      </c>
      <c r="F125" s="62">
        <f ca="1">Imps!J125</f>
        <v>1</v>
      </c>
      <c r="G125" s="393"/>
      <c r="H125" s="394"/>
      <c r="I125" s="394"/>
      <c r="J125" s="394"/>
      <c r="K125" s="380"/>
      <c r="L125" s="393"/>
      <c r="M125" s="394"/>
      <c r="N125" s="380"/>
      <c r="O125" s="380"/>
      <c r="P125" s="380"/>
      <c r="Q125" s="380"/>
      <c r="R125" s="380"/>
      <c r="S125" s="380"/>
      <c r="T125" s="380"/>
      <c r="U125" s="380"/>
      <c r="V125" s="380"/>
      <c r="W125" s="380"/>
      <c r="X125" s="380"/>
      <c r="Y125" s="380"/>
      <c r="Z125" s="380"/>
      <c r="AA125" s="380"/>
      <c r="AB125" s="395"/>
      <c r="AD125" s="152">
        <f>(MAX(1-wg_spell_cost_cap,1-wg_spell_cost_red*ROUND(Construction!BM125/Construction!E125,4))+Constants!$M$45*Techs!AL125)*(B125-Explore!S125*20)*(G125*Constants!$B$72+H125*Constants!$B$73+I125*Constants!$B$74+J125*Constants!$B$76+K125*Constants!$B$75+L125*dwarf_spell_cost+M125*halfling_spell_cost + N125*sylvan_spell_cost + O125*woodelf_spell_cost + P125*kobold_spell_cost + Q125*icekin_spell_cost + R125*firewalker_spell_cost + S125*nox_spell_cost + T125*human_spell_cost + U125*goblin_spell_cost + V125*orc_spell_cost + W125*ants_spell_cost + X125*armada_spell_cost + Y125*lux_spell_cost + Z125*growth_spell_cost + AA125*impgnome_spell_cost + AB125*VLOOKUP(IF(ISNUMBER(MATCH(Overview!$B$14,useless_spell_races,0)),Overview!$B$14,"Other"),Constants!$P$89:$S$102,3,FALSE))</f>
        <v>0</v>
      </c>
      <c r="AE125" s="62">
        <f t="shared" si="64"/>
        <v>0</v>
      </c>
      <c r="AG125" s="635">
        <f t="shared" si="58"/>
        <v>0</v>
      </c>
      <c r="AH125" s="529">
        <f t="shared" si="59"/>
        <v>0</v>
      </c>
      <c r="AI125" s="529">
        <f t="shared" si="60"/>
        <v>0</v>
      </c>
      <c r="AJ125" s="529">
        <f t="shared" si="61"/>
        <v>0</v>
      </c>
      <c r="AK125" s="527">
        <f t="shared" si="62"/>
        <v>0</v>
      </c>
      <c r="AL125" s="529">
        <f t="shared" si="66"/>
        <v>0</v>
      </c>
      <c r="AM125" s="529">
        <f t="shared" si="67"/>
        <v>0</v>
      </c>
      <c r="AN125" s="529">
        <f t="shared" si="68"/>
        <v>0</v>
      </c>
      <c r="AO125" s="529">
        <f t="shared" si="69"/>
        <v>0</v>
      </c>
      <c r="AP125" s="529">
        <f t="shared" si="70"/>
        <v>0</v>
      </c>
      <c r="AQ125" s="529">
        <f t="shared" si="71"/>
        <v>0</v>
      </c>
      <c r="AR125" s="958">
        <f t="shared" si="72"/>
        <v>0</v>
      </c>
      <c r="AS125" s="958">
        <f t="shared" si="73"/>
        <v>0</v>
      </c>
      <c r="AT125" s="958">
        <f t="shared" si="74"/>
        <v>0</v>
      </c>
      <c r="AU125" s="958">
        <f t="shared" si="75"/>
        <v>0</v>
      </c>
      <c r="AV125" s="958">
        <f t="shared" si="76"/>
        <v>0</v>
      </c>
      <c r="AW125" s="16">
        <f t="shared" si="77"/>
        <v>0</v>
      </c>
      <c r="AX125" s="16">
        <f t="shared" si="78"/>
        <v>0</v>
      </c>
      <c r="AY125" s="16">
        <f t="shared" si="79"/>
        <v>0</v>
      </c>
      <c r="AZ125" s="16">
        <f t="shared" si="80"/>
        <v>0</v>
      </c>
      <c r="BA125" s="16">
        <f t="shared" si="81"/>
        <v>0</v>
      </c>
      <c r="BB125" s="1382">
        <f>IF(AB125,VLOOKUP(IF(ISNUMBER(MATCH(Overview!$B$14,useless_spell_races,0)),Overview!$B$14,"Other"),Constants!$P$89:$S$102,4,FALSE),IF(BB124&gt;0,BB124-1,0))</f>
        <v>0</v>
      </c>
    </row>
    <row r="126" spans="1:54" s="16" customFormat="1">
      <c r="A126" s="987">
        <f>Rezone!J126</f>
        <v>124</v>
      </c>
      <c r="B126" s="16">
        <f>Construction!E126</f>
        <v>1000</v>
      </c>
      <c r="C126" s="26">
        <f ca="1">Production!K126</f>
        <v>58959</v>
      </c>
      <c r="D126" s="62">
        <f>MIN(1,D125+0.04+ROUNDDOWN(10*Military!BN125,0)+MAX(Techs!AN125,Techs!AW125*3))-AE126</f>
        <v>1</v>
      </c>
      <c r="E126" s="532">
        <f t="shared" si="65"/>
        <v>43697.124999999702</v>
      </c>
      <c r="F126" s="62">
        <f ca="1">Imps!J126</f>
        <v>1</v>
      </c>
      <c r="G126" s="393"/>
      <c r="H126" s="394"/>
      <c r="I126" s="394"/>
      <c r="J126" s="394"/>
      <c r="K126" s="380"/>
      <c r="L126" s="393"/>
      <c r="M126" s="394"/>
      <c r="N126" s="380"/>
      <c r="O126" s="380"/>
      <c r="P126" s="380"/>
      <c r="Q126" s="380"/>
      <c r="R126" s="380"/>
      <c r="S126" s="380"/>
      <c r="T126" s="380"/>
      <c r="U126" s="380"/>
      <c r="V126" s="380"/>
      <c r="W126" s="380"/>
      <c r="X126" s="380"/>
      <c r="Y126" s="380"/>
      <c r="Z126" s="380"/>
      <c r="AA126" s="380"/>
      <c r="AB126" s="395"/>
      <c r="AD126" s="152">
        <f>(MAX(1-wg_spell_cost_cap,1-wg_spell_cost_red*ROUND(Construction!BM126/Construction!E126,4))+Constants!$M$45*Techs!AL126)*(B126-Explore!S126*20)*(G126*Constants!$B$72+H126*Constants!$B$73+I126*Constants!$B$74+J126*Constants!$B$76+K126*Constants!$B$75+L126*dwarf_spell_cost+M126*halfling_spell_cost + N126*sylvan_spell_cost + O126*woodelf_spell_cost + P126*kobold_spell_cost + Q126*icekin_spell_cost + R126*firewalker_spell_cost + S126*nox_spell_cost + T126*human_spell_cost + U126*goblin_spell_cost + V126*orc_spell_cost + W126*ants_spell_cost + X126*armada_spell_cost + Y126*lux_spell_cost + Z126*growth_spell_cost + AA126*impgnome_spell_cost + AB126*VLOOKUP(IF(ISNUMBER(MATCH(Overview!$B$14,useless_spell_races,0)),Overview!$B$14,"Other"),Constants!$P$89:$S$102,3,FALSE))</f>
        <v>0</v>
      </c>
      <c r="AE126" s="62">
        <f t="shared" si="64"/>
        <v>0</v>
      </c>
      <c r="AG126" s="635">
        <f t="shared" si="58"/>
        <v>0</v>
      </c>
      <c r="AH126" s="529">
        <f t="shared" si="59"/>
        <v>0</v>
      </c>
      <c r="AI126" s="529">
        <f t="shared" si="60"/>
        <v>0</v>
      </c>
      <c r="AJ126" s="529">
        <f t="shared" si="61"/>
        <v>0</v>
      </c>
      <c r="AK126" s="527">
        <f t="shared" si="62"/>
        <v>0</v>
      </c>
      <c r="AL126" s="529">
        <f t="shared" si="66"/>
        <v>0</v>
      </c>
      <c r="AM126" s="529">
        <f t="shared" si="67"/>
        <v>0</v>
      </c>
      <c r="AN126" s="529">
        <f t="shared" si="68"/>
        <v>0</v>
      </c>
      <c r="AO126" s="529">
        <f t="shared" si="69"/>
        <v>0</v>
      </c>
      <c r="AP126" s="529">
        <f t="shared" si="70"/>
        <v>0</v>
      </c>
      <c r="AQ126" s="529">
        <f t="shared" si="71"/>
        <v>0</v>
      </c>
      <c r="AR126" s="958">
        <f t="shared" si="72"/>
        <v>0</v>
      </c>
      <c r="AS126" s="958">
        <f t="shared" si="73"/>
        <v>0</v>
      </c>
      <c r="AT126" s="958">
        <f t="shared" si="74"/>
        <v>0</v>
      </c>
      <c r="AU126" s="958">
        <f t="shared" si="75"/>
        <v>0</v>
      </c>
      <c r="AV126" s="958">
        <f t="shared" si="76"/>
        <v>0</v>
      </c>
      <c r="AW126" s="16">
        <f t="shared" si="77"/>
        <v>0</v>
      </c>
      <c r="AX126" s="16">
        <f t="shared" si="78"/>
        <v>0</v>
      </c>
      <c r="AY126" s="16">
        <f t="shared" si="79"/>
        <v>0</v>
      </c>
      <c r="AZ126" s="16">
        <f t="shared" si="80"/>
        <v>0</v>
      </c>
      <c r="BA126" s="16">
        <f t="shared" si="81"/>
        <v>0</v>
      </c>
      <c r="BB126" s="1382">
        <f>IF(AB126,VLOOKUP(IF(ISNUMBER(MATCH(Overview!$B$14,useless_spell_races,0)),Overview!$B$14,"Other"),Constants!$P$89:$S$102,4,FALSE),IF(BB125&gt;0,BB125-1,0))</f>
        <v>0</v>
      </c>
    </row>
    <row r="127" spans="1:54" s="16" customFormat="1">
      <c r="A127" s="987">
        <f>Rezone!J127</f>
        <v>125</v>
      </c>
      <c r="B127" s="16">
        <f>Construction!E127</f>
        <v>1000</v>
      </c>
      <c r="C127" s="26">
        <f ca="1">Production!K127</f>
        <v>59030</v>
      </c>
      <c r="D127" s="62">
        <f>MIN(1,D126+0.04+ROUNDDOWN(10*Military!BN126,0)+MAX(Techs!AN126,Techs!AW126*3))-AE127</f>
        <v>1</v>
      </c>
      <c r="E127" s="532">
        <f t="shared" si="65"/>
        <v>43697.166666666366</v>
      </c>
      <c r="F127" s="62">
        <f ca="1">Imps!J127</f>
        <v>1</v>
      </c>
      <c r="G127" s="393"/>
      <c r="H127" s="394"/>
      <c r="I127" s="394"/>
      <c r="J127" s="394"/>
      <c r="K127" s="380"/>
      <c r="L127" s="393"/>
      <c r="M127" s="394"/>
      <c r="N127" s="380"/>
      <c r="O127" s="380"/>
      <c r="P127" s="380"/>
      <c r="Q127" s="380"/>
      <c r="R127" s="380"/>
      <c r="S127" s="380"/>
      <c r="T127" s="380"/>
      <c r="U127" s="380"/>
      <c r="V127" s="380"/>
      <c r="W127" s="380"/>
      <c r="X127" s="380"/>
      <c r="Y127" s="380"/>
      <c r="Z127" s="380"/>
      <c r="AA127" s="380"/>
      <c r="AB127" s="395"/>
      <c r="AD127" s="152">
        <f>(MAX(1-wg_spell_cost_cap,1-wg_spell_cost_red*ROUND(Construction!BM127/Construction!E127,4))+Constants!$M$45*Techs!AL127)*(B127-Explore!S127*20)*(G127*Constants!$B$72+H127*Constants!$B$73+I127*Constants!$B$74+J127*Constants!$B$76+K127*Constants!$B$75+L127*dwarf_spell_cost+M127*halfling_spell_cost + N127*sylvan_spell_cost + O127*woodelf_spell_cost + P127*kobold_spell_cost + Q127*icekin_spell_cost + R127*firewalker_spell_cost + S127*nox_spell_cost + T127*human_spell_cost + U127*goblin_spell_cost + V127*orc_spell_cost + W127*ants_spell_cost + X127*armada_spell_cost + Y127*lux_spell_cost + Z127*growth_spell_cost + AA127*impgnome_spell_cost + AB127*VLOOKUP(IF(ISNUMBER(MATCH(Overview!$B$14,useless_spell_races,0)),Overview!$B$14,"Other"),Constants!$P$89:$S$102,3,FALSE))</f>
        <v>0</v>
      </c>
      <c r="AE127" s="62">
        <f t="shared" si="64"/>
        <v>0</v>
      </c>
      <c r="AG127" s="635">
        <f t="shared" si="58"/>
        <v>0</v>
      </c>
      <c r="AH127" s="529">
        <f t="shared" si="59"/>
        <v>0</v>
      </c>
      <c r="AI127" s="529">
        <f t="shared" si="60"/>
        <v>0</v>
      </c>
      <c r="AJ127" s="529">
        <f t="shared" si="61"/>
        <v>0</v>
      </c>
      <c r="AK127" s="527">
        <f t="shared" si="62"/>
        <v>0</v>
      </c>
      <c r="AL127" s="529">
        <f t="shared" si="66"/>
        <v>0</v>
      </c>
      <c r="AM127" s="529">
        <f t="shared" si="67"/>
        <v>0</v>
      </c>
      <c r="AN127" s="529">
        <f t="shared" si="68"/>
        <v>0</v>
      </c>
      <c r="AO127" s="529">
        <f t="shared" si="69"/>
        <v>0</v>
      </c>
      <c r="AP127" s="529">
        <f t="shared" si="70"/>
        <v>0</v>
      </c>
      <c r="AQ127" s="529">
        <f t="shared" si="71"/>
        <v>0</v>
      </c>
      <c r="AR127" s="958">
        <f t="shared" si="72"/>
        <v>0</v>
      </c>
      <c r="AS127" s="958">
        <f t="shared" si="73"/>
        <v>0</v>
      </c>
      <c r="AT127" s="958">
        <f t="shared" si="74"/>
        <v>0</v>
      </c>
      <c r="AU127" s="958">
        <f t="shared" si="75"/>
        <v>0</v>
      </c>
      <c r="AV127" s="958">
        <f t="shared" si="76"/>
        <v>0</v>
      </c>
      <c r="AW127" s="16">
        <f t="shared" si="77"/>
        <v>0</v>
      </c>
      <c r="AX127" s="16">
        <f t="shared" si="78"/>
        <v>0</v>
      </c>
      <c r="AY127" s="16">
        <f t="shared" si="79"/>
        <v>0</v>
      </c>
      <c r="AZ127" s="16">
        <f t="shared" si="80"/>
        <v>0</v>
      </c>
      <c r="BA127" s="16">
        <f t="shared" si="81"/>
        <v>0</v>
      </c>
      <c r="BB127" s="1382">
        <f>IF(AB127,VLOOKUP(IF(ISNUMBER(MATCH(Overview!$B$14,useless_spell_races,0)),Overview!$B$14,"Other"),Constants!$P$89:$S$102,4,FALSE),IF(BB126&gt;0,BB126-1,0))</f>
        <v>0</v>
      </c>
    </row>
    <row r="128" spans="1:54" s="16" customFormat="1">
      <c r="A128" s="987">
        <f>Rezone!J128</f>
        <v>126</v>
      </c>
      <c r="B128" s="16">
        <f>Construction!E128</f>
        <v>1000</v>
      </c>
      <c r="C128" s="26">
        <f ca="1">Production!K128</f>
        <v>59099</v>
      </c>
      <c r="D128" s="62">
        <f>MIN(1,D127+0.04+ROUNDDOWN(10*Military!BN127,0)+MAX(Techs!AN127,Techs!AW127*3))-AE128</f>
        <v>1</v>
      </c>
      <c r="E128" s="532">
        <f t="shared" si="65"/>
        <v>43697.20833333303</v>
      </c>
      <c r="F128" s="62">
        <f ca="1">Imps!J128</f>
        <v>1</v>
      </c>
      <c r="G128" s="393"/>
      <c r="H128" s="394"/>
      <c r="I128" s="394"/>
      <c r="J128" s="394"/>
      <c r="K128" s="380"/>
      <c r="L128" s="393"/>
      <c r="M128" s="394"/>
      <c r="N128" s="380"/>
      <c r="O128" s="380"/>
      <c r="P128" s="380"/>
      <c r="Q128" s="380"/>
      <c r="R128" s="380"/>
      <c r="S128" s="380"/>
      <c r="T128" s="380"/>
      <c r="U128" s="380"/>
      <c r="V128" s="380"/>
      <c r="W128" s="380"/>
      <c r="X128" s="380"/>
      <c r="Y128" s="380"/>
      <c r="Z128" s="380"/>
      <c r="AA128" s="380"/>
      <c r="AB128" s="395"/>
      <c r="AD128" s="152">
        <f>(MAX(1-wg_spell_cost_cap,1-wg_spell_cost_red*ROUND(Construction!BM128/Construction!E128,4))+Constants!$M$45*Techs!AL128)*(B128-Explore!S128*20)*(G128*Constants!$B$72+H128*Constants!$B$73+I128*Constants!$B$74+J128*Constants!$B$76+K128*Constants!$B$75+L128*dwarf_spell_cost+M128*halfling_spell_cost + N128*sylvan_spell_cost + O128*woodelf_spell_cost + P128*kobold_spell_cost + Q128*icekin_spell_cost + R128*firewalker_spell_cost + S128*nox_spell_cost + T128*human_spell_cost + U128*goblin_spell_cost + V128*orc_spell_cost + W128*ants_spell_cost + X128*armada_spell_cost + Y128*lux_spell_cost + Z128*growth_spell_cost + AA128*impgnome_spell_cost + AB128*VLOOKUP(IF(ISNUMBER(MATCH(Overview!$B$14,useless_spell_races,0)),Overview!$B$14,"Other"),Constants!$P$89:$S$102,3,FALSE))</f>
        <v>0</v>
      </c>
      <c r="AE128" s="62">
        <f t="shared" si="64"/>
        <v>0</v>
      </c>
      <c r="AG128" s="635">
        <f t="shared" si="58"/>
        <v>0</v>
      </c>
      <c r="AH128" s="529">
        <f t="shared" si="59"/>
        <v>0</v>
      </c>
      <c r="AI128" s="529">
        <f t="shared" si="60"/>
        <v>0</v>
      </c>
      <c r="AJ128" s="529">
        <f t="shared" si="61"/>
        <v>0</v>
      </c>
      <c r="AK128" s="527">
        <f t="shared" si="62"/>
        <v>0</v>
      </c>
      <c r="AL128" s="529">
        <f t="shared" si="66"/>
        <v>0</v>
      </c>
      <c r="AM128" s="529">
        <f t="shared" si="67"/>
        <v>0</v>
      </c>
      <c r="AN128" s="529">
        <f t="shared" si="68"/>
        <v>0</v>
      </c>
      <c r="AO128" s="529">
        <f t="shared" si="69"/>
        <v>0</v>
      </c>
      <c r="AP128" s="529">
        <f t="shared" si="70"/>
        <v>0</v>
      </c>
      <c r="AQ128" s="529">
        <f t="shared" si="71"/>
        <v>0</v>
      </c>
      <c r="AR128" s="958">
        <f t="shared" si="72"/>
        <v>0</v>
      </c>
      <c r="AS128" s="958">
        <f t="shared" si="73"/>
        <v>0</v>
      </c>
      <c r="AT128" s="958">
        <f t="shared" si="74"/>
        <v>0</v>
      </c>
      <c r="AU128" s="958">
        <f t="shared" si="75"/>
        <v>0</v>
      </c>
      <c r="AV128" s="958">
        <f t="shared" si="76"/>
        <v>0</v>
      </c>
      <c r="AW128" s="16">
        <f t="shared" si="77"/>
        <v>0</v>
      </c>
      <c r="AX128" s="16">
        <f t="shared" si="78"/>
        <v>0</v>
      </c>
      <c r="AY128" s="16">
        <f t="shared" si="79"/>
        <v>0</v>
      </c>
      <c r="AZ128" s="16">
        <f t="shared" si="80"/>
        <v>0</v>
      </c>
      <c r="BA128" s="16">
        <f t="shared" si="81"/>
        <v>0</v>
      </c>
      <c r="BB128" s="1382">
        <f>IF(AB128,VLOOKUP(IF(ISNUMBER(MATCH(Overview!$B$14,useless_spell_races,0)),Overview!$B$14,"Other"),Constants!$P$89:$S$102,4,FALSE),IF(BB127&gt;0,BB127-1,0))</f>
        <v>0</v>
      </c>
    </row>
    <row r="129" spans="1:54" s="16" customFormat="1">
      <c r="A129" s="987">
        <f>Rezone!J129</f>
        <v>127</v>
      </c>
      <c r="B129" s="16">
        <f>Construction!E129</f>
        <v>1000</v>
      </c>
      <c r="C129" s="26">
        <f ca="1">Production!K129</f>
        <v>59167</v>
      </c>
      <c r="D129" s="62">
        <f>MIN(1,D128+0.04+ROUNDDOWN(10*Military!BN128,0)+MAX(Techs!AN128,Techs!AW128*3))-AE129</f>
        <v>1</v>
      </c>
      <c r="E129" s="532">
        <f t="shared" si="65"/>
        <v>43697.249999999694</v>
      </c>
      <c r="F129" s="62">
        <f ca="1">Imps!J129</f>
        <v>1</v>
      </c>
      <c r="G129" s="393"/>
      <c r="H129" s="394"/>
      <c r="I129" s="394"/>
      <c r="J129" s="394"/>
      <c r="K129" s="380"/>
      <c r="L129" s="393"/>
      <c r="M129" s="394"/>
      <c r="N129" s="380"/>
      <c r="O129" s="380"/>
      <c r="P129" s="380"/>
      <c r="Q129" s="380"/>
      <c r="R129" s="380"/>
      <c r="S129" s="380"/>
      <c r="T129" s="380"/>
      <c r="U129" s="380"/>
      <c r="V129" s="380"/>
      <c r="W129" s="380"/>
      <c r="X129" s="380"/>
      <c r="Y129" s="380"/>
      <c r="Z129" s="380"/>
      <c r="AA129" s="380"/>
      <c r="AB129" s="395"/>
      <c r="AD129" s="152">
        <f>(MAX(1-wg_spell_cost_cap,1-wg_spell_cost_red*ROUND(Construction!BM129/Construction!E129,4))+Constants!$M$45*Techs!AL129)*(B129-Explore!S129*20)*(G129*Constants!$B$72+H129*Constants!$B$73+I129*Constants!$B$74+J129*Constants!$B$76+K129*Constants!$B$75+L129*dwarf_spell_cost+M129*halfling_spell_cost + N129*sylvan_spell_cost + O129*woodelf_spell_cost + P129*kobold_spell_cost + Q129*icekin_spell_cost + R129*firewalker_spell_cost + S129*nox_spell_cost + T129*human_spell_cost + U129*goblin_spell_cost + V129*orc_spell_cost + W129*ants_spell_cost + X129*armada_spell_cost + Y129*lux_spell_cost + Z129*growth_spell_cost + AA129*impgnome_spell_cost + AB129*VLOOKUP(IF(ISNUMBER(MATCH(Overview!$B$14,useless_spell_races,0)),Overview!$B$14,"Other"),Constants!$P$89:$S$102,3,FALSE))</f>
        <v>0</v>
      </c>
      <c r="AE129" s="62">
        <f t="shared" si="64"/>
        <v>0</v>
      </c>
      <c r="AG129" s="635">
        <f t="shared" si="58"/>
        <v>0</v>
      </c>
      <c r="AH129" s="529">
        <f t="shared" si="59"/>
        <v>0</v>
      </c>
      <c r="AI129" s="529">
        <f t="shared" si="60"/>
        <v>0</v>
      </c>
      <c r="AJ129" s="529">
        <f t="shared" si="61"/>
        <v>0</v>
      </c>
      <c r="AK129" s="527">
        <f t="shared" si="62"/>
        <v>0</v>
      </c>
      <c r="AL129" s="529">
        <f t="shared" si="66"/>
        <v>0</v>
      </c>
      <c r="AM129" s="529">
        <f t="shared" si="67"/>
        <v>0</v>
      </c>
      <c r="AN129" s="529">
        <f t="shared" si="68"/>
        <v>0</v>
      </c>
      <c r="AO129" s="529">
        <f t="shared" si="69"/>
        <v>0</v>
      </c>
      <c r="AP129" s="529">
        <f t="shared" si="70"/>
        <v>0</v>
      </c>
      <c r="AQ129" s="529">
        <f t="shared" si="71"/>
        <v>0</v>
      </c>
      <c r="AR129" s="958">
        <f t="shared" si="72"/>
        <v>0</v>
      </c>
      <c r="AS129" s="958">
        <f t="shared" si="73"/>
        <v>0</v>
      </c>
      <c r="AT129" s="958">
        <f t="shared" si="74"/>
        <v>0</v>
      </c>
      <c r="AU129" s="958">
        <f t="shared" si="75"/>
        <v>0</v>
      </c>
      <c r="AV129" s="958">
        <f t="shared" si="76"/>
        <v>0</v>
      </c>
      <c r="AW129" s="16">
        <f t="shared" si="77"/>
        <v>0</v>
      </c>
      <c r="AX129" s="16">
        <f t="shared" si="78"/>
        <v>0</v>
      </c>
      <c r="AY129" s="16">
        <f t="shared" si="79"/>
        <v>0</v>
      </c>
      <c r="AZ129" s="16">
        <f t="shared" si="80"/>
        <v>0</v>
      </c>
      <c r="BA129" s="16">
        <f t="shared" si="81"/>
        <v>0</v>
      </c>
      <c r="BB129" s="1382">
        <f>IF(AB129,VLOOKUP(IF(ISNUMBER(MATCH(Overview!$B$14,useless_spell_races,0)),Overview!$B$14,"Other"),Constants!$P$89:$S$102,4,FALSE),IF(BB128&gt;0,BB128-1,0))</f>
        <v>0</v>
      </c>
    </row>
    <row r="130" spans="1:54" s="16" customFormat="1">
      <c r="A130" s="987">
        <f>Rezone!J130</f>
        <v>128</v>
      </c>
      <c r="B130" s="16">
        <f>Construction!E130</f>
        <v>1000</v>
      </c>
      <c r="C130" s="26">
        <f ca="1">Production!K130</f>
        <v>59234</v>
      </c>
      <c r="D130" s="62">
        <f>MIN(1,D129+0.04+ROUNDDOWN(10*Military!BN129,0)+MAX(Techs!AN129,Techs!AW129*3))-AE130</f>
        <v>1</v>
      </c>
      <c r="E130" s="532">
        <f t="shared" si="65"/>
        <v>43697.291666666359</v>
      </c>
      <c r="F130" s="62">
        <f ca="1">Imps!J130</f>
        <v>1</v>
      </c>
      <c r="G130" s="393"/>
      <c r="H130" s="394"/>
      <c r="I130" s="394"/>
      <c r="J130" s="394"/>
      <c r="K130" s="380"/>
      <c r="L130" s="393"/>
      <c r="M130" s="394"/>
      <c r="N130" s="380"/>
      <c r="O130" s="380"/>
      <c r="P130" s="380"/>
      <c r="Q130" s="380"/>
      <c r="R130" s="380"/>
      <c r="S130" s="380"/>
      <c r="T130" s="380"/>
      <c r="U130" s="380"/>
      <c r="V130" s="380"/>
      <c r="W130" s="380"/>
      <c r="X130" s="380"/>
      <c r="Y130" s="380"/>
      <c r="Z130" s="380"/>
      <c r="AA130" s="380"/>
      <c r="AB130" s="395"/>
      <c r="AD130" s="152">
        <f>(MAX(1-wg_spell_cost_cap,1-wg_spell_cost_red*ROUND(Construction!BM130/Construction!E130,4))+Constants!$M$45*Techs!AL130)*(B130-Explore!S130*20)*(G130*Constants!$B$72+H130*Constants!$B$73+I130*Constants!$B$74+J130*Constants!$B$76+K130*Constants!$B$75+L130*dwarf_spell_cost+M130*halfling_spell_cost + N130*sylvan_spell_cost + O130*woodelf_spell_cost + P130*kobold_spell_cost + Q130*icekin_spell_cost + R130*firewalker_spell_cost + S130*nox_spell_cost + T130*human_spell_cost + U130*goblin_spell_cost + V130*orc_spell_cost + W130*ants_spell_cost + X130*armada_spell_cost + Y130*lux_spell_cost + Z130*growth_spell_cost + AA130*impgnome_spell_cost + AB130*VLOOKUP(IF(ISNUMBER(MATCH(Overview!$B$14,useless_spell_races,0)),Overview!$B$14,"Other"),Constants!$P$89:$S$102,3,FALSE))</f>
        <v>0</v>
      </c>
      <c r="AE130" s="62">
        <f t="shared" si="64"/>
        <v>0</v>
      </c>
      <c r="AG130" s="635">
        <f t="shared" si="58"/>
        <v>0</v>
      </c>
      <c r="AH130" s="529">
        <f t="shared" si="59"/>
        <v>0</v>
      </c>
      <c r="AI130" s="529">
        <f t="shared" si="60"/>
        <v>0</v>
      </c>
      <c r="AJ130" s="529">
        <f t="shared" si="61"/>
        <v>0</v>
      </c>
      <c r="AK130" s="527">
        <f t="shared" si="62"/>
        <v>0</v>
      </c>
      <c r="AL130" s="529">
        <f t="shared" si="66"/>
        <v>0</v>
      </c>
      <c r="AM130" s="529">
        <f t="shared" si="67"/>
        <v>0</v>
      </c>
      <c r="AN130" s="529">
        <f t="shared" si="68"/>
        <v>0</v>
      </c>
      <c r="AO130" s="529">
        <f t="shared" si="69"/>
        <v>0</v>
      </c>
      <c r="AP130" s="529">
        <f t="shared" si="70"/>
        <v>0</v>
      </c>
      <c r="AQ130" s="529">
        <f t="shared" si="71"/>
        <v>0</v>
      </c>
      <c r="AR130" s="958">
        <f t="shared" si="72"/>
        <v>0</v>
      </c>
      <c r="AS130" s="958">
        <f t="shared" si="73"/>
        <v>0</v>
      </c>
      <c r="AT130" s="958">
        <f t="shared" si="74"/>
        <v>0</v>
      </c>
      <c r="AU130" s="958">
        <f t="shared" si="75"/>
        <v>0</v>
      </c>
      <c r="AV130" s="958">
        <f t="shared" si="76"/>
        <v>0</v>
      </c>
      <c r="AW130" s="16">
        <f t="shared" si="77"/>
        <v>0</v>
      </c>
      <c r="AX130" s="16">
        <f t="shared" si="78"/>
        <v>0</v>
      </c>
      <c r="AY130" s="16">
        <f t="shared" si="79"/>
        <v>0</v>
      </c>
      <c r="AZ130" s="16">
        <f t="shared" si="80"/>
        <v>0</v>
      </c>
      <c r="BA130" s="16">
        <f t="shared" si="81"/>
        <v>0</v>
      </c>
      <c r="BB130" s="1382">
        <f>IF(AB130,VLOOKUP(IF(ISNUMBER(MATCH(Overview!$B$14,useless_spell_races,0)),Overview!$B$14,"Other"),Constants!$P$89:$S$102,4,FALSE),IF(BB129&gt;0,BB129-1,0))</f>
        <v>0</v>
      </c>
    </row>
    <row r="131" spans="1:54" s="16" customFormat="1">
      <c r="A131" s="987">
        <f>Rezone!J131</f>
        <v>129</v>
      </c>
      <c r="B131" s="16">
        <f>Construction!E131</f>
        <v>1000</v>
      </c>
      <c r="C131" s="26">
        <f ca="1">Production!K131</f>
        <v>59299</v>
      </c>
      <c r="D131" s="62">
        <f>MIN(1,D130+0.04+ROUNDDOWN(10*Military!BN130,0)+MAX(Techs!AN130,Techs!AW130*3))-AE131</f>
        <v>1</v>
      </c>
      <c r="E131" s="532">
        <f t="shared" si="65"/>
        <v>43697.333333333023</v>
      </c>
      <c r="F131" s="62">
        <f ca="1">Imps!J131</f>
        <v>1</v>
      </c>
      <c r="G131" s="393"/>
      <c r="H131" s="394"/>
      <c r="I131" s="394"/>
      <c r="J131" s="394"/>
      <c r="K131" s="380"/>
      <c r="L131" s="393"/>
      <c r="M131" s="394"/>
      <c r="N131" s="380"/>
      <c r="O131" s="380"/>
      <c r="P131" s="380"/>
      <c r="Q131" s="380"/>
      <c r="R131" s="380"/>
      <c r="S131" s="380"/>
      <c r="T131" s="380"/>
      <c r="U131" s="380"/>
      <c r="V131" s="380"/>
      <c r="W131" s="380"/>
      <c r="X131" s="380"/>
      <c r="Y131" s="380"/>
      <c r="Z131" s="380"/>
      <c r="AA131" s="380"/>
      <c r="AB131" s="395"/>
      <c r="AD131" s="152">
        <f>(MAX(1-wg_spell_cost_cap,1-wg_spell_cost_red*ROUND(Construction!BM131/Construction!E131,4))+Constants!$M$45*Techs!AL131)*(B131-Explore!S131*20)*(G131*Constants!$B$72+H131*Constants!$B$73+I131*Constants!$B$74+J131*Constants!$B$76+K131*Constants!$B$75+L131*dwarf_spell_cost+M131*halfling_spell_cost + N131*sylvan_spell_cost + O131*woodelf_spell_cost + P131*kobold_spell_cost + Q131*icekin_spell_cost + R131*firewalker_spell_cost + S131*nox_spell_cost + T131*human_spell_cost + U131*goblin_spell_cost + V131*orc_spell_cost + W131*ants_spell_cost + X131*armada_spell_cost + Y131*lux_spell_cost + Z131*growth_spell_cost + AA131*impgnome_spell_cost + AB131*VLOOKUP(IF(ISNUMBER(MATCH(Overview!$B$14,useless_spell_races,0)),Overview!$B$14,"Other"),Constants!$P$89:$S$102,3,FALSE))</f>
        <v>0</v>
      </c>
      <c r="AE131" s="62">
        <f t="shared" si="64"/>
        <v>0</v>
      </c>
      <c r="AG131" s="635">
        <f t="shared" si="58"/>
        <v>0</v>
      </c>
      <c r="AH131" s="529">
        <f t="shared" si="59"/>
        <v>0</v>
      </c>
      <c r="AI131" s="529">
        <f t="shared" si="60"/>
        <v>0</v>
      </c>
      <c r="AJ131" s="529">
        <f t="shared" si="61"/>
        <v>0</v>
      </c>
      <c r="AK131" s="527">
        <f t="shared" si="62"/>
        <v>0</v>
      </c>
      <c r="AL131" s="529">
        <f t="shared" si="66"/>
        <v>0</v>
      </c>
      <c r="AM131" s="529">
        <f t="shared" si="67"/>
        <v>0</v>
      </c>
      <c r="AN131" s="529">
        <f t="shared" si="68"/>
        <v>0</v>
      </c>
      <c r="AO131" s="529">
        <f t="shared" si="69"/>
        <v>0</v>
      </c>
      <c r="AP131" s="529">
        <f t="shared" si="70"/>
        <v>0</v>
      </c>
      <c r="AQ131" s="529">
        <f t="shared" si="71"/>
        <v>0</v>
      </c>
      <c r="AR131" s="958">
        <f t="shared" si="72"/>
        <v>0</v>
      </c>
      <c r="AS131" s="958">
        <f t="shared" si="73"/>
        <v>0</v>
      </c>
      <c r="AT131" s="958">
        <f t="shared" si="74"/>
        <v>0</v>
      </c>
      <c r="AU131" s="958">
        <f t="shared" si="75"/>
        <v>0</v>
      </c>
      <c r="AV131" s="958">
        <f t="shared" si="76"/>
        <v>0</v>
      </c>
      <c r="AW131" s="16">
        <f t="shared" si="77"/>
        <v>0</v>
      </c>
      <c r="AX131" s="16">
        <f t="shared" si="78"/>
        <v>0</v>
      </c>
      <c r="AY131" s="16">
        <f t="shared" si="79"/>
        <v>0</v>
      </c>
      <c r="AZ131" s="16">
        <f t="shared" si="80"/>
        <v>0</v>
      </c>
      <c r="BA131" s="16">
        <f t="shared" si="81"/>
        <v>0</v>
      </c>
      <c r="BB131" s="1382">
        <f>IF(AB131,VLOOKUP(IF(ISNUMBER(MATCH(Overview!$B$14,useless_spell_races,0)),Overview!$B$14,"Other"),Constants!$P$89:$S$102,4,FALSE),IF(BB130&gt;0,BB130-1,0))</f>
        <v>0</v>
      </c>
    </row>
    <row r="132" spans="1:54" s="16" customFormat="1">
      <c r="A132" s="987">
        <f>Rezone!J132</f>
        <v>130</v>
      </c>
      <c r="B132" s="16">
        <f>Construction!E132</f>
        <v>1000</v>
      </c>
      <c r="C132" s="26">
        <f ca="1">Production!K132</f>
        <v>59363</v>
      </c>
      <c r="D132" s="62">
        <f>MIN(1,D131+0.04+ROUNDDOWN(10*Military!BN131,0)+MAX(Techs!AN131,Techs!AW131*3))-AE132</f>
        <v>1</v>
      </c>
      <c r="E132" s="532">
        <f t="shared" si="65"/>
        <v>43697.374999999687</v>
      </c>
      <c r="F132" s="62">
        <f ca="1">Imps!J132</f>
        <v>1</v>
      </c>
      <c r="G132" s="393"/>
      <c r="H132" s="394"/>
      <c r="I132" s="394"/>
      <c r="J132" s="394"/>
      <c r="K132" s="380"/>
      <c r="L132" s="393"/>
      <c r="M132" s="394"/>
      <c r="N132" s="380"/>
      <c r="O132" s="380"/>
      <c r="P132" s="380"/>
      <c r="Q132" s="380"/>
      <c r="R132" s="380"/>
      <c r="S132" s="380"/>
      <c r="T132" s="380"/>
      <c r="U132" s="380"/>
      <c r="V132" s="380"/>
      <c r="W132" s="380"/>
      <c r="X132" s="380"/>
      <c r="Y132" s="380"/>
      <c r="Z132" s="380"/>
      <c r="AA132" s="380"/>
      <c r="AB132" s="395"/>
      <c r="AD132" s="152">
        <f>(MAX(1-wg_spell_cost_cap,1-wg_spell_cost_red*ROUND(Construction!BM132/Construction!E132,4))+Constants!$M$45*Techs!AL132)*(B132-Explore!S132*20)*(G132*Constants!$B$72+H132*Constants!$B$73+I132*Constants!$B$74+J132*Constants!$B$76+K132*Constants!$B$75+L132*dwarf_spell_cost+M132*halfling_spell_cost + N132*sylvan_spell_cost + O132*woodelf_spell_cost + P132*kobold_spell_cost + Q132*icekin_spell_cost + R132*firewalker_spell_cost + S132*nox_spell_cost + T132*human_spell_cost + U132*goblin_spell_cost + V132*orc_spell_cost + W132*ants_spell_cost + X132*armada_spell_cost + Y132*lux_spell_cost + Z132*growth_spell_cost + AA132*impgnome_spell_cost + AB132*VLOOKUP(IF(ISNUMBER(MATCH(Overview!$B$14,useless_spell_races,0)),Overview!$B$14,"Other"),Constants!$P$89:$S$102,3,FALSE))</f>
        <v>0</v>
      </c>
      <c r="AE132" s="62">
        <f t="shared" si="64"/>
        <v>0</v>
      </c>
      <c r="AG132" s="635">
        <f t="shared" si="58"/>
        <v>0</v>
      </c>
      <c r="AH132" s="529">
        <f t="shared" si="59"/>
        <v>0</v>
      </c>
      <c r="AI132" s="529">
        <f t="shared" si="60"/>
        <v>0</v>
      </c>
      <c r="AJ132" s="529">
        <f t="shared" si="61"/>
        <v>0</v>
      </c>
      <c r="AK132" s="527">
        <f t="shared" si="62"/>
        <v>0</v>
      </c>
      <c r="AL132" s="529">
        <f t="shared" si="66"/>
        <v>0</v>
      </c>
      <c r="AM132" s="529">
        <f t="shared" si="67"/>
        <v>0</v>
      </c>
      <c r="AN132" s="529">
        <f t="shared" si="68"/>
        <v>0</v>
      </c>
      <c r="AO132" s="529">
        <f t="shared" si="69"/>
        <v>0</v>
      </c>
      <c r="AP132" s="529">
        <f t="shared" si="70"/>
        <v>0</v>
      </c>
      <c r="AQ132" s="529">
        <f t="shared" si="71"/>
        <v>0</v>
      </c>
      <c r="AR132" s="958">
        <f t="shared" si="72"/>
        <v>0</v>
      </c>
      <c r="AS132" s="958">
        <f t="shared" si="73"/>
        <v>0</v>
      </c>
      <c r="AT132" s="958">
        <f t="shared" si="74"/>
        <v>0</v>
      </c>
      <c r="AU132" s="958">
        <f t="shared" si="75"/>
        <v>0</v>
      </c>
      <c r="AV132" s="958">
        <f t="shared" si="76"/>
        <v>0</v>
      </c>
      <c r="AW132" s="16">
        <f t="shared" si="77"/>
        <v>0</v>
      </c>
      <c r="AX132" s="16">
        <f t="shared" si="78"/>
        <v>0</v>
      </c>
      <c r="AY132" s="16">
        <f t="shared" si="79"/>
        <v>0</v>
      </c>
      <c r="AZ132" s="16">
        <f t="shared" si="80"/>
        <v>0</v>
      </c>
      <c r="BA132" s="16">
        <f t="shared" si="81"/>
        <v>0</v>
      </c>
      <c r="BB132" s="1382">
        <f>IF(AB132,VLOOKUP(IF(ISNUMBER(MATCH(Overview!$B$14,useless_spell_races,0)),Overview!$B$14,"Other"),Constants!$P$89:$S$102,4,FALSE),IF(BB131&gt;0,BB131-1,0))</f>
        <v>0</v>
      </c>
    </row>
    <row r="133" spans="1:54" s="16" customFormat="1">
      <c r="A133" s="987">
        <f>Rezone!J133</f>
        <v>131</v>
      </c>
      <c r="B133" s="16">
        <f>Construction!E133</f>
        <v>1000</v>
      </c>
      <c r="C133" s="26">
        <f ca="1">Production!K133</f>
        <v>59426</v>
      </c>
      <c r="D133" s="62">
        <f>MIN(1,D132+0.04+ROUNDDOWN(10*Military!BN132,0)+MAX(Techs!AN132,Techs!AW132*3))-AE133</f>
        <v>1</v>
      </c>
      <c r="E133" s="532">
        <f t="shared" si="65"/>
        <v>43697.416666666351</v>
      </c>
      <c r="F133" s="62">
        <f ca="1">Imps!J133</f>
        <v>1</v>
      </c>
      <c r="G133" s="393"/>
      <c r="H133" s="394"/>
      <c r="I133" s="394"/>
      <c r="J133" s="394"/>
      <c r="K133" s="380"/>
      <c r="L133" s="393"/>
      <c r="M133" s="394"/>
      <c r="N133" s="380"/>
      <c r="O133" s="380"/>
      <c r="P133" s="380"/>
      <c r="Q133" s="380"/>
      <c r="R133" s="380"/>
      <c r="S133" s="380"/>
      <c r="T133" s="380"/>
      <c r="U133" s="380"/>
      <c r="V133" s="380"/>
      <c r="W133" s="380"/>
      <c r="X133" s="380"/>
      <c r="Y133" s="380"/>
      <c r="Z133" s="380"/>
      <c r="AA133" s="380"/>
      <c r="AB133" s="395"/>
      <c r="AD133" s="152">
        <f>(MAX(1-wg_spell_cost_cap,1-wg_spell_cost_red*ROUND(Construction!BM133/Construction!E133,4))+Constants!$M$45*Techs!AL133)*(B133-Explore!S133*20)*(G133*Constants!$B$72+H133*Constants!$B$73+I133*Constants!$B$74+J133*Constants!$B$76+K133*Constants!$B$75+L133*dwarf_spell_cost+M133*halfling_spell_cost + N133*sylvan_spell_cost + O133*woodelf_spell_cost + P133*kobold_spell_cost + Q133*icekin_spell_cost + R133*firewalker_spell_cost + S133*nox_spell_cost + T133*human_spell_cost + U133*goblin_spell_cost + V133*orc_spell_cost + W133*ants_spell_cost + X133*armada_spell_cost + Y133*lux_spell_cost + Z133*growth_spell_cost + AA133*impgnome_spell_cost + AB133*VLOOKUP(IF(ISNUMBER(MATCH(Overview!$B$14,useless_spell_races,0)),Overview!$B$14,"Other"),Constants!$P$89:$S$102,3,FALSE))</f>
        <v>0</v>
      </c>
      <c r="AE133" s="62">
        <f t="shared" si="64"/>
        <v>0</v>
      </c>
      <c r="AG133" s="635">
        <f t="shared" ref="AG133:AG135" si="82">IF(G133,12*4,IF(AG132&gt;0,AG132-1,0))</f>
        <v>0</v>
      </c>
      <c r="AH133" s="529">
        <f t="shared" ref="AH133:AH135" si="83">IF(H133,12*4,IF(AH132&gt;0,AH132-1,0))</f>
        <v>0</v>
      </c>
      <c r="AI133" s="529">
        <f t="shared" ref="AI133:AI135" si="84">IF(I133,12*4,IF(AI132&gt;0,AI132-1,0))</f>
        <v>0</v>
      </c>
      <c r="AJ133" s="529">
        <f t="shared" ref="AJ133:AJ135" si="85">IF(J133,12*4,IF(AJ132&gt;0,AJ132-1,0))</f>
        <v>0</v>
      </c>
      <c r="AK133" s="527">
        <f t="shared" ref="AK133:AK135" si="86">IF(K133,12*4,IF(AK132&gt;0,AK132-1,0))</f>
        <v>0</v>
      </c>
      <c r="AL133" s="529">
        <f t="shared" si="66"/>
        <v>0</v>
      </c>
      <c r="AM133" s="529">
        <f t="shared" si="67"/>
        <v>0</v>
      </c>
      <c r="AN133" s="529">
        <f t="shared" si="68"/>
        <v>0</v>
      </c>
      <c r="AO133" s="529">
        <f t="shared" si="69"/>
        <v>0</v>
      </c>
      <c r="AP133" s="529">
        <f t="shared" si="70"/>
        <v>0</v>
      </c>
      <c r="AQ133" s="529">
        <f t="shared" si="71"/>
        <v>0</v>
      </c>
      <c r="AR133" s="958">
        <f t="shared" si="72"/>
        <v>0</v>
      </c>
      <c r="AS133" s="958">
        <f t="shared" si="73"/>
        <v>0</v>
      </c>
      <c r="AT133" s="958">
        <f t="shared" si="74"/>
        <v>0</v>
      </c>
      <c r="AU133" s="958">
        <f t="shared" si="75"/>
        <v>0</v>
      </c>
      <c r="AV133" s="958">
        <f t="shared" si="76"/>
        <v>0</v>
      </c>
      <c r="AW133" s="16">
        <f t="shared" si="77"/>
        <v>0</v>
      </c>
      <c r="AX133" s="16">
        <f t="shared" si="78"/>
        <v>0</v>
      </c>
      <c r="AY133" s="16">
        <f t="shared" si="79"/>
        <v>0</v>
      </c>
      <c r="AZ133" s="16">
        <f t="shared" si="80"/>
        <v>0</v>
      </c>
      <c r="BA133" s="16">
        <f t="shared" si="81"/>
        <v>0</v>
      </c>
      <c r="BB133" s="1382">
        <f>IF(AB133,VLOOKUP(IF(ISNUMBER(MATCH(Overview!$B$14,useless_spell_races,0)),Overview!$B$14,"Other"),Constants!$P$89:$S$102,4,FALSE),IF(BB132&gt;0,BB132-1,0))</f>
        <v>0</v>
      </c>
    </row>
    <row r="134" spans="1:54" s="16" customFormat="1">
      <c r="A134" s="987">
        <f>Rezone!J134</f>
        <v>132</v>
      </c>
      <c r="B134" s="16">
        <f>Construction!E134</f>
        <v>1000</v>
      </c>
      <c r="C134" s="26">
        <f ca="1">Production!K134</f>
        <v>59487</v>
      </c>
      <c r="D134" s="62">
        <f>MIN(1,D133+0.04+ROUNDDOWN(10*Military!BN133,0)+MAX(Techs!AN133,Techs!AW133*3))-AE134</f>
        <v>1</v>
      </c>
      <c r="E134" s="532">
        <f t="shared" si="65"/>
        <v>43697.458333333016</v>
      </c>
      <c r="F134" s="62">
        <f ca="1">Imps!J134</f>
        <v>1</v>
      </c>
      <c r="G134" s="393"/>
      <c r="H134" s="394"/>
      <c r="I134" s="394"/>
      <c r="J134" s="394"/>
      <c r="K134" s="380"/>
      <c r="L134" s="393"/>
      <c r="M134" s="394"/>
      <c r="N134" s="380"/>
      <c r="O134" s="380"/>
      <c r="P134" s="380"/>
      <c r="Q134" s="380"/>
      <c r="R134" s="380"/>
      <c r="S134" s="380"/>
      <c r="T134" s="380"/>
      <c r="U134" s="380"/>
      <c r="V134" s="380"/>
      <c r="W134" s="380"/>
      <c r="X134" s="380"/>
      <c r="Y134" s="380"/>
      <c r="Z134" s="380"/>
      <c r="AA134" s="380"/>
      <c r="AB134" s="395"/>
      <c r="AD134" s="152">
        <f>(MAX(1-wg_spell_cost_cap,1-wg_spell_cost_red*ROUND(Construction!BM134/Construction!E134,4))+Constants!$M$45*Techs!AL134)*(B134-Explore!S134*20)*(G134*Constants!$B$72+H134*Constants!$B$73+I134*Constants!$B$74+J134*Constants!$B$76+K134*Constants!$B$75+L134*dwarf_spell_cost+M134*halfling_spell_cost + N134*sylvan_spell_cost + O134*woodelf_spell_cost + P134*kobold_spell_cost + Q134*icekin_spell_cost + R134*firewalker_spell_cost + S134*nox_spell_cost + T134*human_spell_cost + U134*goblin_spell_cost + V134*orc_spell_cost + W134*ants_spell_cost + X134*armada_spell_cost + Y134*lux_spell_cost + Z134*growth_spell_cost + AA134*impgnome_spell_cost + AB134*VLOOKUP(IF(ISNUMBER(MATCH(Overview!$B$14,useless_spell_races,0)),Overview!$B$14,"Other"),Constants!$P$89:$S$102,3,FALSE))</f>
        <v>0</v>
      </c>
      <c r="AE134" s="62">
        <f t="shared" si="64"/>
        <v>0</v>
      </c>
      <c r="AG134" s="635">
        <f t="shared" si="82"/>
        <v>0</v>
      </c>
      <c r="AH134" s="529">
        <f t="shared" si="83"/>
        <v>0</v>
      </c>
      <c r="AI134" s="529">
        <f t="shared" si="84"/>
        <v>0</v>
      </c>
      <c r="AJ134" s="529">
        <f t="shared" si="85"/>
        <v>0</v>
      </c>
      <c r="AK134" s="527">
        <f t="shared" si="86"/>
        <v>0</v>
      </c>
      <c r="AL134" s="529">
        <f t="shared" si="66"/>
        <v>0</v>
      </c>
      <c r="AM134" s="529">
        <f t="shared" si="67"/>
        <v>0</v>
      </c>
      <c r="AN134" s="529">
        <f t="shared" si="68"/>
        <v>0</v>
      </c>
      <c r="AO134" s="529">
        <f t="shared" si="69"/>
        <v>0</v>
      </c>
      <c r="AP134" s="529">
        <f t="shared" si="70"/>
        <v>0</v>
      </c>
      <c r="AQ134" s="529">
        <f t="shared" si="71"/>
        <v>0</v>
      </c>
      <c r="AR134" s="958">
        <f t="shared" si="72"/>
        <v>0</v>
      </c>
      <c r="AS134" s="958">
        <f t="shared" si="73"/>
        <v>0</v>
      </c>
      <c r="AT134" s="958">
        <f t="shared" si="74"/>
        <v>0</v>
      </c>
      <c r="AU134" s="958">
        <f t="shared" si="75"/>
        <v>0</v>
      </c>
      <c r="AV134" s="958">
        <f t="shared" si="76"/>
        <v>0</v>
      </c>
      <c r="AW134" s="16">
        <f t="shared" si="77"/>
        <v>0</v>
      </c>
      <c r="AX134" s="16">
        <f t="shared" si="78"/>
        <v>0</v>
      </c>
      <c r="AY134" s="16">
        <f t="shared" si="79"/>
        <v>0</v>
      </c>
      <c r="AZ134" s="16">
        <f t="shared" si="80"/>
        <v>0</v>
      </c>
      <c r="BA134" s="16">
        <f t="shared" si="81"/>
        <v>0</v>
      </c>
      <c r="BB134" s="1382">
        <f>IF(AB134,VLOOKUP(IF(ISNUMBER(MATCH(Overview!$B$14,useless_spell_races,0)),Overview!$B$14,"Other"),Constants!$P$89:$S$102,4,FALSE),IF(BB133&gt;0,BB133-1,0))</f>
        <v>0</v>
      </c>
    </row>
    <row r="135" spans="1:54" s="12" customFormat="1">
      <c r="A135" s="990">
        <f>Rezone!J135</f>
        <v>133</v>
      </c>
      <c r="B135" s="12">
        <f>Construction!E135</f>
        <v>1000</v>
      </c>
      <c r="C135" s="13">
        <f ca="1">Production!K135</f>
        <v>59547</v>
      </c>
      <c r="D135" s="61">
        <f>MIN(1,D134+0.04+ROUNDDOWN(10*Military!BN134,0)+MAX(Techs!AN134,Techs!AW134*3))-AE135</f>
        <v>1</v>
      </c>
      <c r="E135" s="533">
        <f t="shared" si="65"/>
        <v>43697.49999999968</v>
      </c>
      <c r="F135" s="61">
        <f ca="1">Imps!J135</f>
        <v>1</v>
      </c>
      <c r="G135" s="400"/>
      <c r="H135" s="388"/>
      <c r="I135" s="401"/>
      <c r="J135" s="401"/>
      <c r="K135" s="382"/>
      <c r="L135" s="400"/>
      <c r="M135" s="401"/>
      <c r="N135" s="382"/>
      <c r="O135" s="382"/>
      <c r="P135" s="382"/>
      <c r="Q135" s="382"/>
      <c r="R135" s="382"/>
      <c r="S135" s="382"/>
      <c r="T135" s="382"/>
      <c r="U135" s="382"/>
      <c r="V135" s="382"/>
      <c r="W135" s="382"/>
      <c r="X135" s="382"/>
      <c r="Y135" s="382"/>
      <c r="Z135" s="382"/>
      <c r="AA135" s="382"/>
      <c r="AB135" s="402"/>
      <c r="AD135" s="151">
        <f>(MAX(1-wg_spell_cost_cap,1-wg_spell_cost_red*ROUND(Construction!BM135/Construction!E135,4))+Constants!$M$45*Techs!AL135)*(B135-Explore!S135*20)*(G135*Constants!$B$72+H135*Constants!$B$73+I135*Constants!$B$74+J135*Constants!$B$76+K135*Constants!$B$75+L135*dwarf_spell_cost+M135*halfling_spell_cost + N135*sylvan_spell_cost + O135*woodelf_spell_cost + P135*kobold_spell_cost + Q135*icekin_spell_cost + R135*firewalker_spell_cost + S135*nox_spell_cost + T135*human_spell_cost + U135*goblin_spell_cost + V135*orc_spell_cost + W135*ants_spell_cost + X135*armada_spell_cost + Y135*lux_spell_cost + Z135*growth_spell_cost + AA135*impgnome_spell_cost + AB135*VLOOKUP(IF(ISNUMBER(MATCH(Overview!$B$14,useless_spell_races,0)),Overview!$B$14,"Other"),Constants!$P$89:$S$102,3,FALSE))</f>
        <v>0</v>
      </c>
      <c r="AE135" s="61">
        <f t="shared" si="64"/>
        <v>0</v>
      </c>
      <c r="AG135" s="755">
        <f t="shared" si="82"/>
        <v>0</v>
      </c>
      <c r="AH135" s="631">
        <f t="shared" si="83"/>
        <v>0</v>
      </c>
      <c r="AI135" s="631">
        <f t="shared" si="84"/>
        <v>0</v>
      </c>
      <c r="AJ135" s="631">
        <f t="shared" si="85"/>
        <v>0</v>
      </c>
      <c r="AK135" s="551">
        <f t="shared" si="86"/>
        <v>0</v>
      </c>
      <c r="AL135" s="631">
        <f t="shared" si="66"/>
        <v>0</v>
      </c>
      <c r="AM135" s="631">
        <f t="shared" si="67"/>
        <v>0</v>
      </c>
      <c r="AN135" s="631">
        <f t="shared" si="68"/>
        <v>0</v>
      </c>
      <c r="AO135" s="631">
        <f t="shared" si="69"/>
        <v>0</v>
      </c>
      <c r="AP135" s="631">
        <f t="shared" si="70"/>
        <v>0</v>
      </c>
      <c r="AQ135" s="631">
        <f t="shared" si="71"/>
        <v>0</v>
      </c>
      <c r="AR135" s="804">
        <f t="shared" si="72"/>
        <v>0</v>
      </c>
      <c r="AS135" s="804">
        <f t="shared" si="73"/>
        <v>0</v>
      </c>
      <c r="AT135" s="804">
        <f t="shared" si="74"/>
        <v>0</v>
      </c>
      <c r="AU135" s="804">
        <f t="shared" si="75"/>
        <v>0</v>
      </c>
      <c r="AV135" s="804">
        <f t="shared" si="76"/>
        <v>0</v>
      </c>
      <c r="AW135" s="12">
        <f t="shared" si="77"/>
        <v>0</v>
      </c>
      <c r="AX135" s="12">
        <f t="shared" si="78"/>
        <v>0</v>
      </c>
      <c r="AY135" s="12">
        <f t="shared" si="79"/>
        <v>0</v>
      </c>
      <c r="AZ135" s="12">
        <f t="shared" si="80"/>
        <v>0</v>
      </c>
      <c r="BA135" s="12">
        <f t="shared" si="81"/>
        <v>0</v>
      </c>
      <c r="BB135" s="1385">
        <f>IF(AB135,VLOOKUP(IF(ISNUMBER(MATCH(Overview!$B$14,useless_spell_races,0)),Overview!$B$14,"Other"),Constants!$P$89:$S$102,4,FALSE),IF(BB134&gt;0,BB134-1,0))</f>
        <v>0</v>
      </c>
    </row>
    <row r="1268" spans="3:4">
      <c r="C1268" s="1463" t="s">
        <v>332</v>
      </c>
      <c r="D1268" s="1406"/>
    </row>
    <row r="1269" spans="3:4">
      <c r="C1269" s="672">
        <f ca="1">Overview!E17</f>
        <v>1185</v>
      </c>
      <c r="D1269" s="672"/>
    </row>
  </sheetData>
  <mergeCells count="1">
    <mergeCell ref="C1268:D1268"/>
  </mergeCells>
  <phoneticPr fontId="0" type="noConversion"/>
  <conditionalFormatting sqref="AW18582:JG29750 AW8198:JG8198 AE18613:AV29781 B12458:C20615 B8249:AV8249">
    <cfRule type="expression" dxfId="46" priority="1" stopIfTrue="1">
      <formula>ROW()-2=#REF!</formula>
    </cfRule>
  </conditionalFormatting>
  <conditionalFormatting sqref="A1268:XFD1269">
    <cfRule type="expression" dxfId="45" priority="2" stopIfTrue="1">
      <formula>$C$1269&gt;144</formula>
    </cfRule>
  </conditionalFormatting>
  <conditionalFormatting sqref="E3:F135 A3:A135 AC3:JG135">
    <cfRule type="expression" dxfId="44" priority="3" stopIfTrue="1">
      <formula>ROW()-3=$C$1269</formula>
    </cfRule>
  </conditionalFormatting>
  <conditionalFormatting sqref="B3:D135">
    <cfRule type="expression" dxfId="43" priority="4" stopIfTrue="1">
      <formula>OR(ROW()-3=$C$1269,B3&lt;0)</formula>
    </cfRule>
  </conditionalFormatting>
  <conditionalFormatting sqref="G3:AB135">
    <cfRule type="expression" dxfId="42" priority="5" stopIfTrue="1">
      <formula>OR(ROW()-3=$C$1269,AND(G3&lt;&gt;1,G3&lt;&gt;""))</formula>
    </cfRule>
  </conditionalFormatting>
  <conditionalFormatting sqref="A1:XFD2">
    <cfRule type="expression" dxfId="41" priority="6" stopIfTrue="1">
      <formula>$C$1269&lt;0</formula>
    </cfRule>
  </conditionalFormatting>
  <dataValidations count="1">
    <dataValidation type="whole" operator="equal" allowBlank="1" showInputMessage="1" showErrorMessage="1" sqref="G3:AB135">
      <formula1>1</formula1>
    </dataValidation>
  </dataValidations>
  <pageMargins left="0.75" right="0.75" top="1" bottom="1" header="0.5" footer="0.5"/>
  <pageSetup paperSize="9" orientation="portrait" horizontalDpi="300" verticalDpi="300" copies="0" r:id="rId1"/>
  <headerFooter alignWithMargins="0"/>
</worksheet>
</file>

<file path=xl/worksheets/sheet9.xml><?xml version="1.0" encoding="utf-8"?>
<worksheet xmlns="http://schemas.openxmlformats.org/spreadsheetml/2006/main" xmlns:r="http://schemas.openxmlformats.org/officeDocument/2006/relationships">
  <sheetPr codeName="Sheet14"/>
  <dimension ref="A1:BY1269"/>
  <sheetViews>
    <sheetView zoomScale="85" workbookViewId="0">
      <pane ySplit="23" topLeftCell="A63" activePane="bottomLeft" state="frozen"/>
      <selection activeCell="K76" sqref="K76"/>
      <selection pane="bottomLeft" activeCell="A75" sqref="A75:XFD75"/>
    </sheetView>
  </sheetViews>
  <sheetFormatPr defaultColWidth="30.42578125" defaultRowHeight="12.75"/>
  <cols>
    <col min="1" max="1" width="3.85546875" style="16" customWidth="1"/>
    <col min="2" max="2" width="6.7109375" style="853" bestFit="1" customWidth="1"/>
    <col min="3" max="3" width="6.7109375" bestFit="1" customWidth="1"/>
    <col min="4" max="4" width="13.42578125" bestFit="1" customWidth="1"/>
    <col min="5" max="5" width="5.7109375" bestFit="1" customWidth="1"/>
    <col min="6" max="6" width="8.5703125" bestFit="1" customWidth="1"/>
    <col min="7" max="7" width="7.42578125" customWidth="1"/>
    <col min="8" max="8" width="14.42578125" customWidth="1"/>
    <col min="9" max="9" width="2.7109375" customWidth="1"/>
    <col min="10" max="10" width="6.5703125" customWidth="1"/>
    <col min="11" max="11" width="3" customWidth="1"/>
    <col min="12" max="12" width="3.85546875" customWidth="1"/>
    <col min="13" max="13" width="28.140625" bestFit="1" customWidth="1"/>
    <col min="14" max="14" width="3" customWidth="1"/>
    <col min="15" max="15" width="3.5703125" customWidth="1"/>
    <col min="16" max="16" width="7.28515625" customWidth="1"/>
    <col min="17" max="17" width="16.28515625" customWidth="1"/>
    <col min="18" max="18" width="3" customWidth="1"/>
    <col min="19" max="19" width="9.7109375" customWidth="1"/>
    <col min="20" max="20" width="3.140625" customWidth="1"/>
    <col min="21" max="21" width="7.28515625" customWidth="1"/>
    <col min="22" max="22" width="7.5703125" customWidth="1"/>
    <col min="23" max="23" width="7.85546875" style="52" customWidth="1"/>
    <col min="24" max="24" width="9" style="16" bestFit="1" customWidth="1"/>
    <col min="25" max="25" width="8.42578125" style="16" bestFit="1" customWidth="1"/>
    <col min="26" max="26" width="7.85546875" style="16" bestFit="1" customWidth="1"/>
    <col min="27" max="27" width="6.28515625" style="16" bestFit="1" customWidth="1"/>
    <col min="28" max="28" width="14.85546875" style="16" bestFit="1" customWidth="1"/>
    <col min="29" max="29" width="11.42578125" style="16" bestFit="1" customWidth="1"/>
    <col min="30" max="31" width="8.42578125" style="16" bestFit="1" customWidth="1"/>
    <col min="32" max="32" width="11.42578125" style="16" bestFit="1" customWidth="1"/>
    <col min="33" max="33" width="11.5703125" style="16" bestFit="1" customWidth="1"/>
    <col min="34" max="34" width="7.42578125" style="16" bestFit="1" customWidth="1"/>
    <col min="35" max="35" width="11.85546875" style="16" bestFit="1" customWidth="1"/>
    <col min="36" max="36" width="12.5703125" style="16" bestFit="1" customWidth="1"/>
    <col min="37" max="37" width="8.85546875" style="16" bestFit="1" customWidth="1"/>
    <col min="38" max="38" width="13.85546875" style="16" bestFit="1" customWidth="1"/>
    <col min="39" max="39" width="12.140625" style="16" bestFit="1" customWidth="1"/>
    <col min="40" max="40" width="9.140625" style="16" bestFit="1" customWidth="1"/>
    <col min="41" max="41" width="22" style="16" bestFit="1" customWidth="1"/>
    <col min="42" max="42" width="21.140625" style="16" bestFit="1" customWidth="1"/>
    <col min="43" max="43" width="16.85546875" style="16" bestFit="1" customWidth="1"/>
    <col min="44" max="44" width="16.7109375" style="16" bestFit="1" customWidth="1"/>
    <col min="45" max="45" width="22.140625" style="16" bestFit="1" customWidth="1"/>
    <col min="46" max="46" width="20.28515625" style="16" bestFit="1" customWidth="1"/>
    <col min="47" max="47" width="17.28515625" style="16" bestFit="1" customWidth="1"/>
    <col min="48" max="48" width="21" style="16" bestFit="1" customWidth="1"/>
    <col min="49" max="49" width="15.28515625" style="16" bestFit="1" customWidth="1"/>
    <col min="50" max="50" width="8" style="63" customWidth="1"/>
    <col min="51" max="51" width="7.85546875" style="16" bestFit="1" customWidth="1"/>
    <col min="52" max="52" width="9" style="16" bestFit="1" customWidth="1"/>
    <col min="53" max="53" width="8.42578125" style="16" bestFit="1" customWidth="1"/>
    <col min="54" max="54" width="7.85546875" style="16" bestFit="1" customWidth="1"/>
    <col min="55" max="55" width="6.28515625" style="16" bestFit="1" customWidth="1"/>
    <col min="56" max="56" width="14.85546875" style="16" bestFit="1" customWidth="1"/>
    <col min="57" max="57" width="11.42578125" style="16" bestFit="1" customWidth="1"/>
    <col min="58" max="59" width="8.42578125" style="16" bestFit="1" customWidth="1"/>
    <col min="60" max="60" width="11.42578125" style="16" bestFit="1" customWidth="1"/>
    <col min="61" max="61" width="11.5703125" style="16" bestFit="1" customWidth="1"/>
    <col min="62" max="62" width="7.42578125" style="16" bestFit="1" customWidth="1"/>
    <col min="63" max="63" width="11.85546875" style="16" bestFit="1" customWidth="1"/>
    <col min="64" max="64" width="12.5703125" style="16" bestFit="1" customWidth="1"/>
    <col min="65" max="65" width="8.85546875" style="16" bestFit="1" customWidth="1"/>
    <col min="66" max="66" width="13.85546875" style="16" bestFit="1" customWidth="1"/>
    <col min="67" max="67" width="12.140625" style="16" bestFit="1" customWidth="1"/>
    <col min="68" max="68" width="9.140625" style="16" bestFit="1" customWidth="1"/>
    <col min="69" max="69" width="22" style="16" bestFit="1" customWidth="1"/>
    <col min="70" max="70" width="21.140625" style="16" bestFit="1" customWidth="1"/>
    <col min="71" max="71" width="16.85546875" style="16" bestFit="1" customWidth="1"/>
    <col min="72" max="72" width="16.7109375" style="16" bestFit="1" customWidth="1"/>
    <col min="73" max="73" width="22.140625" style="16" bestFit="1" customWidth="1"/>
    <col min="74" max="74" width="20.28515625" style="16" bestFit="1" customWidth="1"/>
    <col min="75" max="75" width="17.28515625" style="16" bestFit="1" customWidth="1"/>
    <col min="76" max="76" width="21" style="16" bestFit="1" customWidth="1"/>
    <col min="77" max="77" width="15.28515625" style="53" bestFit="1" customWidth="1"/>
  </cols>
  <sheetData>
    <row r="1" spans="1:77" s="446" customFormat="1">
      <c r="B1" s="49"/>
      <c r="F1" s="908" t="s">
        <v>429</v>
      </c>
      <c r="G1" s="940" t="s">
        <v>462</v>
      </c>
      <c r="H1" s="939">
        <f>A3</f>
        <v>1</v>
      </c>
      <c r="I1" s="942">
        <f ca="1">(INDIRECT("D" &amp; (INDIRECT("A3")+2)) &gt;= INDIRECT("E" &amp; (INDIRECT("A3")+2)))*1</f>
        <v>0</v>
      </c>
      <c r="J1" s="963" t="s">
        <v>494</v>
      </c>
      <c r="K1" s="910"/>
      <c r="L1" s="910"/>
      <c r="M1" s="909"/>
      <c r="N1" s="911"/>
      <c r="O1" s="911"/>
      <c r="P1" s="909"/>
      <c r="Q1" s="909"/>
      <c r="R1" s="910"/>
      <c r="S1" s="910"/>
      <c r="T1" s="909"/>
      <c r="U1" s="912"/>
      <c r="W1" s="1503" t="s">
        <v>402</v>
      </c>
      <c r="X1" s="1501"/>
      <c r="Y1" s="1501"/>
      <c r="Z1" s="1501" t="s">
        <v>188</v>
      </c>
      <c r="AA1" s="1501"/>
      <c r="AB1" s="1501"/>
      <c r="AC1" s="1501" t="s">
        <v>292</v>
      </c>
      <c r="AD1" s="1501"/>
      <c r="AE1" s="1501"/>
      <c r="AF1" s="1501" t="s">
        <v>22</v>
      </c>
      <c r="AG1" s="1501"/>
      <c r="AH1" s="1501"/>
      <c r="AI1" s="1501" t="s">
        <v>76</v>
      </c>
      <c r="AJ1" s="1501"/>
      <c r="AK1" s="1501"/>
      <c r="AL1" s="1501" t="s">
        <v>194</v>
      </c>
      <c r="AM1" s="1501"/>
      <c r="AN1" s="1501"/>
      <c r="AO1" s="934" t="s">
        <v>403</v>
      </c>
      <c r="AP1" s="934" t="s">
        <v>404</v>
      </c>
      <c r="AQ1" s="934" t="s">
        <v>405</v>
      </c>
      <c r="AR1" s="934" t="s">
        <v>406</v>
      </c>
      <c r="AS1" s="934" t="s">
        <v>407</v>
      </c>
      <c r="AT1" s="934" t="s">
        <v>408</v>
      </c>
      <c r="AU1" s="934" t="s">
        <v>409</v>
      </c>
      <c r="AV1" s="934" t="s">
        <v>410</v>
      </c>
      <c r="AW1" s="934" t="s">
        <v>411</v>
      </c>
      <c r="AX1" s="948"/>
      <c r="AY1" s="1503" t="s">
        <v>402</v>
      </c>
      <c r="AZ1" s="1501"/>
      <c r="BA1" s="1501"/>
      <c r="BB1" s="1501" t="s">
        <v>188</v>
      </c>
      <c r="BC1" s="1501"/>
      <c r="BD1" s="1501"/>
      <c r="BE1" s="1501" t="s">
        <v>292</v>
      </c>
      <c r="BF1" s="1501"/>
      <c r="BG1" s="1501"/>
      <c r="BH1" s="1501" t="s">
        <v>22</v>
      </c>
      <c r="BI1" s="1501"/>
      <c r="BJ1" s="1501"/>
      <c r="BK1" s="1501" t="s">
        <v>76</v>
      </c>
      <c r="BL1" s="1501"/>
      <c r="BM1" s="1501"/>
      <c r="BN1" s="1501" t="s">
        <v>194</v>
      </c>
      <c r="BO1" s="1501"/>
      <c r="BP1" s="1501"/>
      <c r="BQ1" s="934" t="s">
        <v>403</v>
      </c>
      <c r="BR1" s="934" t="s">
        <v>404</v>
      </c>
      <c r="BS1" s="934" t="s">
        <v>405</v>
      </c>
      <c r="BT1" s="934" t="s">
        <v>406</v>
      </c>
      <c r="BU1" s="934" t="s">
        <v>407</v>
      </c>
      <c r="BV1" s="934" t="s">
        <v>408</v>
      </c>
      <c r="BW1" s="934" t="s">
        <v>409</v>
      </c>
      <c r="BX1" s="934" t="s">
        <v>410</v>
      </c>
      <c r="BY1" s="935" t="s">
        <v>411</v>
      </c>
    </row>
    <row r="2" spans="1:77" s="523" customFormat="1" ht="13.5" thickBot="1">
      <c r="B2" s="996" t="s">
        <v>0</v>
      </c>
      <c r="C2" s="941" t="s">
        <v>1</v>
      </c>
      <c r="D2" s="941" t="s">
        <v>388</v>
      </c>
      <c r="E2" s="941" t="s">
        <v>33</v>
      </c>
      <c r="F2" s="932"/>
      <c r="G2" s="915"/>
      <c r="H2" s="915"/>
      <c r="I2" s="915"/>
      <c r="J2" s="915"/>
      <c r="K2" s="915"/>
      <c r="L2" s="915"/>
      <c r="M2" s="915"/>
      <c r="N2" s="915"/>
      <c r="O2" s="915"/>
      <c r="P2" s="915"/>
      <c r="Q2" s="915"/>
      <c r="R2" s="915"/>
      <c r="S2" s="915"/>
      <c r="T2" s="915"/>
      <c r="U2" s="933"/>
      <c r="W2" s="682" t="s">
        <v>435</v>
      </c>
      <c r="X2" s="547" t="s">
        <v>436</v>
      </c>
      <c r="Y2" s="547" t="s">
        <v>437</v>
      </c>
      <c r="Z2" s="547" t="s">
        <v>438</v>
      </c>
      <c r="AA2" s="547" t="s">
        <v>439</v>
      </c>
      <c r="AB2" s="547" t="s">
        <v>440</v>
      </c>
      <c r="AC2" s="547" t="s">
        <v>441</v>
      </c>
      <c r="AD2" s="547" t="s">
        <v>442</v>
      </c>
      <c r="AE2" s="547" t="s">
        <v>443</v>
      </c>
      <c r="AF2" s="547" t="s">
        <v>444</v>
      </c>
      <c r="AG2" s="547" t="s">
        <v>445</v>
      </c>
      <c r="AH2" s="547" t="s">
        <v>446</v>
      </c>
      <c r="AI2" s="547" t="s">
        <v>447</v>
      </c>
      <c r="AJ2" s="547" t="s">
        <v>448</v>
      </c>
      <c r="AK2" s="547" t="s">
        <v>449</v>
      </c>
      <c r="AL2" s="547" t="s">
        <v>450</v>
      </c>
      <c r="AM2" s="547" t="s">
        <v>451</v>
      </c>
      <c r="AN2" s="547" t="s">
        <v>452</v>
      </c>
      <c r="AO2" s="547" t="s">
        <v>453</v>
      </c>
      <c r="AP2" s="547" t="s">
        <v>454</v>
      </c>
      <c r="AQ2" s="547" t="s">
        <v>455</v>
      </c>
      <c r="AR2" s="547" t="s">
        <v>456</v>
      </c>
      <c r="AS2" s="547" t="s">
        <v>457</v>
      </c>
      <c r="AT2" s="547" t="s">
        <v>458</v>
      </c>
      <c r="AU2" s="547" t="s">
        <v>459</v>
      </c>
      <c r="AV2" s="547" t="s">
        <v>460</v>
      </c>
      <c r="AW2" s="547" t="s">
        <v>461</v>
      </c>
      <c r="AX2" s="949"/>
      <c r="AY2" s="547" t="s">
        <v>435</v>
      </c>
      <c r="AZ2" s="547" t="s">
        <v>436</v>
      </c>
      <c r="BA2" s="547" t="s">
        <v>437</v>
      </c>
      <c r="BB2" s="547" t="s">
        <v>438</v>
      </c>
      <c r="BC2" s="547" t="s">
        <v>439</v>
      </c>
      <c r="BD2" s="547" t="s">
        <v>440</v>
      </c>
      <c r="BE2" s="547" t="s">
        <v>441</v>
      </c>
      <c r="BF2" s="547" t="s">
        <v>442</v>
      </c>
      <c r="BG2" s="547" t="s">
        <v>443</v>
      </c>
      <c r="BH2" s="547" t="s">
        <v>444</v>
      </c>
      <c r="BI2" s="547" t="s">
        <v>445</v>
      </c>
      <c r="BJ2" s="547" t="s">
        <v>446</v>
      </c>
      <c r="BK2" s="547" t="s">
        <v>447</v>
      </c>
      <c r="BL2" s="547">
        <v>1</v>
      </c>
      <c r="BM2" s="547" t="s">
        <v>449</v>
      </c>
      <c r="BN2" s="547" t="s">
        <v>450</v>
      </c>
      <c r="BO2" s="547" t="s">
        <v>451</v>
      </c>
      <c r="BP2" s="547" t="s">
        <v>452</v>
      </c>
      <c r="BQ2" s="547" t="s">
        <v>453</v>
      </c>
      <c r="BR2" s="547" t="s">
        <v>454</v>
      </c>
      <c r="BS2" s="547" t="s">
        <v>455</v>
      </c>
      <c r="BT2" s="547" t="s">
        <v>456</v>
      </c>
      <c r="BU2" s="547" t="s">
        <v>457</v>
      </c>
      <c r="BV2" s="547" t="s">
        <v>458</v>
      </c>
      <c r="BW2" s="547" t="s">
        <v>459</v>
      </c>
      <c r="BX2" s="547" t="s">
        <v>460</v>
      </c>
      <c r="BY2" s="663" t="s">
        <v>461</v>
      </c>
    </row>
    <row r="3" spans="1:77" s="12" customFormat="1">
      <c r="A3" s="902">
        <v>1</v>
      </c>
      <c r="B3" s="997">
        <f>Rezone!J3</f>
        <v>1</v>
      </c>
      <c r="C3" s="903">
        <f>Construction!E3</f>
        <v>1000</v>
      </c>
      <c r="D3" s="686">
        <f>Production!P3</f>
        <v>0</v>
      </c>
      <c r="E3" s="846">
        <f>Production!Q3</f>
        <v>6426</v>
      </c>
      <c r="F3" s="913"/>
      <c r="G3" s="1490" t="s">
        <v>402</v>
      </c>
      <c r="H3" s="1491"/>
      <c r="I3" s="1491"/>
      <c r="J3" s="914"/>
      <c r="K3" s="915"/>
      <c r="L3" s="915"/>
      <c r="M3" s="914"/>
      <c r="N3" s="28"/>
      <c r="O3" s="28"/>
      <c r="P3" s="914"/>
      <c r="Q3" s="1484" t="s">
        <v>430</v>
      </c>
      <c r="R3" s="1494"/>
      <c r="S3" s="1494"/>
      <c r="T3" s="914"/>
      <c r="U3" s="916"/>
      <c r="V3"/>
      <c r="W3" s="50">
        <f>AY3*1</f>
        <v>0</v>
      </c>
      <c r="X3" s="12">
        <f t="shared" ref="X3:AW3" si="0">AZ3*1</f>
        <v>0</v>
      </c>
      <c r="Y3" s="12">
        <f t="shared" si="0"/>
        <v>0</v>
      </c>
      <c r="Z3" s="12">
        <f t="shared" si="0"/>
        <v>0</v>
      </c>
      <c r="AA3" s="12">
        <f t="shared" si="0"/>
        <v>0</v>
      </c>
      <c r="AB3" s="12">
        <f t="shared" si="0"/>
        <v>0</v>
      </c>
      <c r="AC3" s="12">
        <f t="shared" si="0"/>
        <v>0</v>
      </c>
      <c r="AD3" s="12">
        <f t="shared" si="0"/>
        <v>0</v>
      </c>
      <c r="AE3" s="12">
        <f t="shared" si="0"/>
        <v>0</v>
      </c>
      <c r="AF3" s="12">
        <f t="shared" si="0"/>
        <v>0</v>
      </c>
      <c r="AG3" s="12">
        <f t="shared" si="0"/>
        <v>0</v>
      </c>
      <c r="AH3" s="12">
        <f t="shared" si="0"/>
        <v>0</v>
      </c>
      <c r="AI3" s="12">
        <f t="shared" si="0"/>
        <v>0</v>
      </c>
      <c r="AJ3" s="12">
        <f t="shared" si="0"/>
        <v>0</v>
      </c>
      <c r="AK3" s="12">
        <f t="shared" si="0"/>
        <v>0</v>
      </c>
      <c r="AL3" s="12">
        <f t="shared" si="0"/>
        <v>0</v>
      </c>
      <c r="AM3" s="12">
        <f t="shared" si="0"/>
        <v>0</v>
      </c>
      <c r="AN3" s="12">
        <f t="shared" si="0"/>
        <v>0</v>
      </c>
      <c r="AO3" s="12">
        <f t="shared" si="0"/>
        <v>0</v>
      </c>
      <c r="AP3" s="12">
        <f t="shared" si="0"/>
        <v>0</v>
      </c>
      <c r="AQ3" s="12">
        <f t="shared" si="0"/>
        <v>0</v>
      </c>
      <c r="AR3" s="12">
        <f t="shared" si="0"/>
        <v>0</v>
      </c>
      <c r="AS3" s="12">
        <f t="shared" si="0"/>
        <v>0</v>
      </c>
      <c r="AT3" s="12">
        <f t="shared" si="0"/>
        <v>0</v>
      </c>
      <c r="AU3" s="12">
        <f t="shared" si="0"/>
        <v>0</v>
      </c>
      <c r="AV3" s="12">
        <f t="shared" si="0"/>
        <v>0</v>
      </c>
      <c r="AW3" s="12">
        <f t="shared" si="0"/>
        <v>0</v>
      </c>
      <c r="AX3" s="286"/>
      <c r="BY3" s="51"/>
    </row>
    <row r="4" spans="1:77">
      <c r="A4" s="904"/>
      <c r="B4" s="998">
        <f>Rezone!J4</f>
        <v>2</v>
      </c>
      <c r="C4" s="160">
        <f>Construction!E4</f>
        <v>1000</v>
      </c>
      <c r="D4" s="164">
        <f>Production!P4</f>
        <v>0</v>
      </c>
      <c r="E4" s="166">
        <f>Production!Q4</f>
        <v>6426</v>
      </c>
      <c r="F4" s="917" t="b">
        <f>I4</f>
        <v>0</v>
      </c>
      <c r="G4" s="1499" t="s">
        <v>412</v>
      </c>
      <c r="H4" s="1505"/>
      <c r="I4" s="919" t="b">
        <v>0</v>
      </c>
      <c r="J4" s="914"/>
      <c r="K4" s="28"/>
      <c r="L4" s="28"/>
      <c r="M4" s="914" t="s">
        <v>431</v>
      </c>
      <c r="N4" s="28"/>
      <c r="O4" s="28"/>
      <c r="P4" s="920" t="b">
        <f>T4</f>
        <v>0</v>
      </c>
      <c r="Q4" s="1499" t="s">
        <v>415</v>
      </c>
      <c r="R4" s="1500"/>
      <c r="S4" s="1500"/>
      <c r="T4" s="919" t="b">
        <v>0</v>
      </c>
      <c r="U4" s="916"/>
      <c r="W4" s="52">
        <f>MAX(W3,1*AY4)</f>
        <v>0</v>
      </c>
      <c r="X4" s="16">
        <f t="shared" ref="X4:AW4" si="1">MAX(X3,AZ4)</f>
        <v>0</v>
      </c>
      <c r="Y4" s="16">
        <f t="shared" si="1"/>
        <v>0</v>
      </c>
      <c r="Z4" s="16">
        <f t="shared" si="1"/>
        <v>0</v>
      </c>
      <c r="AA4" s="16">
        <f t="shared" si="1"/>
        <v>0</v>
      </c>
      <c r="AB4" s="16">
        <f t="shared" si="1"/>
        <v>0</v>
      </c>
      <c r="AC4" s="16">
        <f t="shared" si="1"/>
        <v>0</v>
      </c>
      <c r="AD4" s="16">
        <f t="shared" si="1"/>
        <v>0</v>
      </c>
      <c r="AE4" s="16">
        <f t="shared" si="1"/>
        <v>0</v>
      </c>
      <c r="AF4" s="16">
        <f t="shared" si="1"/>
        <v>0</v>
      </c>
      <c r="AG4" s="16">
        <f t="shared" si="1"/>
        <v>0</v>
      </c>
      <c r="AH4" s="16">
        <f t="shared" si="1"/>
        <v>0</v>
      </c>
      <c r="AI4" s="16">
        <f t="shared" si="1"/>
        <v>0</v>
      </c>
      <c r="AJ4" s="16">
        <f t="shared" si="1"/>
        <v>0</v>
      </c>
      <c r="AK4" s="16">
        <f t="shared" si="1"/>
        <v>0</v>
      </c>
      <c r="AL4" s="16">
        <f t="shared" si="1"/>
        <v>0</v>
      </c>
      <c r="AM4" s="16">
        <f t="shared" si="1"/>
        <v>0</v>
      </c>
      <c r="AN4" s="16">
        <f t="shared" si="1"/>
        <v>0</v>
      </c>
      <c r="AO4" s="16">
        <f t="shared" si="1"/>
        <v>0</v>
      </c>
      <c r="AP4" s="16">
        <f t="shared" si="1"/>
        <v>0</v>
      </c>
      <c r="AQ4" s="16">
        <f t="shared" si="1"/>
        <v>0</v>
      </c>
      <c r="AR4" s="16">
        <f t="shared" si="1"/>
        <v>0</v>
      </c>
      <c r="AS4" s="16">
        <f t="shared" si="1"/>
        <v>0</v>
      </c>
      <c r="AT4" s="16">
        <f t="shared" si="1"/>
        <v>0</v>
      </c>
      <c r="AU4" s="16">
        <f t="shared" si="1"/>
        <v>0</v>
      </c>
      <c r="AV4" s="16">
        <f t="shared" si="1"/>
        <v>0</v>
      </c>
      <c r="AW4" s="16">
        <f t="shared" si="1"/>
        <v>0</v>
      </c>
    </row>
    <row r="5" spans="1:77">
      <c r="A5" s="904"/>
      <c r="B5" s="998">
        <f>Rezone!J5</f>
        <v>3</v>
      </c>
      <c r="C5" s="160">
        <f>Construction!E5</f>
        <v>1000</v>
      </c>
      <c r="D5" s="164">
        <f>Production!P5</f>
        <v>0</v>
      </c>
      <c r="E5" s="164">
        <f>Production!Q5</f>
        <v>6426</v>
      </c>
      <c r="F5" s="917" t="b">
        <f>I5</f>
        <v>0</v>
      </c>
      <c r="G5" s="1487" t="s">
        <v>413</v>
      </c>
      <c r="H5" s="1438"/>
      <c r="I5" s="922" t="b">
        <v>0</v>
      </c>
      <c r="J5" s="914"/>
      <c r="K5" s="28"/>
      <c r="L5" s="923" t="b">
        <v>0</v>
      </c>
      <c r="M5" s="924" t="s">
        <v>529</v>
      </c>
      <c r="N5" s="925" t="b">
        <v>0</v>
      </c>
      <c r="O5" s="28"/>
      <c r="P5" s="920" t="b">
        <f>T5</f>
        <v>0</v>
      </c>
      <c r="Q5" s="1504" t="s">
        <v>416</v>
      </c>
      <c r="R5" s="1494"/>
      <c r="S5" s="1494"/>
      <c r="T5" s="922" t="b">
        <v>0</v>
      </c>
      <c r="U5" s="916"/>
      <c r="W5" s="52">
        <f t="shared" ref="W5:W68" si="2">MAX(W4,AY5)</f>
        <v>0</v>
      </c>
      <c r="X5" s="16">
        <f t="shared" ref="X5:X68" si="3">MAX(X4,AZ5)</f>
        <v>0</v>
      </c>
      <c r="Y5" s="16">
        <f t="shared" ref="Y5:Y68" si="4">MAX(Y4,BA5)</f>
        <v>0</v>
      </c>
      <c r="Z5" s="16">
        <f t="shared" ref="Z5:Z68" si="5">MAX(Z4,BB5)</f>
        <v>0</v>
      </c>
      <c r="AA5" s="16">
        <f t="shared" ref="AA5:AA68" si="6">MAX(AA4,BC5)</f>
        <v>0</v>
      </c>
      <c r="AB5" s="16">
        <f t="shared" ref="AB5:AB68" si="7">MAX(AB4,BD5)</f>
        <v>0</v>
      </c>
      <c r="AC5" s="16">
        <f t="shared" ref="AC5:AC68" si="8">MAX(AC4,BE5)</f>
        <v>0</v>
      </c>
      <c r="AD5" s="16">
        <f t="shared" ref="AD5:AD68" si="9">MAX(AD4,BF5)</f>
        <v>0</v>
      </c>
      <c r="AE5" s="16">
        <f t="shared" ref="AE5:AE68" si="10">MAX(AE4,BG5)</f>
        <v>0</v>
      </c>
      <c r="AF5" s="16">
        <f t="shared" ref="AF5:AF68" si="11">MAX(AF4,BH5)</f>
        <v>0</v>
      </c>
      <c r="AG5" s="16">
        <f t="shared" ref="AG5:AG68" si="12">MAX(AG4,BI5)</f>
        <v>0</v>
      </c>
      <c r="AH5" s="16">
        <f t="shared" ref="AH5:AH68" si="13">MAX(AH4,BJ5)</f>
        <v>0</v>
      </c>
      <c r="AI5" s="16">
        <f t="shared" ref="AI5:AI68" si="14">MAX(AI4,BK5)</f>
        <v>0</v>
      </c>
      <c r="AJ5" s="16">
        <f t="shared" ref="AJ5:AJ68" si="15">MAX(AJ4,BL5)</f>
        <v>0</v>
      </c>
      <c r="AK5" s="16">
        <f t="shared" ref="AK5:AK68" si="16">MAX(AK4,BM5)</f>
        <v>0</v>
      </c>
      <c r="AL5" s="16">
        <f t="shared" ref="AL5:AL68" si="17">MAX(AL4,BN5)</f>
        <v>0</v>
      </c>
      <c r="AM5" s="16">
        <f t="shared" ref="AM5:AM68" si="18">MAX(AM4,BO5)</f>
        <v>0</v>
      </c>
      <c r="AN5" s="16">
        <f t="shared" ref="AN5:AN68" si="19">MAX(AN4,BP5)</f>
        <v>0</v>
      </c>
      <c r="AO5" s="16">
        <f t="shared" ref="AO5:AO68" si="20">MAX(AO4,BQ5)</f>
        <v>0</v>
      </c>
      <c r="AP5" s="16">
        <f t="shared" ref="AP5:AP68" si="21">MAX(AP4,BR5)</f>
        <v>0</v>
      </c>
      <c r="AQ5" s="16">
        <f t="shared" ref="AQ5:AQ68" si="22">MAX(AQ4,BS5)</f>
        <v>0</v>
      </c>
      <c r="AR5" s="16">
        <f t="shared" ref="AR5:AR68" si="23">MAX(AR4,BT5)</f>
        <v>0</v>
      </c>
      <c r="AS5" s="16">
        <f t="shared" ref="AS5:AS68" si="24">MAX(AS4,BU5)</f>
        <v>0</v>
      </c>
      <c r="AT5" s="16">
        <f t="shared" ref="AT5:AT68" si="25">MAX(AT4,BV5)</f>
        <v>0</v>
      </c>
      <c r="AU5" s="16">
        <f t="shared" ref="AU5:AU68" si="26">MAX(AU4,BW5)</f>
        <v>0</v>
      </c>
      <c r="AV5" s="16">
        <f t="shared" ref="AV5:AV68" si="27">MAX(AV4,BX5)</f>
        <v>0</v>
      </c>
      <c r="AW5" s="16">
        <f t="shared" ref="AW5:AW68" si="28">MAX(AW4,BY5)</f>
        <v>0</v>
      </c>
    </row>
    <row r="6" spans="1:77">
      <c r="A6" s="904"/>
      <c r="B6" s="999">
        <f>Rezone!J6</f>
        <v>4</v>
      </c>
      <c r="C6" s="64">
        <f>Construction!E6</f>
        <v>1000</v>
      </c>
      <c r="D6" s="26">
        <f>Production!P6</f>
        <v>0</v>
      </c>
      <c r="E6" s="57">
        <f>Production!Q6</f>
        <v>6426</v>
      </c>
      <c r="F6" s="917" t="b">
        <f>AND(F4,F5,I6)</f>
        <v>0</v>
      </c>
      <c r="G6" s="1488" t="s">
        <v>414</v>
      </c>
      <c r="H6" s="1489"/>
      <c r="I6" s="925" t="b">
        <v>0</v>
      </c>
      <c r="J6" s="914"/>
      <c r="K6" s="28"/>
      <c r="L6" s="28"/>
      <c r="M6" s="914"/>
      <c r="N6" s="28"/>
      <c r="O6" s="28"/>
      <c r="P6" s="920" t="b">
        <f>AND(T4:T6)</f>
        <v>0</v>
      </c>
      <c r="Q6" s="1485" t="s">
        <v>417</v>
      </c>
      <c r="R6" s="1495"/>
      <c r="S6" s="1495"/>
      <c r="T6" s="925" t="b">
        <v>0</v>
      </c>
      <c r="U6" s="916"/>
      <c r="W6" s="52">
        <f t="shared" si="2"/>
        <v>0</v>
      </c>
      <c r="X6" s="16">
        <f t="shared" si="3"/>
        <v>0</v>
      </c>
      <c r="Y6" s="16">
        <f t="shared" si="4"/>
        <v>0</v>
      </c>
      <c r="Z6" s="16">
        <f t="shared" si="5"/>
        <v>0</v>
      </c>
      <c r="AA6" s="16">
        <f t="shared" si="6"/>
        <v>0</v>
      </c>
      <c r="AB6" s="16">
        <f t="shared" si="7"/>
        <v>0</v>
      </c>
      <c r="AC6" s="16">
        <f t="shared" si="8"/>
        <v>0</v>
      </c>
      <c r="AD6" s="16">
        <f t="shared" si="9"/>
        <v>0</v>
      </c>
      <c r="AE6" s="16">
        <f t="shared" si="10"/>
        <v>0</v>
      </c>
      <c r="AF6" s="16">
        <f t="shared" si="11"/>
        <v>0</v>
      </c>
      <c r="AG6" s="16">
        <f t="shared" si="12"/>
        <v>0</v>
      </c>
      <c r="AH6" s="16">
        <f t="shared" si="13"/>
        <v>0</v>
      </c>
      <c r="AI6" s="16">
        <f t="shared" si="14"/>
        <v>0</v>
      </c>
      <c r="AJ6" s="16">
        <f t="shared" si="15"/>
        <v>0</v>
      </c>
      <c r="AK6" s="16">
        <f t="shared" si="16"/>
        <v>0</v>
      </c>
      <c r="AL6" s="16">
        <f t="shared" si="17"/>
        <v>0</v>
      </c>
      <c r="AM6" s="16">
        <f t="shared" si="18"/>
        <v>0</v>
      </c>
      <c r="AN6" s="16">
        <f t="shared" si="19"/>
        <v>0</v>
      </c>
      <c r="AO6" s="16">
        <f t="shared" si="20"/>
        <v>0</v>
      </c>
      <c r="AP6" s="16">
        <f t="shared" si="21"/>
        <v>0</v>
      </c>
      <c r="AQ6" s="16">
        <f t="shared" si="22"/>
        <v>0</v>
      </c>
      <c r="AR6" s="16">
        <f t="shared" si="23"/>
        <v>0</v>
      </c>
      <c r="AS6" s="16">
        <f t="shared" si="24"/>
        <v>0</v>
      </c>
      <c r="AT6" s="16">
        <f t="shared" si="25"/>
        <v>0</v>
      </c>
      <c r="AU6" s="16">
        <f t="shared" si="26"/>
        <v>0</v>
      </c>
      <c r="AV6" s="16">
        <f t="shared" si="27"/>
        <v>0</v>
      </c>
      <c r="AW6" s="16">
        <f t="shared" si="28"/>
        <v>0</v>
      </c>
    </row>
    <row r="7" spans="1:77">
      <c r="A7" s="904"/>
      <c r="B7" s="999">
        <f>Rezone!J7</f>
        <v>5</v>
      </c>
      <c r="C7" s="64">
        <f>Construction!E7</f>
        <v>1000</v>
      </c>
      <c r="D7" s="26">
        <f>Production!P7</f>
        <v>0</v>
      </c>
      <c r="E7" s="57">
        <f>Production!Q7</f>
        <v>6426</v>
      </c>
      <c r="F7" s="913"/>
      <c r="G7" s="28"/>
      <c r="H7" s="914"/>
      <c r="I7" s="914"/>
      <c r="J7" s="914"/>
      <c r="K7" s="28"/>
      <c r="L7" s="28"/>
      <c r="M7" s="914" t="s">
        <v>292</v>
      </c>
      <c r="N7" s="28"/>
      <c r="O7" s="28"/>
      <c r="P7" s="914"/>
      <c r="Q7" s="914"/>
      <c r="R7" s="28"/>
      <c r="S7" s="28"/>
      <c r="T7" s="914"/>
      <c r="U7" s="916"/>
      <c r="W7" s="52">
        <f t="shared" si="2"/>
        <v>0</v>
      </c>
      <c r="X7" s="16">
        <f t="shared" si="3"/>
        <v>0</v>
      </c>
      <c r="Y7" s="16">
        <f t="shared" si="4"/>
        <v>0</v>
      </c>
      <c r="Z7" s="16">
        <f t="shared" si="5"/>
        <v>0</v>
      </c>
      <c r="AA7" s="16">
        <f t="shared" si="6"/>
        <v>0</v>
      </c>
      <c r="AB7" s="16">
        <f t="shared" si="7"/>
        <v>0</v>
      </c>
      <c r="AC7" s="16">
        <f t="shared" si="8"/>
        <v>0</v>
      </c>
      <c r="AD7" s="16">
        <f t="shared" si="9"/>
        <v>0</v>
      </c>
      <c r="AE7" s="16">
        <f t="shared" si="10"/>
        <v>0</v>
      </c>
      <c r="AF7" s="16">
        <f t="shared" si="11"/>
        <v>0</v>
      </c>
      <c r="AG7" s="16">
        <f t="shared" si="12"/>
        <v>0</v>
      </c>
      <c r="AH7" s="16">
        <f t="shared" si="13"/>
        <v>0</v>
      </c>
      <c r="AI7" s="16">
        <f t="shared" si="14"/>
        <v>0</v>
      </c>
      <c r="AJ7" s="16">
        <f t="shared" si="15"/>
        <v>0</v>
      </c>
      <c r="AK7" s="16">
        <f t="shared" si="16"/>
        <v>0</v>
      </c>
      <c r="AL7" s="16">
        <f t="shared" si="17"/>
        <v>0</v>
      </c>
      <c r="AM7" s="16">
        <f t="shared" si="18"/>
        <v>0</v>
      </c>
      <c r="AN7" s="16">
        <f t="shared" si="19"/>
        <v>0</v>
      </c>
      <c r="AO7" s="16">
        <f t="shared" si="20"/>
        <v>0</v>
      </c>
      <c r="AP7" s="16">
        <f t="shared" si="21"/>
        <v>0</v>
      </c>
      <c r="AQ7" s="16">
        <f t="shared" si="22"/>
        <v>0</v>
      </c>
      <c r="AR7" s="16">
        <f t="shared" si="23"/>
        <v>0</v>
      </c>
      <c r="AS7" s="16">
        <f t="shared" si="24"/>
        <v>0</v>
      </c>
      <c r="AT7" s="16">
        <f t="shared" si="25"/>
        <v>0</v>
      </c>
      <c r="AU7" s="16">
        <f t="shared" si="26"/>
        <v>0</v>
      </c>
      <c r="AV7" s="16">
        <f t="shared" si="27"/>
        <v>0</v>
      </c>
      <c r="AW7" s="16">
        <f t="shared" si="28"/>
        <v>0</v>
      </c>
    </row>
    <row r="8" spans="1:77">
      <c r="A8" s="904"/>
      <c r="B8" s="999">
        <f>Rezone!J8</f>
        <v>6</v>
      </c>
      <c r="C8" s="64">
        <f>Construction!E8</f>
        <v>1000</v>
      </c>
      <c r="D8" s="26">
        <f>Production!P8</f>
        <v>0</v>
      </c>
      <c r="E8" s="57">
        <f>Production!Q8</f>
        <v>6426</v>
      </c>
      <c r="F8" s="913"/>
      <c r="G8" s="28"/>
      <c r="H8" s="1490" t="s">
        <v>404</v>
      </c>
      <c r="I8" s="1491"/>
      <c r="J8" s="1491"/>
      <c r="K8" s="1491"/>
      <c r="L8" s="923" t="b">
        <v>0</v>
      </c>
      <c r="M8" s="918" t="s">
        <v>418</v>
      </c>
      <c r="N8" s="919" t="b">
        <v>0</v>
      </c>
      <c r="O8" s="28"/>
      <c r="P8" s="1484" t="s">
        <v>405</v>
      </c>
      <c r="Q8" s="1484"/>
      <c r="R8" s="28"/>
      <c r="S8" s="28"/>
      <c r="T8" s="914"/>
      <c r="U8" s="916"/>
      <c r="W8" s="52">
        <f t="shared" si="2"/>
        <v>0</v>
      </c>
      <c r="X8" s="16">
        <f t="shared" si="3"/>
        <v>0</v>
      </c>
      <c r="Y8" s="16">
        <f t="shared" si="4"/>
        <v>0</v>
      </c>
      <c r="Z8" s="16">
        <f t="shared" si="5"/>
        <v>0</v>
      </c>
      <c r="AA8" s="16">
        <f t="shared" si="6"/>
        <v>0</v>
      </c>
      <c r="AB8" s="16">
        <f t="shared" si="7"/>
        <v>0</v>
      </c>
      <c r="AC8" s="16">
        <f t="shared" si="8"/>
        <v>0</v>
      </c>
      <c r="AD8" s="16">
        <f t="shared" si="9"/>
        <v>0</v>
      </c>
      <c r="AE8" s="16">
        <f t="shared" si="10"/>
        <v>0</v>
      </c>
      <c r="AF8" s="16">
        <f t="shared" si="11"/>
        <v>0</v>
      </c>
      <c r="AG8" s="16">
        <f t="shared" si="12"/>
        <v>0</v>
      </c>
      <c r="AH8" s="16">
        <f t="shared" si="13"/>
        <v>0</v>
      </c>
      <c r="AI8" s="16">
        <f t="shared" si="14"/>
        <v>0</v>
      </c>
      <c r="AJ8" s="16">
        <f t="shared" si="15"/>
        <v>0</v>
      </c>
      <c r="AK8" s="16">
        <f t="shared" si="16"/>
        <v>0</v>
      </c>
      <c r="AL8" s="16">
        <f t="shared" si="17"/>
        <v>0</v>
      </c>
      <c r="AM8" s="16">
        <f t="shared" si="18"/>
        <v>0</v>
      </c>
      <c r="AN8" s="16">
        <f t="shared" si="19"/>
        <v>0</v>
      </c>
      <c r="AO8" s="16">
        <f t="shared" si="20"/>
        <v>0</v>
      </c>
      <c r="AP8" s="16">
        <f t="shared" si="21"/>
        <v>0</v>
      </c>
      <c r="AQ8" s="16">
        <f t="shared" si="22"/>
        <v>0</v>
      </c>
      <c r="AR8" s="16">
        <f t="shared" si="23"/>
        <v>0</v>
      </c>
      <c r="AS8" s="16">
        <f t="shared" si="24"/>
        <v>0</v>
      </c>
      <c r="AT8" s="16">
        <f t="shared" si="25"/>
        <v>0</v>
      </c>
      <c r="AU8" s="16">
        <f t="shared" si="26"/>
        <v>0</v>
      </c>
      <c r="AV8" s="16">
        <f t="shared" si="27"/>
        <v>0</v>
      </c>
      <c r="AW8" s="16">
        <f t="shared" si="28"/>
        <v>0</v>
      </c>
    </row>
    <row r="9" spans="1:77">
      <c r="A9" s="904"/>
      <c r="B9" s="999">
        <f>Rezone!J9</f>
        <v>7</v>
      </c>
      <c r="C9" s="64">
        <f>Construction!E9</f>
        <v>1000</v>
      </c>
      <c r="D9" s="26">
        <f>Production!P9</f>
        <v>0</v>
      </c>
      <c r="E9" s="57">
        <f>Production!Q9</f>
        <v>6426</v>
      </c>
      <c r="F9" s="927"/>
      <c r="G9" s="928" t="b">
        <v>0</v>
      </c>
      <c r="H9" s="1485" t="s">
        <v>527</v>
      </c>
      <c r="I9" s="1492"/>
      <c r="J9" s="1492"/>
      <c r="K9" s="925" t="b">
        <v>0</v>
      </c>
      <c r="L9" s="923" t="b">
        <v>0</v>
      </c>
      <c r="M9" s="921" t="s">
        <v>419</v>
      </c>
      <c r="N9" s="922" t="b">
        <v>0</v>
      </c>
      <c r="O9" s="923" t="b">
        <v>0</v>
      </c>
      <c r="P9" s="1485" t="s">
        <v>524</v>
      </c>
      <c r="Q9" s="1502"/>
      <c r="R9" s="925" t="b">
        <v>0</v>
      </c>
      <c r="S9" s="28"/>
      <c r="T9" s="914"/>
      <c r="U9" s="916"/>
      <c r="W9" s="52">
        <f t="shared" si="2"/>
        <v>0</v>
      </c>
      <c r="X9" s="16">
        <f t="shared" si="3"/>
        <v>0</v>
      </c>
      <c r="Y9" s="16">
        <f t="shared" si="4"/>
        <v>0</v>
      </c>
      <c r="Z9" s="16">
        <f t="shared" si="5"/>
        <v>0</v>
      </c>
      <c r="AA9" s="16">
        <f t="shared" si="6"/>
        <v>0</v>
      </c>
      <c r="AB9" s="16">
        <f t="shared" si="7"/>
        <v>0</v>
      </c>
      <c r="AC9" s="16">
        <f t="shared" si="8"/>
        <v>0</v>
      </c>
      <c r="AD9" s="16">
        <f t="shared" si="9"/>
        <v>0</v>
      </c>
      <c r="AE9" s="16">
        <f t="shared" si="10"/>
        <v>0</v>
      </c>
      <c r="AF9" s="16">
        <f t="shared" si="11"/>
        <v>0</v>
      </c>
      <c r="AG9" s="16">
        <f t="shared" si="12"/>
        <v>0</v>
      </c>
      <c r="AH9" s="16">
        <f t="shared" si="13"/>
        <v>0</v>
      </c>
      <c r="AI9" s="16">
        <f t="shared" si="14"/>
        <v>0</v>
      </c>
      <c r="AJ9" s="16">
        <f t="shared" si="15"/>
        <v>0</v>
      </c>
      <c r="AK9" s="16">
        <f t="shared" si="16"/>
        <v>0</v>
      </c>
      <c r="AL9" s="16">
        <f t="shared" si="17"/>
        <v>0</v>
      </c>
      <c r="AM9" s="16">
        <f t="shared" si="18"/>
        <v>0</v>
      </c>
      <c r="AN9" s="16">
        <f t="shared" si="19"/>
        <v>0</v>
      </c>
      <c r="AO9" s="16">
        <f t="shared" si="20"/>
        <v>0</v>
      </c>
      <c r="AP9" s="16">
        <f t="shared" si="21"/>
        <v>0</v>
      </c>
      <c r="AQ9" s="16">
        <f t="shared" si="22"/>
        <v>0</v>
      </c>
      <c r="AR9" s="16">
        <f t="shared" si="23"/>
        <v>0</v>
      </c>
      <c r="AS9" s="16">
        <f t="shared" si="24"/>
        <v>0</v>
      </c>
      <c r="AT9" s="16">
        <f t="shared" si="25"/>
        <v>0</v>
      </c>
      <c r="AU9" s="16">
        <f t="shared" si="26"/>
        <v>0</v>
      </c>
      <c r="AV9" s="16">
        <f t="shared" si="27"/>
        <v>0</v>
      </c>
      <c r="AW9" s="16">
        <f t="shared" si="28"/>
        <v>0</v>
      </c>
    </row>
    <row r="10" spans="1:77">
      <c r="A10" s="904"/>
      <c r="B10" s="999">
        <f>Rezone!J10</f>
        <v>8</v>
      </c>
      <c r="C10" s="64">
        <f>Construction!E10</f>
        <v>1000</v>
      </c>
      <c r="D10" s="26">
        <f>Production!P10</f>
        <v>0</v>
      </c>
      <c r="E10" s="57">
        <f>Production!Q10</f>
        <v>6426</v>
      </c>
      <c r="F10" s="929"/>
      <c r="G10" s="915"/>
      <c r="H10" s="914"/>
      <c r="I10" s="914"/>
      <c r="J10" s="914"/>
      <c r="K10" s="28"/>
      <c r="L10" s="923" t="b">
        <v>0</v>
      </c>
      <c r="M10" s="926" t="s">
        <v>420</v>
      </c>
      <c r="N10" s="925" t="b">
        <v>0</v>
      </c>
      <c r="O10" s="28"/>
      <c r="P10" s="914"/>
      <c r="Q10" s="914"/>
      <c r="R10" s="28"/>
      <c r="S10" s="28"/>
      <c r="T10" s="914"/>
      <c r="U10" s="916"/>
      <c r="W10" s="52">
        <f t="shared" si="2"/>
        <v>0</v>
      </c>
      <c r="X10" s="16">
        <f t="shared" si="3"/>
        <v>0</v>
      </c>
      <c r="Y10" s="16">
        <f t="shared" si="4"/>
        <v>0</v>
      </c>
      <c r="Z10" s="16">
        <f t="shared" si="5"/>
        <v>0</v>
      </c>
      <c r="AA10" s="16">
        <f t="shared" si="6"/>
        <v>0</v>
      </c>
      <c r="AB10" s="16">
        <f t="shared" si="7"/>
        <v>0</v>
      </c>
      <c r="AC10" s="16">
        <f t="shared" si="8"/>
        <v>0</v>
      </c>
      <c r="AD10" s="16">
        <f t="shared" si="9"/>
        <v>0</v>
      </c>
      <c r="AE10" s="16">
        <f t="shared" si="10"/>
        <v>0</v>
      </c>
      <c r="AF10" s="16">
        <f t="shared" si="11"/>
        <v>0</v>
      </c>
      <c r="AG10" s="16">
        <f t="shared" si="12"/>
        <v>0</v>
      </c>
      <c r="AH10" s="16">
        <f t="shared" si="13"/>
        <v>0</v>
      </c>
      <c r="AI10" s="16">
        <f t="shared" si="14"/>
        <v>0</v>
      </c>
      <c r="AJ10" s="16">
        <f t="shared" si="15"/>
        <v>0</v>
      </c>
      <c r="AK10" s="16">
        <f t="shared" si="16"/>
        <v>0</v>
      </c>
      <c r="AL10" s="16">
        <f t="shared" si="17"/>
        <v>0</v>
      </c>
      <c r="AM10" s="16">
        <f t="shared" si="18"/>
        <v>0</v>
      </c>
      <c r="AN10" s="16">
        <f t="shared" si="19"/>
        <v>0</v>
      </c>
      <c r="AO10" s="16">
        <f t="shared" si="20"/>
        <v>0</v>
      </c>
      <c r="AP10" s="16">
        <f t="shared" si="21"/>
        <v>0</v>
      </c>
      <c r="AQ10" s="16">
        <f t="shared" si="22"/>
        <v>0</v>
      </c>
      <c r="AR10" s="16">
        <f t="shared" si="23"/>
        <v>0</v>
      </c>
      <c r="AS10" s="16">
        <f t="shared" si="24"/>
        <v>0</v>
      </c>
      <c r="AT10" s="16">
        <f t="shared" si="25"/>
        <v>0</v>
      </c>
      <c r="AU10" s="16">
        <f t="shared" si="26"/>
        <v>0</v>
      </c>
      <c r="AV10" s="16">
        <f t="shared" si="27"/>
        <v>0</v>
      </c>
      <c r="AW10" s="16">
        <f t="shared" si="28"/>
        <v>0</v>
      </c>
    </row>
    <row r="11" spans="1:77">
      <c r="A11" s="904"/>
      <c r="B11" s="999">
        <f>Rezone!J11</f>
        <v>9</v>
      </c>
      <c r="C11" s="64">
        <f>Construction!E11</f>
        <v>1000</v>
      </c>
      <c r="D11" s="26">
        <f>Production!P11</f>
        <v>0</v>
      </c>
      <c r="E11" s="57">
        <f>Production!Q11</f>
        <v>6426</v>
      </c>
      <c r="F11" s="913"/>
      <c r="G11" s="28"/>
      <c r="H11" s="914"/>
      <c r="I11" s="28"/>
      <c r="J11" s="914"/>
      <c r="K11" s="915"/>
      <c r="L11" s="915"/>
      <c r="M11" s="914"/>
      <c r="N11" s="28"/>
      <c r="O11" s="28"/>
      <c r="P11" s="914"/>
      <c r="Q11" s="914"/>
      <c r="R11" s="915"/>
      <c r="S11" s="915"/>
      <c r="T11" s="914"/>
      <c r="U11" s="916"/>
      <c r="W11" s="52">
        <f t="shared" si="2"/>
        <v>0</v>
      </c>
      <c r="X11" s="16">
        <f t="shared" si="3"/>
        <v>0</v>
      </c>
      <c r="Y11" s="16">
        <f t="shared" si="4"/>
        <v>0</v>
      </c>
      <c r="Z11" s="16">
        <f t="shared" si="5"/>
        <v>0</v>
      </c>
      <c r="AA11" s="16">
        <f t="shared" si="6"/>
        <v>0</v>
      </c>
      <c r="AB11" s="16">
        <f t="shared" si="7"/>
        <v>0</v>
      </c>
      <c r="AC11" s="16">
        <f t="shared" si="8"/>
        <v>0</v>
      </c>
      <c r="AD11" s="16">
        <f t="shared" si="9"/>
        <v>0</v>
      </c>
      <c r="AE11" s="16">
        <f t="shared" si="10"/>
        <v>0</v>
      </c>
      <c r="AF11" s="16">
        <f t="shared" si="11"/>
        <v>0</v>
      </c>
      <c r="AG11" s="16">
        <f t="shared" si="12"/>
        <v>0</v>
      </c>
      <c r="AH11" s="16">
        <f t="shared" si="13"/>
        <v>0</v>
      </c>
      <c r="AI11" s="16">
        <f t="shared" si="14"/>
        <v>0</v>
      </c>
      <c r="AJ11" s="16">
        <f t="shared" si="15"/>
        <v>0</v>
      </c>
      <c r="AK11" s="16">
        <f t="shared" si="16"/>
        <v>0</v>
      </c>
      <c r="AL11" s="16">
        <f t="shared" si="17"/>
        <v>0</v>
      </c>
      <c r="AM11" s="16">
        <f t="shared" si="18"/>
        <v>0</v>
      </c>
      <c r="AN11" s="16">
        <f t="shared" si="19"/>
        <v>0</v>
      </c>
      <c r="AO11" s="16">
        <f t="shared" si="20"/>
        <v>0</v>
      </c>
      <c r="AP11" s="16">
        <f t="shared" si="21"/>
        <v>0</v>
      </c>
      <c r="AQ11" s="16">
        <f t="shared" si="22"/>
        <v>0</v>
      </c>
      <c r="AR11" s="16">
        <f t="shared" si="23"/>
        <v>0</v>
      </c>
      <c r="AS11" s="16">
        <f t="shared" si="24"/>
        <v>0</v>
      </c>
      <c r="AT11" s="16">
        <f t="shared" si="25"/>
        <v>0</v>
      </c>
      <c r="AU11" s="16">
        <f t="shared" si="26"/>
        <v>0</v>
      </c>
      <c r="AV11" s="16">
        <f t="shared" si="27"/>
        <v>0</v>
      </c>
      <c r="AW11" s="16">
        <f t="shared" si="28"/>
        <v>0</v>
      </c>
    </row>
    <row r="12" spans="1:77">
      <c r="A12" s="904"/>
      <c r="B12" s="999">
        <f>Rezone!J12</f>
        <v>10</v>
      </c>
      <c r="C12" s="64">
        <f>Construction!E12</f>
        <v>1000</v>
      </c>
      <c r="D12" s="26">
        <f>Production!P12</f>
        <v>0</v>
      </c>
      <c r="E12" s="57">
        <f>Production!Q12</f>
        <v>6426</v>
      </c>
      <c r="F12" s="913"/>
      <c r="G12" s="1490" t="s">
        <v>406</v>
      </c>
      <c r="H12" s="1491"/>
      <c r="I12" s="1491"/>
      <c r="J12" s="914"/>
      <c r="K12" s="28"/>
      <c r="L12" s="28"/>
      <c r="M12" s="914" t="s">
        <v>407</v>
      </c>
      <c r="N12" s="28"/>
      <c r="O12" s="28"/>
      <c r="P12" s="914"/>
      <c r="Q12" s="1484" t="s">
        <v>408</v>
      </c>
      <c r="R12" s="1494"/>
      <c r="S12" s="1494"/>
      <c r="T12" s="914"/>
      <c r="U12" s="916"/>
      <c r="W12" s="52">
        <f t="shared" si="2"/>
        <v>0</v>
      </c>
      <c r="X12" s="16">
        <f t="shared" si="3"/>
        <v>0</v>
      </c>
      <c r="Y12" s="16">
        <f t="shared" si="4"/>
        <v>0</v>
      </c>
      <c r="Z12" s="16">
        <f t="shared" si="5"/>
        <v>0</v>
      </c>
      <c r="AA12" s="16">
        <f t="shared" si="6"/>
        <v>0</v>
      </c>
      <c r="AB12" s="16">
        <f t="shared" si="7"/>
        <v>0</v>
      </c>
      <c r="AC12" s="16">
        <f t="shared" si="8"/>
        <v>0</v>
      </c>
      <c r="AD12" s="16">
        <f t="shared" si="9"/>
        <v>0</v>
      </c>
      <c r="AE12" s="16">
        <f t="shared" si="10"/>
        <v>0</v>
      </c>
      <c r="AF12" s="16">
        <f t="shared" si="11"/>
        <v>0</v>
      </c>
      <c r="AG12" s="16">
        <f t="shared" si="12"/>
        <v>0</v>
      </c>
      <c r="AH12" s="16">
        <f t="shared" si="13"/>
        <v>0</v>
      </c>
      <c r="AI12" s="16">
        <f t="shared" si="14"/>
        <v>0</v>
      </c>
      <c r="AJ12" s="16">
        <f t="shared" si="15"/>
        <v>0</v>
      </c>
      <c r="AK12" s="16">
        <f t="shared" si="16"/>
        <v>0</v>
      </c>
      <c r="AL12" s="16">
        <f t="shared" si="17"/>
        <v>0</v>
      </c>
      <c r="AM12" s="16">
        <f t="shared" si="18"/>
        <v>0</v>
      </c>
      <c r="AN12" s="16">
        <f t="shared" si="19"/>
        <v>0</v>
      </c>
      <c r="AO12" s="16">
        <f t="shared" si="20"/>
        <v>0</v>
      </c>
      <c r="AP12" s="16">
        <f t="shared" si="21"/>
        <v>0</v>
      </c>
      <c r="AQ12" s="16">
        <f t="shared" si="22"/>
        <v>0</v>
      </c>
      <c r="AR12" s="16">
        <f t="shared" si="23"/>
        <v>0</v>
      </c>
      <c r="AS12" s="16">
        <f t="shared" si="24"/>
        <v>0</v>
      </c>
      <c r="AT12" s="16">
        <f t="shared" si="25"/>
        <v>0</v>
      </c>
      <c r="AU12" s="16">
        <f t="shared" si="26"/>
        <v>0</v>
      </c>
      <c r="AV12" s="16">
        <f t="shared" si="27"/>
        <v>0</v>
      </c>
      <c r="AW12" s="16">
        <f t="shared" si="28"/>
        <v>0</v>
      </c>
    </row>
    <row r="13" spans="1:77">
      <c r="A13" s="904"/>
      <c r="B13" s="999">
        <f>Rezone!J13</f>
        <v>11</v>
      </c>
      <c r="C13" s="64">
        <f>Construction!E13</f>
        <v>1000</v>
      </c>
      <c r="D13" s="26">
        <f>Production!P13</f>
        <v>0</v>
      </c>
      <c r="E13" s="57">
        <f>Production!Q13</f>
        <v>6426</v>
      </c>
      <c r="F13" s="917" t="b">
        <v>0</v>
      </c>
      <c r="G13" s="1485" t="s">
        <v>523</v>
      </c>
      <c r="H13" s="1489"/>
      <c r="I13" s="925" t="b">
        <v>0</v>
      </c>
      <c r="J13" s="914"/>
      <c r="K13" s="28"/>
      <c r="L13" s="923" t="b">
        <v>0</v>
      </c>
      <c r="M13" s="924" t="s">
        <v>528</v>
      </c>
      <c r="N13" s="925" t="b">
        <v>0</v>
      </c>
      <c r="O13" s="28"/>
      <c r="P13" s="920" t="b">
        <v>0</v>
      </c>
      <c r="Q13" s="1485" t="s">
        <v>432</v>
      </c>
      <c r="R13" s="1495"/>
      <c r="S13" s="1495"/>
      <c r="T13" s="925" t="b">
        <v>0</v>
      </c>
      <c r="U13" s="916"/>
      <c r="W13" s="52">
        <f t="shared" si="2"/>
        <v>0</v>
      </c>
      <c r="X13" s="16">
        <f t="shared" si="3"/>
        <v>0</v>
      </c>
      <c r="Y13" s="16">
        <f t="shared" si="4"/>
        <v>0</v>
      </c>
      <c r="Z13" s="16">
        <f t="shared" si="5"/>
        <v>0</v>
      </c>
      <c r="AA13" s="16">
        <f t="shared" si="6"/>
        <v>0</v>
      </c>
      <c r="AB13" s="16">
        <f t="shared" si="7"/>
        <v>0</v>
      </c>
      <c r="AC13" s="16">
        <f t="shared" si="8"/>
        <v>0</v>
      </c>
      <c r="AD13" s="16">
        <f t="shared" si="9"/>
        <v>0</v>
      </c>
      <c r="AE13" s="16">
        <f t="shared" si="10"/>
        <v>0</v>
      </c>
      <c r="AF13" s="16">
        <f t="shared" si="11"/>
        <v>0</v>
      </c>
      <c r="AG13" s="16">
        <f t="shared" si="12"/>
        <v>0</v>
      </c>
      <c r="AH13" s="16">
        <f t="shared" si="13"/>
        <v>0</v>
      </c>
      <c r="AI13" s="16">
        <f t="shared" si="14"/>
        <v>0</v>
      </c>
      <c r="AJ13" s="16">
        <f t="shared" si="15"/>
        <v>0</v>
      </c>
      <c r="AK13" s="16">
        <f t="shared" si="16"/>
        <v>0</v>
      </c>
      <c r="AL13" s="16">
        <f t="shared" si="17"/>
        <v>0</v>
      </c>
      <c r="AM13" s="16">
        <f t="shared" si="18"/>
        <v>0</v>
      </c>
      <c r="AN13" s="16">
        <f t="shared" si="19"/>
        <v>0</v>
      </c>
      <c r="AO13" s="16">
        <f t="shared" si="20"/>
        <v>0</v>
      </c>
      <c r="AP13" s="16">
        <f t="shared" si="21"/>
        <v>0</v>
      </c>
      <c r="AQ13" s="16">
        <f t="shared" si="22"/>
        <v>0</v>
      </c>
      <c r="AR13" s="16">
        <f t="shared" si="23"/>
        <v>0</v>
      </c>
      <c r="AS13" s="16">
        <f t="shared" si="24"/>
        <v>0</v>
      </c>
      <c r="AT13" s="16">
        <f t="shared" si="25"/>
        <v>0</v>
      </c>
      <c r="AU13" s="16">
        <f t="shared" si="26"/>
        <v>0</v>
      </c>
      <c r="AV13" s="16">
        <f t="shared" si="27"/>
        <v>0</v>
      </c>
      <c r="AW13" s="16">
        <f t="shared" si="28"/>
        <v>0</v>
      </c>
    </row>
    <row r="14" spans="1:77">
      <c r="A14" s="904"/>
      <c r="B14" s="998">
        <f>Rezone!J14</f>
        <v>12</v>
      </c>
      <c r="C14" s="160">
        <f>Construction!E14</f>
        <v>1000</v>
      </c>
      <c r="D14" s="164">
        <f>Production!P14</f>
        <v>0</v>
      </c>
      <c r="E14" s="166">
        <f>Production!Q14</f>
        <v>6426</v>
      </c>
      <c r="F14" s="930"/>
      <c r="G14" s="28"/>
      <c r="H14" s="914"/>
      <c r="I14" s="914"/>
      <c r="J14" s="914"/>
      <c r="K14" s="28"/>
      <c r="L14" s="28"/>
      <c r="M14" s="914"/>
      <c r="N14" s="28"/>
      <c r="O14" s="28"/>
      <c r="P14" s="914"/>
      <c r="Q14" s="914"/>
      <c r="R14" s="28"/>
      <c r="S14" s="28"/>
      <c r="T14" s="914"/>
      <c r="U14" s="916"/>
      <c r="W14" s="52">
        <f t="shared" si="2"/>
        <v>0</v>
      </c>
      <c r="X14" s="16">
        <f t="shared" si="3"/>
        <v>0</v>
      </c>
      <c r="Y14" s="16">
        <f t="shared" si="4"/>
        <v>0</v>
      </c>
      <c r="Z14" s="16">
        <f t="shared" si="5"/>
        <v>0</v>
      </c>
      <c r="AA14" s="16">
        <f t="shared" si="6"/>
        <v>0</v>
      </c>
      <c r="AB14" s="16">
        <f t="shared" si="7"/>
        <v>0</v>
      </c>
      <c r="AC14" s="16">
        <f t="shared" si="8"/>
        <v>0</v>
      </c>
      <c r="AD14" s="16">
        <f t="shared" si="9"/>
        <v>0</v>
      </c>
      <c r="AE14" s="16">
        <f t="shared" si="10"/>
        <v>0</v>
      </c>
      <c r="AF14" s="16">
        <f t="shared" si="11"/>
        <v>0</v>
      </c>
      <c r="AG14" s="16">
        <f t="shared" si="12"/>
        <v>0</v>
      </c>
      <c r="AH14" s="16">
        <f t="shared" si="13"/>
        <v>0</v>
      </c>
      <c r="AI14" s="16">
        <f t="shared" si="14"/>
        <v>0</v>
      </c>
      <c r="AJ14" s="16">
        <f t="shared" si="15"/>
        <v>0</v>
      </c>
      <c r="AK14" s="16">
        <f t="shared" si="16"/>
        <v>0</v>
      </c>
      <c r="AL14" s="16">
        <f t="shared" si="17"/>
        <v>0</v>
      </c>
      <c r="AM14" s="16">
        <f t="shared" si="18"/>
        <v>0</v>
      </c>
      <c r="AN14" s="16">
        <f t="shared" si="19"/>
        <v>0</v>
      </c>
      <c r="AO14" s="16">
        <f t="shared" si="20"/>
        <v>0</v>
      </c>
      <c r="AP14" s="16">
        <f t="shared" si="21"/>
        <v>0</v>
      </c>
      <c r="AQ14" s="16">
        <f t="shared" si="22"/>
        <v>0</v>
      </c>
      <c r="AR14" s="16">
        <f t="shared" si="23"/>
        <v>0</v>
      </c>
      <c r="AS14" s="16">
        <f t="shared" si="24"/>
        <v>0</v>
      </c>
      <c r="AT14" s="16">
        <f t="shared" si="25"/>
        <v>0</v>
      </c>
      <c r="AU14" s="16">
        <f t="shared" si="26"/>
        <v>0</v>
      </c>
      <c r="AV14" s="16">
        <f t="shared" si="27"/>
        <v>0</v>
      </c>
      <c r="AW14" s="16">
        <f t="shared" si="28"/>
        <v>0</v>
      </c>
    </row>
    <row r="15" spans="1:77" s="12" customFormat="1">
      <c r="A15" s="905"/>
      <c r="B15" s="1000">
        <f>Rezone!J15</f>
        <v>13</v>
      </c>
      <c r="C15" s="203">
        <f>Construction!E15</f>
        <v>1000</v>
      </c>
      <c r="D15" s="153">
        <f>Production!P15</f>
        <v>0</v>
      </c>
      <c r="E15" s="158">
        <f>Production!Q15</f>
        <v>6426</v>
      </c>
      <c r="F15" s="913"/>
      <c r="G15" s="28"/>
      <c r="H15" s="914"/>
      <c r="I15" s="914"/>
      <c r="J15" s="914"/>
      <c r="K15" s="28"/>
      <c r="L15" s="28"/>
      <c r="M15" s="914" t="s">
        <v>22</v>
      </c>
      <c r="N15" s="28"/>
      <c r="O15" s="28"/>
      <c r="P15" s="914"/>
      <c r="Q15" s="914"/>
      <c r="R15" s="28"/>
      <c r="S15" s="28"/>
      <c r="T15" s="914"/>
      <c r="U15" s="916"/>
      <c r="V15"/>
      <c r="W15" s="50">
        <f t="shared" si="2"/>
        <v>0</v>
      </c>
      <c r="X15" s="12">
        <f t="shared" si="3"/>
        <v>0</v>
      </c>
      <c r="Y15" s="12">
        <f t="shared" si="4"/>
        <v>0</v>
      </c>
      <c r="Z15" s="12">
        <f t="shared" si="5"/>
        <v>0</v>
      </c>
      <c r="AA15" s="12">
        <f t="shared" si="6"/>
        <v>0</v>
      </c>
      <c r="AB15" s="12">
        <f t="shared" si="7"/>
        <v>0</v>
      </c>
      <c r="AC15" s="12">
        <f t="shared" si="8"/>
        <v>0</v>
      </c>
      <c r="AD15" s="12">
        <f t="shared" si="9"/>
        <v>0</v>
      </c>
      <c r="AE15" s="12">
        <f t="shared" si="10"/>
        <v>0</v>
      </c>
      <c r="AF15" s="12">
        <f t="shared" si="11"/>
        <v>0</v>
      </c>
      <c r="AG15" s="12">
        <f t="shared" si="12"/>
        <v>0</v>
      </c>
      <c r="AH15" s="12">
        <f t="shared" si="13"/>
        <v>0</v>
      </c>
      <c r="AI15" s="12">
        <f t="shared" si="14"/>
        <v>0</v>
      </c>
      <c r="AJ15" s="12">
        <f t="shared" si="15"/>
        <v>0</v>
      </c>
      <c r="AK15" s="12">
        <f t="shared" si="16"/>
        <v>0</v>
      </c>
      <c r="AL15" s="12">
        <f t="shared" si="17"/>
        <v>0</v>
      </c>
      <c r="AM15" s="12">
        <f t="shared" si="18"/>
        <v>0</v>
      </c>
      <c r="AN15" s="12">
        <f t="shared" si="19"/>
        <v>0</v>
      </c>
      <c r="AO15" s="12">
        <f t="shared" si="20"/>
        <v>0</v>
      </c>
      <c r="AP15" s="12">
        <f t="shared" si="21"/>
        <v>0</v>
      </c>
      <c r="AQ15" s="12">
        <f t="shared" si="22"/>
        <v>0</v>
      </c>
      <c r="AR15" s="12">
        <f t="shared" si="23"/>
        <v>0</v>
      </c>
      <c r="AS15" s="12">
        <f t="shared" si="24"/>
        <v>0</v>
      </c>
      <c r="AT15" s="12">
        <f t="shared" si="25"/>
        <v>0</v>
      </c>
      <c r="AU15" s="12">
        <f t="shared" si="26"/>
        <v>0</v>
      </c>
      <c r="AV15" s="12">
        <f t="shared" si="27"/>
        <v>0</v>
      </c>
      <c r="AW15" s="12">
        <f t="shared" si="28"/>
        <v>0</v>
      </c>
      <c r="AX15" s="286"/>
      <c r="BY15" s="51"/>
    </row>
    <row r="16" spans="1:77">
      <c r="A16" s="904"/>
      <c r="B16" s="998">
        <f>Rezone!J16</f>
        <v>14</v>
      </c>
      <c r="C16" s="160">
        <f>Construction!E16</f>
        <v>1000</v>
      </c>
      <c r="D16" s="164">
        <f>Production!P16</f>
        <v>0</v>
      </c>
      <c r="E16" s="166">
        <f>Production!Q16</f>
        <v>6426</v>
      </c>
      <c r="F16" s="930"/>
      <c r="G16" s="28"/>
      <c r="H16" s="1490" t="s">
        <v>409</v>
      </c>
      <c r="I16" s="1491"/>
      <c r="J16" s="1491"/>
      <c r="K16" s="1491"/>
      <c r="L16" s="928" t="b">
        <v>0</v>
      </c>
      <c r="M16" s="918" t="s">
        <v>421</v>
      </c>
      <c r="N16" s="943" t="b">
        <v>0</v>
      </c>
      <c r="O16" s="28"/>
      <c r="P16" s="1484" t="s">
        <v>410</v>
      </c>
      <c r="Q16" s="1484"/>
      <c r="R16" s="28"/>
      <c r="S16" s="28"/>
      <c r="T16" s="914"/>
      <c r="U16" s="916"/>
      <c r="W16" s="52">
        <f t="shared" si="2"/>
        <v>0</v>
      </c>
      <c r="X16" s="16">
        <f t="shared" si="3"/>
        <v>0</v>
      </c>
      <c r="Y16" s="16">
        <f t="shared" si="4"/>
        <v>0</v>
      </c>
      <c r="Z16" s="16">
        <f t="shared" si="5"/>
        <v>0</v>
      </c>
      <c r="AA16" s="16">
        <f t="shared" si="6"/>
        <v>0</v>
      </c>
      <c r="AB16" s="16">
        <f t="shared" si="7"/>
        <v>0</v>
      </c>
      <c r="AC16" s="16">
        <f t="shared" si="8"/>
        <v>0</v>
      </c>
      <c r="AD16" s="16">
        <f t="shared" si="9"/>
        <v>0</v>
      </c>
      <c r="AE16" s="16">
        <f t="shared" si="10"/>
        <v>0</v>
      </c>
      <c r="AF16" s="16">
        <f t="shared" si="11"/>
        <v>0</v>
      </c>
      <c r="AG16" s="16">
        <f t="shared" si="12"/>
        <v>0</v>
      </c>
      <c r="AH16" s="16">
        <f t="shared" si="13"/>
        <v>0</v>
      </c>
      <c r="AI16" s="16">
        <f t="shared" si="14"/>
        <v>0</v>
      </c>
      <c r="AJ16" s="16">
        <f t="shared" si="15"/>
        <v>0</v>
      </c>
      <c r="AK16" s="16">
        <f t="shared" si="16"/>
        <v>0</v>
      </c>
      <c r="AL16" s="16">
        <f t="shared" si="17"/>
        <v>0</v>
      </c>
      <c r="AM16" s="16">
        <f t="shared" si="18"/>
        <v>0</v>
      </c>
      <c r="AN16" s="16">
        <f t="shared" si="19"/>
        <v>0</v>
      </c>
      <c r="AO16" s="16">
        <f t="shared" si="20"/>
        <v>0</v>
      </c>
      <c r="AP16" s="16">
        <f t="shared" si="21"/>
        <v>0</v>
      </c>
      <c r="AQ16" s="16">
        <f t="shared" si="22"/>
        <v>0</v>
      </c>
      <c r="AR16" s="16">
        <f t="shared" si="23"/>
        <v>0</v>
      </c>
      <c r="AS16" s="16">
        <f t="shared" si="24"/>
        <v>0</v>
      </c>
      <c r="AT16" s="16">
        <f t="shared" si="25"/>
        <v>0</v>
      </c>
      <c r="AU16" s="16">
        <f t="shared" si="26"/>
        <v>0</v>
      </c>
      <c r="AV16" s="16">
        <f t="shared" si="27"/>
        <v>0</v>
      </c>
      <c r="AW16" s="16">
        <f t="shared" si="28"/>
        <v>0</v>
      </c>
    </row>
    <row r="17" spans="1:77">
      <c r="A17" s="904"/>
      <c r="B17" s="998">
        <f>Rezone!J17</f>
        <v>15</v>
      </c>
      <c r="C17" s="160">
        <f>Construction!E17</f>
        <v>1000</v>
      </c>
      <c r="D17" s="164">
        <f>Production!P17</f>
        <v>0</v>
      </c>
      <c r="E17" s="166">
        <f>Production!Q17</f>
        <v>6426</v>
      </c>
      <c r="F17" s="930"/>
      <c r="G17" s="923" t="b">
        <v>0</v>
      </c>
      <c r="H17" s="1488" t="s">
        <v>428</v>
      </c>
      <c r="I17" s="1489"/>
      <c r="J17" s="1489"/>
      <c r="K17" s="925" t="b">
        <v>0</v>
      </c>
      <c r="L17" s="923" t="b">
        <v>0</v>
      </c>
      <c r="M17" s="921" t="s">
        <v>422</v>
      </c>
      <c r="N17" s="922" t="b">
        <v>0</v>
      </c>
      <c r="O17" s="923" t="b">
        <v>0</v>
      </c>
      <c r="P17" s="1485" t="s">
        <v>540</v>
      </c>
      <c r="Q17" s="1486"/>
      <c r="R17" s="925" t="b">
        <v>0</v>
      </c>
      <c r="S17" s="28"/>
      <c r="T17" s="914"/>
      <c r="U17" s="916"/>
      <c r="W17" s="52">
        <f t="shared" si="2"/>
        <v>0</v>
      </c>
      <c r="X17" s="16">
        <f t="shared" si="3"/>
        <v>0</v>
      </c>
      <c r="Y17" s="16">
        <f t="shared" si="4"/>
        <v>0</v>
      </c>
      <c r="Z17" s="16">
        <f t="shared" si="5"/>
        <v>0</v>
      </c>
      <c r="AA17" s="16">
        <f t="shared" si="6"/>
        <v>0</v>
      </c>
      <c r="AB17" s="16">
        <f t="shared" si="7"/>
        <v>0</v>
      </c>
      <c r="AC17" s="16">
        <f t="shared" si="8"/>
        <v>0</v>
      </c>
      <c r="AD17" s="16">
        <f t="shared" si="9"/>
        <v>0</v>
      </c>
      <c r="AE17" s="16">
        <f t="shared" si="10"/>
        <v>0</v>
      </c>
      <c r="AF17" s="16">
        <f t="shared" si="11"/>
        <v>0</v>
      </c>
      <c r="AG17" s="16">
        <f t="shared" si="12"/>
        <v>0</v>
      </c>
      <c r="AH17" s="16">
        <f t="shared" si="13"/>
        <v>0</v>
      </c>
      <c r="AI17" s="16">
        <f t="shared" si="14"/>
        <v>0</v>
      </c>
      <c r="AJ17" s="16">
        <f t="shared" si="15"/>
        <v>0</v>
      </c>
      <c r="AK17" s="16">
        <f t="shared" si="16"/>
        <v>0</v>
      </c>
      <c r="AL17" s="16">
        <f t="shared" si="17"/>
        <v>0</v>
      </c>
      <c r="AM17" s="16">
        <f t="shared" si="18"/>
        <v>0</v>
      </c>
      <c r="AN17" s="16">
        <f t="shared" si="19"/>
        <v>0</v>
      </c>
      <c r="AO17" s="16">
        <f t="shared" si="20"/>
        <v>0</v>
      </c>
      <c r="AP17" s="16">
        <f t="shared" si="21"/>
        <v>0</v>
      </c>
      <c r="AQ17" s="16">
        <f t="shared" si="22"/>
        <v>0</v>
      </c>
      <c r="AR17" s="16">
        <f t="shared" si="23"/>
        <v>0</v>
      </c>
      <c r="AS17" s="16">
        <f t="shared" si="24"/>
        <v>0</v>
      </c>
      <c r="AT17" s="16">
        <f t="shared" si="25"/>
        <v>0</v>
      </c>
      <c r="AU17" s="16">
        <f t="shared" si="26"/>
        <v>0</v>
      </c>
      <c r="AV17" s="16">
        <f t="shared" si="27"/>
        <v>0</v>
      </c>
      <c r="AW17" s="16">
        <f t="shared" si="28"/>
        <v>0</v>
      </c>
    </row>
    <row r="18" spans="1:77">
      <c r="A18" s="904"/>
      <c r="B18" s="999">
        <f>Rezone!J18</f>
        <v>16</v>
      </c>
      <c r="C18" s="64">
        <f>Construction!E18</f>
        <v>1000</v>
      </c>
      <c r="D18" s="26">
        <f>Production!P18</f>
        <v>0</v>
      </c>
      <c r="E18" s="57">
        <f>Production!Q18</f>
        <v>6426</v>
      </c>
      <c r="F18" s="930"/>
      <c r="G18" s="28"/>
      <c r="H18" s="914"/>
      <c r="I18" s="914"/>
      <c r="J18" s="914"/>
      <c r="K18" s="28"/>
      <c r="L18" s="923" t="b">
        <v>0</v>
      </c>
      <c r="M18" s="926" t="s">
        <v>423</v>
      </c>
      <c r="N18" s="925" t="b">
        <v>0</v>
      </c>
      <c r="O18" s="28"/>
      <c r="P18" s="914"/>
      <c r="Q18" s="914"/>
      <c r="R18" s="28"/>
      <c r="S18" s="28"/>
      <c r="T18" s="914"/>
      <c r="U18" s="916"/>
      <c r="W18" s="52">
        <f t="shared" si="2"/>
        <v>0</v>
      </c>
      <c r="X18" s="16">
        <f t="shared" si="3"/>
        <v>0</v>
      </c>
      <c r="Y18" s="16">
        <f t="shared" si="4"/>
        <v>0</v>
      </c>
      <c r="Z18" s="16">
        <f t="shared" si="5"/>
        <v>0</v>
      </c>
      <c r="AA18" s="16">
        <f t="shared" si="6"/>
        <v>0</v>
      </c>
      <c r="AB18" s="16">
        <f t="shared" si="7"/>
        <v>0</v>
      </c>
      <c r="AC18" s="16">
        <f t="shared" si="8"/>
        <v>0</v>
      </c>
      <c r="AD18" s="16">
        <f t="shared" si="9"/>
        <v>0</v>
      </c>
      <c r="AE18" s="16">
        <f t="shared" si="10"/>
        <v>0</v>
      </c>
      <c r="AF18" s="16">
        <f t="shared" si="11"/>
        <v>0</v>
      </c>
      <c r="AG18" s="16">
        <f t="shared" si="12"/>
        <v>0</v>
      </c>
      <c r="AH18" s="16">
        <f t="shared" si="13"/>
        <v>0</v>
      </c>
      <c r="AI18" s="16">
        <f t="shared" si="14"/>
        <v>0</v>
      </c>
      <c r="AJ18" s="16">
        <f t="shared" si="15"/>
        <v>0</v>
      </c>
      <c r="AK18" s="16">
        <f t="shared" si="16"/>
        <v>0</v>
      </c>
      <c r="AL18" s="16">
        <f t="shared" si="17"/>
        <v>0</v>
      </c>
      <c r="AM18" s="16">
        <f t="shared" si="18"/>
        <v>0</v>
      </c>
      <c r="AN18" s="16">
        <f t="shared" si="19"/>
        <v>0</v>
      </c>
      <c r="AO18" s="16">
        <f t="shared" si="20"/>
        <v>0</v>
      </c>
      <c r="AP18" s="16">
        <f t="shared" si="21"/>
        <v>0</v>
      </c>
      <c r="AQ18" s="16">
        <f t="shared" si="22"/>
        <v>0</v>
      </c>
      <c r="AR18" s="16">
        <f t="shared" si="23"/>
        <v>0</v>
      </c>
      <c r="AS18" s="16">
        <f t="shared" si="24"/>
        <v>0</v>
      </c>
      <c r="AT18" s="16">
        <f t="shared" si="25"/>
        <v>0</v>
      </c>
      <c r="AU18" s="16">
        <f t="shared" si="26"/>
        <v>0</v>
      </c>
      <c r="AV18" s="16">
        <f t="shared" si="27"/>
        <v>0</v>
      </c>
      <c r="AW18" s="16">
        <f t="shared" si="28"/>
        <v>0</v>
      </c>
    </row>
    <row r="19" spans="1:77">
      <c r="A19" s="904"/>
      <c r="B19" s="999">
        <f>Rezone!J19</f>
        <v>17</v>
      </c>
      <c r="C19" s="64">
        <f>Construction!E19</f>
        <v>1000</v>
      </c>
      <c r="D19" s="26">
        <f>Production!P19</f>
        <v>0</v>
      </c>
      <c r="E19" s="57">
        <f>Production!Q19</f>
        <v>6426</v>
      </c>
      <c r="F19" s="913"/>
      <c r="G19" s="1490" t="s">
        <v>76</v>
      </c>
      <c r="H19" s="1490"/>
      <c r="I19" s="1490"/>
      <c r="J19" s="914"/>
      <c r="K19" s="28"/>
      <c r="L19" s="28"/>
      <c r="M19" s="914"/>
      <c r="N19" s="28"/>
      <c r="O19" s="28"/>
      <c r="P19" s="914"/>
      <c r="Q19" s="1484" t="s">
        <v>433</v>
      </c>
      <c r="R19" s="1494"/>
      <c r="S19" s="1494"/>
      <c r="T19" s="914"/>
      <c r="U19" s="916"/>
      <c r="W19" s="52">
        <f t="shared" si="2"/>
        <v>0</v>
      </c>
      <c r="X19" s="16">
        <f t="shared" si="3"/>
        <v>0</v>
      </c>
      <c r="Y19" s="16">
        <f t="shared" si="4"/>
        <v>0</v>
      </c>
      <c r="Z19" s="16">
        <f t="shared" si="5"/>
        <v>0</v>
      </c>
      <c r="AA19" s="16">
        <f t="shared" si="6"/>
        <v>0</v>
      </c>
      <c r="AB19" s="16">
        <f t="shared" si="7"/>
        <v>0</v>
      </c>
      <c r="AC19" s="16">
        <f t="shared" si="8"/>
        <v>0</v>
      </c>
      <c r="AD19" s="16">
        <f t="shared" si="9"/>
        <v>0</v>
      </c>
      <c r="AE19" s="16">
        <f t="shared" si="10"/>
        <v>0</v>
      </c>
      <c r="AF19" s="16">
        <f t="shared" si="11"/>
        <v>0</v>
      </c>
      <c r="AG19" s="16">
        <f t="shared" si="12"/>
        <v>0</v>
      </c>
      <c r="AH19" s="16">
        <f t="shared" si="13"/>
        <v>0</v>
      </c>
      <c r="AI19" s="16">
        <f t="shared" si="14"/>
        <v>0</v>
      </c>
      <c r="AJ19" s="16">
        <f t="shared" si="15"/>
        <v>0</v>
      </c>
      <c r="AK19" s="16">
        <f t="shared" si="16"/>
        <v>0</v>
      </c>
      <c r="AL19" s="16">
        <f t="shared" si="17"/>
        <v>0</v>
      </c>
      <c r="AM19" s="16">
        <f t="shared" si="18"/>
        <v>0</v>
      </c>
      <c r="AN19" s="16">
        <f t="shared" si="19"/>
        <v>0</v>
      </c>
      <c r="AO19" s="16">
        <f t="shared" si="20"/>
        <v>0</v>
      </c>
      <c r="AP19" s="16">
        <f t="shared" si="21"/>
        <v>0</v>
      </c>
      <c r="AQ19" s="16">
        <f t="shared" si="22"/>
        <v>0</v>
      </c>
      <c r="AR19" s="16">
        <f t="shared" si="23"/>
        <v>0</v>
      </c>
      <c r="AS19" s="16">
        <f t="shared" si="24"/>
        <v>0</v>
      </c>
      <c r="AT19" s="16">
        <f t="shared" si="25"/>
        <v>0</v>
      </c>
      <c r="AU19" s="16">
        <f t="shared" si="26"/>
        <v>0</v>
      </c>
      <c r="AV19" s="16">
        <f t="shared" si="27"/>
        <v>0</v>
      </c>
      <c r="AW19" s="16">
        <f t="shared" si="28"/>
        <v>0</v>
      </c>
    </row>
    <row r="20" spans="1:77">
      <c r="A20" s="904"/>
      <c r="B20" s="999">
        <f>Rezone!J20</f>
        <v>18</v>
      </c>
      <c r="C20" s="64">
        <f>Construction!E20</f>
        <v>1000</v>
      </c>
      <c r="D20" s="26">
        <f>Production!P20</f>
        <v>0</v>
      </c>
      <c r="E20" s="57">
        <f>Production!Q20</f>
        <v>6426</v>
      </c>
      <c r="F20" s="917" t="b">
        <v>0</v>
      </c>
      <c r="G20" s="1496" t="s">
        <v>424</v>
      </c>
      <c r="H20" s="1497"/>
      <c r="I20" s="919" t="b">
        <v>0</v>
      </c>
      <c r="J20" s="914"/>
      <c r="K20" s="28"/>
      <c r="L20" s="28"/>
      <c r="M20" s="914" t="s">
        <v>411</v>
      </c>
      <c r="N20" s="28"/>
      <c r="O20" s="28"/>
      <c r="P20" s="920" t="b">
        <v>0</v>
      </c>
      <c r="Q20" s="1499" t="s">
        <v>426</v>
      </c>
      <c r="R20" s="1500"/>
      <c r="S20" s="1500"/>
      <c r="T20" s="919" t="b">
        <v>0</v>
      </c>
      <c r="U20" s="916"/>
      <c r="W20" s="52">
        <f t="shared" si="2"/>
        <v>0</v>
      </c>
      <c r="X20" s="16">
        <f t="shared" si="3"/>
        <v>0</v>
      </c>
      <c r="Y20" s="16">
        <f t="shared" si="4"/>
        <v>0</v>
      </c>
      <c r="Z20" s="16">
        <f t="shared" si="5"/>
        <v>0</v>
      </c>
      <c r="AA20" s="16">
        <f t="shared" si="6"/>
        <v>0</v>
      </c>
      <c r="AB20" s="16">
        <f t="shared" si="7"/>
        <v>0</v>
      </c>
      <c r="AC20" s="16">
        <f t="shared" si="8"/>
        <v>0</v>
      </c>
      <c r="AD20" s="16">
        <f t="shared" si="9"/>
        <v>0</v>
      </c>
      <c r="AE20" s="16">
        <f t="shared" si="10"/>
        <v>0</v>
      </c>
      <c r="AF20" s="16">
        <f t="shared" si="11"/>
        <v>0</v>
      </c>
      <c r="AG20" s="16">
        <f t="shared" si="12"/>
        <v>0</v>
      </c>
      <c r="AH20" s="16">
        <f t="shared" si="13"/>
        <v>0</v>
      </c>
      <c r="AI20" s="16">
        <f t="shared" si="14"/>
        <v>0</v>
      </c>
      <c r="AJ20" s="16">
        <f t="shared" si="15"/>
        <v>0</v>
      </c>
      <c r="AK20" s="16">
        <f t="shared" si="16"/>
        <v>0</v>
      </c>
      <c r="AL20" s="16">
        <f t="shared" si="17"/>
        <v>0</v>
      </c>
      <c r="AM20" s="16">
        <f t="shared" si="18"/>
        <v>0</v>
      </c>
      <c r="AN20" s="16">
        <f t="shared" si="19"/>
        <v>0</v>
      </c>
      <c r="AO20" s="16">
        <f t="shared" si="20"/>
        <v>0</v>
      </c>
      <c r="AP20" s="16">
        <f t="shared" si="21"/>
        <v>0</v>
      </c>
      <c r="AQ20" s="16">
        <f t="shared" si="22"/>
        <v>0</v>
      </c>
      <c r="AR20" s="16">
        <f t="shared" si="23"/>
        <v>0</v>
      </c>
      <c r="AS20" s="16">
        <f t="shared" si="24"/>
        <v>0</v>
      </c>
      <c r="AT20" s="16">
        <f t="shared" si="25"/>
        <v>0</v>
      </c>
      <c r="AU20" s="16">
        <f t="shared" si="26"/>
        <v>0</v>
      </c>
      <c r="AV20" s="16">
        <f t="shared" si="27"/>
        <v>0</v>
      </c>
      <c r="AW20" s="16">
        <f t="shared" si="28"/>
        <v>0</v>
      </c>
    </row>
    <row r="21" spans="1:77">
      <c r="A21" s="904"/>
      <c r="B21" s="999">
        <f>Rezone!J21</f>
        <v>19</v>
      </c>
      <c r="C21" s="64">
        <f>Construction!E21</f>
        <v>1000</v>
      </c>
      <c r="D21" s="26">
        <f>Production!P21</f>
        <v>0</v>
      </c>
      <c r="E21" s="57">
        <f>Production!Q21</f>
        <v>6426</v>
      </c>
      <c r="F21" s="931" t="b">
        <v>0</v>
      </c>
      <c r="G21" s="1498" t="s">
        <v>526</v>
      </c>
      <c r="H21" s="1432"/>
      <c r="I21" s="922" t="b">
        <v>0</v>
      </c>
      <c r="J21" s="914"/>
      <c r="K21" s="28"/>
      <c r="L21" s="928" t="b">
        <v>0</v>
      </c>
      <c r="M21" s="924" t="s">
        <v>434</v>
      </c>
      <c r="N21" s="925" t="b">
        <v>0</v>
      </c>
      <c r="O21" s="28"/>
      <c r="P21" s="920" t="b">
        <v>0</v>
      </c>
      <c r="Q21" s="1493" t="s">
        <v>525</v>
      </c>
      <c r="R21" s="1494"/>
      <c r="S21" s="1494"/>
      <c r="T21" s="922" t="b">
        <v>0</v>
      </c>
      <c r="U21" s="916"/>
      <c r="W21" s="52">
        <f t="shared" si="2"/>
        <v>0</v>
      </c>
      <c r="X21" s="16">
        <f t="shared" si="3"/>
        <v>0</v>
      </c>
      <c r="Y21" s="16">
        <f t="shared" si="4"/>
        <v>0</v>
      </c>
      <c r="Z21" s="16">
        <f t="shared" si="5"/>
        <v>0</v>
      </c>
      <c r="AA21" s="16">
        <f t="shared" si="6"/>
        <v>0</v>
      </c>
      <c r="AB21" s="16">
        <f t="shared" si="7"/>
        <v>0</v>
      </c>
      <c r="AC21" s="16">
        <f t="shared" si="8"/>
        <v>0</v>
      </c>
      <c r="AD21" s="16">
        <f t="shared" si="9"/>
        <v>0</v>
      </c>
      <c r="AE21" s="16">
        <f t="shared" si="10"/>
        <v>0</v>
      </c>
      <c r="AF21" s="16">
        <f t="shared" si="11"/>
        <v>0</v>
      </c>
      <c r="AG21" s="16">
        <f t="shared" si="12"/>
        <v>0</v>
      </c>
      <c r="AH21" s="16">
        <f t="shared" si="13"/>
        <v>0</v>
      </c>
      <c r="AI21" s="16">
        <f t="shared" si="14"/>
        <v>0</v>
      </c>
      <c r="AJ21" s="16">
        <f t="shared" si="15"/>
        <v>0</v>
      </c>
      <c r="AK21" s="16">
        <f t="shared" si="16"/>
        <v>0</v>
      </c>
      <c r="AL21" s="16">
        <f t="shared" si="17"/>
        <v>0</v>
      </c>
      <c r="AM21" s="16">
        <f t="shared" si="18"/>
        <v>0</v>
      </c>
      <c r="AN21" s="16">
        <f t="shared" si="19"/>
        <v>0</v>
      </c>
      <c r="AO21" s="16">
        <f t="shared" si="20"/>
        <v>0</v>
      </c>
      <c r="AP21" s="16">
        <f t="shared" si="21"/>
        <v>0</v>
      </c>
      <c r="AQ21" s="16">
        <f t="shared" si="22"/>
        <v>0</v>
      </c>
      <c r="AR21" s="16">
        <f t="shared" si="23"/>
        <v>0</v>
      </c>
      <c r="AS21" s="16">
        <f t="shared" si="24"/>
        <v>0</v>
      </c>
      <c r="AT21" s="16">
        <f t="shared" si="25"/>
        <v>0</v>
      </c>
      <c r="AU21" s="16">
        <f t="shared" si="26"/>
        <v>0</v>
      </c>
      <c r="AV21" s="16">
        <f t="shared" si="27"/>
        <v>0</v>
      </c>
      <c r="AW21" s="16">
        <f t="shared" si="28"/>
        <v>0</v>
      </c>
    </row>
    <row r="22" spans="1:77">
      <c r="A22" s="904"/>
      <c r="B22" s="999">
        <f>Rezone!J22</f>
        <v>20</v>
      </c>
      <c r="C22" s="64">
        <f>Construction!E22</f>
        <v>1000</v>
      </c>
      <c r="D22" s="26">
        <f>Production!P22</f>
        <v>0</v>
      </c>
      <c r="E22" s="57">
        <f>Production!Q22</f>
        <v>6426</v>
      </c>
      <c r="F22" s="931" t="b">
        <v>0</v>
      </c>
      <c r="G22" s="1485" t="s">
        <v>425</v>
      </c>
      <c r="H22" s="1489"/>
      <c r="I22" s="925" t="b">
        <v>0</v>
      </c>
      <c r="J22" s="914"/>
      <c r="K22" s="28"/>
      <c r="L22" s="915"/>
      <c r="M22" s="914"/>
      <c r="N22" s="28"/>
      <c r="O22" s="28"/>
      <c r="P22" s="920" t="b">
        <v>0</v>
      </c>
      <c r="Q22" s="1485" t="s">
        <v>427</v>
      </c>
      <c r="R22" s="1495"/>
      <c r="S22" s="1495"/>
      <c r="T22" s="925" t="b">
        <v>0</v>
      </c>
      <c r="U22" s="916"/>
      <c r="W22" s="52">
        <f t="shared" si="2"/>
        <v>0</v>
      </c>
      <c r="X22" s="16">
        <f t="shared" si="3"/>
        <v>0</v>
      </c>
      <c r="Y22" s="16">
        <f t="shared" si="4"/>
        <v>0</v>
      </c>
      <c r="Z22" s="16">
        <f t="shared" si="5"/>
        <v>0</v>
      </c>
      <c r="AA22" s="16">
        <f t="shared" si="6"/>
        <v>0</v>
      </c>
      <c r="AB22" s="16">
        <f t="shared" si="7"/>
        <v>0</v>
      </c>
      <c r="AC22" s="16">
        <f t="shared" si="8"/>
        <v>0</v>
      </c>
      <c r="AD22" s="16">
        <f t="shared" si="9"/>
        <v>0</v>
      </c>
      <c r="AE22" s="16">
        <f t="shared" si="10"/>
        <v>0</v>
      </c>
      <c r="AF22" s="16">
        <f t="shared" si="11"/>
        <v>0</v>
      </c>
      <c r="AG22" s="16">
        <f t="shared" si="12"/>
        <v>0</v>
      </c>
      <c r="AH22" s="16">
        <f t="shared" si="13"/>
        <v>0</v>
      </c>
      <c r="AI22" s="16">
        <f t="shared" si="14"/>
        <v>0</v>
      </c>
      <c r="AJ22" s="16">
        <f t="shared" si="15"/>
        <v>0</v>
      </c>
      <c r="AK22" s="16">
        <f t="shared" si="16"/>
        <v>0</v>
      </c>
      <c r="AL22" s="16">
        <f t="shared" si="17"/>
        <v>0</v>
      </c>
      <c r="AM22" s="16">
        <f t="shared" si="18"/>
        <v>0</v>
      </c>
      <c r="AN22" s="16">
        <f t="shared" si="19"/>
        <v>0</v>
      </c>
      <c r="AO22" s="16">
        <f t="shared" si="20"/>
        <v>0</v>
      </c>
      <c r="AP22" s="16">
        <f t="shared" si="21"/>
        <v>0</v>
      </c>
      <c r="AQ22" s="16">
        <f t="shared" si="22"/>
        <v>0</v>
      </c>
      <c r="AR22" s="16">
        <f t="shared" si="23"/>
        <v>0</v>
      </c>
      <c r="AS22" s="16">
        <f t="shared" si="24"/>
        <v>0</v>
      </c>
      <c r="AT22" s="16">
        <f t="shared" si="25"/>
        <v>0</v>
      </c>
      <c r="AU22" s="16">
        <f t="shared" si="26"/>
        <v>0</v>
      </c>
      <c r="AV22" s="16">
        <f t="shared" si="27"/>
        <v>0</v>
      </c>
      <c r="AW22" s="16">
        <f t="shared" si="28"/>
        <v>0</v>
      </c>
    </row>
    <row r="23" spans="1:77" ht="13.5" thickBot="1">
      <c r="A23" s="904"/>
      <c r="B23" s="999">
        <f>Rezone!J23</f>
        <v>21</v>
      </c>
      <c r="C23" s="64">
        <f>Construction!E23</f>
        <v>1000</v>
      </c>
      <c r="D23" s="26">
        <f>Production!P23</f>
        <v>0</v>
      </c>
      <c r="E23" s="57">
        <f>Production!Q23</f>
        <v>6426</v>
      </c>
      <c r="F23" s="944"/>
      <c r="G23" s="945"/>
      <c r="H23" s="946"/>
      <c r="I23" s="946"/>
      <c r="J23" s="946"/>
      <c r="K23" s="945"/>
      <c r="L23" s="945"/>
      <c r="M23" s="946"/>
      <c r="N23" s="945"/>
      <c r="O23" s="945"/>
      <c r="P23" s="946"/>
      <c r="Q23" s="946"/>
      <c r="R23" s="945"/>
      <c r="S23" s="945"/>
      <c r="T23" s="946"/>
      <c r="U23" s="947"/>
      <c r="W23" s="52">
        <f t="shared" si="2"/>
        <v>0</v>
      </c>
      <c r="X23" s="16">
        <f t="shared" si="3"/>
        <v>0</v>
      </c>
      <c r="Y23" s="16">
        <f t="shared" si="4"/>
        <v>0</v>
      </c>
      <c r="Z23" s="16">
        <f t="shared" si="5"/>
        <v>0</v>
      </c>
      <c r="AA23" s="16">
        <f t="shared" si="6"/>
        <v>0</v>
      </c>
      <c r="AB23" s="16">
        <f t="shared" si="7"/>
        <v>0</v>
      </c>
      <c r="AC23" s="16">
        <f t="shared" si="8"/>
        <v>0</v>
      </c>
      <c r="AD23" s="16">
        <f t="shared" si="9"/>
        <v>0</v>
      </c>
      <c r="AE23" s="16">
        <f t="shared" si="10"/>
        <v>0</v>
      </c>
      <c r="AF23" s="16">
        <f t="shared" si="11"/>
        <v>0</v>
      </c>
      <c r="AG23" s="16">
        <f t="shared" si="12"/>
        <v>0</v>
      </c>
      <c r="AH23" s="16">
        <f t="shared" si="13"/>
        <v>0</v>
      </c>
      <c r="AI23" s="16">
        <f t="shared" si="14"/>
        <v>0</v>
      </c>
      <c r="AJ23" s="16">
        <f t="shared" si="15"/>
        <v>0</v>
      </c>
      <c r="AK23" s="16">
        <f t="shared" si="16"/>
        <v>0</v>
      </c>
      <c r="AL23" s="16">
        <f t="shared" si="17"/>
        <v>0</v>
      </c>
      <c r="AM23" s="16">
        <f t="shared" si="18"/>
        <v>0</v>
      </c>
      <c r="AN23" s="16">
        <f t="shared" si="19"/>
        <v>0</v>
      </c>
      <c r="AO23" s="16">
        <f t="shared" si="20"/>
        <v>0</v>
      </c>
      <c r="AP23" s="16">
        <f t="shared" si="21"/>
        <v>0</v>
      </c>
      <c r="AQ23" s="16">
        <f t="shared" si="22"/>
        <v>0</v>
      </c>
      <c r="AR23" s="16">
        <f t="shared" si="23"/>
        <v>0</v>
      </c>
      <c r="AS23" s="16">
        <f t="shared" si="24"/>
        <v>0</v>
      </c>
      <c r="AT23" s="16">
        <f t="shared" si="25"/>
        <v>0</v>
      </c>
      <c r="AU23" s="16">
        <f t="shared" si="26"/>
        <v>0</v>
      </c>
      <c r="AV23" s="16">
        <f t="shared" si="27"/>
        <v>0</v>
      </c>
      <c r="AW23" s="16">
        <f t="shared" si="28"/>
        <v>0</v>
      </c>
    </row>
    <row r="24" spans="1:77">
      <c r="A24" s="904"/>
      <c r="B24" s="999">
        <f>Rezone!J24</f>
        <v>22</v>
      </c>
      <c r="C24" s="64">
        <f>Construction!E24</f>
        <v>1000</v>
      </c>
      <c r="D24" s="26">
        <f>Production!P24</f>
        <v>0</v>
      </c>
      <c r="E24" s="57">
        <f>Production!Q24</f>
        <v>6426</v>
      </c>
      <c r="W24" s="52">
        <f t="shared" si="2"/>
        <v>0</v>
      </c>
      <c r="X24" s="16">
        <f t="shared" si="3"/>
        <v>0</v>
      </c>
      <c r="Y24" s="16">
        <f t="shared" si="4"/>
        <v>0</v>
      </c>
      <c r="Z24" s="16">
        <f t="shared" si="5"/>
        <v>0</v>
      </c>
      <c r="AA24" s="16">
        <f t="shared" si="6"/>
        <v>0</v>
      </c>
      <c r="AB24" s="16">
        <f t="shared" si="7"/>
        <v>0</v>
      </c>
      <c r="AC24" s="16">
        <f t="shared" si="8"/>
        <v>0</v>
      </c>
      <c r="AD24" s="16">
        <f t="shared" si="9"/>
        <v>0</v>
      </c>
      <c r="AE24" s="16">
        <f t="shared" si="10"/>
        <v>0</v>
      </c>
      <c r="AF24" s="16">
        <f t="shared" si="11"/>
        <v>0</v>
      </c>
      <c r="AG24" s="16">
        <f t="shared" si="12"/>
        <v>0</v>
      </c>
      <c r="AH24" s="16">
        <f t="shared" si="13"/>
        <v>0</v>
      </c>
      <c r="AI24" s="16">
        <f t="shared" si="14"/>
        <v>0</v>
      </c>
      <c r="AJ24" s="16">
        <f t="shared" si="15"/>
        <v>0</v>
      </c>
      <c r="AK24" s="16">
        <f t="shared" si="16"/>
        <v>0</v>
      </c>
      <c r="AL24" s="16">
        <f t="shared" si="17"/>
        <v>0</v>
      </c>
      <c r="AM24" s="16">
        <f t="shared" si="18"/>
        <v>0</v>
      </c>
      <c r="AN24" s="16">
        <f t="shared" si="19"/>
        <v>0</v>
      </c>
      <c r="AO24" s="16">
        <f t="shared" si="20"/>
        <v>0</v>
      </c>
      <c r="AP24" s="16">
        <f t="shared" si="21"/>
        <v>0</v>
      </c>
      <c r="AQ24" s="16">
        <f t="shared" si="22"/>
        <v>0</v>
      </c>
      <c r="AR24" s="16">
        <f t="shared" si="23"/>
        <v>0</v>
      </c>
      <c r="AS24" s="16">
        <f t="shared" si="24"/>
        <v>0</v>
      </c>
      <c r="AT24" s="16">
        <f t="shared" si="25"/>
        <v>0</v>
      </c>
      <c r="AU24" s="16">
        <f t="shared" si="26"/>
        <v>0</v>
      </c>
      <c r="AV24" s="16">
        <f t="shared" si="27"/>
        <v>0</v>
      </c>
      <c r="AW24" s="16">
        <f t="shared" si="28"/>
        <v>0</v>
      </c>
    </row>
    <row r="25" spans="1:77">
      <c r="A25" s="904"/>
      <c r="B25" s="999">
        <f>Rezone!J25</f>
        <v>23</v>
      </c>
      <c r="C25" s="64">
        <f>Construction!E25</f>
        <v>1000</v>
      </c>
      <c r="D25" s="26">
        <f>Production!P25</f>
        <v>0</v>
      </c>
      <c r="E25" s="57">
        <f>Production!Q25</f>
        <v>6426</v>
      </c>
      <c r="W25" s="52">
        <f t="shared" si="2"/>
        <v>0</v>
      </c>
      <c r="X25" s="16">
        <f t="shared" si="3"/>
        <v>0</v>
      </c>
      <c r="Y25" s="16">
        <f t="shared" si="4"/>
        <v>0</v>
      </c>
      <c r="Z25" s="16">
        <f t="shared" si="5"/>
        <v>0</v>
      </c>
      <c r="AA25" s="16">
        <f t="shared" si="6"/>
        <v>0</v>
      </c>
      <c r="AB25" s="16">
        <f t="shared" si="7"/>
        <v>0</v>
      </c>
      <c r="AC25" s="16">
        <f t="shared" si="8"/>
        <v>0</v>
      </c>
      <c r="AD25" s="16">
        <f t="shared" si="9"/>
        <v>0</v>
      </c>
      <c r="AE25" s="16">
        <f t="shared" si="10"/>
        <v>0</v>
      </c>
      <c r="AF25" s="16">
        <f t="shared" si="11"/>
        <v>0</v>
      </c>
      <c r="AG25" s="16">
        <f t="shared" si="12"/>
        <v>0</v>
      </c>
      <c r="AH25" s="16">
        <f t="shared" si="13"/>
        <v>0</v>
      </c>
      <c r="AI25" s="16">
        <f t="shared" si="14"/>
        <v>0</v>
      </c>
      <c r="AJ25" s="16">
        <f t="shared" si="15"/>
        <v>0</v>
      </c>
      <c r="AK25" s="16">
        <f t="shared" si="16"/>
        <v>0</v>
      </c>
      <c r="AL25" s="16">
        <f t="shared" si="17"/>
        <v>0</v>
      </c>
      <c r="AM25" s="16">
        <f t="shared" si="18"/>
        <v>0</v>
      </c>
      <c r="AN25" s="16">
        <f t="shared" si="19"/>
        <v>0</v>
      </c>
      <c r="AO25" s="16">
        <f t="shared" si="20"/>
        <v>0</v>
      </c>
      <c r="AP25" s="16">
        <f t="shared" si="21"/>
        <v>0</v>
      </c>
      <c r="AQ25" s="16">
        <f t="shared" si="22"/>
        <v>0</v>
      </c>
      <c r="AR25" s="16">
        <f t="shared" si="23"/>
        <v>0</v>
      </c>
      <c r="AS25" s="16">
        <f t="shared" si="24"/>
        <v>0</v>
      </c>
      <c r="AT25" s="16">
        <f t="shared" si="25"/>
        <v>0</v>
      </c>
      <c r="AU25" s="16">
        <f t="shared" si="26"/>
        <v>0</v>
      </c>
      <c r="AV25" s="16">
        <f t="shared" si="27"/>
        <v>0</v>
      </c>
      <c r="AW25" s="16">
        <f t="shared" si="28"/>
        <v>0</v>
      </c>
    </row>
    <row r="26" spans="1:77" ht="13.5" thickBot="1">
      <c r="A26" s="904"/>
      <c r="B26" s="998">
        <f>Rezone!J26</f>
        <v>24</v>
      </c>
      <c r="C26" s="160">
        <f>Construction!E26</f>
        <v>1000</v>
      </c>
      <c r="D26" s="164">
        <f>Production!P26</f>
        <v>0</v>
      </c>
      <c r="E26" s="166">
        <f>Production!Q26</f>
        <v>6426</v>
      </c>
      <c r="W26" s="52">
        <f t="shared" si="2"/>
        <v>0</v>
      </c>
      <c r="X26" s="16">
        <f t="shared" si="3"/>
        <v>0</v>
      </c>
      <c r="Y26" s="16">
        <f t="shared" si="4"/>
        <v>0</v>
      </c>
      <c r="Z26" s="16">
        <f t="shared" si="5"/>
        <v>0</v>
      </c>
      <c r="AA26" s="16">
        <f t="shared" si="6"/>
        <v>0</v>
      </c>
      <c r="AB26" s="16">
        <f t="shared" si="7"/>
        <v>0</v>
      </c>
      <c r="AC26" s="16">
        <f t="shared" si="8"/>
        <v>0</v>
      </c>
      <c r="AD26" s="16">
        <f t="shared" si="9"/>
        <v>0</v>
      </c>
      <c r="AE26" s="16">
        <f t="shared" si="10"/>
        <v>0</v>
      </c>
      <c r="AF26" s="16">
        <f t="shared" si="11"/>
        <v>0</v>
      </c>
      <c r="AG26" s="16">
        <f t="shared" si="12"/>
        <v>0</v>
      </c>
      <c r="AH26" s="16">
        <f t="shared" si="13"/>
        <v>0</v>
      </c>
      <c r="AI26" s="16">
        <f t="shared" si="14"/>
        <v>0</v>
      </c>
      <c r="AJ26" s="16">
        <f t="shared" si="15"/>
        <v>0</v>
      </c>
      <c r="AK26" s="16">
        <f t="shared" si="16"/>
        <v>0</v>
      </c>
      <c r="AL26" s="16">
        <f t="shared" si="17"/>
        <v>0</v>
      </c>
      <c r="AM26" s="16">
        <f t="shared" si="18"/>
        <v>0</v>
      </c>
      <c r="AN26" s="16">
        <f t="shared" si="19"/>
        <v>0</v>
      </c>
      <c r="AO26" s="16">
        <f t="shared" si="20"/>
        <v>0</v>
      </c>
      <c r="AP26" s="16">
        <f t="shared" si="21"/>
        <v>0</v>
      </c>
      <c r="AQ26" s="16">
        <f t="shared" si="22"/>
        <v>0</v>
      </c>
      <c r="AR26" s="16">
        <f t="shared" si="23"/>
        <v>0</v>
      </c>
      <c r="AS26" s="16">
        <f t="shared" si="24"/>
        <v>0</v>
      </c>
      <c r="AT26" s="16">
        <f t="shared" si="25"/>
        <v>0</v>
      </c>
      <c r="AU26" s="16">
        <f t="shared" si="26"/>
        <v>0</v>
      </c>
      <c r="AV26" s="16">
        <f t="shared" si="27"/>
        <v>0</v>
      </c>
      <c r="AW26" s="16">
        <f t="shared" si="28"/>
        <v>0</v>
      </c>
    </row>
    <row r="27" spans="1:77" s="1262" customFormat="1" ht="14.25" thickTop="1" thickBot="1">
      <c r="A27" s="1260"/>
      <c r="B27" s="1261">
        <f>Rezone!J27</f>
        <v>25</v>
      </c>
      <c r="C27" s="1237">
        <f>Construction!E27</f>
        <v>1000</v>
      </c>
      <c r="D27" s="1200">
        <f>Production!P27</f>
        <v>0</v>
      </c>
      <c r="E27" s="1205">
        <f>Production!Q27</f>
        <v>6426</v>
      </c>
      <c r="F27" s="1232"/>
      <c r="W27" s="1232">
        <f t="shared" si="2"/>
        <v>0</v>
      </c>
      <c r="X27" s="1262">
        <f t="shared" si="3"/>
        <v>0</v>
      </c>
      <c r="Y27" s="1262">
        <f t="shared" si="4"/>
        <v>0</v>
      </c>
      <c r="Z27" s="1262">
        <f t="shared" si="5"/>
        <v>0</v>
      </c>
      <c r="AA27" s="1262">
        <f t="shared" si="6"/>
        <v>0</v>
      </c>
      <c r="AB27" s="1262">
        <f t="shared" si="7"/>
        <v>0</v>
      </c>
      <c r="AC27" s="1262">
        <f t="shared" si="8"/>
        <v>0</v>
      </c>
      <c r="AD27" s="1262">
        <f t="shared" si="9"/>
        <v>0</v>
      </c>
      <c r="AE27" s="1262">
        <f t="shared" si="10"/>
        <v>0</v>
      </c>
      <c r="AF27" s="1262">
        <f t="shared" si="11"/>
        <v>0</v>
      </c>
      <c r="AG27" s="1262">
        <f t="shared" si="12"/>
        <v>0</v>
      </c>
      <c r="AH27" s="1262">
        <f t="shared" si="13"/>
        <v>0</v>
      </c>
      <c r="AI27" s="1262">
        <f t="shared" si="14"/>
        <v>0</v>
      </c>
      <c r="AJ27" s="1262">
        <f t="shared" si="15"/>
        <v>0</v>
      </c>
      <c r="AK27" s="1262">
        <f t="shared" si="16"/>
        <v>0</v>
      </c>
      <c r="AL27" s="1262">
        <f t="shared" si="17"/>
        <v>0</v>
      </c>
      <c r="AM27" s="1262">
        <f t="shared" si="18"/>
        <v>0</v>
      </c>
      <c r="AN27" s="1262">
        <f t="shared" si="19"/>
        <v>0</v>
      </c>
      <c r="AO27" s="1262">
        <f t="shared" si="20"/>
        <v>0</v>
      </c>
      <c r="AP27" s="1262">
        <f t="shared" si="21"/>
        <v>0</v>
      </c>
      <c r="AQ27" s="1262">
        <f t="shared" si="22"/>
        <v>0</v>
      </c>
      <c r="AR27" s="1262">
        <f t="shared" si="23"/>
        <v>0</v>
      </c>
      <c r="AS27" s="1262">
        <f t="shared" si="24"/>
        <v>0</v>
      </c>
      <c r="AT27" s="1262">
        <f t="shared" si="25"/>
        <v>0</v>
      </c>
      <c r="AU27" s="1262">
        <f t="shared" si="26"/>
        <v>0</v>
      </c>
      <c r="AV27" s="1262">
        <f t="shared" si="27"/>
        <v>0</v>
      </c>
      <c r="AW27" s="1262">
        <f t="shared" si="28"/>
        <v>0</v>
      </c>
      <c r="AX27" s="1225"/>
      <c r="BY27" s="1260"/>
    </row>
    <row r="28" spans="1:77" ht="13.5" thickTop="1">
      <c r="A28" s="904"/>
      <c r="B28" s="998">
        <f>Rezone!J28</f>
        <v>26</v>
      </c>
      <c r="C28" s="160">
        <f>Construction!E28</f>
        <v>1000</v>
      </c>
      <c r="D28" s="164">
        <f>Production!P28</f>
        <v>0</v>
      </c>
      <c r="E28" s="166">
        <f>Production!Q28</f>
        <v>6426</v>
      </c>
      <c r="W28" s="52">
        <f t="shared" si="2"/>
        <v>0</v>
      </c>
      <c r="X28" s="16">
        <f t="shared" si="3"/>
        <v>0</v>
      </c>
      <c r="Y28" s="16">
        <f t="shared" si="4"/>
        <v>0</v>
      </c>
      <c r="Z28" s="16">
        <f t="shared" si="5"/>
        <v>0</v>
      </c>
      <c r="AA28" s="16">
        <f t="shared" si="6"/>
        <v>0</v>
      </c>
      <c r="AB28" s="16">
        <f t="shared" si="7"/>
        <v>0</v>
      </c>
      <c r="AC28" s="16">
        <f t="shared" si="8"/>
        <v>0</v>
      </c>
      <c r="AD28" s="16">
        <f t="shared" si="9"/>
        <v>0</v>
      </c>
      <c r="AE28" s="16">
        <f t="shared" si="10"/>
        <v>0</v>
      </c>
      <c r="AF28" s="16">
        <f t="shared" si="11"/>
        <v>0</v>
      </c>
      <c r="AG28" s="16">
        <f t="shared" si="12"/>
        <v>0</v>
      </c>
      <c r="AH28" s="16">
        <f t="shared" si="13"/>
        <v>0</v>
      </c>
      <c r="AI28" s="16">
        <f t="shared" si="14"/>
        <v>0</v>
      </c>
      <c r="AJ28" s="16">
        <f t="shared" si="15"/>
        <v>0</v>
      </c>
      <c r="AK28" s="16">
        <f t="shared" si="16"/>
        <v>0</v>
      </c>
      <c r="AL28" s="16">
        <f t="shared" si="17"/>
        <v>0</v>
      </c>
      <c r="AM28" s="16">
        <f t="shared" si="18"/>
        <v>0</v>
      </c>
      <c r="AN28" s="16">
        <f t="shared" si="19"/>
        <v>0</v>
      </c>
      <c r="AO28" s="16">
        <f t="shared" si="20"/>
        <v>0</v>
      </c>
      <c r="AP28" s="16">
        <f t="shared" si="21"/>
        <v>0</v>
      </c>
      <c r="AQ28" s="16">
        <f t="shared" si="22"/>
        <v>0</v>
      </c>
      <c r="AR28" s="16">
        <f t="shared" si="23"/>
        <v>0</v>
      </c>
      <c r="AS28" s="16">
        <f t="shared" si="24"/>
        <v>0</v>
      </c>
      <c r="AT28" s="16">
        <f t="shared" si="25"/>
        <v>0</v>
      </c>
      <c r="AU28" s="16">
        <f t="shared" si="26"/>
        <v>0</v>
      </c>
      <c r="AV28" s="16">
        <f t="shared" si="27"/>
        <v>0</v>
      </c>
      <c r="AW28" s="16">
        <f t="shared" si="28"/>
        <v>0</v>
      </c>
    </row>
    <row r="29" spans="1:77">
      <c r="A29" s="904"/>
      <c r="B29" s="998">
        <f>Rezone!J29</f>
        <v>27</v>
      </c>
      <c r="C29" s="160">
        <f>Construction!E29</f>
        <v>1000</v>
      </c>
      <c r="D29" s="164">
        <f>Production!P29</f>
        <v>0</v>
      </c>
      <c r="E29" s="166">
        <f>Production!Q29</f>
        <v>6426</v>
      </c>
      <c r="W29" s="52">
        <f t="shared" si="2"/>
        <v>0</v>
      </c>
      <c r="X29" s="16">
        <f t="shared" si="3"/>
        <v>0</v>
      </c>
      <c r="Y29" s="16">
        <f t="shared" si="4"/>
        <v>0</v>
      </c>
      <c r="Z29" s="16">
        <f t="shared" si="5"/>
        <v>0</v>
      </c>
      <c r="AA29" s="16">
        <f t="shared" si="6"/>
        <v>0</v>
      </c>
      <c r="AB29" s="16">
        <f t="shared" si="7"/>
        <v>0</v>
      </c>
      <c r="AC29" s="16">
        <f t="shared" si="8"/>
        <v>0</v>
      </c>
      <c r="AD29" s="16">
        <f t="shared" si="9"/>
        <v>0</v>
      </c>
      <c r="AE29" s="16">
        <f t="shared" si="10"/>
        <v>0</v>
      </c>
      <c r="AF29" s="16">
        <f t="shared" si="11"/>
        <v>0</v>
      </c>
      <c r="AG29" s="16">
        <f t="shared" si="12"/>
        <v>0</v>
      </c>
      <c r="AH29" s="16">
        <f t="shared" si="13"/>
        <v>0</v>
      </c>
      <c r="AI29" s="16">
        <f t="shared" si="14"/>
        <v>0</v>
      </c>
      <c r="AJ29" s="16">
        <f t="shared" si="15"/>
        <v>0</v>
      </c>
      <c r="AK29" s="16">
        <f t="shared" si="16"/>
        <v>0</v>
      </c>
      <c r="AL29" s="16">
        <f t="shared" si="17"/>
        <v>0</v>
      </c>
      <c r="AM29" s="16">
        <f t="shared" si="18"/>
        <v>0</v>
      </c>
      <c r="AN29" s="16">
        <f t="shared" si="19"/>
        <v>0</v>
      </c>
      <c r="AO29" s="16">
        <f t="shared" si="20"/>
        <v>0</v>
      </c>
      <c r="AP29" s="16">
        <f t="shared" si="21"/>
        <v>0</v>
      </c>
      <c r="AQ29" s="16">
        <f t="shared" si="22"/>
        <v>0</v>
      </c>
      <c r="AR29" s="16">
        <f t="shared" si="23"/>
        <v>0</v>
      </c>
      <c r="AS29" s="16">
        <f t="shared" si="24"/>
        <v>0</v>
      </c>
      <c r="AT29" s="16">
        <f t="shared" si="25"/>
        <v>0</v>
      </c>
      <c r="AU29" s="16">
        <f t="shared" si="26"/>
        <v>0</v>
      </c>
      <c r="AV29" s="16">
        <f t="shared" si="27"/>
        <v>0</v>
      </c>
      <c r="AW29" s="16">
        <f t="shared" si="28"/>
        <v>0</v>
      </c>
    </row>
    <row r="30" spans="1:77">
      <c r="A30" s="904"/>
      <c r="B30" s="999">
        <f>Rezone!J30</f>
        <v>28</v>
      </c>
      <c r="C30" s="64">
        <f>Construction!E30</f>
        <v>1000</v>
      </c>
      <c r="D30" s="26">
        <f>Production!P30</f>
        <v>0</v>
      </c>
      <c r="E30" s="57">
        <f>Production!Q30</f>
        <v>6426</v>
      </c>
      <c r="W30" s="52">
        <f t="shared" si="2"/>
        <v>0</v>
      </c>
      <c r="X30" s="16">
        <f t="shared" si="3"/>
        <v>0</v>
      </c>
      <c r="Y30" s="16">
        <f t="shared" si="4"/>
        <v>0</v>
      </c>
      <c r="Z30" s="16">
        <f t="shared" si="5"/>
        <v>0</v>
      </c>
      <c r="AA30" s="16">
        <f t="shared" si="6"/>
        <v>0</v>
      </c>
      <c r="AB30" s="16">
        <f t="shared" si="7"/>
        <v>0</v>
      </c>
      <c r="AC30" s="16">
        <f t="shared" si="8"/>
        <v>0</v>
      </c>
      <c r="AD30" s="16">
        <f t="shared" si="9"/>
        <v>0</v>
      </c>
      <c r="AE30" s="16">
        <f t="shared" si="10"/>
        <v>0</v>
      </c>
      <c r="AF30" s="16">
        <f t="shared" si="11"/>
        <v>0</v>
      </c>
      <c r="AG30" s="16">
        <f t="shared" si="12"/>
        <v>0</v>
      </c>
      <c r="AH30" s="16">
        <f t="shared" si="13"/>
        <v>0</v>
      </c>
      <c r="AI30" s="16">
        <f t="shared" si="14"/>
        <v>0</v>
      </c>
      <c r="AJ30" s="16">
        <f t="shared" si="15"/>
        <v>0</v>
      </c>
      <c r="AK30" s="16">
        <f t="shared" si="16"/>
        <v>0</v>
      </c>
      <c r="AL30" s="16">
        <f t="shared" si="17"/>
        <v>0</v>
      </c>
      <c r="AM30" s="16">
        <f t="shared" si="18"/>
        <v>0</v>
      </c>
      <c r="AN30" s="16">
        <f t="shared" si="19"/>
        <v>0</v>
      </c>
      <c r="AO30" s="16">
        <f t="shared" si="20"/>
        <v>0</v>
      </c>
      <c r="AP30" s="16">
        <f t="shared" si="21"/>
        <v>0</v>
      </c>
      <c r="AQ30" s="16">
        <f t="shared" si="22"/>
        <v>0</v>
      </c>
      <c r="AR30" s="16">
        <f t="shared" si="23"/>
        <v>0</v>
      </c>
      <c r="AS30" s="16">
        <f t="shared" si="24"/>
        <v>0</v>
      </c>
      <c r="AT30" s="16">
        <f t="shared" si="25"/>
        <v>0</v>
      </c>
      <c r="AU30" s="16">
        <f t="shared" si="26"/>
        <v>0</v>
      </c>
      <c r="AV30" s="16">
        <f t="shared" si="27"/>
        <v>0</v>
      </c>
      <c r="AW30" s="16">
        <f t="shared" si="28"/>
        <v>0</v>
      </c>
    </row>
    <row r="31" spans="1:77">
      <c r="A31" s="904"/>
      <c r="B31" s="999">
        <f>Rezone!J31</f>
        <v>29</v>
      </c>
      <c r="C31" s="64">
        <f>Construction!E31</f>
        <v>1000</v>
      </c>
      <c r="D31" s="26">
        <f>Production!P31</f>
        <v>0</v>
      </c>
      <c r="E31" s="57">
        <f>Production!Q31</f>
        <v>6426</v>
      </c>
      <c r="W31" s="52">
        <f t="shared" si="2"/>
        <v>0</v>
      </c>
      <c r="X31" s="16">
        <f t="shared" si="3"/>
        <v>0</v>
      </c>
      <c r="Y31" s="16">
        <f t="shared" si="4"/>
        <v>0</v>
      </c>
      <c r="Z31" s="16">
        <f t="shared" si="5"/>
        <v>0</v>
      </c>
      <c r="AA31" s="16">
        <f t="shared" si="6"/>
        <v>0</v>
      </c>
      <c r="AB31" s="16">
        <f t="shared" si="7"/>
        <v>0</v>
      </c>
      <c r="AC31" s="16">
        <f t="shared" si="8"/>
        <v>0</v>
      </c>
      <c r="AD31" s="16">
        <f t="shared" si="9"/>
        <v>0</v>
      </c>
      <c r="AE31" s="16">
        <f t="shared" si="10"/>
        <v>0</v>
      </c>
      <c r="AF31" s="16">
        <f t="shared" si="11"/>
        <v>0</v>
      </c>
      <c r="AG31" s="16">
        <f t="shared" si="12"/>
        <v>0</v>
      </c>
      <c r="AH31" s="16">
        <f t="shared" si="13"/>
        <v>0</v>
      </c>
      <c r="AI31" s="16">
        <f t="shared" si="14"/>
        <v>0</v>
      </c>
      <c r="AJ31" s="16">
        <f t="shared" si="15"/>
        <v>0</v>
      </c>
      <c r="AK31" s="16">
        <f t="shared" si="16"/>
        <v>0</v>
      </c>
      <c r="AL31" s="16">
        <f t="shared" si="17"/>
        <v>0</v>
      </c>
      <c r="AM31" s="16">
        <f t="shared" si="18"/>
        <v>0</v>
      </c>
      <c r="AN31" s="16">
        <f t="shared" si="19"/>
        <v>0</v>
      </c>
      <c r="AO31" s="16">
        <f t="shared" si="20"/>
        <v>0</v>
      </c>
      <c r="AP31" s="16">
        <f t="shared" si="21"/>
        <v>0</v>
      </c>
      <c r="AQ31" s="16">
        <f t="shared" si="22"/>
        <v>0</v>
      </c>
      <c r="AR31" s="16">
        <f t="shared" si="23"/>
        <v>0</v>
      </c>
      <c r="AS31" s="16">
        <f t="shared" si="24"/>
        <v>0</v>
      </c>
      <c r="AT31" s="16">
        <f t="shared" si="25"/>
        <v>0</v>
      </c>
      <c r="AU31" s="16">
        <f t="shared" si="26"/>
        <v>0</v>
      </c>
      <c r="AV31" s="16">
        <f t="shared" si="27"/>
        <v>0</v>
      </c>
      <c r="AW31" s="16">
        <f t="shared" si="28"/>
        <v>0</v>
      </c>
    </row>
    <row r="32" spans="1:77">
      <c r="A32" s="904"/>
      <c r="B32" s="999">
        <f>Rezone!J32</f>
        <v>30</v>
      </c>
      <c r="C32" s="64">
        <f>Construction!E32</f>
        <v>1000</v>
      </c>
      <c r="D32" s="26">
        <f>Production!P32</f>
        <v>0</v>
      </c>
      <c r="E32" s="57">
        <f>Production!Q32</f>
        <v>6426</v>
      </c>
      <c r="W32" s="52">
        <f t="shared" si="2"/>
        <v>0</v>
      </c>
      <c r="X32" s="16">
        <f t="shared" si="3"/>
        <v>0</v>
      </c>
      <c r="Y32" s="16">
        <f t="shared" si="4"/>
        <v>0</v>
      </c>
      <c r="Z32" s="16">
        <f t="shared" si="5"/>
        <v>0</v>
      </c>
      <c r="AA32" s="16">
        <f t="shared" si="6"/>
        <v>0</v>
      </c>
      <c r="AB32" s="16">
        <f t="shared" si="7"/>
        <v>0</v>
      </c>
      <c r="AC32" s="16">
        <f t="shared" si="8"/>
        <v>0</v>
      </c>
      <c r="AD32" s="16">
        <f t="shared" si="9"/>
        <v>0</v>
      </c>
      <c r="AE32" s="16">
        <f t="shared" si="10"/>
        <v>0</v>
      </c>
      <c r="AF32" s="16">
        <f t="shared" si="11"/>
        <v>0</v>
      </c>
      <c r="AG32" s="16">
        <f t="shared" si="12"/>
        <v>0</v>
      </c>
      <c r="AH32" s="16">
        <f t="shared" si="13"/>
        <v>0</v>
      </c>
      <c r="AI32" s="16">
        <f t="shared" si="14"/>
        <v>0</v>
      </c>
      <c r="AJ32" s="16">
        <f t="shared" si="15"/>
        <v>0</v>
      </c>
      <c r="AK32" s="16">
        <f t="shared" si="16"/>
        <v>0</v>
      </c>
      <c r="AL32" s="16">
        <f t="shared" si="17"/>
        <v>0</v>
      </c>
      <c r="AM32" s="16">
        <f t="shared" si="18"/>
        <v>0</v>
      </c>
      <c r="AN32" s="16">
        <f t="shared" si="19"/>
        <v>0</v>
      </c>
      <c r="AO32" s="16">
        <f t="shared" si="20"/>
        <v>0</v>
      </c>
      <c r="AP32" s="16">
        <f t="shared" si="21"/>
        <v>0</v>
      </c>
      <c r="AQ32" s="16">
        <f t="shared" si="22"/>
        <v>0</v>
      </c>
      <c r="AR32" s="16">
        <f t="shared" si="23"/>
        <v>0</v>
      </c>
      <c r="AS32" s="16">
        <f t="shared" si="24"/>
        <v>0</v>
      </c>
      <c r="AT32" s="16">
        <f t="shared" si="25"/>
        <v>0</v>
      </c>
      <c r="AU32" s="16">
        <f t="shared" si="26"/>
        <v>0</v>
      </c>
      <c r="AV32" s="16">
        <f t="shared" si="27"/>
        <v>0</v>
      </c>
      <c r="AW32" s="16">
        <f t="shared" si="28"/>
        <v>0</v>
      </c>
    </row>
    <row r="33" spans="1:77">
      <c r="A33" s="904"/>
      <c r="B33" s="999">
        <f>Rezone!J33</f>
        <v>31</v>
      </c>
      <c r="C33" s="64">
        <f>Construction!E33</f>
        <v>1000</v>
      </c>
      <c r="D33" s="26">
        <f>Production!P33</f>
        <v>0</v>
      </c>
      <c r="E33" s="57">
        <f>Production!Q33</f>
        <v>6426</v>
      </c>
      <c r="W33" s="52">
        <f t="shared" si="2"/>
        <v>0</v>
      </c>
      <c r="X33" s="16">
        <f t="shared" si="3"/>
        <v>0</v>
      </c>
      <c r="Y33" s="16">
        <f t="shared" si="4"/>
        <v>0</v>
      </c>
      <c r="Z33" s="16">
        <f t="shared" si="5"/>
        <v>0</v>
      </c>
      <c r="AA33" s="16">
        <f t="shared" si="6"/>
        <v>0</v>
      </c>
      <c r="AB33" s="16">
        <f t="shared" si="7"/>
        <v>0</v>
      </c>
      <c r="AC33" s="16">
        <f t="shared" si="8"/>
        <v>0</v>
      </c>
      <c r="AD33" s="16">
        <f t="shared" si="9"/>
        <v>0</v>
      </c>
      <c r="AE33" s="16">
        <f t="shared" si="10"/>
        <v>0</v>
      </c>
      <c r="AF33" s="16">
        <f t="shared" si="11"/>
        <v>0</v>
      </c>
      <c r="AG33" s="16">
        <f t="shared" si="12"/>
        <v>0</v>
      </c>
      <c r="AH33" s="16">
        <f t="shared" si="13"/>
        <v>0</v>
      </c>
      <c r="AI33" s="16">
        <f t="shared" si="14"/>
        <v>0</v>
      </c>
      <c r="AJ33" s="16">
        <f t="shared" si="15"/>
        <v>0</v>
      </c>
      <c r="AK33" s="16">
        <f t="shared" si="16"/>
        <v>0</v>
      </c>
      <c r="AL33" s="16">
        <f t="shared" si="17"/>
        <v>0</v>
      </c>
      <c r="AM33" s="16">
        <f t="shared" si="18"/>
        <v>0</v>
      </c>
      <c r="AN33" s="16">
        <f t="shared" si="19"/>
        <v>0</v>
      </c>
      <c r="AO33" s="16">
        <f t="shared" si="20"/>
        <v>0</v>
      </c>
      <c r="AP33" s="16">
        <f t="shared" si="21"/>
        <v>0</v>
      </c>
      <c r="AQ33" s="16">
        <f t="shared" si="22"/>
        <v>0</v>
      </c>
      <c r="AR33" s="16">
        <f t="shared" si="23"/>
        <v>0</v>
      </c>
      <c r="AS33" s="16">
        <f t="shared" si="24"/>
        <v>0</v>
      </c>
      <c r="AT33" s="16">
        <f t="shared" si="25"/>
        <v>0</v>
      </c>
      <c r="AU33" s="16">
        <f t="shared" si="26"/>
        <v>0</v>
      </c>
      <c r="AV33" s="16">
        <f t="shared" si="27"/>
        <v>0</v>
      </c>
      <c r="AW33" s="16">
        <f t="shared" si="28"/>
        <v>0</v>
      </c>
    </row>
    <row r="34" spans="1:77">
      <c r="A34" s="904"/>
      <c r="B34" s="999">
        <f>Rezone!J34</f>
        <v>32</v>
      </c>
      <c r="C34" s="64">
        <f>Construction!E34</f>
        <v>1000</v>
      </c>
      <c r="D34" s="26">
        <f>Production!P34</f>
        <v>0</v>
      </c>
      <c r="E34" s="57">
        <f>Production!Q34</f>
        <v>6426</v>
      </c>
      <c r="W34" s="52">
        <f t="shared" si="2"/>
        <v>0</v>
      </c>
      <c r="X34" s="16">
        <f t="shared" si="3"/>
        <v>0</v>
      </c>
      <c r="Y34" s="16">
        <f t="shared" si="4"/>
        <v>0</v>
      </c>
      <c r="Z34" s="16">
        <f t="shared" si="5"/>
        <v>0</v>
      </c>
      <c r="AA34" s="16">
        <f t="shared" si="6"/>
        <v>0</v>
      </c>
      <c r="AB34" s="16">
        <f t="shared" si="7"/>
        <v>0</v>
      </c>
      <c r="AC34" s="16">
        <f t="shared" si="8"/>
        <v>0</v>
      </c>
      <c r="AD34" s="16">
        <f t="shared" si="9"/>
        <v>0</v>
      </c>
      <c r="AE34" s="16">
        <f t="shared" si="10"/>
        <v>0</v>
      </c>
      <c r="AF34" s="16">
        <f t="shared" si="11"/>
        <v>0</v>
      </c>
      <c r="AG34" s="16">
        <f t="shared" si="12"/>
        <v>0</v>
      </c>
      <c r="AH34" s="16">
        <f t="shared" si="13"/>
        <v>0</v>
      </c>
      <c r="AI34" s="16">
        <f t="shared" si="14"/>
        <v>0</v>
      </c>
      <c r="AJ34" s="16">
        <f t="shared" si="15"/>
        <v>0</v>
      </c>
      <c r="AK34" s="16">
        <f t="shared" si="16"/>
        <v>0</v>
      </c>
      <c r="AL34" s="16">
        <f t="shared" si="17"/>
        <v>0</v>
      </c>
      <c r="AM34" s="16">
        <f t="shared" si="18"/>
        <v>0</v>
      </c>
      <c r="AN34" s="16">
        <f t="shared" si="19"/>
        <v>0</v>
      </c>
      <c r="AO34" s="16">
        <f t="shared" si="20"/>
        <v>0</v>
      </c>
      <c r="AP34" s="16">
        <f t="shared" si="21"/>
        <v>0</v>
      </c>
      <c r="AQ34" s="16">
        <f t="shared" si="22"/>
        <v>0</v>
      </c>
      <c r="AR34" s="16">
        <f t="shared" si="23"/>
        <v>0</v>
      </c>
      <c r="AS34" s="16">
        <f t="shared" si="24"/>
        <v>0</v>
      </c>
      <c r="AT34" s="16">
        <f t="shared" si="25"/>
        <v>0</v>
      </c>
      <c r="AU34" s="16">
        <f t="shared" si="26"/>
        <v>0</v>
      </c>
      <c r="AV34" s="16">
        <f t="shared" si="27"/>
        <v>0</v>
      </c>
      <c r="AW34" s="16">
        <f t="shared" si="28"/>
        <v>0</v>
      </c>
    </row>
    <row r="35" spans="1:77">
      <c r="A35" s="904"/>
      <c r="B35" s="999">
        <f>Rezone!J35</f>
        <v>33</v>
      </c>
      <c r="C35" s="64">
        <f>Construction!E35</f>
        <v>1000</v>
      </c>
      <c r="D35" s="26">
        <f>Production!P35</f>
        <v>0</v>
      </c>
      <c r="E35" s="57">
        <f>Production!Q35</f>
        <v>6426</v>
      </c>
      <c r="W35" s="52">
        <f t="shared" si="2"/>
        <v>0</v>
      </c>
      <c r="X35" s="16">
        <f t="shared" si="3"/>
        <v>0</v>
      </c>
      <c r="Y35" s="16">
        <f t="shared" si="4"/>
        <v>0</v>
      </c>
      <c r="Z35" s="16">
        <f t="shared" si="5"/>
        <v>0</v>
      </c>
      <c r="AA35" s="16">
        <f t="shared" si="6"/>
        <v>0</v>
      </c>
      <c r="AB35" s="16">
        <f t="shared" si="7"/>
        <v>0</v>
      </c>
      <c r="AC35" s="16">
        <f t="shared" si="8"/>
        <v>0</v>
      </c>
      <c r="AD35" s="16">
        <f t="shared" si="9"/>
        <v>0</v>
      </c>
      <c r="AE35" s="16">
        <f t="shared" si="10"/>
        <v>0</v>
      </c>
      <c r="AF35" s="16">
        <f t="shared" si="11"/>
        <v>0</v>
      </c>
      <c r="AG35" s="16">
        <f t="shared" si="12"/>
        <v>0</v>
      </c>
      <c r="AH35" s="16">
        <f t="shared" si="13"/>
        <v>0</v>
      </c>
      <c r="AI35" s="16">
        <f t="shared" si="14"/>
        <v>0</v>
      </c>
      <c r="AJ35" s="16">
        <f t="shared" si="15"/>
        <v>0</v>
      </c>
      <c r="AK35" s="16">
        <f t="shared" si="16"/>
        <v>0</v>
      </c>
      <c r="AL35" s="16">
        <f t="shared" si="17"/>
        <v>0</v>
      </c>
      <c r="AM35" s="16">
        <f t="shared" si="18"/>
        <v>0</v>
      </c>
      <c r="AN35" s="16">
        <f t="shared" si="19"/>
        <v>0</v>
      </c>
      <c r="AO35" s="16">
        <f t="shared" si="20"/>
        <v>0</v>
      </c>
      <c r="AP35" s="16">
        <f t="shared" si="21"/>
        <v>0</v>
      </c>
      <c r="AQ35" s="16">
        <f t="shared" si="22"/>
        <v>0</v>
      </c>
      <c r="AR35" s="16">
        <f t="shared" si="23"/>
        <v>0</v>
      </c>
      <c r="AS35" s="16">
        <f t="shared" si="24"/>
        <v>0</v>
      </c>
      <c r="AT35" s="16">
        <f t="shared" si="25"/>
        <v>0</v>
      </c>
      <c r="AU35" s="16">
        <f t="shared" si="26"/>
        <v>0</v>
      </c>
      <c r="AV35" s="16">
        <f t="shared" si="27"/>
        <v>0</v>
      </c>
      <c r="AW35" s="16">
        <f t="shared" si="28"/>
        <v>0</v>
      </c>
    </row>
    <row r="36" spans="1:77">
      <c r="A36" s="904"/>
      <c r="B36" s="999">
        <f>Rezone!J36</f>
        <v>34</v>
      </c>
      <c r="C36" s="64">
        <f>Construction!E36</f>
        <v>1000</v>
      </c>
      <c r="D36" s="26">
        <f>Production!P36</f>
        <v>0</v>
      </c>
      <c r="E36" s="57">
        <f>Production!Q36</f>
        <v>6426</v>
      </c>
      <c r="W36" s="52">
        <f t="shared" si="2"/>
        <v>0</v>
      </c>
      <c r="X36" s="16">
        <f t="shared" si="3"/>
        <v>0</v>
      </c>
      <c r="Y36" s="16">
        <f t="shared" si="4"/>
        <v>0</v>
      </c>
      <c r="Z36" s="16">
        <f t="shared" si="5"/>
        <v>0</v>
      </c>
      <c r="AA36" s="16">
        <f t="shared" si="6"/>
        <v>0</v>
      </c>
      <c r="AB36" s="16">
        <f t="shared" si="7"/>
        <v>0</v>
      </c>
      <c r="AC36" s="16">
        <f t="shared" si="8"/>
        <v>0</v>
      </c>
      <c r="AD36" s="16">
        <f t="shared" si="9"/>
        <v>0</v>
      </c>
      <c r="AE36" s="16">
        <f t="shared" si="10"/>
        <v>0</v>
      </c>
      <c r="AF36" s="16">
        <f t="shared" si="11"/>
        <v>0</v>
      </c>
      <c r="AG36" s="16">
        <f t="shared" si="12"/>
        <v>0</v>
      </c>
      <c r="AH36" s="16">
        <f t="shared" si="13"/>
        <v>0</v>
      </c>
      <c r="AI36" s="16">
        <f t="shared" si="14"/>
        <v>0</v>
      </c>
      <c r="AJ36" s="16">
        <f t="shared" si="15"/>
        <v>0</v>
      </c>
      <c r="AK36" s="16">
        <f t="shared" si="16"/>
        <v>0</v>
      </c>
      <c r="AL36" s="16">
        <f t="shared" si="17"/>
        <v>0</v>
      </c>
      <c r="AM36" s="16">
        <f t="shared" si="18"/>
        <v>0</v>
      </c>
      <c r="AN36" s="16">
        <f t="shared" si="19"/>
        <v>0</v>
      </c>
      <c r="AO36" s="16">
        <f t="shared" si="20"/>
        <v>0</v>
      </c>
      <c r="AP36" s="16">
        <f t="shared" si="21"/>
        <v>0</v>
      </c>
      <c r="AQ36" s="16">
        <f t="shared" si="22"/>
        <v>0</v>
      </c>
      <c r="AR36" s="16">
        <f t="shared" si="23"/>
        <v>0</v>
      </c>
      <c r="AS36" s="16">
        <f t="shared" si="24"/>
        <v>0</v>
      </c>
      <c r="AT36" s="16">
        <f t="shared" si="25"/>
        <v>0</v>
      </c>
      <c r="AU36" s="16">
        <f t="shared" si="26"/>
        <v>0</v>
      </c>
      <c r="AV36" s="16">
        <f t="shared" si="27"/>
        <v>0</v>
      </c>
      <c r="AW36" s="16">
        <f t="shared" si="28"/>
        <v>0</v>
      </c>
    </row>
    <row r="37" spans="1:77">
      <c r="A37" s="904"/>
      <c r="B37" s="999">
        <f>Rezone!J37</f>
        <v>35</v>
      </c>
      <c r="C37" s="64">
        <f>Construction!E37</f>
        <v>1000</v>
      </c>
      <c r="D37" s="26">
        <f>Production!P37</f>
        <v>0</v>
      </c>
      <c r="E37" s="57">
        <f>Production!Q37</f>
        <v>6426</v>
      </c>
      <c r="W37" s="52">
        <f t="shared" si="2"/>
        <v>0</v>
      </c>
      <c r="X37" s="16">
        <f t="shared" si="3"/>
        <v>0</v>
      </c>
      <c r="Y37" s="16">
        <f t="shared" si="4"/>
        <v>0</v>
      </c>
      <c r="Z37" s="16">
        <f t="shared" si="5"/>
        <v>0</v>
      </c>
      <c r="AA37" s="16">
        <f t="shared" si="6"/>
        <v>0</v>
      </c>
      <c r="AB37" s="16">
        <f t="shared" si="7"/>
        <v>0</v>
      </c>
      <c r="AC37" s="16">
        <f t="shared" si="8"/>
        <v>0</v>
      </c>
      <c r="AD37" s="16">
        <f t="shared" si="9"/>
        <v>0</v>
      </c>
      <c r="AE37" s="16">
        <f t="shared" si="10"/>
        <v>0</v>
      </c>
      <c r="AF37" s="16">
        <f t="shared" si="11"/>
        <v>0</v>
      </c>
      <c r="AG37" s="16">
        <f t="shared" si="12"/>
        <v>0</v>
      </c>
      <c r="AH37" s="16">
        <f t="shared" si="13"/>
        <v>0</v>
      </c>
      <c r="AI37" s="16">
        <f t="shared" si="14"/>
        <v>0</v>
      </c>
      <c r="AJ37" s="16">
        <f t="shared" si="15"/>
        <v>0</v>
      </c>
      <c r="AK37" s="16">
        <f t="shared" si="16"/>
        <v>0</v>
      </c>
      <c r="AL37" s="16">
        <f t="shared" si="17"/>
        <v>0</v>
      </c>
      <c r="AM37" s="16">
        <f t="shared" si="18"/>
        <v>0</v>
      </c>
      <c r="AN37" s="16">
        <f t="shared" si="19"/>
        <v>0</v>
      </c>
      <c r="AO37" s="16">
        <f t="shared" si="20"/>
        <v>0</v>
      </c>
      <c r="AP37" s="16">
        <f t="shared" si="21"/>
        <v>0</v>
      </c>
      <c r="AQ37" s="16">
        <f t="shared" si="22"/>
        <v>0</v>
      </c>
      <c r="AR37" s="16">
        <f t="shared" si="23"/>
        <v>0</v>
      </c>
      <c r="AS37" s="16">
        <f t="shared" si="24"/>
        <v>0</v>
      </c>
      <c r="AT37" s="16">
        <f t="shared" si="25"/>
        <v>0</v>
      </c>
      <c r="AU37" s="16">
        <f t="shared" si="26"/>
        <v>0</v>
      </c>
      <c r="AV37" s="16">
        <f t="shared" si="27"/>
        <v>0</v>
      </c>
      <c r="AW37" s="16">
        <f t="shared" si="28"/>
        <v>0</v>
      </c>
    </row>
    <row r="38" spans="1:77">
      <c r="A38" s="904"/>
      <c r="B38" s="999">
        <f>Rezone!J38</f>
        <v>36</v>
      </c>
      <c r="C38" s="64">
        <f>Construction!E38</f>
        <v>1000</v>
      </c>
      <c r="D38" s="26">
        <f>Production!P38</f>
        <v>0</v>
      </c>
      <c r="E38" s="57">
        <f>Production!Q38</f>
        <v>6426</v>
      </c>
      <c r="W38" s="52">
        <f t="shared" si="2"/>
        <v>0</v>
      </c>
      <c r="X38" s="16">
        <f t="shared" si="3"/>
        <v>0</v>
      </c>
      <c r="Y38" s="16">
        <f t="shared" si="4"/>
        <v>0</v>
      </c>
      <c r="Z38" s="16">
        <f t="shared" si="5"/>
        <v>0</v>
      </c>
      <c r="AA38" s="16">
        <f t="shared" si="6"/>
        <v>0</v>
      </c>
      <c r="AB38" s="16">
        <f t="shared" si="7"/>
        <v>0</v>
      </c>
      <c r="AC38" s="16">
        <f t="shared" si="8"/>
        <v>0</v>
      </c>
      <c r="AD38" s="16">
        <f t="shared" si="9"/>
        <v>0</v>
      </c>
      <c r="AE38" s="16">
        <f t="shared" si="10"/>
        <v>0</v>
      </c>
      <c r="AF38" s="16">
        <f t="shared" si="11"/>
        <v>0</v>
      </c>
      <c r="AG38" s="16">
        <f t="shared" si="12"/>
        <v>0</v>
      </c>
      <c r="AH38" s="16">
        <f t="shared" si="13"/>
        <v>0</v>
      </c>
      <c r="AI38" s="16">
        <f t="shared" si="14"/>
        <v>0</v>
      </c>
      <c r="AJ38" s="16">
        <f t="shared" si="15"/>
        <v>0</v>
      </c>
      <c r="AK38" s="16">
        <f t="shared" si="16"/>
        <v>0</v>
      </c>
      <c r="AL38" s="16">
        <f t="shared" si="17"/>
        <v>0</v>
      </c>
      <c r="AM38" s="16">
        <f t="shared" si="18"/>
        <v>0</v>
      </c>
      <c r="AN38" s="16">
        <f t="shared" si="19"/>
        <v>0</v>
      </c>
      <c r="AO38" s="16">
        <f t="shared" si="20"/>
        <v>0</v>
      </c>
      <c r="AP38" s="16">
        <f t="shared" si="21"/>
        <v>0</v>
      </c>
      <c r="AQ38" s="16">
        <f t="shared" si="22"/>
        <v>0</v>
      </c>
      <c r="AR38" s="16">
        <f t="shared" si="23"/>
        <v>0</v>
      </c>
      <c r="AS38" s="16">
        <f t="shared" si="24"/>
        <v>0</v>
      </c>
      <c r="AT38" s="16">
        <f t="shared" si="25"/>
        <v>0</v>
      </c>
      <c r="AU38" s="16">
        <f t="shared" si="26"/>
        <v>0</v>
      </c>
      <c r="AV38" s="16">
        <f t="shared" si="27"/>
        <v>0</v>
      </c>
      <c r="AW38" s="16">
        <f t="shared" si="28"/>
        <v>0</v>
      </c>
    </row>
    <row r="39" spans="1:77" s="12" customFormat="1">
      <c r="A39" s="905"/>
      <c r="B39" s="1002">
        <f>Rezone!J39</f>
        <v>37</v>
      </c>
      <c r="C39" s="93">
        <f>Construction!E39</f>
        <v>1000</v>
      </c>
      <c r="D39" s="13">
        <f>Production!P39</f>
        <v>0</v>
      </c>
      <c r="E39" s="55">
        <f>Production!Q39</f>
        <v>6426</v>
      </c>
      <c r="W39" s="50">
        <f t="shared" si="2"/>
        <v>0</v>
      </c>
      <c r="X39" s="12">
        <f t="shared" si="3"/>
        <v>0</v>
      </c>
      <c r="Y39" s="12">
        <f t="shared" si="4"/>
        <v>0</v>
      </c>
      <c r="Z39" s="12">
        <f t="shared" si="5"/>
        <v>0</v>
      </c>
      <c r="AA39" s="12">
        <f t="shared" si="6"/>
        <v>0</v>
      </c>
      <c r="AB39" s="12">
        <f t="shared" si="7"/>
        <v>0</v>
      </c>
      <c r="AC39" s="12">
        <f t="shared" si="8"/>
        <v>0</v>
      </c>
      <c r="AD39" s="12">
        <f t="shared" si="9"/>
        <v>0</v>
      </c>
      <c r="AE39" s="12">
        <f t="shared" si="10"/>
        <v>0</v>
      </c>
      <c r="AF39" s="12">
        <f t="shared" si="11"/>
        <v>0</v>
      </c>
      <c r="AG39" s="12">
        <f t="shared" si="12"/>
        <v>0</v>
      </c>
      <c r="AH39" s="12">
        <f t="shared" si="13"/>
        <v>0</v>
      </c>
      <c r="AI39" s="12">
        <f t="shared" si="14"/>
        <v>0</v>
      </c>
      <c r="AJ39" s="12">
        <f t="shared" si="15"/>
        <v>0</v>
      </c>
      <c r="AK39" s="12">
        <f t="shared" si="16"/>
        <v>0</v>
      </c>
      <c r="AL39" s="12">
        <f t="shared" si="17"/>
        <v>0</v>
      </c>
      <c r="AM39" s="12">
        <f t="shared" si="18"/>
        <v>0</v>
      </c>
      <c r="AN39" s="12">
        <f t="shared" si="19"/>
        <v>0</v>
      </c>
      <c r="AO39" s="12">
        <f t="shared" si="20"/>
        <v>0</v>
      </c>
      <c r="AP39" s="12">
        <f t="shared" si="21"/>
        <v>0</v>
      </c>
      <c r="AQ39" s="12">
        <f t="shared" si="22"/>
        <v>0</v>
      </c>
      <c r="AR39" s="12">
        <f t="shared" si="23"/>
        <v>0</v>
      </c>
      <c r="AS39" s="12">
        <f t="shared" si="24"/>
        <v>0</v>
      </c>
      <c r="AT39" s="12">
        <f t="shared" si="25"/>
        <v>0</v>
      </c>
      <c r="AU39" s="12">
        <f t="shared" si="26"/>
        <v>0</v>
      </c>
      <c r="AV39" s="12">
        <f t="shared" si="27"/>
        <v>0</v>
      </c>
      <c r="AW39" s="12">
        <f t="shared" si="28"/>
        <v>0</v>
      </c>
      <c r="AX39" s="286"/>
      <c r="BY39" s="51"/>
    </row>
    <row r="40" spans="1:77">
      <c r="A40" s="904"/>
      <c r="B40" s="999">
        <f>Rezone!J40</f>
        <v>38</v>
      </c>
      <c r="C40" s="64">
        <f>Construction!E40</f>
        <v>1000</v>
      </c>
      <c r="D40" s="26">
        <f>Production!P40</f>
        <v>0</v>
      </c>
      <c r="E40" s="57">
        <f>Production!Q40</f>
        <v>6426</v>
      </c>
      <c r="W40" s="52">
        <f t="shared" si="2"/>
        <v>0</v>
      </c>
      <c r="X40" s="16">
        <f t="shared" si="3"/>
        <v>0</v>
      </c>
      <c r="Y40" s="16">
        <f t="shared" si="4"/>
        <v>0</v>
      </c>
      <c r="Z40" s="16">
        <f t="shared" si="5"/>
        <v>0</v>
      </c>
      <c r="AA40" s="16">
        <f t="shared" si="6"/>
        <v>0</v>
      </c>
      <c r="AB40" s="16">
        <f t="shared" si="7"/>
        <v>0</v>
      </c>
      <c r="AC40" s="16">
        <f t="shared" si="8"/>
        <v>0</v>
      </c>
      <c r="AD40" s="16">
        <f t="shared" si="9"/>
        <v>0</v>
      </c>
      <c r="AE40" s="16">
        <f t="shared" si="10"/>
        <v>0</v>
      </c>
      <c r="AF40" s="16">
        <f t="shared" si="11"/>
        <v>0</v>
      </c>
      <c r="AG40" s="16">
        <f t="shared" si="12"/>
        <v>0</v>
      </c>
      <c r="AH40" s="16">
        <f t="shared" si="13"/>
        <v>0</v>
      </c>
      <c r="AI40" s="16">
        <f t="shared" si="14"/>
        <v>0</v>
      </c>
      <c r="AJ40" s="16">
        <f t="shared" si="15"/>
        <v>0</v>
      </c>
      <c r="AK40" s="16">
        <f t="shared" si="16"/>
        <v>0</v>
      </c>
      <c r="AL40" s="16">
        <f t="shared" si="17"/>
        <v>0</v>
      </c>
      <c r="AM40" s="16">
        <f t="shared" si="18"/>
        <v>0</v>
      </c>
      <c r="AN40" s="16">
        <f t="shared" si="19"/>
        <v>0</v>
      </c>
      <c r="AO40" s="16">
        <f t="shared" si="20"/>
        <v>0</v>
      </c>
      <c r="AP40" s="16">
        <f t="shared" si="21"/>
        <v>0</v>
      </c>
      <c r="AQ40" s="16">
        <f t="shared" si="22"/>
        <v>0</v>
      </c>
      <c r="AR40" s="16">
        <f t="shared" si="23"/>
        <v>0</v>
      </c>
      <c r="AS40" s="16">
        <f t="shared" si="24"/>
        <v>0</v>
      </c>
      <c r="AT40" s="16">
        <f t="shared" si="25"/>
        <v>0</v>
      </c>
      <c r="AU40" s="16">
        <f t="shared" si="26"/>
        <v>0</v>
      </c>
      <c r="AV40" s="16">
        <f t="shared" si="27"/>
        <v>0</v>
      </c>
      <c r="AW40" s="16">
        <f t="shared" si="28"/>
        <v>0</v>
      </c>
    </row>
    <row r="41" spans="1:77">
      <c r="A41" s="904"/>
      <c r="B41" s="999">
        <f>Rezone!J41</f>
        <v>39</v>
      </c>
      <c r="C41" s="64">
        <f>Construction!E41</f>
        <v>1000</v>
      </c>
      <c r="D41" s="26">
        <f>Production!P41</f>
        <v>0</v>
      </c>
      <c r="E41" s="57">
        <f>Production!Q41</f>
        <v>6426</v>
      </c>
      <c r="W41" s="52">
        <f t="shared" si="2"/>
        <v>0</v>
      </c>
      <c r="X41" s="16">
        <f t="shared" si="3"/>
        <v>0</v>
      </c>
      <c r="Y41" s="16">
        <f t="shared" si="4"/>
        <v>0</v>
      </c>
      <c r="Z41" s="16">
        <f t="shared" si="5"/>
        <v>0</v>
      </c>
      <c r="AA41" s="16">
        <f t="shared" si="6"/>
        <v>0</v>
      </c>
      <c r="AB41" s="16">
        <f t="shared" si="7"/>
        <v>0</v>
      </c>
      <c r="AC41" s="16">
        <f t="shared" si="8"/>
        <v>0</v>
      </c>
      <c r="AD41" s="16">
        <f t="shared" si="9"/>
        <v>0</v>
      </c>
      <c r="AE41" s="16">
        <f t="shared" si="10"/>
        <v>0</v>
      </c>
      <c r="AF41" s="16">
        <f t="shared" si="11"/>
        <v>0</v>
      </c>
      <c r="AG41" s="16">
        <f t="shared" si="12"/>
        <v>0</v>
      </c>
      <c r="AH41" s="16">
        <f t="shared" si="13"/>
        <v>0</v>
      </c>
      <c r="AI41" s="16">
        <f t="shared" si="14"/>
        <v>0</v>
      </c>
      <c r="AJ41" s="16">
        <f t="shared" si="15"/>
        <v>0</v>
      </c>
      <c r="AK41" s="16">
        <f t="shared" si="16"/>
        <v>0</v>
      </c>
      <c r="AL41" s="16">
        <f t="shared" si="17"/>
        <v>0</v>
      </c>
      <c r="AM41" s="16">
        <f t="shared" si="18"/>
        <v>0</v>
      </c>
      <c r="AN41" s="16">
        <f t="shared" si="19"/>
        <v>0</v>
      </c>
      <c r="AO41" s="16">
        <f t="shared" si="20"/>
        <v>0</v>
      </c>
      <c r="AP41" s="16">
        <f t="shared" si="21"/>
        <v>0</v>
      </c>
      <c r="AQ41" s="16">
        <f t="shared" si="22"/>
        <v>0</v>
      </c>
      <c r="AR41" s="16">
        <f t="shared" si="23"/>
        <v>0</v>
      </c>
      <c r="AS41" s="16">
        <f t="shared" si="24"/>
        <v>0</v>
      </c>
      <c r="AT41" s="16">
        <f t="shared" si="25"/>
        <v>0</v>
      </c>
      <c r="AU41" s="16">
        <f t="shared" si="26"/>
        <v>0</v>
      </c>
      <c r="AV41" s="16">
        <f t="shared" si="27"/>
        <v>0</v>
      </c>
      <c r="AW41" s="16">
        <f t="shared" si="28"/>
        <v>0</v>
      </c>
    </row>
    <row r="42" spans="1:77">
      <c r="A42" s="904"/>
      <c r="B42" s="999">
        <f>Rezone!J42</f>
        <v>40</v>
      </c>
      <c r="C42" s="64">
        <f>Construction!E42</f>
        <v>1000</v>
      </c>
      <c r="D42" s="26">
        <f>Production!P42</f>
        <v>0</v>
      </c>
      <c r="E42" s="57">
        <f>Production!Q42</f>
        <v>6426</v>
      </c>
      <c r="W42" s="52">
        <f t="shared" si="2"/>
        <v>0</v>
      </c>
      <c r="X42" s="16">
        <f t="shared" si="3"/>
        <v>0</v>
      </c>
      <c r="Y42" s="16">
        <f t="shared" si="4"/>
        <v>0</v>
      </c>
      <c r="Z42" s="16">
        <f t="shared" si="5"/>
        <v>0</v>
      </c>
      <c r="AA42" s="16">
        <f t="shared" si="6"/>
        <v>0</v>
      </c>
      <c r="AB42" s="16">
        <f t="shared" si="7"/>
        <v>0</v>
      </c>
      <c r="AC42" s="16">
        <f t="shared" si="8"/>
        <v>0</v>
      </c>
      <c r="AD42" s="16">
        <f t="shared" si="9"/>
        <v>0</v>
      </c>
      <c r="AE42" s="16">
        <f t="shared" si="10"/>
        <v>0</v>
      </c>
      <c r="AF42" s="16">
        <f t="shared" si="11"/>
        <v>0</v>
      </c>
      <c r="AG42" s="16">
        <f t="shared" si="12"/>
        <v>0</v>
      </c>
      <c r="AH42" s="16">
        <f t="shared" si="13"/>
        <v>0</v>
      </c>
      <c r="AI42" s="16">
        <f t="shared" si="14"/>
        <v>0</v>
      </c>
      <c r="AJ42" s="16">
        <f t="shared" si="15"/>
        <v>0</v>
      </c>
      <c r="AK42" s="16">
        <f t="shared" si="16"/>
        <v>0</v>
      </c>
      <c r="AL42" s="16">
        <f t="shared" si="17"/>
        <v>0</v>
      </c>
      <c r="AM42" s="16">
        <f t="shared" si="18"/>
        <v>0</v>
      </c>
      <c r="AN42" s="16">
        <f t="shared" si="19"/>
        <v>0</v>
      </c>
      <c r="AO42" s="16">
        <f t="shared" si="20"/>
        <v>0</v>
      </c>
      <c r="AP42" s="16">
        <f t="shared" si="21"/>
        <v>0</v>
      </c>
      <c r="AQ42" s="16">
        <f t="shared" si="22"/>
        <v>0</v>
      </c>
      <c r="AR42" s="16">
        <f t="shared" si="23"/>
        <v>0</v>
      </c>
      <c r="AS42" s="16">
        <f t="shared" si="24"/>
        <v>0</v>
      </c>
      <c r="AT42" s="16">
        <f t="shared" si="25"/>
        <v>0</v>
      </c>
      <c r="AU42" s="16">
        <f t="shared" si="26"/>
        <v>0</v>
      </c>
      <c r="AV42" s="16">
        <f t="shared" si="27"/>
        <v>0</v>
      </c>
      <c r="AW42" s="16">
        <f t="shared" si="28"/>
        <v>0</v>
      </c>
    </row>
    <row r="43" spans="1:77">
      <c r="A43" s="904"/>
      <c r="B43" s="999">
        <f>Rezone!J43</f>
        <v>41</v>
      </c>
      <c r="C43" s="64">
        <f>Construction!E43</f>
        <v>1000</v>
      </c>
      <c r="D43" s="26">
        <f>Production!P43</f>
        <v>0</v>
      </c>
      <c r="E43" s="57">
        <f>Production!Q43</f>
        <v>6426</v>
      </c>
      <c r="W43" s="52">
        <f t="shared" si="2"/>
        <v>0</v>
      </c>
      <c r="X43" s="16">
        <f t="shared" si="3"/>
        <v>0</v>
      </c>
      <c r="Y43" s="16">
        <f t="shared" si="4"/>
        <v>0</v>
      </c>
      <c r="Z43" s="16">
        <f t="shared" si="5"/>
        <v>0</v>
      </c>
      <c r="AA43" s="16">
        <f t="shared" si="6"/>
        <v>0</v>
      </c>
      <c r="AB43" s="16">
        <f t="shared" si="7"/>
        <v>0</v>
      </c>
      <c r="AC43" s="16">
        <f t="shared" si="8"/>
        <v>0</v>
      </c>
      <c r="AD43" s="16">
        <f t="shared" si="9"/>
        <v>0</v>
      </c>
      <c r="AE43" s="16">
        <f t="shared" si="10"/>
        <v>0</v>
      </c>
      <c r="AF43" s="16">
        <f t="shared" si="11"/>
        <v>0</v>
      </c>
      <c r="AG43" s="16">
        <f t="shared" si="12"/>
        <v>0</v>
      </c>
      <c r="AH43" s="16">
        <f t="shared" si="13"/>
        <v>0</v>
      </c>
      <c r="AI43" s="16">
        <f t="shared" si="14"/>
        <v>0</v>
      </c>
      <c r="AJ43" s="16">
        <f t="shared" si="15"/>
        <v>0</v>
      </c>
      <c r="AK43" s="16">
        <f t="shared" si="16"/>
        <v>0</v>
      </c>
      <c r="AL43" s="16">
        <f t="shared" si="17"/>
        <v>0</v>
      </c>
      <c r="AM43" s="16">
        <f t="shared" si="18"/>
        <v>0</v>
      </c>
      <c r="AN43" s="16">
        <f t="shared" si="19"/>
        <v>0</v>
      </c>
      <c r="AO43" s="16">
        <f t="shared" si="20"/>
        <v>0</v>
      </c>
      <c r="AP43" s="16">
        <f t="shared" si="21"/>
        <v>0</v>
      </c>
      <c r="AQ43" s="16">
        <f t="shared" si="22"/>
        <v>0</v>
      </c>
      <c r="AR43" s="16">
        <f t="shared" si="23"/>
        <v>0</v>
      </c>
      <c r="AS43" s="16">
        <f t="shared" si="24"/>
        <v>0</v>
      </c>
      <c r="AT43" s="16">
        <f t="shared" si="25"/>
        <v>0</v>
      </c>
      <c r="AU43" s="16">
        <f t="shared" si="26"/>
        <v>0</v>
      </c>
      <c r="AV43" s="16">
        <f t="shared" si="27"/>
        <v>0</v>
      </c>
      <c r="AW43" s="16">
        <f t="shared" si="28"/>
        <v>0</v>
      </c>
    </row>
    <row r="44" spans="1:77">
      <c r="A44" s="904"/>
      <c r="B44" s="999">
        <f>Rezone!J44</f>
        <v>42</v>
      </c>
      <c r="C44" s="64">
        <f>Construction!E44</f>
        <v>1000</v>
      </c>
      <c r="D44" s="26">
        <f>Production!P44</f>
        <v>0</v>
      </c>
      <c r="E44" s="57">
        <f>Production!Q44</f>
        <v>6426</v>
      </c>
      <c r="W44" s="52">
        <f t="shared" si="2"/>
        <v>0</v>
      </c>
      <c r="X44" s="16">
        <f t="shared" si="3"/>
        <v>0</v>
      </c>
      <c r="Y44" s="16">
        <f t="shared" si="4"/>
        <v>0</v>
      </c>
      <c r="Z44" s="16">
        <f t="shared" si="5"/>
        <v>0</v>
      </c>
      <c r="AA44" s="16">
        <f t="shared" si="6"/>
        <v>0</v>
      </c>
      <c r="AB44" s="16">
        <f t="shared" si="7"/>
        <v>0</v>
      </c>
      <c r="AC44" s="16">
        <f t="shared" si="8"/>
        <v>0</v>
      </c>
      <c r="AD44" s="16">
        <f t="shared" si="9"/>
        <v>0</v>
      </c>
      <c r="AE44" s="16">
        <f t="shared" si="10"/>
        <v>0</v>
      </c>
      <c r="AF44" s="16">
        <f t="shared" si="11"/>
        <v>0</v>
      </c>
      <c r="AG44" s="16">
        <f t="shared" si="12"/>
        <v>0</v>
      </c>
      <c r="AH44" s="16">
        <f t="shared" si="13"/>
        <v>0</v>
      </c>
      <c r="AI44" s="16">
        <f t="shared" si="14"/>
        <v>0</v>
      </c>
      <c r="AJ44" s="16">
        <f t="shared" si="15"/>
        <v>0</v>
      </c>
      <c r="AK44" s="16">
        <f t="shared" si="16"/>
        <v>0</v>
      </c>
      <c r="AL44" s="16">
        <f t="shared" si="17"/>
        <v>0</v>
      </c>
      <c r="AM44" s="16">
        <f t="shared" si="18"/>
        <v>0</v>
      </c>
      <c r="AN44" s="16">
        <f t="shared" si="19"/>
        <v>0</v>
      </c>
      <c r="AO44" s="16">
        <f t="shared" si="20"/>
        <v>0</v>
      </c>
      <c r="AP44" s="16">
        <f t="shared" si="21"/>
        <v>0</v>
      </c>
      <c r="AQ44" s="16">
        <f t="shared" si="22"/>
        <v>0</v>
      </c>
      <c r="AR44" s="16">
        <f t="shared" si="23"/>
        <v>0</v>
      </c>
      <c r="AS44" s="16">
        <f t="shared" si="24"/>
        <v>0</v>
      </c>
      <c r="AT44" s="16">
        <f t="shared" si="25"/>
        <v>0</v>
      </c>
      <c r="AU44" s="16">
        <f t="shared" si="26"/>
        <v>0</v>
      </c>
      <c r="AV44" s="16">
        <f t="shared" si="27"/>
        <v>0</v>
      </c>
      <c r="AW44" s="16">
        <f t="shared" si="28"/>
        <v>0</v>
      </c>
    </row>
    <row r="45" spans="1:77">
      <c r="A45" s="904"/>
      <c r="B45" s="999">
        <f>Rezone!J45</f>
        <v>43</v>
      </c>
      <c r="C45" s="64">
        <f>Construction!E45</f>
        <v>1000</v>
      </c>
      <c r="D45" s="26">
        <f>Production!P45</f>
        <v>0</v>
      </c>
      <c r="E45" s="57">
        <f>Production!Q45</f>
        <v>6426</v>
      </c>
      <c r="W45" s="52">
        <f t="shared" si="2"/>
        <v>0</v>
      </c>
      <c r="X45" s="16">
        <f t="shared" si="3"/>
        <v>0</v>
      </c>
      <c r="Y45" s="16">
        <f t="shared" si="4"/>
        <v>0</v>
      </c>
      <c r="Z45" s="16">
        <f t="shared" si="5"/>
        <v>0</v>
      </c>
      <c r="AA45" s="16">
        <f t="shared" si="6"/>
        <v>0</v>
      </c>
      <c r="AB45" s="16">
        <f t="shared" si="7"/>
        <v>0</v>
      </c>
      <c r="AC45" s="16">
        <f t="shared" si="8"/>
        <v>0</v>
      </c>
      <c r="AD45" s="16">
        <f t="shared" si="9"/>
        <v>0</v>
      </c>
      <c r="AE45" s="16">
        <f t="shared" si="10"/>
        <v>0</v>
      </c>
      <c r="AF45" s="16">
        <f t="shared" si="11"/>
        <v>0</v>
      </c>
      <c r="AG45" s="16">
        <f t="shared" si="12"/>
        <v>0</v>
      </c>
      <c r="AH45" s="16">
        <f t="shared" si="13"/>
        <v>0</v>
      </c>
      <c r="AI45" s="16">
        <f t="shared" si="14"/>
        <v>0</v>
      </c>
      <c r="AJ45" s="16">
        <f t="shared" si="15"/>
        <v>0</v>
      </c>
      <c r="AK45" s="16">
        <f t="shared" si="16"/>
        <v>0</v>
      </c>
      <c r="AL45" s="16">
        <f t="shared" si="17"/>
        <v>0</v>
      </c>
      <c r="AM45" s="16">
        <f t="shared" si="18"/>
        <v>0</v>
      </c>
      <c r="AN45" s="16">
        <f t="shared" si="19"/>
        <v>0</v>
      </c>
      <c r="AO45" s="16">
        <f t="shared" si="20"/>
        <v>0</v>
      </c>
      <c r="AP45" s="16">
        <f t="shared" si="21"/>
        <v>0</v>
      </c>
      <c r="AQ45" s="16">
        <f t="shared" si="22"/>
        <v>0</v>
      </c>
      <c r="AR45" s="16">
        <f t="shared" si="23"/>
        <v>0</v>
      </c>
      <c r="AS45" s="16">
        <f t="shared" si="24"/>
        <v>0</v>
      </c>
      <c r="AT45" s="16">
        <f t="shared" si="25"/>
        <v>0</v>
      </c>
      <c r="AU45" s="16">
        <f t="shared" si="26"/>
        <v>0</v>
      </c>
      <c r="AV45" s="16">
        <f t="shared" si="27"/>
        <v>0</v>
      </c>
      <c r="AW45" s="16">
        <f t="shared" si="28"/>
        <v>0</v>
      </c>
    </row>
    <row r="46" spans="1:77">
      <c r="A46" s="904"/>
      <c r="B46" s="999">
        <f>Rezone!J46</f>
        <v>44</v>
      </c>
      <c r="C46" s="64">
        <f>Construction!E46</f>
        <v>1000</v>
      </c>
      <c r="D46" s="26">
        <f>Production!P46</f>
        <v>0</v>
      </c>
      <c r="E46" s="57">
        <f>Production!Q46</f>
        <v>6426</v>
      </c>
      <c r="W46" s="52">
        <f t="shared" si="2"/>
        <v>0</v>
      </c>
      <c r="X46" s="16">
        <f t="shared" si="3"/>
        <v>0</v>
      </c>
      <c r="Y46" s="16">
        <f t="shared" si="4"/>
        <v>0</v>
      </c>
      <c r="Z46" s="16">
        <f t="shared" si="5"/>
        <v>0</v>
      </c>
      <c r="AA46" s="16">
        <f t="shared" si="6"/>
        <v>0</v>
      </c>
      <c r="AB46" s="16">
        <f t="shared" si="7"/>
        <v>0</v>
      </c>
      <c r="AC46" s="16">
        <f t="shared" si="8"/>
        <v>0</v>
      </c>
      <c r="AD46" s="16">
        <f t="shared" si="9"/>
        <v>0</v>
      </c>
      <c r="AE46" s="16">
        <f t="shared" si="10"/>
        <v>0</v>
      </c>
      <c r="AF46" s="16">
        <f t="shared" si="11"/>
        <v>0</v>
      </c>
      <c r="AG46" s="16">
        <f t="shared" si="12"/>
        <v>0</v>
      </c>
      <c r="AH46" s="16">
        <f t="shared" si="13"/>
        <v>0</v>
      </c>
      <c r="AI46" s="16">
        <f t="shared" si="14"/>
        <v>0</v>
      </c>
      <c r="AJ46" s="16">
        <f t="shared" si="15"/>
        <v>0</v>
      </c>
      <c r="AK46" s="16">
        <f t="shared" si="16"/>
        <v>0</v>
      </c>
      <c r="AL46" s="16">
        <f t="shared" si="17"/>
        <v>0</v>
      </c>
      <c r="AM46" s="16">
        <f t="shared" si="18"/>
        <v>0</v>
      </c>
      <c r="AN46" s="16">
        <f t="shared" si="19"/>
        <v>0</v>
      </c>
      <c r="AO46" s="16">
        <f t="shared" si="20"/>
        <v>0</v>
      </c>
      <c r="AP46" s="16">
        <f t="shared" si="21"/>
        <v>0</v>
      </c>
      <c r="AQ46" s="16">
        <f t="shared" si="22"/>
        <v>0</v>
      </c>
      <c r="AR46" s="16">
        <f t="shared" si="23"/>
        <v>0</v>
      </c>
      <c r="AS46" s="16">
        <f t="shared" si="24"/>
        <v>0</v>
      </c>
      <c r="AT46" s="16">
        <f t="shared" si="25"/>
        <v>0</v>
      </c>
      <c r="AU46" s="16">
        <f t="shared" si="26"/>
        <v>0</v>
      </c>
      <c r="AV46" s="16">
        <f t="shared" si="27"/>
        <v>0</v>
      </c>
      <c r="AW46" s="16">
        <f t="shared" si="28"/>
        <v>0</v>
      </c>
    </row>
    <row r="47" spans="1:77">
      <c r="A47" s="904"/>
      <c r="B47" s="999">
        <f>Rezone!J47</f>
        <v>45</v>
      </c>
      <c r="C47" s="64">
        <f>Construction!E47</f>
        <v>1000</v>
      </c>
      <c r="D47" s="26">
        <f>Production!P47</f>
        <v>0</v>
      </c>
      <c r="E47" s="57">
        <f>Production!Q47</f>
        <v>6426</v>
      </c>
      <c r="W47" s="52">
        <f t="shared" si="2"/>
        <v>0</v>
      </c>
      <c r="X47" s="16">
        <f t="shared" si="3"/>
        <v>0</v>
      </c>
      <c r="Y47" s="16">
        <f t="shared" si="4"/>
        <v>0</v>
      </c>
      <c r="Z47" s="16">
        <f t="shared" si="5"/>
        <v>0</v>
      </c>
      <c r="AA47" s="16">
        <f t="shared" si="6"/>
        <v>0</v>
      </c>
      <c r="AB47" s="16">
        <f t="shared" si="7"/>
        <v>0</v>
      </c>
      <c r="AC47" s="16">
        <f t="shared" si="8"/>
        <v>0</v>
      </c>
      <c r="AD47" s="16">
        <f t="shared" si="9"/>
        <v>0</v>
      </c>
      <c r="AE47" s="16">
        <f t="shared" si="10"/>
        <v>0</v>
      </c>
      <c r="AF47" s="16">
        <f t="shared" si="11"/>
        <v>0</v>
      </c>
      <c r="AG47" s="16">
        <f t="shared" si="12"/>
        <v>0</v>
      </c>
      <c r="AH47" s="16">
        <f t="shared" si="13"/>
        <v>0</v>
      </c>
      <c r="AI47" s="16">
        <f t="shared" si="14"/>
        <v>0</v>
      </c>
      <c r="AJ47" s="16">
        <f t="shared" si="15"/>
        <v>0</v>
      </c>
      <c r="AK47" s="16">
        <f t="shared" si="16"/>
        <v>0</v>
      </c>
      <c r="AL47" s="16">
        <f t="shared" si="17"/>
        <v>0</v>
      </c>
      <c r="AM47" s="16">
        <f t="shared" si="18"/>
        <v>0</v>
      </c>
      <c r="AN47" s="16">
        <f t="shared" si="19"/>
        <v>0</v>
      </c>
      <c r="AO47" s="16">
        <f t="shared" si="20"/>
        <v>0</v>
      </c>
      <c r="AP47" s="16">
        <f t="shared" si="21"/>
        <v>0</v>
      </c>
      <c r="AQ47" s="16">
        <f t="shared" si="22"/>
        <v>0</v>
      </c>
      <c r="AR47" s="16">
        <f t="shared" si="23"/>
        <v>0</v>
      </c>
      <c r="AS47" s="16">
        <f t="shared" si="24"/>
        <v>0</v>
      </c>
      <c r="AT47" s="16">
        <f t="shared" si="25"/>
        <v>0</v>
      </c>
      <c r="AU47" s="16">
        <f t="shared" si="26"/>
        <v>0</v>
      </c>
      <c r="AV47" s="16">
        <f t="shared" si="27"/>
        <v>0</v>
      </c>
      <c r="AW47" s="16">
        <f t="shared" si="28"/>
        <v>0</v>
      </c>
    </row>
    <row r="48" spans="1:77">
      <c r="A48" s="904"/>
      <c r="B48" s="999">
        <f>Rezone!J48</f>
        <v>46</v>
      </c>
      <c r="C48" s="64">
        <f>Construction!E48</f>
        <v>1000</v>
      </c>
      <c r="D48" s="26">
        <f>Production!P48</f>
        <v>0</v>
      </c>
      <c r="E48" s="57">
        <f>Production!Q48</f>
        <v>6426</v>
      </c>
      <c r="W48" s="52">
        <f t="shared" si="2"/>
        <v>0</v>
      </c>
      <c r="X48" s="16">
        <f t="shared" si="3"/>
        <v>0</v>
      </c>
      <c r="Y48" s="16">
        <f t="shared" si="4"/>
        <v>0</v>
      </c>
      <c r="Z48" s="16">
        <f t="shared" si="5"/>
        <v>0</v>
      </c>
      <c r="AA48" s="16">
        <f t="shared" si="6"/>
        <v>0</v>
      </c>
      <c r="AB48" s="16">
        <f t="shared" si="7"/>
        <v>0</v>
      </c>
      <c r="AC48" s="16">
        <f t="shared" si="8"/>
        <v>0</v>
      </c>
      <c r="AD48" s="16">
        <f t="shared" si="9"/>
        <v>0</v>
      </c>
      <c r="AE48" s="16">
        <f t="shared" si="10"/>
        <v>0</v>
      </c>
      <c r="AF48" s="16">
        <f t="shared" si="11"/>
        <v>0</v>
      </c>
      <c r="AG48" s="16">
        <f t="shared" si="12"/>
        <v>0</v>
      </c>
      <c r="AH48" s="16">
        <f t="shared" si="13"/>
        <v>0</v>
      </c>
      <c r="AI48" s="16">
        <f t="shared" si="14"/>
        <v>0</v>
      </c>
      <c r="AJ48" s="16">
        <f t="shared" si="15"/>
        <v>0</v>
      </c>
      <c r="AK48" s="16">
        <f t="shared" si="16"/>
        <v>0</v>
      </c>
      <c r="AL48" s="16">
        <f t="shared" si="17"/>
        <v>0</v>
      </c>
      <c r="AM48" s="16">
        <f t="shared" si="18"/>
        <v>0</v>
      </c>
      <c r="AN48" s="16">
        <f t="shared" si="19"/>
        <v>0</v>
      </c>
      <c r="AO48" s="16">
        <f t="shared" si="20"/>
        <v>0</v>
      </c>
      <c r="AP48" s="16">
        <f t="shared" si="21"/>
        <v>0</v>
      </c>
      <c r="AQ48" s="16">
        <f t="shared" si="22"/>
        <v>0</v>
      </c>
      <c r="AR48" s="16">
        <f t="shared" si="23"/>
        <v>0</v>
      </c>
      <c r="AS48" s="16">
        <f t="shared" si="24"/>
        <v>0</v>
      </c>
      <c r="AT48" s="16">
        <f t="shared" si="25"/>
        <v>0</v>
      </c>
      <c r="AU48" s="16">
        <f t="shared" si="26"/>
        <v>0</v>
      </c>
      <c r="AV48" s="16">
        <f t="shared" si="27"/>
        <v>0</v>
      </c>
      <c r="AW48" s="16">
        <f t="shared" si="28"/>
        <v>0</v>
      </c>
    </row>
    <row r="49" spans="1:77">
      <c r="A49" s="904"/>
      <c r="B49" s="999">
        <f>Rezone!J49</f>
        <v>47</v>
      </c>
      <c r="C49" s="64">
        <f>Construction!E49</f>
        <v>1000</v>
      </c>
      <c r="D49" s="26">
        <f>Production!P49</f>
        <v>0</v>
      </c>
      <c r="E49" s="57">
        <f>Production!Q49</f>
        <v>6426</v>
      </c>
      <c r="W49" s="52">
        <f t="shared" si="2"/>
        <v>0</v>
      </c>
      <c r="X49" s="16">
        <f t="shared" si="3"/>
        <v>0</v>
      </c>
      <c r="Y49" s="16">
        <f t="shared" si="4"/>
        <v>0</v>
      </c>
      <c r="Z49" s="16">
        <f t="shared" si="5"/>
        <v>0</v>
      </c>
      <c r="AA49" s="16">
        <f t="shared" si="6"/>
        <v>0</v>
      </c>
      <c r="AB49" s="16">
        <f t="shared" si="7"/>
        <v>0</v>
      </c>
      <c r="AC49" s="16">
        <f t="shared" si="8"/>
        <v>0</v>
      </c>
      <c r="AD49" s="16">
        <f t="shared" si="9"/>
        <v>0</v>
      </c>
      <c r="AE49" s="16">
        <f t="shared" si="10"/>
        <v>0</v>
      </c>
      <c r="AF49" s="16">
        <f t="shared" si="11"/>
        <v>0</v>
      </c>
      <c r="AG49" s="16">
        <f t="shared" si="12"/>
        <v>0</v>
      </c>
      <c r="AH49" s="16">
        <f t="shared" si="13"/>
        <v>0</v>
      </c>
      <c r="AI49" s="16">
        <f t="shared" si="14"/>
        <v>0</v>
      </c>
      <c r="AJ49" s="16">
        <f t="shared" si="15"/>
        <v>0</v>
      </c>
      <c r="AK49" s="16">
        <f t="shared" si="16"/>
        <v>0</v>
      </c>
      <c r="AL49" s="16">
        <f t="shared" si="17"/>
        <v>0</v>
      </c>
      <c r="AM49" s="16">
        <f t="shared" si="18"/>
        <v>0</v>
      </c>
      <c r="AN49" s="16">
        <f t="shared" si="19"/>
        <v>0</v>
      </c>
      <c r="AO49" s="16">
        <f t="shared" si="20"/>
        <v>0</v>
      </c>
      <c r="AP49" s="16">
        <f t="shared" si="21"/>
        <v>0</v>
      </c>
      <c r="AQ49" s="16">
        <f t="shared" si="22"/>
        <v>0</v>
      </c>
      <c r="AR49" s="16">
        <f t="shared" si="23"/>
        <v>0</v>
      </c>
      <c r="AS49" s="16">
        <f t="shared" si="24"/>
        <v>0</v>
      </c>
      <c r="AT49" s="16">
        <f t="shared" si="25"/>
        <v>0</v>
      </c>
      <c r="AU49" s="16">
        <f t="shared" si="26"/>
        <v>0</v>
      </c>
      <c r="AV49" s="16">
        <f t="shared" si="27"/>
        <v>0</v>
      </c>
      <c r="AW49" s="16">
        <f t="shared" si="28"/>
        <v>0</v>
      </c>
    </row>
    <row r="50" spans="1:77" ht="13.5" thickBot="1">
      <c r="A50" s="904"/>
      <c r="B50" s="999">
        <f>Rezone!J50</f>
        <v>48</v>
      </c>
      <c r="C50" s="64">
        <f>Construction!E50</f>
        <v>1000</v>
      </c>
      <c r="D50" s="26">
        <f>Production!P50</f>
        <v>0</v>
      </c>
      <c r="E50" s="57">
        <f>Production!Q50</f>
        <v>6426</v>
      </c>
      <c r="W50" s="52">
        <f t="shared" si="2"/>
        <v>0</v>
      </c>
      <c r="X50" s="16">
        <f t="shared" si="3"/>
        <v>0</v>
      </c>
      <c r="Y50" s="16">
        <f t="shared" si="4"/>
        <v>0</v>
      </c>
      <c r="Z50" s="16">
        <f t="shared" si="5"/>
        <v>0</v>
      </c>
      <c r="AA50" s="16">
        <f t="shared" si="6"/>
        <v>0</v>
      </c>
      <c r="AB50" s="16">
        <f t="shared" si="7"/>
        <v>0</v>
      </c>
      <c r="AC50" s="16">
        <f t="shared" si="8"/>
        <v>0</v>
      </c>
      <c r="AD50" s="16">
        <f t="shared" si="9"/>
        <v>0</v>
      </c>
      <c r="AE50" s="16">
        <f t="shared" si="10"/>
        <v>0</v>
      </c>
      <c r="AF50" s="16">
        <f t="shared" si="11"/>
        <v>0</v>
      </c>
      <c r="AG50" s="16">
        <f t="shared" si="12"/>
        <v>0</v>
      </c>
      <c r="AH50" s="16">
        <f t="shared" si="13"/>
        <v>0</v>
      </c>
      <c r="AI50" s="16">
        <f t="shared" si="14"/>
        <v>0</v>
      </c>
      <c r="AJ50" s="16">
        <f t="shared" si="15"/>
        <v>0</v>
      </c>
      <c r="AK50" s="16">
        <f t="shared" si="16"/>
        <v>0</v>
      </c>
      <c r="AL50" s="16">
        <f t="shared" si="17"/>
        <v>0</v>
      </c>
      <c r="AM50" s="16">
        <f t="shared" si="18"/>
        <v>0</v>
      </c>
      <c r="AN50" s="16">
        <f t="shared" si="19"/>
        <v>0</v>
      </c>
      <c r="AO50" s="16">
        <f t="shared" si="20"/>
        <v>0</v>
      </c>
      <c r="AP50" s="16">
        <f t="shared" si="21"/>
        <v>0</v>
      </c>
      <c r="AQ50" s="16">
        <f t="shared" si="22"/>
        <v>0</v>
      </c>
      <c r="AR50" s="16">
        <f t="shared" si="23"/>
        <v>0</v>
      </c>
      <c r="AS50" s="16">
        <f t="shared" si="24"/>
        <v>0</v>
      </c>
      <c r="AT50" s="16">
        <f t="shared" si="25"/>
        <v>0</v>
      </c>
      <c r="AU50" s="16">
        <f t="shared" si="26"/>
        <v>0</v>
      </c>
      <c r="AV50" s="16">
        <f t="shared" si="27"/>
        <v>0</v>
      </c>
      <c r="AW50" s="16">
        <f t="shared" si="28"/>
        <v>0</v>
      </c>
    </row>
    <row r="51" spans="1:77" s="111" customFormat="1" ht="14.25" thickTop="1" thickBot="1">
      <c r="A51" s="907"/>
      <c r="B51" s="1003">
        <f>Rezone!J51</f>
        <v>49</v>
      </c>
      <c r="C51" s="117">
        <f>Construction!E51</f>
        <v>1000</v>
      </c>
      <c r="D51" s="108">
        <f>Production!P51</f>
        <v>0</v>
      </c>
      <c r="E51" s="109">
        <f>Production!Q51</f>
        <v>6426</v>
      </c>
      <c r="W51" s="113">
        <f t="shared" si="2"/>
        <v>0</v>
      </c>
      <c r="X51" s="111">
        <f t="shared" si="3"/>
        <v>0</v>
      </c>
      <c r="Y51" s="111">
        <f t="shared" si="4"/>
        <v>0</v>
      </c>
      <c r="Z51" s="111">
        <f t="shared" si="5"/>
        <v>0</v>
      </c>
      <c r="AA51" s="111">
        <f t="shared" si="6"/>
        <v>0</v>
      </c>
      <c r="AB51" s="111">
        <f t="shared" si="7"/>
        <v>0</v>
      </c>
      <c r="AC51" s="111">
        <f t="shared" si="8"/>
        <v>0</v>
      </c>
      <c r="AD51" s="111">
        <f t="shared" si="9"/>
        <v>0</v>
      </c>
      <c r="AE51" s="111">
        <f t="shared" si="10"/>
        <v>0</v>
      </c>
      <c r="AF51" s="111">
        <f t="shared" si="11"/>
        <v>0</v>
      </c>
      <c r="AG51" s="111">
        <f t="shared" si="12"/>
        <v>0</v>
      </c>
      <c r="AH51" s="111">
        <f t="shared" si="13"/>
        <v>0</v>
      </c>
      <c r="AI51" s="111">
        <f t="shared" si="14"/>
        <v>0</v>
      </c>
      <c r="AJ51" s="111">
        <f t="shared" si="15"/>
        <v>0</v>
      </c>
      <c r="AK51" s="111">
        <f t="shared" si="16"/>
        <v>0</v>
      </c>
      <c r="AL51" s="111">
        <f t="shared" si="17"/>
        <v>0</v>
      </c>
      <c r="AM51" s="111">
        <f t="shared" si="18"/>
        <v>0</v>
      </c>
      <c r="AN51" s="111">
        <f t="shared" si="19"/>
        <v>0</v>
      </c>
      <c r="AO51" s="111">
        <f t="shared" si="20"/>
        <v>0</v>
      </c>
      <c r="AP51" s="111">
        <f t="shared" si="21"/>
        <v>0</v>
      </c>
      <c r="AQ51" s="111">
        <f t="shared" si="22"/>
        <v>0</v>
      </c>
      <c r="AR51" s="111">
        <f t="shared" si="23"/>
        <v>0</v>
      </c>
      <c r="AS51" s="111">
        <f t="shared" si="24"/>
        <v>0</v>
      </c>
      <c r="AT51" s="111">
        <f t="shared" si="25"/>
        <v>0</v>
      </c>
      <c r="AU51" s="111">
        <f t="shared" si="26"/>
        <v>0</v>
      </c>
      <c r="AV51" s="111">
        <f t="shared" si="27"/>
        <v>0</v>
      </c>
      <c r="AW51" s="111">
        <f t="shared" si="28"/>
        <v>0</v>
      </c>
      <c r="AX51" s="116"/>
      <c r="BY51" s="115"/>
    </row>
    <row r="52" spans="1:77" ht="13.5" thickTop="1">
      <c r="A52" s="904"/>
      <c r="B52" s="999">
        <f>Rezone!J52</f>
        <v>50</v>
      </c>
      <c r="C52" s="64">
        <f>Construction!E52</f>
        <v>1000</v>
      </c>
      <c r="D52" s="26">
        <f>Production!P52</f>
        <v>0</v>
      </c>
      <c r="E52" s="57">
        <f>Production!Q52</f>
        <v>6426</v>
      </c>
      <c r="W52" s="52">
        <f t="shared" si="2"/>
        <v>0</v>
      </c>
      <c r="X52" s="16">
        <f t="shared" si="3"/>
        <v>0</v>
      </c>
      <c r="Y52" s="16">
        <f t="shared" si="4"/>
        <v>0</v>
      </c>
      <c r="Z52" s="16">
        <f t="shared" si="5"/>
        <v>0</v>
      </c>
      <c r="AA52" s="16">
        <f t="shared" si="6"/>
        <v>0</v>
      </c>
      <c r="AB52" s="16">
        <f t="shared" si="7"/>
        <v>0</v>
      </c>
      <c r="AC52" s="16">
        <f t="shared" si="8"/>
        <v>0</v>
      </c>
      <c r="AD52" s="16">
        <f t="shared" si="9"/>
        <v>0</v>
      </c>
      <c r="AE52" s="16">
        <f t="shared" si="10"/>
        <v>0</v>
      </c>
      <c r="AF52" s="16">
        <f t="shared" si="11"/>
        <v>0</v>
      </c>
      <c r="AG52" s="16">
        <f t="shared" si="12"/>
        <v>0</v>
      </c>
      <c r="AH52" s="16">
        <f t="shared" si="13"/>
        <v>0</v>
      </c>
      <c r="AI52" s="16">
        <f t="shared" si="14"/>
        <v>0</v>
      </c>
      <c r="AJ52" s="16">
        <f t="shared" si="15"/>
        <v>0</v>
      </c>
      <c r="AK52" s="16">
        <f t="shared" si="16"/>
        <v>0</v>
      </c>
      <c r="AL52" s="16">
        <f t="shared" si="17"/>
        <v>0</v>
      </c>
      <c r="AM52" s="16">
        <f t="shared" si="18"/>
        <v>0</v>
      </c>
      <c r="AN52" s="16">
        <f t="shared" si="19"/>
        <v>0</v>
      </c>
      <c r="AO52" s="16">
        <f t="shared" si="20"/>
        <v>0</v>
      </c>
      <c r="AP52" s="16">
        <f t="shared" si="21"/>
        <v>0</v>
      </c>
      <c r="AQ52" s="16">
        <f t="shared" si="22"/>
        <v>0</v>
      </c>
      <c r="AR52" s="16">
        <f t="shared" si="23"/>
        <v>0</v>
      </c>
      <c r="AS52" s="16">
        <f t="shared" si="24"/>
        <v>0</v>
      </c>
      <c r="AT52" s="16">
        <f t="shared" si="25"/>
        <v>0</v>
      </c>
      <c r="AU52" s="16">
        <f t="shared" si="26"/>
        <v>0</v>
      </c>
      <c r="AV52" s="16">
        <f t="shared" si="27"/>
        <v>0</v>
      </c>
      <c r="AW52" s="16">
        <f t="shared" si="28"/>
        <v>0</v>
      </c>
    </row>
    <row r="53" spans="1:77">
      <c r="A53" s="904"/>
      <c r="B53" s="999">
        <f>Rezone!J53</f>
        <v>51</v>
      </c>
      <c r="C53" s="64">
        <f>Construction!E53</f>
        <v>1000</v>
      </c>
      <c r="D53" s="26">
        <f>Production!P53</f>
        <v>0</v>
      </c>
      <c r="E53" s="57">
        <f>Production!Q53</f>
        <v>6426</v>
      </c>
      <c r="W53" s="52">
        <f t="shared" si="2"/>
        <v>0</v>
      </c>
      <c r="X53" s="16">
        <f t="shared" si="3"/>
        <v>0</v>
      </c>
      <c r="Y53" s="16">
        <f t="shared" si="4"/>
        <v>0</v>
      </c>
      <c r="Z53" s="16">
        <f t="shared" si="5"/>
        <v>0</v>
      </c>
      <c r="AA53" s="16">
        <f t="shared" si="6"/>
        <v>0</v>
      </c>
      <c r="AB53" s="16">
        <f t="shared" si="7"/>
        <v>0</v>
      </c>
      <c r="AC53" s="16">
        <f t="shared" si="8"/>
        <v>0</v>
      </c>
      <c r="AD53" s="16">
        <f t="shared" si="9"/>
        <v>0</v>
      </c>
      <c r="AE53" s="16">
        <f t="shared" si="10"/>
        <v>0</v>
      </c>
      <c r="AF53" s="16">
        <f t="shared" si="11"/>
        <v>0</v>
      </c>
      <c r="AG53" s="16">
        <f t="shared" si="12"/>
        <v>0</v>
      </c>
      <c r="AH53" s="16">
        <f t="shared" si="13"/>
        <v>0</v>
      </c>
      <c r="AI53" s="16">
        <f t="shared" si="14"/>
        <v>0</v>
      </c>
      <c r="AJ53" s="16">
        <f t="shared" si="15"/>
        <v>0</v>
      </c>
      <c r="AK53" s="16">
        <f t="shared" si="16"/>
        <v>0</v>
      </c>
      <c r="AL53" s="16">
        <f t="shared" si="17"/>
        <v>0</v>
      </c>
      <c r="AM53" s="16">
        <f t="shared" si="18"/>
        <v>0</v>
      </c>
      <c r="AN53" s="16">
        <f t="shared" si="19"/>
        <v>0</v>
      </c>
      <c r="AO53" s="16">
        <f t="shared" si="20"/>
        <v>0</v>
      </c>
      <c r="AP53" s="16">
        <f t="shared" si="21"/>
        <v>0</v>
      </c>
      <c r="AQ53" s="16">
        <f t="shared" si="22"/>
        <v>0</v>
      </c>
      <c r="AR53" s="16">
        <f t="shared" si="23"/>
        <v>0</v>
      </c>
      <c r="AS53" s="16">
        <f t="shared" si="24"/>
        <v>0</v>
      </c>
      <c r="AT53" s="16">
        <f t="shared" si="25"/>
        <v>0</v>
      </c>
      <c r="AU53" s="16">
        <f t="shared" si="26"/>
        <v>0</v>
      </c>
      <c r="AV53" s="16">
        <f t="shared" si="27"/>
        <v>0</v>
      </c>
      <c r="AW53" s="16">
        <f t="shared" si="28"/>
        <v>0</v>
      </c>
    </row>
    <row r="54" spans="1:77">
      <c r="A54" s="904"/>
      <c r="B54" s="999">
        <f>Rezone!J54</f>
        <v>52</v>
      </c>
      <c r="C54" s="64">
        <f>Construction!E54</f>
        <v>1000</v>
      </c>
      <c r="D54" s="26">
        <f>Production!P54</f>
        <v>0</v>
      </c>
      <c r="E54" s="57">
        <f>Production!Q54</f>
        <v>6426</v>
      </c>
      <c r="W54" s="52">
        <f t="shared" si="2"/>
        <v>0</v>
      </c>
      <c r="X54" s="16">
        <f t="shared" si="3"/>
        <v>0</v>
      </c>
      <c r="Y54" s="16">
        <f t="shared" si="4"/>
        <v>0</v>
      </c>
      <c r="Z54" s="16">
        <f t="shared" si="5"/>
        <v>0</v>
      </c>
      <c r="AA54" s="16">
        <f t="shared" si="6"/>
        <v>0</v>
      </c>
      <c r="AB54" s="16">
        <f t="shared" si="7"/>
        <v>0</v>
      </c>
      <c r="AC54" s="16">
        <f t="shared" si="8"/>
        <v>0</v>
      </c>
      <c r="AD54" s="16">
        <f t="shared" si="9"/>
        <v>0</v>
      </c>
      <c r="AE54" s="16">
        <f t="shared" si="10"/>
        <v>0</v>
      </c>
      <c r="AF54" s="16">
        <f t="shared" si="11"/>
        <v>0</v>
      </c>
      <c r="AG54" s="16">
        <f t="shared" si="12"/>
        <v>0</v>
      </c>
      <c r="AH54" s="16">
        <f t="shared" si="13"/>
        <v>0</v>
      </c>
      <c r="AI54" s="16">
        <f t="shared" si="14"/>
        <v>0</v>
      </c>
      <c r="AJ54" s="16">
        <f t="shared" si="15"/>
        <v>0</v>
      </c>
      <c r="AK54" s="16">
        <f t="shared" si="16"/>
        <v>0</v>
      </c>
      <c r="AL54" s="16">
        <f t="shared" si="17"/>
        <v>0</v>
      </c>
      <c r="AM54" s="16">
        <f t="shared" si="18"/>
        <v>0</v>
      </c>
      <c r="AN54" s="16">
        <f t="shared" si="19"/>
        <v>0</v>
      </c>
      <c r="AO54" s="16">
        <f t="shared" si="20"/>
        <v>0</v>
      </c>
      <c r="AP54" s="16">
        <f t="shared" si="21"/>
        <v>0</v>
      </c>
      <c r="AQ54" s="16">
        <f t="shared" si="22"/>
        <v>0</v>
      </c>
      <c r="AR54" s="16">
        <f t="shared" si="23"/>
        <v>0</v>
      </c>
      <c r="AS54" s="16">
        <f t="shared" si="24"/>
        <v>0</v>
      </c>
      <c r="AT54" s="16">
        <f t="shared" si="25"/>
        <v>0</v>
      </c>
      <c r="AU54" s="16">
        <f t="shared" si="26"/>
        <v>0</v>
      </c>
      <c r="AV54" s="16">
        <f t="shared" si="27"/>
        <v>0</v>
      </c>
      <c r="AW54" s="16">
        <f t="shared" si="28"/>
        <v>0</v>
      </c>
    </row>
    <row r="55" spans="1:77">
      <c r="A55" s="904"/>
      <c r="B55" s="999">
        <f>Rezone!J55</f>
        <v>53</v>
      </c>
      <c r="C55" s="64">
        <f>Construction!E55</f>
        <v>1000</v>
      </c>
      <c r="D55" s="26">
        <f>Production!P55</f>
        <v>0</v>
      </c>
      <c r="E55" s="57">
        <f>Production!Q55</f>
        <v>6426</v>
      </c>
      <c r="W55" s="52">
        <f t="shared" si="2"/>
        <v>0</v>
      </c>
      <c r="X55" s="16">
        <f t="shared" si="3"/>
        <v>0</v>
      </c>
      <c r="Y55" s="16">
        <f t="shared" si="4"/>
        <v>0</v>
      </c>
      <c r="Z55" s="16">
        <f t="shared" si="5"/>
        <v>0</v>
      </c>
      <c r="AA55" s="16">
        <f t="shared" si="6"/>
        <v>0</v>
      </c>
      <c r="AB55" s="16">
        <f t="shared" si="7"/>
        <v>0</v>
      </c>
      <c r="AC55" s="16">
        <f t="shared" si="8"/>
        <v>0</v>
      </c>
      <c r="AD55" s="16">
        <f t="shared" si="9"/>
        <v>0</v>
      </c>
      <c r="AE55" s="16">
        <f t="shared" si="10"/>
        <v>0</v>
      </c>
      <c r="AF55" s="16">
        <f t="shared" si="11"/>
        <v>0</v>
      </c>
      <c r="AG55" s="16">
        <f t="shared" si="12"/>
        <v>0</v>
      </c>
      <c r="AH55" s="16">
        <f t="shared" si="13"/>
        <v>0</v>
      </c>
      <c r="AI55" s="16">
        <f t="shared" si="14"/>
        <v>0</v>
      </c>
      <c r="AJ55" s="16">
        <f t="shared" si="15"/>
        <v>0</v>
      </c>
      <c r="AK55" s="16">
        <f t="shared" si="16"/>
        <v>0</v>
      </c>
      <c r="AL55" s="16">
        <f t="shared" si="17"/>
        <v>0</v>
      </c>
      <c r="AM55" s="16">
        <f t="shared" si="18"/>
        <v>0</v>
      </c>
      <c r="AN55" s="16">
        <f t="shared" si="19"/>
        <v>0</v>
      </c>
      <c r="AO55" s="16">
        <f t="shared" si="20"/>
        <v>0</v>
      </c>
      <c r="AP55" s="16">
        <f t="shared" si="21"/>
        <v>0</v>
      </c>
      <c r="AQ55" s="16">
        <f t="shared" si="22"/>
        <v>0</v>
      </c>
      <c r="AR55" s="16">
        <f t="shared" si="23"/>
        <v>0</v>
      </c>
      <c r="AS55" s="16">
        <f t="shared" si="24"/>
        <v>0</v>
      </c>
      <c r="AT55" s="16">
        <f t="shared" si="25"/>
        <v>0</v>
      </c>
      <c r="AU55" s="16">
        <f t="shared" si="26"/>
        <v>0</v>
      </c>
      <c r="AV55" s="16">
        <f t="shared" si="27"/>
        <v>0</v>
      </c>
      <c r="AW55" s="16">
        <f t="shared" si="28"/>
        <v>0</v>
      </c>
    </row>
    <row r="56" spans="1:77">
      <c r="A56" s="904"/>
      <c r="B56" s="999">
        <f>Rezone!J56</f>
        <v>54</v>
      </c>
      <c r="C56" s="64">
        <f>Construction!E56</f>
        <v>1000</v>
      </c>
      <c r="D56" s="26">
        <f>Production!P56</f>
        <v>0</v>
      </c>
      <c r="E56" s="57">
        <f>Production!Q56</f>
        <v>6426</v>
      </c>
      <c r="W56" s="52">
        <f t="shared" si="2"/>
        <v>0</v>
      </c>
      <c r="X56" s="16">
        <f t="shared" si="3"/>
        <v>0</v>
      </c>
      <c r="Y56" s="16">
        <f t="shared" si="4"/>
        <v>0</v>
      </c>
      <c r="Z56" s="16">
        <f t="shared" si="5"/>
        <v>0</v>
      </c>
      <c r="AA56" s="16">
        <f t="shared" si="6"/>
        <v>0</v>
      </c>
      <c r="AB56" s="16">
        <f t="shared" si="7"/>
        <v>0</v>
      </c>
      <c r="AC56" s="16">
        <f t="shared" si="8"/>
        <v>0</v>
      </c>
      <c r="AD56" s="16">
        <f t="shared" si="9"/>
        <v>0</v>
      </c>
      <c r="AE56" s="16">
        <f t="shared" si="10"/>
        <v>0</v>
      </c>
      <c r="AF56" s="16">
        <f t="shared" si="11"/>
        <v>0</v>
      </c>
      <c r="AG56" s="16">
        <f t="shared" si="12"/>
        <v>0</v>
      </c>
      <c r="AH56" s="16">
        <f t="shared" si="13"/>
        <v>0</v>
      </c>
      <c r="AI56" s="16">
        <f t="shared" si="14"/>
        <v>0</v>
      </c>
      <c r="AJ56" s="16">
        <f t="shared" si="15"/>
        <v>0</v>
      </c>
      <c r="AK56" s="16">
        <f t="shared" si="16"/>
        <v>0</v>
      </c>
      <c r="AL56" s="16">
        <f t="shared" si="17"/>
        <v>0</v>
      </c>
      <c r="AM56" s="16">
        <f t="shared" si="18"/>
        <v>0</v>
      </c>
      <c r="AN56" s="16">
        <f t="shared" si="19"/>
        <v>0</v>
      </c>
      <c r="AO56" s="16">
        <f t="shared" si="20"/>
        <v>0</v>
      </c>
      <c r="AP56" s="16">
        <f t="shared" si="21"/>
        <v>0</v>
      </c>
      <c r="AQ56" s="16">
        <f t="shared" si="22"/>
        <v>0</v>
      </c>
      <c r="AR56" s="16">
        <f t="shared" si="23"/>
        <v>0</v>
      </c>
      <c r="AS56" s="16">
        <f t="shared" si="24"/>
        <v>0</v>
      </c>
      <c r="AT56" s="16">
        <f t="shared" si="25"/>
        <v>0</v>
      </c>
      <c r="AU56" s="16">
        <f t="shared" si="26"/>
        <v>0</v>
      </c>
      <c r="AV56" s="16">
        <f t="shared" si="27"/>
        <v>0</v>
      </c>
      <c r="AW56" s="16">
        <f t="shared" si="28"/>
        <v>0</v>
      </c>
    </row>
    <row r="57" spans="1:77">
      <c r="A57" s="904"/>
      <c r="B57" s="999">
        <f>Rezone!J57</f>
        <v>55</v>
      </c>
      <c r="C57" s="64">
        <f>Construction!E57</f>
        <v>1000</v>
      </c>
      <c r="D57" s="26">
        <f>Production!P57</f>
        <v>0</v>
      </c>
      <c r="E57" s="57">
        <f>Production!Q57</f>
        <v>6426</v>
      </c>
      <c r="W57" s="52">
        <f t="shared" si="2"/>
        <v>0</v>
      </c>
      <c r="X57" s="16">
        <f t="shared" si="3"/>
        <v>0</v>
      </c>
      <c r="Y57" s="16">
        <f t="shared" si="4"/>
        <v>0</v>
      </c>
      <c r="Z57" s="16">
        <f t="shared" si="5"/>
        <v>0</v>
      </c>
      <c r="AA57" s="16">
        <f t="shared" si="6"/>
        <v>0</v>
      </c>
      <c r="AB57" s="16">
        <f t="shared" si="7"/>
        <v>0</v>
      </c>
      <c r="AC57" s="16">
        <f t="shared" si="8"/>
        <v>0</v>
      </c>
      <c r="AD57" s="16">
        <f t="shared" si="9"/>
        <v>0</v>
      </c>
      <c r="AE57" s="16">
        <f t="shared" si="10"/>
        <v>0</v>
      </c>
      <c r="AF57" s="16">
        <f t="shared" si="11"/>
        <v>0</v>
      </c>
      <c r="AG57" s="16">
        <f t="shared" si="12"/>
        <v>0</v>
      </c>
      <c r="AH57" s="16">
        <f t="shared" si="13"/>
        <v>0</v>
      </c>
      <c r="AI57" s="16">
        <f t="shared" si="14"/>
        <v>0</v>
      </c>
      <c r="AJ57" s="16">
        <f t="shared" si="15"/>
        <v>0</v>
      </c>
      <c r="AK57" s="16">
        <f t="shared" si="16"/>
        <v>0</v>
      </c>
      <c r="AL57" s="16">
        <f t="shared" si="17"/>
        <v>0</v>
      </c>
      <c r="AM57" s="16">
        <f t="shared" si="18"/>
        <v>0</v>
      </c>
      <c r="AN57" s="16">
        <f t="shared" si="19"/>
        <v>0</v>
      </c>
      <c r="AO57" s="16">
        <f t="shared" si="20"/>
        <v>0</v>
      </c>
      <c r="AP57" s="16">
        <f t="shared" si="21"/>
        <v>0</v>
      </c>
      <c r="AQ57" s="16">
        <f t="shared" si="22"/>
        <v>0</v>
      </c>
      <c r="AR57" s="16">
        <f t="shared" si="23"/>
        <v>0</v>
      </c>
      <c r="AS57" s="16">
        <f t="shared" si="24"/>
        <v>0</v>
      </c>
      <c r="AT57" s="16">
        <f t="shared" si="25"/>
        <v>0</v>
      </c>
      <c r="AU57" s="16">
        <f t="shared" si="26"/>
        <v>0</v>
      </c>
      <c r="AV57" s="16">
        <f t="shared" si="27"/>
        <v>0</v>
      </c>
      <c r="AW57" s="16">
        <f t="shared" si="28"/>
        <v>0</v>
      </c>
    </row>
    <row r="58" spans="1:77">
      <c r="A58" s="904"/>
      <c r="B58" s="999">
        <f>Rezone!J58</f>
        <v>56</v>
      </c>
      <c r="C58" s="64">
        <f>Construction!E58</f>
        <v>1000</v>
      </c>
      <c r="D58" s="26">
        <f>Production!P58</f>
        <v>0</v>
      </c>
      <c r="E58" s="57">
        <f>Production!Q58</f>
        <v>6426</v>
      </c>
      <c r="W58" s="52">
        <f t="shared" si="2"/>
        <v>0</v>
      </c>
      <c r="X58" s="16">
        <f t="shared" si="3"/>
        <v>0</v>
      </c>
      <c r="Y58" s="16">
        <f t="shared" si="4"/>
        <v>0</v>
      </c>
      <c r="Z58" s="16">
        <f t="shared" si="5"/>
        <v>0</v>
      </c>
      <c r="AA58" s="16">
        <f t="shared" si="6"/>
        <v>0</v>
      </c>
      <c r="AB58" s="16">
        <f t="shared" si="7"/>
        <v>0</v>
      </c>
      <c r="AC58" s="16">
        <f t="shared" si="8"/>
        <v>0</v>
      </c>
      <c r="AD58" s="16">
        <f t="shared" si="9"/>
        <v>0</v>
      </c>
      <c r="AE58" s="16">
        <f t="shared" si="10"/>
        <v>0</v>
      </c>
      <c r="AF58" s="16">
        <f t="shared" si="11"/>
        <v>0</v>
      </c>
      <c r="AG58" s="16">
        <f t="shared" si="12"/>
        <v>0</v>
      </c>
      <c r="AH58" s="16">
        <f t="shared" si="13"/>
        <v>0</v>
      </c>
      <c r="AI58" s="16">
        <f t="shared" si="14"/>
        <v>0</v>
      </c>
      <c r="AJ58" s="16">
        <f t="shared" si="15"/>
        <v>0</v>
      </c>
      <c r="AK58" s="16">
        <f t="shared" si="16"/>
        <v>0</v>
      </c>
      <c r="AL58" s="16">
        <f t="shared" si="17"/>
        <v>0</v>
      </c>
      <c r="AM58" s="16">
        <f t="shared" si="18"/>
        <v>0</v>
      </c>
      <c r="AN58" s="16">
        <f t="shared" si="19"/>
        <v>0</v>
      </c>
      <c r="AO58" s="16">
        <f t="shared" si="20"/>
        <v>0</v>
      </c>
      <c r="AP58" s="16">
        <f t="shared" si="21"/>
        <v>0</v>
      </c>
      <c r="AQ58" s="16">
        <f t="shared" si="22"/>
        <v>0</v>
      </c>
      <c r="AR58" s="16">
        <f t="shared" si="23"/>
        <v>0</v>
      </c>
      <c r="AS58" s="16">
        <f t="shared" si="24"/>
        <v>0</v>
      </c>
      <c r="AT58" s="16">
        <f t="shared" si="25"/>
        <v>0</v>
      </c>
      <c r="AU58" s="16">
        <f t="shared" si="26"/>
        <v>0</v>
      </c>
      <c r="AV58" s="16">
        <f t="shared" si="27"/>
        <v>0</v>
      </c>
      <c r="AW58" s="16">
        <f t="shared" si="28"/>
        <v>0</v>
      </c>
    </row>
    <row r="59" spans="1:77">
      <c r="A59" s="904"/>
      <c r="B59" s="999">
        <f>Rezone!J59</f>
        <v>57</v>
      </c>
      <c r="C59" s="64">
        <f>Construction!E59</f>
        <v>1000</v>
      </c>
      <c r="D59" s="26">
        <f>Production!P59</f>
        <v>0</v>
      </c>
      <c r="E59" s="57">
        <f>Production!Q59</f>
        <v>6426</v>
      </c>
      <c r="W59" s="52">
        <f t="shared" si="2"/>
        <v>0</v>
      </c>
      <c r="X59" s="16">
        <f t="shared" si="3"/>
        <v>0</v>
      </c>
      <c r="Y59" s="16">
        <f t="shared" si="4"/>
        <v>0</v>
      </c>
      <c r="Z59" s="16">
        <f t="shared" si="5"/>
        <v>0</v>
      </c>
      <c r="AA59" s="16">
        <f t="shared" si="6"/>
        <v>0</v>
      </c>
      <c r="AB59" s="16">
        <f t="shared" si="7"/>
        <v>0</v>
      </c>
      <c r="AC59" s="16">
        <f t="shared" si="8"/>
        <v>0</v>
      </c>
      <c r="AD59" s="16">
        <f t="shared" si="9"/>
        <v>0</v>
      </c>
      <c r="AE59" s="16">
        <f t="shared" si="10"/>
        <v>0</v>
      </c>
      <c r="AF59" s="16">
        <f t="shared" si="11"/>
        <v>0</v>
      </c>
      <c r="AG59" s="16">
        <f t="shared" si="12"/>
        <v>0</v>
      </c>
      <c r="AH59" s="16">
        <f t="shared" si="13"/>
        <v>0</v>
      </c>
      <c r="AI59" s="16">
        <f t="shared" si="14"/>
        <v>0</v>
      </c>
      <c r="AJ59" s="16">
        <f t="shared" si="15"/>
        <v>0</v>
      </c>
      <c r="AK59" s="16">
        <f t="shared" si="16"/>
        <v>0</v>
      </c>
      <c r="AL59" s="16">
        <f t="shared" si="17"/>
        <v>0</v>
      </c>
      <c r="AM59" s="16">
        <f t="shared" si="18"/>
        <v>0</v>
      </c>
      <c r="AN59" s="16">
        <f t="shared" si="19"/>
        <v>0</v>
      </c>
      <c r="AO59" s="16">
        <f t="shared" si="20"/>
        <v>0</v>
      </c>
      <c r="AP59" s="16">
        <f t="shared" si="21"/>
        <v>0</v>
      </c>
      <c r="AQ59" s="16">
        <f t="shared" si="22"/>
        <v>0</v>
      </c>
      <c r="AR59" s="16">
        <f t="shared" si="23"/>
        <v>0</v>
      </c>
      <c r="AS59" s="16">
        <f t="shared" si="24"/>
        <v>0</v>
      </c>
      <c r="AT59" s="16">
        <f t="shared" si="25"/>
        <v>0</v>
      </c>
      <c r="AU59" s="16">
        <f t="shared" si="26"/>
        <v>0</v>
      </c>
      <c r="AV59" s="16">
        <f t="shared" si="27"/>
        <v>0</v>
      </c>
      <c r="AW59" s="16">
        <f t="shared" si="28"/>
        <v>0</v>
      </c>
    </row>
    <row r="60" spans="1:77">
      <c r="A60" s="904"/>
      <c r="B60" s="999">
        <f>Rezone!J60</f>
        <v>58</v>
      </c>
      <c r="C60" s="64">
        <f>Construction!E60</f>
        <v>1000</v>
      </c>
      <c r="D60" s="26">
        <f>Production!P60</f>
        <v>0</v>
      </c>
      <c r="E60" s="57">
        <f>Production!Q60</f>
        <v>6426</v>
      </c>
      <c r="W60" s="52">
        <f t="shared" si="2"/>
        <v>0</v>
      </c>
      <c r="X60" s="16">
        <f t="shared" si="3"/>
        <v>0</v>
      </c>
      <c r="Y60" s="16">
        <f t="shared" si="4"/>
        <v>0</v>
      </c>
      <c r="Z60" s="16">
        <f t="shared" si="5"/>
        <v>0</v>
      </c>
      <c r="AA60" s="16">
        <f t="shared" si="6"/>
        <v>0</v>
      </c>
      <c r="AB60" s="16">
        <f t="shared" si="7"/>
        <v>0</v>
      </c>
      <c r="AC60" s="16">
        <f t="shared" si="8"/>
        <v>0</v>
      </c>
      <c r="AD60" s="16">
        <f t="shared" si="9"/>
        <v>0</v>
      </c>
      <c r="AE60" s="16">
        <f t="shared" si="10"/>
        <v>0</v>
      </c>
      <c r="AF60" s="16">
        <f t="shared" si="11"/>
        <v>0</v>
      </c>
      <c r="AG60" s="16">
        <f t="shared" si="12"/>
        <v>0</v>
      </c>
      <c r="AH60" s="16">
        <f t="shared" si="13"/>
        <v>0</v>
      </c>
      <c r="AI60" s="16">
        <f t="shared" si="14"/>
        <v>0</v>
      </c>
      <c r="AJ60" s="16">
        <f t="shared" si="15"/>
        <v>0</v>
      </c>
      <c r="AK60" s="16">
        <f t="shared" si="16"/>
        <v>0</v>
      </c>
      <c r="AL60" s="16">
        <f t="shared" si="17"/>
        <v>0</v>
      </c>
      <c r="AM60" s="16">
        <f t="shared" si="18"/>
        <v>0</v>
      </c>
      <c r="AN60" s="16">
        <f t="shared" si="19"/>
        <v>0</v>
      </c>
      <c r="AO60" s="16">
        <f t="shared" si="20"/>
        <v>0</v>
      </c>
      <c r="AP60" s="16">
        <f t="shared" si="21"/>
        <v>0</v>
      </c>
      <c r="AQ60" s="16">
        <f t="shared" si="22"/>
        <v>0</v>
      </c>
      <c r="AR60" s="16">
        <f t="shared" si="23"/>
        <v>0</v>
      </c>
      <c r="AS60" s="16">
        <f t="shared" si="24"/>
        <v>0</v>
      </c>
      <c r="AT60" s="16">
        <f t="shared" si="25"/>
        <v>0</v>
      </c>
      <c r="AU60" s="16">
        <f t="shared" si="26"/>
        <v>0</v>
      </c>
      <c r="AV60" s="16">
        <f t="shared" si="27"/>
        <v>0</v>
      </c>
      <c r="AW60" s="16">
        <f t="shared" si="28"/>
        <v>0</v>
      </c>
    </row>
    <row r="61" spans="1:77">
      <c r="A61" s="904"/>
      <c r="B61" s="999">
        <f>Rezone!J61</f>
        <v>59</v>
      </c>
      <c r="C61" s="64">
        <f>Construction!E61</f>
        <v>1000</v>
      </c>
      <c r="D61" s="26">
        <f>Production!P61</f>
        <v>0</v>
      </c>
      <c r="E61" s="57">
        <f>Production!Q61</f>
        <v>6426</v>
      </c>
      <c r="W61" s="52">
        <f t="shared" si="2"/>
        <v>0</v>
      </c>
      <c r="X61" s="16">
        <f t="shared" si="3"/>
        <v>0</v>
      </c>
      <c r="Y61" s="16">
        <f t="shared" si="4"/>
        <v>0</v>
      </c>
      <c r="Z61" s="16">
        <f t="shared" si="5"/>
        <v>0</v>
      </c>
      <c r="AA61" s="16">
        <f t="shared" si="6"/>
        <v>0</v>
      </c>
      <c r="AB61" s="16">
        <f t="shared" si="7"/>
        <v>0</v>
      </c>
      <c r="AC61" s="16">
        <f t="shared" si="8"/>
        <v>0</v>
      </c>
      <c r="AD61" s="16">
        <f t="shared" si="9"/>
        <v>0</v>
      </c>
      <c r="AE61" s="16">
        <f t="shared" si="10"/>
        <v>0</v>
      </c>
      <c r="AF61" s="16">
        <f t="shared" si="11"/>
        <v>0</v>
      </c>
      <c r="AG61" s="16">
        <f t="shared" si="12"/>
        <v>0</v>
      </c>
      <c r="AH61" s="16">
        <f t="shared" si="13"/>
        <v>0</v>
      </c>
      <c r="AI61" s="16">
        <f t="shared" si="14"/>
        <v>0</v>
      </c>
      <c r="AJ61" s="16">
        <f t="shared" si="15"/>
        <v>0</v>
      </c>
      <c r="AK61" s="16">
        <f t="shared" si="16"/>
        <v>0</v>
      </c>
      <c r="AL61" s="16">
        <f t="shared" si="17"/>
        <v>0</v>
      </c>
      <c r="AM61" s="16">
        <f t="shared" si="18"/>
        <v>0</v>
      </c>
      <c r="AN61" s="16">
        <f t="shared" si="19"/>
        <v>0</v>
      </c>
      <c r="AO61" s="16">
        <f t="shared" si="20"/>
        <v>0</v>
      </c>
      <c r="AP61" s="16">
        <f t="shared" si="21"/>
        <v>0</v>
      </c>
      <c r="AQ61" s="16">
        <f t="shared" si="22"/>
        <v>0</v>
      </c>
      <c r="AR61" s="16">
        <f t="shared" si="23"/>
        <v>0</v>
      </c>
      <c r="AS61" s="16">
        <f t="shared" si="24"/>
        <v>0</v>
      </c>
      <c r="AT61" s="16">
        <f t="shared" si="25"/>
        <v>0</v>
      </c>
      <c r="AU61" s="16">
        <f t="shared" si="26"/>
        <v>0</v>
      </c>
      <c r="AV61" s="16">
        <f t="shared" si="27"/>
        <v>0</v>
      </c>
      <c r="AW61" s="16">
        <f t="shared" si="28"/>
        <v>0</v>
      </c>
    </row>
    <row r="62" spans="1:77">
      <c r="A62" s="904"/>
      <c r="B62" s="999">
        <f>Rezone!J62</f>
        <v>60</v>
      </c>
      <c r="C62" s="64">
        <f>Construction!E62</f>
        <v>1000</v>
      </c>
      <c r="D62" s="26">
        <f>Production!P62</f>
        <v>0</v>
      </c>
      <c r="E62" s="57">
        <f>Production!Q62</f>
        <v>6426</v>
      </c>
      <c r="W62" s="52">
        <f t="shared" si="2"/>
        <v>0</v>
      </c>
      <c r="X62" s="16">
        <f t="shared" si="3"/>
        <v>0</v>
      </c>
      <c r="Y62" s="16">
        <f t="shared" si="4"/>
        <v>0</v>
      </c>
      <c r="Z62" s="16">
        <f t="shared" si="5"/>
        <v>0</v>
      </c>
      <c r="AA62" s="16">
        <f t="shared" si="6"/>
        <v>0</v>
      </c>
      <c r="AB62" s="16">
        <f t="shared" si="7"/>
        <v>0</v>
      </c>
      <c r="AC62" s="16">
        <f t="shared" si="8"/>
        <v>0</v>
      </c>
      <c r="AD62" s="16">
        <f t="shared" si="9"/>
        <v>0</v>
      </c>
      <c r="AE62" s="16">
        <f t="shared" si="10"/>
        <v>0</v>
      </c>
      <c r="AF62" s="16">
        <f t="shared" si="11"/>
        <v>0</v>
      </c>
      <c r="AG62" s="16">
        <f t="shared" si="12"/>
        <v>0</v>
      </c>
      <c r="AH62" s="16">
        <f t="shared" si="13"/>
        <v>0</v>
      </c>
      <c r="AI62" s="16">
        <f t="shared" si="14"/>
        <v>0</v>
      </c>
      <c r="AJ62" s="16">
        <f t="shared" si="15"/>
        <v>0</v>
      </c>
      <c r="AK62" s="16">
        <f t="shared" si="16"/>
        <v>0</v>
      </c>
      <c r="AL62" s="16">
        <f t="shared" si="17"/>
        <v>0</v>
      </c>
      <c r="AM62" s="16">
        <f t="shared" si="18"/>
        <v>0</v>
      </c>
      <c r="AN62" s="16">
        <f t="shared" si="19"/>
        <v>0</v>
      </c>
      <c r="AO62" s="16">
        <f t="shared" si="20"/>
        <v>0</v>
      </c>
      <c r="AP62" s="16">
        <f t="shared" si="21"/>
        <v>0</v>
      </c>
      <c r="AQ62" s="16">
        <f t="shared" si="22"/>
        <v>0</v>
      </c>
      <c r="AR62" s="16">
        <f t="shared" si="23"/>
        <v>0</v>
      </c>
      <c r="AS62" s="16">
        <f t="shared" si="24"/>
        <v>0</v>
      </c>
      <c r="AT62" s="16">
        <f t="shared" si="25"/>
        <v>0</v>
      </c>
      <c r="AU62" s="16">
        <f t="shared" si="26"/>
        <v>0</v>
      </c>
      <c r="AV62" s="16">
        <f t="shared" si="27"/>
        <v>0</v>
      </c>
      <c r="AW62" s="16">
        <f t="shared" si="28"/>
        <v>0</v>
      </c>
    </row>
    <row r="63" spans="1:77" s="12" customFormat="1">
      <c r="A63" s="905"/>
      <c r="B63" s="1002">
        <f>Rezone!J63</f>
        <v>61</v>
      </c>
      <c r="C63" s="93">
        <f>Construction!E63</f>
        <v>1000</v>
      </c>
      <c r="D63" s="13">
        <f>Production!P63</f>
        <v>0</v>
      </c>
      <c r="E63" s="55">
        <f>Production!Q63</f>
        <v>6426</v>
      </c>
      <c r="W63" s="50">
        <f t="shared" si="2"/>
        <v>0</v>
      </c>
      <c r="X63" s="12">
        <f t="shared" si="3"/>
        <v>0</v>
      </c>
      <c r="Y63" s="12">
        <f t="shared" si="4"/>
        <v>0</v>
      </c>
      <c r="Z63" s="12">
        <f t="shared" si="5"/>
        <v>0</v>
      </c>
      <c r="AA63" s="12">
        <f t="shared" si="6"/>
        <v>0</v>
      </c>
      <c r="AB63" s="12">
        <f t="shared" si="7"/>
        <v>0</v>
      </c>
      <c r="AC63" s="12">
        <f t="shared" si="8"/>
        <v>0</v>
      </c>
      <c r="AD63" s="12">
        <f t="shared" si="9"/>
        <v>0</v>
      </c>
      <c r="AE63" s="12">
        <f t="shared" si="10"/>
        <v>0</v>
      </c>
      <c r="AF63" s="12">
        <f t="shared" si="11"/>
        <v>0</v>
      </c>
      <c r="AG63" s="12">
        <f t="shared" si="12"/>
        <v>0</v>
      </c>
      <c r="AH63" s="12">
        <f t="shared" si="13"/>
        <v>0</v>
      </c>
      <c r="AI63" s="12">
        <f t="shared" si="14"/>
        <v>0</v>
      </c>
      <c r="AJ63" s="12">
        <f t="shared" si="15"/>
        <v>0</v>
      </c>
      <c r="AK63" s="12">
        <f t="shared" si="16"/>
        <v>0</v>
      </c>
      <c r="AL63" s="12">
        <f t="shared" si="17"/>
        <v>0</v>
      </c>
      <c r="AM63" s="12">
        <f t="shared" si="18"/>
        <v>0</v>
      </c>
      <c r="AN63" s="12">
        <f t="shared" si="19"/>
        <v>0</v>
      </c>
      <c r="AO63" s="12">
        <f t="shared" si="20"/>
        <v>0</v>
      </c>
      <c r="AP63" s="12">
        <f t="shared" si="21"/>
        <v>0</v>
      </c>
      <c r="AQ63" s="12">
        <f t="shared" si="22"/>
        <v>0</v>
      </c>
      <c r="AR63" s="12">
        <f t="shared" si="23"/>
        <v>0</v>
      </c>
      <c r="AS63" s="12">
        <f t="shared" si="24"/>
        <v>0</v>
      </c>
      <c r="AT63" s="12">
        <f t="shared" si="25"/>
        <v>0</v>
      </c>
      <c r="AU63" s="12">
        <f t="shared" si="26"/>
        <v>0</v>
      </c>
      <c r="AV63" s="12">
        <f t="shared" si="27"/>
        <v>0</v>
      </c>
      <c r="AW63" s="12">
        <f t="shared" si="28"/>
        <v>0</v>
      </c>
      <c r="AX63" s="286"/>
      <c r="BY63" s="51"/>
    </row>
    <row r="64" spans="1:77">
      <c r="A64" s="904"/>
      <c r="B64" s="999">
        <f>Rezone!J64</f>
        <v>62</v>
      </c>
      <c r="C64" s="64">
        <f>Construction!E64</f>
        <v>1000</v>
      </c>
      <c r="D64" s="26">
        <f>Production!P64</f>
        <v>0</v>
      </c>
      <c r="E64" s="57">
        <f>Production!Q64</f>
        <v>6426</v>
      </c>
      <c r="W64" s="52">
        <f t="shared" si="2"/>
        <v>0</v>
      </c>
      <c r="X64" s="16">
        <f t="shared" si="3"/>
        <v>0</v>
      </c>
      <c r="Y64" s="16">
        <f t="shared" si="4"/>
        <v>0</v>
      </c>
      <c r="Z64" s="16">
        <f t="shared" si="5"/>
        <v>0</v>
      </c>
      <c r="AA64" s="16">
        <f t="shared" si="6"/>
        <v>0</v>
      </c>
      <c r="AB64" s="16">
        <f t="shared" si="7"/>
        <v>0</v>
      </c>
      <c r="AC64" s="16">
        <f t="shared" si="8"/>
        <v>0</v>
      </c>
      <c r="AD64" s="16">
        <f t="shared" si="9"/>
        <v>0</v>
      </c>
      <c r="AE64" s="16">
        <f t="shared" si="10"/>
        <v>0</v>
      </c>
      <c r="AF64" s="16">
        <f t="shared" si="11"/>
        <v>0</v>
      </c>
      <c r="AG64" s="16">
        <f t="shared" si="12"/>
        <v>0</v>
      </c>
      <c r="AH64" s="16">
        <f t="shared" si="13"/>
        <v>0</v>
      </c>
      <c r="AI64" s="16">
        <f t="shared" si="14"/>
        <v>0</v>
      </c>
      <c r="AJ64" s="16">
        <f t="shared" si="15"/>
        <v>0</v>
      </c>
      <c r="AK64" s="16">
        <f t="shared" si="16"/>
        <v>0</v>
      </c>
      <c r="AL64" s="16">
        <f t="shared" si="17"/>
        <v>0</v>
      </c>
      <c r="AM64" s="16">
        <f t="shared" si="18"/>
        <v>0</v>
      </c>
      <c r="AN64" s="16">
        <f t="shared" si="19"/>
        <v>0</v>
      </c>
      <c r="AO64" s="16">
        <f t="shared" si="20"/>
        <v>0</v>
      </c>
      <c r="AP64" s="16">
        <f t="shared" si="21"/>
        <v>0</v>
      </c>
      <c r="AQ64" s="16">
        <f t="shared" si="22"/>
        <v>0</v>
      </c>
      <c r="AR64" s="16">
        <f t="shared" si="23"/>
        <v>0</v>
      </c>
      <c r="AS64" s="16">
        <f t="shared" si="24"/>
        <v>0</v>
      </c>
      <c r="AT64" s="16">
        <f t="shared" si="25"/>
        <v>0</v>
      </c>
      <c r="AU64" s="16">
        <f t="shared" si="26"/>
        <v>0</v>
      </c>
      <c r="AV64" s="16">
        <f t="shared" si="27"/>
        <v>0</v>
      </c>
      <c r="AW64" s="16">
        <f t="shared" si="28"/>
        <v>0</v>
      </c>
    </row>
    <row r="65" spans="1:77">
      <c r="A65" s="904"/>
      <c r="B65" s="999">
        <f>Rezone!J65</f>
        <v>63</v>
      </c>
      <c r="C65" s="64">
        <f>Construction!E65</f>
        <v>1000</v>
      </c>
      <c r="D65" s="26">
        <f>Production!P65</f>
        <v>0</v>
      </c>
      <c r="E65" s="57">
        <f>Production!Q65</f>
        <v>6426</v>
      </c>
      <c r="W65" s="52">
        <f t="shared" si="2"/>
        <v>0</v>
      </c>
      <c r="X65" s="16">
        <f t="shared" si="3"/>
        <v>0</v>
      </c>
      <c r="Y65" s="16">
        <f t="shared" si="4"/>
        <v>0</v>
      </c>
      <c r="Z65" s="16">
        <f t="shared" si="5"/>
        <v>0</v>
      </c>
      <c r="AA65" s="16">
        <f t="shared" si="6"/>
        <v>0</v>
      </c>
      <c r="AB65" s="16">
        <f t="shared" si="7"/>
        <v>0</v>
      </c>
      <c r="AC65" s="16">
        <f t="shared" si="8"/>
        <v>0</v>
      </c>
      <c r="AD65" s="16">
        <f t="shared" si="9"/>
        <v>0</v>
      </c>
      <c r="AE65" s="16">
        <f t="shared" si="10"/>
        <v>0</v>
      </c>
      <c r="AF65" s="16">
        <f t="shared" si="11"/>
        <v>0</v>
      </c>
      <c r="AG65" s="16">
        <f t="shared" si="12"/>
        <v>0</v>
      </c>
      <c r="AH65" s="16">
        <f t="shared" si="13"/>
        <v>0</v>
      </c>
      <c r="AI65" s="16">
        <f t="shared" si="14"/>
        <v>0</v>
      </c>
      <c r="AJ65" s="16">
        <f t="shared" si="15"/>
        <v>0</v>
      </c>
      <c r="AK65" s="16">
        <f t="shared" si="16"/>
        <v>0</v>
      </c>
      <c r="AL65" s="16">
        <f t="shared" si="17"/>
        <v>0</v>
      </c>
      <c r="AM65" s="16">
        <f t="shared" si="18"/>
        <v>0</v>
      </c>
      <c r="AN65" s="16">
        <f t="shared" si="19"/>
        <v>0</v>
      </c>
      <c r="AO65" s="16">
        <f t="shared" si="20"/>
        <v>0</v>
      </c>
      <c r="AP65" s="16">
        <f t="shared" si="21"/>
        <v>0</v>
      </c>
      <c r="AQ65" s="16">
        <f t="shared" si="22"/>
        <v>0</v>
      </c>
      <c r="AR65" s="16">
        <f t="shared" si="23"/>
        <v>0</v>
      </c>
      <c r="AS65" s="16">
        <f t="shared" si="24"/>
        <v>0</v>
      </c>
      <c r="AT65" s="16">
        <f t="shared" si="25"/>
        <v>0</v>
      </c>
      <c r="AU65" s="16">
        <f t="shared" si="26"/>
        <v>0</v>
      </c>
      <c r="AV65" s="16">
        <f t="shared" si="27"/>
        <v>0</v>
      </c>
      <c r="AW65" s="16">
        <f t="shared" si="28"/>
        <v>0</v>
      </c>
    </row>
    <row r="66" spans="1:77">
      <c r="A66" s="904"/>
      <c r="B66" s="999">
        <f>Rezone!J66</f>
        <v>64</v>
      </c>
      <c r="C66" s="64">
        <f>Construction!E66</f>
        <v>1000</v>
      </c>
      <c r="D66" s="26">
        <f>Production!P66</f>
        <v>0</v>
      </c>
      <c r="E66" s="57">
        <f>Production!Q66</f>
        <v>6426</v>
      </c>
      <c r="W66" s="52">
        <f t="shared" si="2"/>
        <v>0</v>
      </c>
      <c r="X66" s="16">
        <f t="shared" si="3"/>
        <v>0</v>
      </c>
      <c r="Y66" s="16">
        <f t="shared" si="4"/>
        <v>0</v>
      </c>
      <c r="Z66" s="16">
        <f t="shared" si="5"/>
        <v>0</v>
      </c>
      <c r="AA66" s="16">
        <f t="shared" si="6"/>
        <v>0</v>
      </c>
      <c r="AB66" s="16">
        <f t="shared" si="7"/>
        <v>0</v>
      </c>
      <c r="AC66" s="16">
        <f t="shared" si="8"/>
        <v>0</v>
      </c>
      <c r="AD66" s="16">
        <f t="shared" si="9"/>
        <v>0</v>
      </c>
      <c r="AE66" s="16">
        <f t="shared" si="10"/>
        <v>0</v>
      </c>
      <c r="AF66" s="16">
        <f t="shared" si="11"/>
        <v>0</v>
      </c>
      <c r="AG66" s="16">
        <f t="shared" si="12"/>
        <v>0</v>
      </c>
      <c r="AH66" s="16">
        <f t="shared" si="13"/>
        <v>0</v>
      </c>
      <c r="AI66" s="16">
        <f t="shared" si="14"/>
        <v>0</v>
      </c>
      <c r="AJ66" s="16">
        <f t="shared" si="15"/>
        <v>0</v>
      </c>
      <c r="AK66" s="16">
        <f t="shared" si="16"/>
        <v>0</v>
      </c>
      <c r="AL66" s="16">
        <f t="shared" si="17"/>
        <v>0</v>
      </c>
      <c r="AM66" s="16">
        <f t="shared" si="18"/>
        <v>0</v>
      </c>
      <c r="AN66" s="16">
        <f t="shared" si="19"/>
        <v>0</v>
      </c>
      <c r="AO66" s="16">
        <f t="shared" si="20"/>
        <v>0</v>
      </c>
      <c r="AP66" s="16">
        <f t="shared" si="21"/>
        <v>0</v>
      </c>
      <c r="AQ66" s="16">
        <f t="shared" si="22"/>
        <v>0</v>
      </c>
      <c r="AR66" s="16">
        <f t="shared" si="23"/>
        <v>0</v>
      </c>
      <c r="AS66" s="16">
        <f t="shared" si="24"/>
        <v>0</v>
      </c>
      <c r="AT66" s="16">
        <f t="shared" si="25"/>
        <v>0</v>
      </c>
      <c r="AU66" s="16">
        <f t="shared" si="26"/>
        <v>0</v>
      </c>
      <c r="AV66" s="16">
        <f t="shared" si="27"/>
        <v>0</v>
      </c>
      <c r="AW66" s="16">
        <f t="shared" si="28"/>
        <v>0</v>
      </c>
    </row>
    <row r="67" spans="1:77">
      <c r="A67" s="904"/>
      <c r="B67" s="999">
        <f>Rezone!J67</f>
        <v>65</v>
      </c>
      <c r="C67" s="64">
        <f>Construction!E67</f>
        <v>1000</v>
      </c>
      <c r="D67" s="26">
        <f>Production!P67</f>
        <v>0</v>
      </c>
      <c r="E67" s="57">
        <f>Production!Q67</f>
        <v>6426</v>
      </c>
      <c r="W67" s="52">
        <f t="shared" si="2"/>
        <v>0</v>
      </c>
      <c r="X67" s="16">
        <f t="shared" si="3"/>
        <v>0</v>
      </c>
      <c r="Y67" s="16">
        <f t="shared" si="4"/>
        <v>0</v>
      </c>
      <c r="Z67" s="16">
        <f t="shared" si="5"/>
        <v>0</v>
      </c>
      <c r="AA67" s="16">
        <f t="shared" si="6"/>
        <v>0</v>
      </c>
      <c r="AB67" s="16">
        <f t="shared" si="7"/>
        <v>0</v>
      </c>
      <c r="AC67" s="16">
        <f t="shared" si="8"/>
        <v>0</v>
      </c>
      <c r="AD67" s="16">
        <f t="shared" si="9"/>
        <v>0</v>
      </c>
      <c r="AE67" s="16">
        <f t="shared" si="10"/>
        <v>0</v>
      </c>
      <c r="AF67" s="16">
        <f t="shared" si="11"/>
        <v>0</v>
      </c>
      <c r="AG67" s="16">
        <f t="shared" si="12"/>
        <v>0</v>
      </c>
      <c r="AH67" s="16">
        <f t="shared" si="13"/>
        <v>0</v>
      </c>
      <c r="AI67" s="16">
        <f t="shared" si="14"/>
        <v>0</v>
      </c>
      <c r="AJ67" s="16">
        <f t="shared" si="15"/>
        <v>0</v>
      </c>
      <c r="AK67" s="16">
        <f t="shared" si="16"/>
        <v>0</v>
      </c>
      <c r="AL67" s="16">
        <f t="shared" si="17"/>
        <v>0</v>
      </c>
      <c r="AM67" s="16">
        <f t="shared" si="18"/>
        <v>0</v>
      </c>
      <c r="AN67" s="16">
        <f t="shared" si="19"/>
        <v>0</v>
      </c>
      <c r="AO67" s="16">
        <f t="shared" si="20"/>
        <v>0</v>
      </c>
      <c r="AP67" s="16">
        <f t="shared" si="21"/>
        <v>0</v>
      </c>
      <c r="AQ67" s="16">
        <f t="shared" si="22"/>
        <v>0</v>
      </c>
      <c r="AR67" s="16">
        <f t="shared" si="23"/>
        <v>0</v>
      </c>
      <c r="AS67" s="16">
        <f t="shared" si="24"/>
        <v>0</v>
      </c>
      <c r="AT67" s="16">
        <f t="shared" si="25"/>
        <v>0</v>
      </c>
      <c r="AU67" s="16">
        <f t="shared" si="26"/>
        <v>0</v>
      </c>
      <c r="AV67" s="16">
        <f t="shared" si="27"/>
        <v>0</v>
      </c>
      <c r="AW67" s="16">
        <f t="shared" si="28"/>
        <v>0</v>
      </c>
    </row>
    <row r="68" spans="1:77">
      <c r="A68" s="904"/>
      <c r="B68" s="999">
        <f>Rezone!J68</f>
        <v>66</v>
      </c>
      <c r="C68" s="64">
        <f>Construction!E68</f>
        <v>1000</v>
      </c>
      <c r="D68" s="26">
        <f>Production!P68</f>
        <v>0</v>
      </c>
      <c r="E68" s="57">
        <f>Production!Q68</f>
        <v>6426</v>
      </c>
      <c r="W68" s="52">
        <f t="shared" si="2"/>
        <v>0</v>
      </c>
      <c r="X68" s="16">
        <f t="shared" si="3"/>
        <v>0</v>
      </c>
      <c r="Y68" s="16">
        <f t="shared" si="4"/>
        <v>0</v>
      </c>
      <c r="Z68" s="16">
        <f t="shared" si="5"/>
        <v>0</v>
      </c>
      <c r="AA68" s="16">
        <f t="shared" si="6"/>
        <v>0</v>
      </c>
      <c r="AB68" s="16">
        <f t="shared" si="7"/>
        <v>0</v>
      </c>
      <c r="AC68" s="16">
        <f t="shared" si="8"/>
        <v>0</v>
      </c>
      <c r="AD68" s="16">
        <f t="shared" si="9"/>
        <v>0</v>
      </c>
      <c r="AE68" s="16">
        <f t="shared" si="10"/>
        <v>0</v>
      </c>
      <c r="AF68" s="16">
        <f t="shared" si="11"/>
        <v>0</v>
      </c>
      <c r="AG68" s="16">
        <f t="shared" si="12"/>
        <v>0</v>
      </c>
      <c r="AH68" s="16">
        <f t="shared" si="13"/>
        <v>0</v>
      </c>
      <c r="AI68" s="16">
        <f t="shared" si="14"/>
        <v>0</v>
      </c>
      <c r="AJ68" s="16">
        <f t="shared" si="15"/>
        <v>0</v>
      </c>
      <c r="AK68" s="16">
        <f t="shared" si="16"/>
        <v>0</v>
      </c>
      <c r="AL68" s="16">
        <f t="shared" si="17"/>
        <v>0</v>
      </c>
      <c r="AM68" s="16">
        <f t="shared" si="18"/>
        <v>0</v>
      </c>
      <c r="AN68" s="16">
        <f t="shared" si="19"/>
        <v>0</v>
      </c>
      <c r="AO68" s="16">
        <f t="shared" si="20"/>
        <v>0</v>
      </c>
      <c r="AP68" s="16">
        <f t="shared" si="21"/>
        <v>0</v>
      </c>
      <c r="AQ68" s="16">
        <f t="shared" si="22"/>
        <v>0</v>
      </c>
      <c r="AR68" s="16">
        <f t="shared" si="23"/>
        <v>0</v>
      </c>
      <c r="AS68" s="16">
        <f t="shared" si="24"/>
        <v>0</v>
      </c>
      <c r="AT68" s="16">
        <f t="shared" si="25"/>
        <v>0</v>
      </c>
      <c r="AU68" s="16">
        <f t="shared" si="26"/>
        <v>0</v>
      </c>
      <c r="AV68" s="16">
        <f t="shared" si="27"/>
        <v>0</v>
      </c>
      <c r="AW68" s="16">
        <f t="shared" si="28"/>
        <v>0</v>
      </c>
    </row>
    <row r="69" spans="1:77">
      <c r="A69" s="904"/>
      <c r="B69" s="999">
        <f>Rezone!J69</f>
        <v>67</v>
      </c>
      <c r="C69" s="64">
        <f>Construction!E69</f>
        <v>1000</v>
      </c>
      <c r="D69" s="26">
        <f>Production!P69</f>
        <v>0</v>
      </c>
      <c r="E69" s="57">
        <f>Production!Q69</f>
        <v>6426</v>
      </c>
      <c r="W69" s="52">
        <f t="shared" ref="W69:W75" si="29">MAX(W68,AY69)</f>
        <v>0</v>
      </c>
      <c r="X69" s="16">
        <f t="shared" ref="X69:X132" si="30">MAX(X68,AZ69)</f>
        <v>0</v>
      </c>
      <c r="Y69" s="16">
        <f t="shared" ref="Y69:Y132" si="31">MAX(Y68,BA69)</f>
        <v>0</v>
      </c>
      <c r="Z69" s="16">
        <f t="shared" ref="Z69:Z132" si="32">MAX(Z68,BB69)</f>
        <v>0</v>
      </c>
      <c r="AA69" s="16">
        <f t="shared" ref="AA69:AA132" si="33">MAX(AA68,BC69)</f>
        <v>0</v>
      </c>
      <c r="AB69" s="16">
        <f t="shared" ref="AB69:AB132" si="34">MAX(AB68,BD69)</f>
        <v>0</v>
      </c>
      <c r="AC69" s="16">
        <f t="shared" ref="AC69:AC132" si="35">MAX(AC68,BE69)</f>
        <v>0</v>
      </c>
      <c r="AD69" s="16">
        <f t="shared" ref="AD69:AD132" si="36">MAX(AD68,BF69)</f>
        <v>0</v>
      </c>
      <c r="AE69" s="16">
        <f t="shared" ref="AE69:AE132" si="37">MAX(AE68,BG69)</f>
        <v>0</v>
      </c>
      <c r="AF69" s="16">
        <f t="shared" ref="AF69:AF132" si="38">MAX(AF68,BH69)</f>
        <v>0</v>
      </c>
      <c r="AG69" s="16">
        <f t="shared" ref="AG69:AG132" si="39">MAX(AG68,BI69)</f>
        <v>0</v>
      </c>
      <c r="AH69" s="16">
        <f t="shared" ref="AH69:AH132" si="40">MAX(AH68,BJ69)</f>
        <v>0</v>
      </c>
      <c r="AI69" s="16">
        <f t="shared" ref="AI69:AI132" si="41">MAX(AI68,BK69)</f>
        <v>0</v>
      </c>
      <c r="AJ69" s="16">
        <f t="shared" ref="AJ69:AJ132" si="42">MAX(AJ68,BL69)</f>
        <v>0</v>
      </c>
      <c r="AK69" s="16">
        <f t="shared" ref="AK69:AK132" si="43">MAX(AK68,BM69)</f>
        <v>0</v>
      </c>
      <c r="AL69" s="16">
        <f t="shared" ref="AL69:AL132" si="44">MAX(AL68,BN69)</f>
        <v>0</v>
      </c>
      <c r="AM69" s="16">
        <f t="shared" ref="AM69:AM132" si="45">MAX(AM68,BO69)</f>
        <v>0</v>
      </c>
      <c r="AN69" s="16">
        <f t="shared" ref="AN69:AN132" si="46">MAX(AN68,BP69)</f>
        <v>0</v>
      </c>
      <c r="AO69" s="16">
        <f t="shared" ref="AO69:AO132" si="47">MAX(AO68,BQ69)</f>
        <v>0</v>
      </c>
      <c r="AP69" s="16">
        <f t="shared" ref="AP69:AP132" si="48">MAX(AP68,BR69)</f>
        <v>0</v>
      </c>
      <c r="AQ69" s="16">
        <f t="shared" ref="AQ69:AQ132" si="49">MAX(AQ68,BS69)</f>
        <v>0</v>
      </c>
      <c r="AR69" s="16">
        <f t="shared" ref="AR69:AR132" si="50">MAX(AR68,BT69)</f>
        <v>0</v>
      </c>
      <c r="AS69" s="16">
        <f t="shared" ref="AS69:AS132" si="51">MAX(AS68,BU69)</f>
        <v>0</v>
      </c>
      <c r="AT69" s="16">
        <f t="shared" ref="AT69:AT132" si="52">MAX(AT68,BV69)</f>
        <v>0</v>
      </c>
      <c r="AU69" s="16">
        <f t="shared" ref="AU69:AU132" si="53">MAX(AU68,BW69)</f>
        <v>0</v>
      </c>
      <c r="AV69" s="16">
        <f t="shared" ref="AV69:AV132" si="54">MAX(AV68,BX69)</f>
        <v>0</v>
      </c>
      <c r="AW69" s="16">
        <f t="shared" ref="AW69:AW132" si="55">MAX(AW68,BY69)</f>
        <v>0</v>
      </c>
    </row>
    <row r="70" spans="1:77">
      <c r="A70" s="904"/>
      <c r="B70" s="999">
        <f>Rezone!J70</f>
        <v>68</v>
      </c>
      <c r="C70" s="64">
        <f>Construction!E70</f>
        <v>1000</v>
      </c>
      <c r="D70" s="26">
        <f>Production!P70</f>
        <v>0</v>
      </c>
      <c r="E70" s="57">
        <f>Production!Q70</f>
        <v>6426</v>
      </c>
      <c r="W70" s="52">
        <f t="shared" si="29"/>
        <v>0</v>
      </c>
      <c r="X70" s="16">
        <f t="shared" si="30"/>
        <v>0</v>
      </c>
      <c r="Y70" s="16">
        <f t="shared" si="31"/>
        <v>0</v>
      </c>
      <c r="Z70" s="16">
        <f t="shared" si="32"/>
        <v>0</v>
      </c>
      <c r="AA70" s="16">
        <f t="shared" si="33"/>
        <v>0</v>
      </c>
      <c r="AB70" s="16">
        <f t="shared" si="34"/>
        <v>0</v>
      </c>
      <c r="AC70" s="16">
        <f t="shared" si="35"/>
        <v>0</v>
      </c>
      <c r="AD70" s="16">
        <f t="shared" si="36"/>
        <v>0</v>
      </c>
      <c r="AE70" s="16">
        <f t="shared" si="37"/>
        <v>0</v>
      </c>
      <c r="AF70" s="16">
        <f t="shared" si="38"/>
        <v>0</v>
      </c>
      <c r="AG70" s="16">
        <f t="shared" si="39"/>
        <v>0</v>
      </c>
      <c r="AH70" s="16">
        <f t="shared" si="40"/>
        <v>0</v>
      </c>
      <c r="AI70" s="16">
        <f t="shared" si="41"/>
        <v>0</v>
      </c>
      <c r="AJ70" s="16">
        <f t="shared" si="42"/>
        <v>0</v>
      </c>
      <c r="AK70" s="16">
        <f t="shared" si="43"/>
        <v>0</v>
      </c>
      <c r="AL70" s="16">
        <f t="shared" si="44"/>
        <v>0</v>
      </c>
      <c r="AM70" s="16">
        <f t="shared" si="45"/>
        <v>0</v>
      </c>
      <c r="AN70" s="16">
        <f t="shared" si="46"/>
        <v>0</v>
      </c>
      <c r="AO70" s="16">
        <f t="shared" si="47"/>
        <v>0</v>
      </c>
      <c r="AP70" s="16">
        <f t="shared" si="48"/>
        <v>0</v>
      </c>
      <c r="AQ70" s="16">
        <f t="shared" si="49"/>
        <v>0</v>
      </c>
      <c r="AR70" s="16">
        <f t="shared" si="50"/>
        <v>0</v>
      </c>
      <c r="AS70" s="16">
        <f t="shared" si="51"/>
        <v>0</v>
      </c>
      <c r="AT70" s="16">
        <f t="shared" si="52"/>
        <v>0</v>
      </c>
      <c r="AU70" s="16">
        <f t="shared" si="53"/>
        <v>0</v>
      </c>
      <c r="AV70" s="16">
        <f t="shared" si="54"/>
        <v>0</v>
      </c>
      <c r="AW70" s="16">
        <f t="shared" si="55"/>
        <v>0</v>
      </c>
    </row>
    <row r="71" spans="1:77">
      <c r="A71" s="904"/>
      <c r="B71" s="999">
        <f>Rezone!J71</f>
        <v>69</v>
      </c>
      <c r="C71" s="64">
        <f>Construction!E71</f>
        <v>1000</v>
      </c>
      <c r="D71" s="26">
        <f>Production!P71</f>
        <v>0</v>
      </c>
      <c r="E71" s="57">
        <f>Production!Q71</f>
        <v>6426</v>
      </c>
      <c r="W71" s="52">
        <f t="shared" si="29"/>
        <v>0</v>
      </c>
      <c r="X71" s="16">
        <f t="shared" si="30"/>
        <v>0</v>
      </c>
      <c r="Y71" s="16">
        <f t="shared" si="31"/>
        <v>0</v>
      </c>
      <c r="Z71" s="16">
        <f t="shared" si="32"/>
        <v>0</v>
      </c>
      <c r="AA71" s="16">
        <f t="shared" si="33"/>
        <v>0</v>
      </c>
      <c r="AB71" s="16">
        <f t="shared" si="34"/>
        <v>0</v>
      </c>
      <c r="AC71" s="16">
        <f t="shared" si="35"/>
        <v>0</v>
      </c>
      <c r="AD71" s="16">
        <f t="shared" si="36"/>
        <v>0</v>
      </c>
      <c r="AE71" s="16">
        <f t="shared" si="37"/>
        <v>0</v>
      </c>
      <c r="AF71" s="16">
        <f t="shared" si="38"/>
        <v>0</v>
      </c>
      <c r="AG71" s="16">
        <f t="shared" si="39"/>
        <v>0</v>
      </c>
      <c r="AH71" s="16">
        <f t="shared" si="40"/>
        <v>0</v>
      </c>
      <c r="AI71" s="16">
        <f t="shared" si="41"/>
        <v>0</v>
      </c>
      <c r="AJ71" s="16">
        <f t="shared" si="42"/>
        <v>0</v>
      </c>
      <c r="AK71" s="16">
        <f t="shared" si="43"/>
        <v>0</v>
      </c>
      <c r="AL71" s="16">
        <f t="shared" si="44"/>
        <v>0</v>
      </c>
      <c r="AM71" s="16">
        <f t="shared" si="45"/>
        <v>0</v>
      </c>
      <c r="AN71" s="16">
        <f t="shared" si="46"/>
        <v>0</v>
      </c>
      <c r="AO71" s="16">
        <f t="shared" si="47"/>
        <v>0</v>
      </c>
      <c r="AP71" s="16">
        <f t="shared" si="48"/>
        <v>0</v>
      </c>
      <c r="AQ71" s="16">
        <f t="shared" si="49"/>
        <v>0</v>
      </c>
      <c r="AR71" s="16">
        <f t="shared" si="50"/>
        <v>0</v>
      </c>
      <c r="AS71" s="16">
        <f t="shared" si="51"/>
        <v>0</v>
      </c>
      <c r="AT71" s="16">
        <f t="shared" si="52"/>
        <v>0</v>
      </c>
      <c r="AU71" s="16">
        <f t="shared" si="53"/>
        <v>0</v>
      </c>
      <c r="AV71" s="16">
        <f t="shared" si="54"/>
        <v>0</v>
      </c>
      <c r="AW71" s="16">
        <f t="shared" si="55"/>
        <v>0</v>
      </c>
    </row>
    <row r="72" spans="1:77">
      <c r="A72" s="904"/>
      <c r="B72" s="999">
        <f>Rezone!J72</f>
        <v>70</v>
      </c>
      <c r="C72" s="64">
        <f>Construction!E72</f>
        <v>1000</v>
      </c>
      <c r="D72" s="26">
        <f>Production!P72</f>
        <v>0</v>
      </c>
      <c r="E72" s="57">
        <f>Production!Q72</f>
        <v>6426</v>
      </c>
      <c r="W72" s="52">
        <f t="shared" si="29"/>
        <v>0</v>
      </c>
      <c r="X72" s="16">
        <f t="shared" si="30"/>
        <v>0</v>
      </c>
      <c r="Y72" s="16">
        <f t="shared" si="31"/>
        <v>0</v>
      </c>
      <c r="Z72" s="16">
        <f t="shared" si="32"/>
        <v>0</v>
      </c>
      <c r="AA72" s="16">
        <f t="shared" si="33"/>
        <v>0</v>
      </c>
      <c r="AB72" s="16">
        <f t="shared" si="34"/>
        <v>0</v>
      </c>
      <c r="AC72" s="16">
        <f t="shared" si="35"/>
        <v>0</v>
      </c>
      <c r="AD72" s="16">
        <f t="shared" si="36"/>
        <v>0</v>
      </c>
      <c r="AE72" s="16">
        <f t="shared" si="37"/>
        <v>0</v>
      </c>
      <c r="AF72" s="16">
        <f t="shared" si="38"/>
        <v>0</v>
      </c>
      <c r="AG72" s="16">
        <f t="shared" si="39"/>
        <v>0</v>
      </c>
      <c r="AH72" s="16">
        <f t="shared" si="40"/>
        <v>0</v>
      </c>
      <c r="AI72" s="16">
        <f t="shared" si="41"/>
        <v>0</v>
      </c>
      <c r="AJ72" s="16">
        <f t="shared" si="42"/>
        <v>0</v>
      </c>
      <c r="AK72" s="16">
        <f t="shared" si="43"/>
        <v>0</v>
      </c>
      <c r="AL72" s="16">
        <f t="shared" si="44"/>
        <v>0</v>
      </c>
      <c r="AM72" s="16">
        <f t="shared" si="45"/>
        <v>0</v>
      </c>
      <c r="AN72" s="16">
        <f t="shared" si="46"/>
        <v>0</v>
      </c>
      <c r="AO72" s="16">
        <f t="shared" si="47"/>
        <v>0</v>
      </c>
      <c r="AP72" s="16">
        <f t="shared" si="48"/>
        <v>0</v>
      </c>
      <c r="AQ72" s="16">
        <f t="shared" si="49"/>
        <v>0</v>
      </c>
      <c r="AR72" s="16">
        <f t="shared" si="50"/>
        <v>0</v>
      </c>
      <c r="AS72" s="16">
        <f t="shared" si="51"/>
        <v>0</v>
      </c>
      <c r="AT72" s="16">
        <f t="shared" si="52"/>
        <v>0</v>
      </c>
      <c r="AU72" s="16">
        <f t="shared" si="53"/>
        <v>0</v>
      </c>
      <c r="AV72" s="16">
        <f t="shared" si="54"/>
        <v>0</v>
      </c>
      <c r="AW72" s="16">
        <f t="shared" si="55"/>
        <v>0</v>
      </c>
    </row>
    <row r="73" spans="1:77">
      <c r="A73" s="904"/>
      <c r="B73" s="999">
        <f>Rezone!J73</f>
        <v>71</v>
      </c>
      <c r="C73" s="64">
        <f>Construction!E73</f>
        <v>1000</v>
      </c>
      <c r="D73" s="26">
        <f>Production!P73</f>
        <v>0</v>
      </c>
      <c r="E73" s="57">
        <f>Production!Q73</f>
        <v>6426</v>
      </c>
      <c r="W73" s="52">
        <f t="shared" si="29"/>
        <v>0</v>
      </c>
      <c r="X73" s="16">
        <f t="shared" si="30"/>
        <v>0</v>
      </c>
      <c r="Y73" s="16">
        <f t="shared" si="31"/>
        <v>0</v>
      </c>
      <c r="Z73" s="16">
        <f t="shared" si="32"/>
        <v>0</v>
      </c>
      <c r="AA73" s="16">
        <f t="shared" si="33"/>
        <v>0</v>
      </c>
      <c r="AB73" s="16">
        <f t="shared" si="34"/>
        <v>0</v>
      </c>
      <c r="AC73" s="16">
        <f t="shared" si="35"/>
        <v>0</v>
      </c>
      <c r="AD73" s="16">
        <f t="shared" si="36"/>
        <v>0</v>
      </c>
      <c r="AE73" s="16">
        <f t="shared" si="37"/>
        <v>0</v>
      </c>
      <c r="AF73" s="16">
        <f t="shared" si="38"/>
        <v>0</v>
      </c>
      <c r="AG73" s="16">
        <f t="shared" si="39"/>
        <v>0</v>
      </c>
      <c r="AH73" s="16">
        <f t="shared" si="40"/>
        <v>0</v>
      </c>
      <c r="AI73" s="16">
        <f t="shared" si="41"/>
        <v>0</v>
      </c>
      <c r="AJ73" s="16">
        <f t="shared" si="42"/>
        <v>0</v>
      </c>
      <c r="AK73" s="16">
        <f t="shared" si="43"/>
        <v>0</v>
      </c>
      <c r="AL73" s="16">
        <f t="shared" si="44"/>
        <v>0</v>
      </c>
      <c r="AM73" s="16">
        <f t="shared" si="45"/>
        <v>0</v>
      </c>
      <c r="AN73" s="16">
        <f t="shared" si="46"/>
        <v>0</v>
      </c>
      <c r="AO73" s="16">
        <f t="shared" si="47"/>
        <v>0</v>
      </c>
      <c r="AP73" s="16">
        <f t="shared" si="48"/>
        <v>0</v>
      </c>
      <c r="AQ73" s="16">
        <f t="shared" si="49"/>
        <v>0</v>
      </c>
      <c r="AR73" s="16">
        <f t="shared" si="50"/>
        <v>0</v>
      </c>
      <c r="AS73" s="16">
        <f t="shared" si="51"/>
        <v>0</v>
      </c>
      <c r="AT73" s="16">
        <f t="shared" si="52"/>
        <v>0</v>
      </c>
      <c r="AU73" s="16">
        <f t="shared" si="53"/>
        <v>0</v>
      </c>
      <c r="AV73" s="16">
        <f t="shared" si="54"/>
        <v>0</v>
      </c>
      <c r="AW73" s="16">
        <f t="shared" si="55"/>
        <v>0</v>
      </c>
    </row>
    <row r="74" spans="1:77" ht="13.5" thickBot="1">
      <c r="A74" s="904"/>
      <c r="B74" s="999">
        <f>Rezone!J74</f>
        <v>72</v>
      </c>
      <c r="C74" s="64">
        <f>Construction!E74</f>
        <v>1000</v>
      </c>
      <c r="D74" s="26">
        <f>Production!P74</f>
        <v>0</v>
      </c>
      <c r="E74" s="57">
        <f>Production!Q74</f>
        <v>6426</v>
      </c>
      <c r="W74" s="52">
        <f t="shared" si="29"/>
        <v>0</v>
      </c>
      <c r="X74" s="16">
        <f t="shared" si="30"/>
        <v>0</v>
      </c>
      <c r="Y74" s="16">
        <f t="shared" si="31"/>
        <v>0</v>
      </c>
      <c r="Z74" s="16">
        <f t="shared" si="32"/>
        <v>0</v>
      </c>
      <c r="AA74" s="16">
        <f t="shared" si="33"/>
        <v>0</v>
      </c>
      <c r="AB74" s="16">
        <f t="shared" si="34"/>
        <v>0</v>
      </c>
      <c r="AC74" s="16">
        <f t="shared" si="35"/>
        <v>0</v>
      </c>
      <c r="AD74" s="16">
        <f t="shared" si="36"/>
        <v>0</v>
      </c>
      <c r="AE74" s="16">
        <f t="shared" si="37"/>
        <v>0</v>
      </c>
      <c r="AF74" s="16">
        <f t="shared" si="38"/>
        <v>0</v>
      </c>
      <c r="AG74" s="16">
        <f t="shared" si="39"/>
        <v>0</v>
      </c>
      <c r="AH74" s="16">
        <f t="shared" si="40"/>
        <v>0</v>
      </c>
      <c r="AI74" s="16">
        <f t="shared" si="41"/>
        <v>0</v>
      </c>
      <c r="AJ74" s="16">
        <f t="shared" si="42"/>
        <v>0</v>
      </c>
      <c r="AK74" s="16">
        <f t="shared" si="43"/>
        <v>0</v>
      </c>
      <c r="AL74" s="16">
        <f t="shared" si="44"/>
        <v>0</v>
      </c>
      <c r="AM74" s="16">
        <f t="shared" si="45"/>
        <v>0</v>
      </c>
      <c r="AN74" s="16">
        <f t="shared" si="46"/>
        <v>0</v>
      </c>
      <c r="AO74" s="16">
        <f t="shared" si="47"/>
        <v>0</v>
      </c>
      <c r="AP74" s="16">
        <f t="shared" si="48"/>
        <v>0</v>
      </c>
      <c r="AQ74" s="16">
        <f t="shared" si="49"/>
        <v>0</v>
      </c>
      <c r="AR74" s="16">
        <f t="shared" si="50"/>
        <v>0</v>
      </c>
      <c r="AS74" s="16">
        <f t="shared" si="51"/>
        <v>0</v>
      </c>
      <c r="AT74" s="16">
        <f t="shared" si="52"/>
        <v>0</v>
      </c>
      <c r="AU74" s="16">
        <f t="shared" si="53"/>
        <v>0</v>
      </c>
      <c r="AV74" s="16">
        <f t="shared" si="54"/>
        <v>0</v>
      </c>
      <c r="AW74" s="16">
        <f t="shared" si="55"/>
        <v>0</v>
      </c>
    </row>
    <row r="75" spans="1:77" s="936" customFormat="1" ht="13.5" thickBot="1">
      <c r="A75" s="1304"/>
      <c r="B75" s="1305">
        <f>Rezone!J75</f>
        <v>73</v>
      </c>
      <c r="C75" s="1306">
        <f>Construction!E75</f>
        <v>1000</v>
      </c>
      <c r="D75" s="279">
        <f>Production!P75</f>
        <v>0</v>
      </c>
      <c r="E75" s="1307">
        <f>Production!Q75</f>
        <v>6426</v>
      </c>
      <c r="W75" s="937">
        <f t="shared" si="29"/>
        <v>0</v>
      </c>
      <c r="X75" s="936">
        <f t="shared" si="30"/>
        <v>0</v>
      </c>
      <c r="Y75" s="936">
        <f t="shared" si="31"/>
        <v>0</v>
      </c>
      <c r="Z75" s="936">
        <f t="shared" si="32"/>
        <v>0</v>
      </c>
      <c r="AA75" s="936">
        <f t="shared" si="33"/>
        <v>0</v>
      </c>
      <c r="AB75" s="936">
        <f t="shared" si="34"/>
        <v>0</v>
      </c>
      <c r="AC75" s="936">
        <f t="shared" si="35"/>
        <v>0</v>
      </c>
      <c r="AD75" s="936">
        <f t="shared" si="36"/>
        <v>0</v>
      </c>
      <c r="AE75" s="936">
        <f t="shared" si="37"/>
        <v>0</v>
      </c>
      <c r="AF75" s="936">
        <f t="shared" si="38"/>
        <v>0</v>
      </c>
      <c r="AG75" s="936">
        <f t="shared" si="39"/>
        <v>0</v>
      </c>
      <c r="AH75" s="936">
        <f t="shared" si="40"/>
        <v>0</v>
      </c>
      <c r="AI75" s="936">
        <f t="shared" si="41"/>
        <v>0</v>
      </c>
      <c r="AJ75" s="936">
        <f t="shared" si="42"/>
        <v>0</v>
      </c>
      <c r="AK75" s="936">
        <f t="shared" si="43"/>
        <v>0</v>
      </c>
      <c r="AL75" s="936">
        <f t="shared" si="44"/>
        <v>0</v>
      </c>
      <c r="AM75" s="936">
        <f t="shared" si="45"/>
        <v>0</v>
      </c>
      <c r="AN75" s="936">
        <f t="shared" si="46"/>
        <v>0</v>
      </c>
      <c r="AO75" s="936">
        <f t="shared" si="47"/>
        <v>0</v>
      </c>
      <c r="AP75" s="936">
        <f t="shared" si="48"/>
        <v>0</v>
      </c>
      <c r="AQ75" s="936">
        <f t="shared" si="49"/>
        <v>0</v>
      </c>
      <c r="AR75" s="936">
        <f t="shared" si="50"/>
        <v>0</v>
      </c>
      <c r="AS75" s="936">
        <f t="shared" si="51"/>
        <v>0</v>
      </c>
      <c r="AT75" s="936">
        <f t="shared" si="52"/>
        <v>0</v>
      </c>
      <c r="AU75" s="936">
        <f t="shared" si="53"/>
        <v>0</v>
      </c>
      <c r="AV75" s="936">
        <f t="shared" si="54"/>
        <v>0</v>
      </c>
      <c r="AW75" s="936">
        <f t="shared" si="55"/>
        <v>0</v>
      </c>
      <c r="AX75" s="950"/>
      <c r="BY75" s="938"/>
    </row>
    <row r="76" spans="1:77">
      <c r="A76" s="904"/>
      <c r="B76" s="998">
        <f>Rezone!J76</f>
        <v>74</v>
      </c>
      <c r="C76" s="160">
        <f>Construction!E76</f>
        <v>1000</v>
      </c>
      <c r="D76" s="164">
        <f>Production!P76</f>
        <v>0</v>
      </c>
      <c r="E76" s="164">
        <f>Production!Q76</f>
        <v>6426</v>
      </c>
      <c r="F76" s="1022"/>
      <c r="G76" s="958"/>
      <c r="H76" s="958"/>
      <c r="I76" s="958"/>
      <c r="J76" s="958"/>
      <c r="K76" s="1019"/>
      <c r="L76" s="1019"/>
      <c r="M76" s="958"/>
      <c r="N76" s="1019"/>
      <c r="O76" s="1019"/>
      <c r="P76" s="1015"/>
      <c r="Q76" s="958"/>
      <c r="R76" s="1019"/>
      <c r="S76" s="1019"/>
      <c r="T76" s="958"/>
      <c r="U76" s="1019"/>
      <c r="V76" s="315"/>
      <c r="W76" s="52">
        <f>MAX(W75,1*AY76)</f>
        <v>0</v>
      </c>
      <c r="X76" s="16">
        <f t="shared" si="30"/>
        <v>0</v>
      </c>
      <c r="Y76" s="16">
        <f t="shared" si="31"/>
        <v>0</v>
      </c>
      <c r="Z76" s="16">
        <f t="shared" si="32"/>
        <v>0</v>
      </c>
      <c r="AA76" s="16">
        <f t="shared" si="33"/>
        <v>0</v>
      </c>
      <c r="AB76" s="16">
        <f t="shared" si="34"/>
        <v>0</v>
      </c>
      <c r="AC76" s="16">
        <f t="shared" si="35"/>
        <v>0</v>
      </c>
      <c r="AD76" s="16">
        <f t="shared" si="36"/>
        <v>0</v>
      </c>
      <c r="AE76" s="16">
        <f t="shared" si="37"/>
        <v>0</v>
      </c>
      <c r="AF76" s="16">
        <f t="shared" si="38"/>
        <v>0</v>
      </c>
      <c r="AG76" s="16">
        <f t="shared" si="39"/>
        <v>0</v>
      </c>
      <c r="AH76" s="16">
        <f t="shared" si="40"/>
        <v>0</v>
      </c>
      <c r="AI76" s="16">
        <f t="shared" si="41"/>
        <v>0</v>
      </c>
      <c r="AJ76" s="16">
        <f t="shared" si="42"/>
        <v>0</v>
      </c>
      <c r="AK76" s="16">
        <f t="shared" si="43"/>
        <v>0</v>
      </c>
      <c r="AL76" s="16">
        <f t="shared" si="44"/>
        <v>0</v>
      </c>
      <c r="AM76" s="16">
        <f t="shared" si="45"/>
        <v>0</v>
      </c>
      <c r="AN76" s="16">
        <f t="shared" si="46"/>
        <v>0</v>
      </c>
      <c r="AO76" s="16">
        <f t="shared" si="47"/>
        <v>0</v>
      </c>
      <c r="AP76" s="16">
        <f t="shared" si="48"/>
        <v>0</v>
      </c>
      <c r="AQ76" s="16">
        <f t="shared" si="49"/>
        <v>0</v>
      </c>
      <c r="AR76" s="16">
        <f t="shared" si="50"/>
        <v>0</v>
      </c>
      <c r="AS76" s="16">
        <f t="shared" si="51"/>
        <v>0</v>
      </c>
      <c r="AT76" s="16">
        <f t="shared" si="52"/>
        <v>0</v>
      </c>
      <c r="AU76" s="16">
        <f t="shared" si="53"/>
        <v>0</v>
      </c>
      <c r="AV76" s="16">
        <f t="shared" si="54"/>
        <v>0</v>
      </c>
      <c r="AW76" s="16">
        <f t="shared" si="55"/>
        <v>0</v>
      </c>
    </row>
    <row r="77" spans="1:77">
      <c r="A77" s="904"/>
      <c r="B77" s="998">
        <f>Rezone!J77</f>
        <v>75</v>
      </c>
      <c r="C77" s="160">
        <f>Construction!E77</f>
        <v>1000</v>
      </c>
      <c r="D77" s="164">
        <f>Production!P77</f>
        <v>0</v>
      </c>
      <c r="E77" s="164">
        <f>Production!Q77</f>
        <v>6426</v>
      </c>
      <c r="F77" s="1022"/>
      <c r="G77" s="958"/>
      <c r="H77" s="958"/>
      <c r="I77" s="1016"/>
      <c r="J77" s="958"/>
      <c r="K77" s="1019"/>
      <c r="L77" s="1018"/>
      <c r="M77" s="1017"/>
      <c r="N77" s="1016"/>
      <c r="O77" s="1019"/>
      <c r="P77" s="1015"/>
      <c r="Q77" s="958"/>
      <c r="R77" s="1019"/>
      <c r="S77" s="1019"/>
      <c r="T77" s="1016"/>
      <c r="U77" s="1019"/>
      <c r="V77" s="315"/>
      <c r="W77" s="52">
        <f t="shared" ref="W77:W135" si="56">MAX(W76,AY77)</f>
        <v>0</v>
      </c>
      <c r="X77" s="16">
        <f t="shared" si="30"/>
        <v>0</v>
      </c>
      <c r="Y77" s="16">
        <f t="shared" si="31"/>
        <v>0</v>
      </c>
      <c r="Z77" s="16">
        <f t="shared" si="32"/>
        <v>0</v>
      </c>
      <c r="AA77" s="16">
        <f t="shared" si="33"/>
        <v>0</v>
      </c>
      <c r="AB77" s="16">
        <f t="shared" si="34"/>
        <v>0</v>
      </c>
      <c r="AC77" s="16">
        <f t="shared" si="35"/>
        <v>0</v>
      </c>
      <c r="AD77" s="16">
        <f t="shared" si="36"/>
        <v>0</v>
      </c>
      <c r="AE77" s="16">
        <f t="shared" si="37"/>
        <v>0</v>
      </c>
      <c r="AF77" s="16">
        <f t="shared" si="38"/>
        <v>0</v>
      </c>
      <c r="AG77" s="16">
        <f t="shared" si="39"/>
        <v>0</v>
      </c>
      <c r="AH77" s="16">
        <f t="shared" si="40"/>
        <v>0</v>
      </c>
      <c r="AI77" s="16">
        <f t="shared" si="41"/>
        <v>0</v>
      </c>
      <c r="AJ77" s="16">
        <f t="shared" si="42"/>
        <v>0</v>
      </c>
      <c r="AK77" s="16">
        <f t="shared" si="43"/>
        <v>0</v>
      </c>
      <c r="AL77" s="16">
        <f t="shared" si="44"/>
        <v>0</v>
      </c>
      <c r="AM77" s="16">
        <f t="shared" si="45"/>
        <v>0</v>
      </c>
      <c r="AN77" s="16">
        <f t="shared" si="46"/>
        <v>0</v>
      </c>
      <c r="AO77" s="16">
        <f t="shared" si="47"/>
        <v>0</v>
      </c>
      <c r="AP77" s="16">
        <f t="shared" si="48"/>
        <v>0</v>
      </c>
      <c r="AQ77" s="16">
        <f t="shared" si="49"/>
        <v>0</v>
      </c>
      <c r="AR77" s="16">
        <f t="shared" si="50"/>
        <v>0</v>
      </c>
      <c r="AS77" s="16">
        <f t="shared" si="51"/>
        <v>0</v>
      </c>
      <c r="AT77" s="16">
        <f t="shared" si="52"/>
        <v>0</v>
      </c>
      <c r="AU77" s="16">
        <f t="shared" si="53"/>
        <v>0</v>
      </c>
      <c r="AV77" s="16">
        <f t="shared" si="54"/>
        <v>0</v>
      </c>
      <c r="AW77" s="16">
        <f t="shared" si="55"/>
        <v>0</v>
      </c>
    </row>
    <row r="78" spans="1:77">
      <c r="A78" s="904"/>
      <c r="B78" s="999">
        <f>Rezone!J78</f>
        <v>76</v>
      </c>
      <c r="C78" s="64">
        <f>Construction!E78</f>
        <v>1000</v>
      </c>
      <c r="D78" s="26">
        <f>Production!P78</f>
        <v>0</v>
      </c>
      <c r="E78" s="26">
        <f>Production!Q78</f>
        <v>6426</v>
      </c>
      <c r="F78" s="1022"/>
      <c r="G78" s="958"/>
      <c r="H78" s="1019"/>
      <c r="I78" s="1016"/>
      <c r="J78" s="958"/>
      <c r="K78" s="1019"/>
      <c r="L78" s="1019"/>
      <c r="M78" s="958"/>
      <c r="N78" s="1019"/>
      <c r="O78" s="1019"/>
      <c r="P78" s="1015"/>
      <c r="Q78" s="1017"/>
      <c r="R78" s="1019"/>
      <c r="S78" s="1019"/>
      <c r="T78" s="1016"/>
      <c r="U78" s="1019"/>
      <c r="V78" s="315"/>
      <c r="W78" s="52">
        <f t="shared" si="56"/>
        <v>0</v>
      </c>
      <c r="X78" s="16">
        <f t="shared" si="30"/>
        <v>0</v>
      </c>
      <c r="Y78" s="16">
        <f t="shared" si="31"/>
        <v>0</v>
      </c>
      <c r="Z78" s="16">
        <f t="shared" si="32"/>
        <v>0</v>
      </c>
      <c r="AA78" s="16">
        <f t="shared" si="33"/>
        <v>0</v>
      </c>
      <c r="AB78" s="16">
        <f t="shared" si="34"/>
        <v>0</v>
      </c>
      <c r="AC78" s="16">
        <f t="shared" si="35"/>
        <v>0</v>
      </c>
      <c r="AD78" s="16">
        <f t="shared" si="36"/>
        <v>0</v>
      </c>
      <c r="AE78" s="16">
        <f t="shared" si="37"/>
        <v>0</v>
      </c>
      <c r="AF78" s="16">
        <f t="shared" si="38"/>
        <v>0</v>
      </c>
      <c r="AG78" s="16">
        <f t="shared" si="39"/>
        <v>0</v>
      </c>
      <c r="AH78" s="16">
        <f t="shared" si="40"/>
        <v>0</v>
      </c>
      <c r="AI78" s="16">
        <f t="shared" si="41"/>
        <v>0</v>
      </c>
      <c r="AJ78" s="16">
        <f t="shared" si="42"/>
        <v>0</v>
      </c>
      <c r="AK78" s="16">
        <f t="shared" si="43"/>
        <v>0</v>
      </c>
      <c r="AL78" s="16">
        <f t="shared" si="44"/>
        <v>0</v>
      </c>
      <c r="AM78" s="16">
        <f t="shared" si="45"/>
        <v>0</v>
      </c>
      <c r="AN78" s="16">
        <f t="shared" si="46"/>
        <v>0</v>
      </c>
      <c r="AO78" s="16">
        <f t="shared" si="47"/>
        <v>0</v>
      </c>
      <c r="AP78" s="16">
        <f t="shared" si="48"/>
        <v>0</v>
      </c>
      <c r="AQ78" s="16">
        <f t="shared" si="49"/>
        <v>0</v>
      </c>
      <c r="AR78" s="16">
        <f t="shared" si="50"/>
        <v>0</v>
      </c>
      <c r="AS78" s="16">
        <f t="shared" si="51"/>
        <v>0</v>
      </c>
      <c r="AT78" s="16">
        <f t="shared" si="52"/>
        <v>0</v>
      </c>
      <c r="AU78" s="16">
        <f t="shared" si="53"/>
        <v>0</v>
      </c>
      <c r="AV78" s="16">
        <f t="shared" si="54"/>
        <v>0</v>
      </c>
      <c r="AW78" s="16">
        <f t="shared" si="55"/>
        <v>0</v>
      </c>
    </row>
    <row r="79" spans="1:77">
      <c r="A79" s="904"/>
      <c r="B79" s="999">
        <f>Rezone!J79</f>
        <v>77</v>
      </c>
      <c r="C79" s="64">
        <f>Construction!E79</f>
        <v>1000</v>
      </c>
      <c r="D79" s="26">
        <f>Production!P79</f>
        <v>0</v>
      </c>
      <c r="E79" s="26">
        <f>Production!Q79</f>
        <v>6426</v>
      </c>
      <c r="F79" s="882"/>
      <c r="G79" s="1019"/>
      <c r="H79" s="958"/>
      <c r="I79" s="958"/>
      <c r="J79" s="958"/>
      <c r="K79" s="1019"/>
      <c r="L79" s="1019"/>
      <c r="M79" s="958"/>
      <c r="N79" s="1019"/>
      <c r="O79" s="1019"/>
      <c r="P79" s="958"/>
      <c r="Q79" s="958"/>
      <c r="R79" s="1019"/>
      <c r="S79" s="1019"/>
      <c r="T79" s="958"/>
      <c r="U79" s="1019"/>
      <c r="V79" s="315"/>
      <c r="W79" s="52">
        <f t="shared" si="56"/>
        <v>0</v>
      </c>
      <c r="X79" s="16">
        <f t="shared" si="30"/>
        <v>0</v>
      </c>
      <c r="Y79" s="16">
        <f t="shared" si="31"/>
        <v>0</v>
      </c>
      <c r="Z79" s="16">
        <f t="shared" si="32"/>
        <v>0</v>
      </c>
      <c r="AA79" s="16">
        <f t="shared" si="33"/>
        <v>0</v>
      </c>
      <c r="AB79" s="16">
        <f t="shared" si="34"/>
        <v>0</v>
      </c>
      <c r="AC79" s="16">
        <f t="shared" si="35"/>
        <v>0</v>
      </c>
      <c r="AD79" s="16">
        <f t="shared" si="36"/>
        <v>0</v>
      </c>
      <c r="AE79" s="16">
        <f t="shared" si="37"/>
        <v>0</v>
      </c>
      <c r="AF79" s="16">
        <f t="shared" si="38"/>
        <v>0</v>
      </c>
      <c r="AG79" s="16">
        <f t="shared" si="39"/>
        <v>0</v>
      </c>
      <c r="AH79" s="16">
        <f t="shared" si="40"/>
        <v>0</v>
      </c>
      <c r="AI79" s="16">
        <f t="shared" si="41"/>
        <v>0</v>
      </c>
      <c r="AJ79" s="16">
        <f t="shared" si="42"/>
        <v>0</v>
      </c>
      <c r="AK79" s="16">
        <f t="shared" si="43"/>
        <v>0</v>
      </c>
      <c r="AL79" s="16">
        <f t="shared" si="44"/>
        <v>0</v>
      </c>
      <c r="AM79" s="16">
        <f t="shared" si="45"/>
        <v>0</v>
      </c>
      <c r="AN79" s="16">
        <f t="shared" si="46"/>
        <v>0</v>
      </c>
      <c r="AO79" s="16">
        <f t="shared" si="47"/>
        <v>0</v>
      </c>
      <c r="AP79" s="16">
        <f t="shared" si="48"/>
        <v>0</v>
      </c>
      <c r="AQ79" s="16">
        <f t="shared" si="49"/>
        <v>0</v>
      </c>
      <c r="AR79" s="16">
        <f t="shared" si="50"/>
        <v>0</v>
      </c>
      <c r="AS79" s="16">
        <f t="shared" si="51"/>
        <v>0</v>
      </c>
      <c r="AT79" s="16">
        <f t="shared" si="52"/>
        <v>0</v>
      </c>
      <c r="AU79" s="16">
        <f t="shared" si="53"/>
        <v>0</v>
      </c>
      <c r="AV79" s="16">
        <f t="shared" si="54"/>
        <v>0</v>
      </c>
      <c r="AW79" s="16">
        <f t="shared" si="55"/>
        <v>0</v>
      </c>
    </row>
    <row r="80" spans="1:77">
      <c r="A80" s="904"/>
      <c r="B80" s="999">
        <f>Rezone!J80</f>
        <v>78</v>
      </c>
      <c r="C80" s="64">
        <f>Construction!E80</f>
        <v>1000</v>
      </c>
      <c r="D80" s="26">
        <f>Production!P80</f>
        <v>0</v>
      </c>
      <c r="E80" s="26">
        <f>Production!Q80</f>
        <v>6426</v>
      </c>
      <c r="F80" s="882"/>
      <c r="G80" s="1019"/>
      <c r="H80" s="958"/>
      <c r="I80" s="1019"/>
      <c r="J80" s="1019"/>
      <c r="K80" s="1019"/>
      <c r="L80" s="1018"/>
      <c r="M80" s="958"/>
      <c r="N80" s="958"/>
      <c r="O80" s="1019"/>
      <c r="P80" s="958"/>
      <c r="Q80" s="958"/>
      <c r="R80" s="1019"/>
      <c r="S80" s="1019"/>
      <c r="T80" s="958"/>
      <c r="U80" s="1019"/>
      <c r="V80" s="315"/>
      <c r="W80" s="52">
        <f t="shared" si="56"/>
        <v>0</v>
      </c>
      <c r="X80" s="16">
        <f t="shared" si="30"/>
        <v>0</v>
      </c>
      <c r="Y80" s="16">
        <f t="shared" si="31"/>
        <v>0</v>
      </c>
      <c r="Z80" s="16">
        <f t="shared" si="32"/>
        <v>0</v>
      </c>
      <c r="AA80" s="16">
        <f t="shared" si="33"/>
        <v>0</v>
      </c>
      <c r="AB80" s="16">
        <f t="shared" si="34"/>
        <v>0</v>
      </c>
      <c r="AC80" s="16">
        <f t="shared" si="35"/>
        <v>0</v>
      </c>
      <c r="AD80" s="16">
        <f t="shared" si="36"/>
        <v>0</v>
      </c>
      <c r="AE80" s="16">
        <f t="shared" si="37"/>
        <v>0</v>
      </c>
      <c r="AF80" s="16">
        <f t="shared" si="38"/>
        <v>0</v>
      </c>
      <c r="AG80" s="16">
        <f t="shared" si="39"/>
        <v>0</v>
      </c>
      <c r="AH80" s="16">
        <f t="shared" si="40"/>
        <v>0</v>
      </c>
      <c r="AI80" s="16">
        <f t="shared" si="41"/>
        <v>0</v>
      </c>
      <c r="AJ80" s="16">
        <f t="shared" si="42"/>
        <v>0</v>
      </c>
      <c r="AK80" s="16">
        <f t="shared" si="43"/>
        <v>0</v>
      </c>
      <c r="AL80" s="16">
        <f t="shared" si="44"/>
        <v>0</v>
      </c>
      <c r="AM80" s="16">
        <f t="shared" si="45"/>
        <v>0</v>
      </c>
      <c r="AN80" s="16">
        <f t="shared" si="46"/>
        <v>0</v>
      </c>
      <c r="AO80" s="16">
        <f t="shared" si="47"/>
        <v>0</v>
      </c>
      <c r="AP80" s="16">
        <f t="shared" si="48"/>
        <v>0</v>
      </c>
      <c r="AQ80" s="16">
        <f t="shared" si="49"/>
        <v>0</v>
      </c>
      <c r="AR80" s="16">
        <f t="shared" si="50"/>
        <v>0</v>
      </c>
      <c r="AS80" s="16">
        <f t="shared" si="51"/>
        <v>0</v>
      </c>
      <c r="AT80" s="16">
        <f t="shared" si="52"/>
        <v>0</v>
      </c>
      <c r="AU80" s="16">
        <f t="shared" si="53"/>
        <v>0</v>
      </c>
      <c r="AV80" s="16">
        <f t="shared" si="54"/>
        <v>0</v>
      </c>
      <c r="AW80" s="16">
        <f t="shared" si="55"/>
        <v>0</v>
      </c>
    </row>
    <row r="81" spans="1:77">
      <c r="A81" s="904"/>
      <c r="B81" s="999">
        <f>Rezone!J81</f>
        <v>79</v>
      </c>
      <c r="C81" s="64">
        <f>Construction!E81</f>
        <v>1000</v>
      </c>
      <c r="D81" s="26">
        <f>Production!P81</f>
        <v>0</v>
      </c>
      <c r="E81" s="26">
        <f>Production!Q81</f>
        <v>6426</v>
      </c>
      <c r="F81" s="1023"/>
      <c r="G81" s="1018"/>
      <c r="H81" s="1017"/>
      <c r="I81" s="958"/>
      <c r="J81" s="958"/>
      <c r="K81" s="1016"/>
      <c r="L81" s="1018"/>
      <c r="M81" s="958"/>
      <c r="N81" s="1016"/>
      <c r="O81" s="1018"/>
      <c r="P81" s="1017"/>
      <c r="Q81" s="958"/>
      <c r="R81" s="1016"/>
      <c r="S81" s="1019"/>
      <c r="T81" s="958"/>
      <c r="U81" s="1019"/>
      <c r="V81" s="315"/>
      <c r="W81" s="52">
        <f t="shared" si="56"/>
        <v>0</v>
      </c>
      <c r="X81" s="16">
        <f t="shared" si="30"/>
        <v>0</v>
      </c>
      <c r="Y81" s="16">
        <f t="shared" si="31"/>
        <v>0</v>
      </c>
      <c r="Z81" s="16">
        <f t="shared" si="32"/>
        <v>0</v>
      </c>
      <c r="AA81" s="16">
        <f t="shared" si="33"/>
        <v>0</v>
      </c>
      <c r="AB81" s="16">
        <f t="shared" si="34"/>
        <v>0</v>
      </c>
      <c r="AC81" s="16">
        <f t="shared" si="35"/>
        <v>0</v>
      </c>
      <c r="AD81" s="16">
        <f t="shared" si="36"/>
        <v>0</v>
      </c>
      <c r="AE81" s="16">
        <f t="shared" si="37"/>
        <v>0</v>
      </c>
      <c r="AF81" s="16">
        <f t="shared" si="38"/>
        <v>0</v>
      </c>
      <c r="AG81" s="16">
        <f t="shared" si="39"/>
        <v>0</v>
      </c>
      <c r="AH81" s="16">
        <f t="shared" si="40"/>
        <v>0</v>
      </c>
      <c r="AI81" s="16">
        <f t="shared" si="41"/>
        <v>0</v>
      </c>
      <c r="AJ81" s="16">
        <f t="shared" si="42"/>
        <v>0</v>
      </c>
      <c r="AK81" s="16">
        <f t="shared" si="43"/>
        <v>0</v>
      </c>
      <c r="AL81" s="16">
        <f t="shared" si="44"/>
        <v>0</v>
      </c>
      <c r="AM81" s="16">
        <f t="shared" si="45"/>
        <v>0</v>
      </c>
      <c r="AN81" s="16">
        <f t="shared" si="46"/>
        <v>0</v>
      </c>
      <c r="AO81" s="16">
        <f t="shared" si="47"/>
        <v>0</v>
      </c>
      <c r="AP81" s="16">
        <f t="shared" si="48"/>
        <v>0</v>
      </c>
      <c r="AQ81" s="16">
        <f t="shared" si="49"/>
        <v>0</v>
      </c>
      <c r="AR81" s="16">
        <f t="shared" si="50"/>
        <v>0</v>
      </c>
      <c r="AS81" s="16">
        <f t="shared" si="51"/>
        <v>0</v>
      </c>
      <c r="AT81" s="16">
        <f t="shared" si="52"/>
        <v>0</v>
      </c>
      <c r="AU81" s="16">
        <f t="shared" si="53"/>
        <v>0</v>
      </c>
      <c r="AV81" s="16">
        <f t="shared" si="54"/>
        <v>0</v>
      </c>
      <c r="AW81" s="16">
        <f t="shared" si="55"/>
        <v>0</v>
      </c>
    </row>
    <row r="82" spans="1:77">
      <c r="A82" s="904"/>
      <c r="B82" s="999">
        <f>Rezone!J82</f>
        <v>80</v>
      </c>
      <c r="C82" s="64">
        <f>Construction!E82</f>
        <v>1000</v>
      </c>
      <c r="D82" s="26">
        <f>Production!P82</f>
        <v>0</v>
      </c>
      <c r="E82" s="26">
        <f>Production!Q82</f>
        <v>6426</v>
      </c>
      <c r="F82" s="1024"/>
      <c r="G82" s="1019"/>
      <c r="H82" s="958"/>
      <c r="I82" s="958"/>
      <c r="J82" s="958"/>
      <c r="K82" s="1019"/>
      <c r="L82" s="1018"/>
      <c r="M82" s="958"/>
      <c r="N82" s="1016"/>
      <c r="O82" s="1019"/>
      <c r="P82" s="958"/>
      <c r="Q82" s="958"/>
      <c r="R82" s="1019"/>
      <c r="S82" s="1019"/>
      <c r="T82" s="958"/>
      <c r="U82" s="1019"/>
      <c r="V82" s="315"/>
      <c r="W82" s="52">
        <f t="shared" si="56"/>
        <v>0</v>
      </c>
      <c r="X82" s="16">
        <f t="shared" si="30"/>
        <v>0</v>
      </c>
      <c r="Y82" s="16">
        <f t="shared" si="31"/>
        <v>0</v>
      </c>
      <c r="Z82" s="16">
        <f t="shared" si="32"/>
        <v>0</v>
      </c>
      <c r="AA82" s="16">
        <f t="shared" si="33"/>
        <v>0</v>
      </c>
      <c r="AB82" s="16">
        <f t="shared" si="34"/>
        <v>0</v>
      </c>
      <c r="AC82" s="16">
        <f t="shared" si="35"/>
        <v>0</v>
      </c>
      <c r="AD82" s="16">
        <f t="shared" si="36"/>
        <v>0</v>
      </c>
      <c r="AE82" s="16">
        <f t="shared" si="37"/>
        <v>0</v>
      </c>
      <c r="AF82" s="16">
        <f t="shared" si="38"/>
        <v>0</v>
      </c>
      <c r="AG82" s="16">
        <f t="shared" si="39"/>
        <v>0</v>
      </c>
      <c r="AH82" s="16">
        <f t="shared" si="40"/>
        <v>0</v>
      </c>
      <c r="AI82" s="16">
        <f t="shared" si="41"/>
        <v>0</v>
      </c>
      <c r="AJ82" s="16">
        <f t="shared" si="42"/>
        <v>0</v>
      </c>
      <c r="AK82" s="16">
        <f t="shared" si="43"/>
        <v>0</v>
      </c>
      <c r="AL82" s="16">
        <f t="shared" si="44"/>
        <v>0</v>
      </c>
      <c r="AM82" s="16">
        <f t="shared" si="45"/>
        <v>0</v>
      </c>
      <c r="AN82" s="16">
        <f t="shared" si="46"/>
        <v>0</v>
      </c>
      <c r="AO82" s="16">
        <f t="shared" si="47"/>
        <v>0</v>
      </c>
      <c r="AP82" s="16">
        <f t="shared" si="48"/>
        <v>0</v>
      </c>
      <c r="AQ82" s="16">
        <f t="shared" si="49"/>
        <v>0</v>
      </c>
      <c r="AR82" s="16">
        <f t="shared" si="50"/>
        <v>0</v>
      </c>
      <c r="AS82" s="16">
        <f t="shared" si="51"/>
        <v>0</v>
      </c>
      <c r="AT82" s="16">
        <f t="shared" si="52"/>
        <v>0</v>
      </c>
      <c r="AU82" s="16">
        <f t="shared" si="53"/>
        <v>0</v>
      </c>
      <c r="AV82" s="16">
        <f t="shared" si="54"/>
        <v>0</v>
      </c>
      <c r="AW82" s="16">
        <f t="shared" si="55"/>
        <v>0</v>
      </c>
    </row>
    <row r="83" spans="1:77">
      <c r="A83" s="904"/>
      <c r="B83" s="999">
        <f>Rezone!J83</f>
        <v>81</v>
      </c>
      <c r="C83" s="64">
        <f>Construction!E83</f>
        <v>1000</v>
      </c>
      <c r="D83" s="26">
        <f>Production!P83</f>
        <v>0</v>
      </c>
      <c r="E83" s="26">
        <f>Production!Q83</f>
        <v>6426</v>
      </c>
      <c r="F83" s="882"/>
      <c r="G83" s="1019"/>
      <c r="H83" s="958"/>
      <c r="I83" s="1019"/>
      <c r="J83" s="958"/>
      <c r="K83" s="1019"/>
      <c r="L83" s="1019"/>
      <c r="M83" s="958"/>
      <c r="N83" s="1019"/>
      <c r="O83" s="1019"/>
      <c r="P83" s="958"/>
      <c r="Q83" s="958"/>
      <c r="R83" s="1019"/>
      <c r="S83" s="1019"/>
      <c r="T83" s="958"/>
      <c r="U83" s="1019"/>
      <c r="V83" s="315"/>
      <c r="W83" s="52">
        <f t="shared" si="56"/>
        <v>0</v>
      </c>
      <c r="X83" s="16">
        <f t="shared" si="30"/>
        <v>0</v>
      </c>
      <c r="Y83" s="16">
        <f t="shared" si="31"/>
        <v>0</v>
      </c>
      <c r="Z83" s="16">
        <f t="shared" si="32"/>
        <v>0</v>
      </c>
      <c r="AA83" s="16">
        <f t="shared" si="33"/>
        <v>0</v>
      </c>
      <c r="AB83" s="16">
        <f t="shared" si="34"/>
        <v>0</v>
      </c>
      <c r="AC83" s="16">
        <f t="shared" si="35"/>
        <v>0</v>
      </c>
      <c r="AD83" s="16">
        <f t="shared" si="36"/>
        <v>0</v>
      </c>
      <c r="AE83" s="16">
        <f t="shared" si="37"/>
        <v>0</v>
      </c>
      <c r="AF83" s="16">
        <f t="shared" si="38"/>
        <v>0</v>
      </c>
      <c r="AG83" s="16">
        <f t="shared" si="39"/>
        <v>0</v>
      </c>
      <c r="AH83" s="16">
        <f t="shared" si="40"/>
        <v>0</v>
      </c>
      <c r="AI83" s="16">
        <f t="shared" si="41"/>
        <v>0</v>
      </c>
      <c r="AJ83" s="16">
        <f t="shared" si="42"/>
        <v>0</v>
      </c>
      <c r="AK83" s="16">
        <f t="shared" si="43"/>
        <v>0</v>
      </c>
      <c r="AL83" s="16">
        <f t="shared" si="44"/>
        <v>0</v>
      </c>
      <c r="AM83" s="16">
        <f t="shared" si="45"/>
        <v>0</v>
      </c>
      <c r="AN83" s="16">
        <f t="shared" si="46"/>
        <v>0</v>
      </c>
      <c r="AO83" s="16">
        <f t="shared" si="47"/>
        <v>0</v>
      </c>
      <c r="AP83" s="16">
        <f t="shared" si="48"/>
        <v>0</v>
      </c>
      <c r="AQ83" s="16">
        <f t="shared" si="49"/>
        <v>0</v>
      </c>
      <c r="AR83" s="16">
        <f t="shared" si="50"/>
        <v>0</v>
      </c>
      <c r="AS83" s="16">
        <f t="shared" si="51"/>
        <v>0</v>
      </c>
      <c r="AT83" s="16">
        <f t="shared" si="52"/>
        <v>0</v>
      </c>
      <c r="AU83" s="16">
        <f t="shared" si="53"/>
        <v>0</v>
      </c>
      <c r="AV83" s="16">
        <f t="shared" si="54"/>
        <v>0</v>
      </c>
      <c r="AW83" s="16">
        <f t="shared" si="55"/>
        <v>0</v>
      </c>
    </row>
    <row r="84" spans="1:77">
      <c r="A84" s="904"/>
      <c r="B84" s="999">
        <f>Rezone!J84</f>
        <v>82</v>
      </c>
      <c r="C84" s="64">
        <f>Construction!E84</f>
        <v>1000</v>
      </c>
      <c r="D84" s="26">
        <f>Production!P84</f>
        <v>0</v>
      </c>
      <c r="E84" s="26">
        <f>Production!Q84</f>
        <v>6426</v>
      </c>
      <c r="F84" s="882"/>
      <c r="G84" s="958"/>
      <c r="H84" s="1019"/>
      <c r="I84" s="1019"/>
      <c r="J84" s="958"/>
      <c r="K84" s="1019"/>
      <c r="L84" s="1019"/>
      <c r="M84" s="958"/>
      <c r="N84" s="1019"/>
      <c r="O84" s="1019"/>
      <c r="P84" s="958"/>
      <c r="Q84" s="958"/>
      <c r="R84" s="1019"/>
      <c r="S84" s="1019"/>
      <c r="T84" s="958"/>
      <c r="U84" s="1019"/>
      <c r="V84" s="315"/>
      <c r="W84" s="52">
        <f t="shared" si="56"/>
        <v>0</v>
      </c>
      <c r="X84" s="16">
        <f t="shared" si="30"/>
        <v>0</v>
      </c>
      <c r="Y84" s="16">
        <f t="shared" si="31"/>
        <v>0</v>
      </c>
      <c r="Z84" s="16">
        <f t="shared" si="32"/>
        <v>0</v>
      </c>
      <c r="AA84" s="16">
        <f t="shared" si="33"/>
        <v>0</v>
      </c>
      <c r="AB84" s="16">
        <f t="shared" si="34"/>
        <v>0</v>
      </c>
      <c r="AC84" s="16">
        <f t="shared" si="35"/>
        <v>0</v>
      </c>
      <c r="AD84" s="16">
        <f t="shared" si="36"/>
        <v>0</v>
      </c>
      <c r="AE84" s="16">
        <f t="shared" si="37"/>
        <v>0</v>
      </c>
      <c r="AF84" s="16">
        <f t="shared" si="38"/>
        <v>0</v>
      </c>
      <c r="AG84" s="16">
        <f t="shared" si="39"/>
        <v>0</v>
      </c>
      <c r="AH84" s="16">
        <f t="shared" si="40"/>
        <v>0</v>
      </c>
      <c r="AI84" s="16">
        <f t="shared" si="41"/>
        <v>0</v>
      </c>
      <c r="AJ84" s="16">
        <f t="shared" si="42"/>
        <v>0</v>
      </c>
      <c r="AK84" s="16">
        <f t="shared" si="43"/>
        <v>0</v>
      </c>
      <c r="AL84" s="16">
        <f t="shared" si="44"/>
        <v>0</v>
      </c>
      <c r="AM84" s="16">
        <f t="shared" si="45"/>
        <v>0</v>
      </c>
      <c r="AN84" s="16">
        <f t="shared" si="46"/>
        <v>0</v>
      </c>
      <c r="AO84" s="16">
        <f t="shared" si="47"/>
        <v>0</v>
      </c>
      <c r="AP84" s="16">
        <f t="shared" si="48"/>
        <v>0</v>
      </c>
      <c r="AQ84" s="16">
        <f t="shared" si="49"/>
        <v>0</v>
      </c>
      <c r="AR84" s="16">
        <f t="shared" si="50"/>
        <v>0</v>
      </c>
      <c r="AS84" s="16">
        <f t="shared" si="51"/>
        <v>0</v>
      </c>
      <c r="AT84" s="16">
        <f t="shared" si="52"/>
        <v>0</v>
      </c>
      <c r="AU84" s="16">
        <f t="shared" si="53"/>
        <v>0</v>
      </c>
      <c r="AV84" s="16">
        <f t="shared" si="54"/>
        <v>0</v>
      </c>
      <c r="AW84" s="16">
        <f t="shared" si="55"/>
        <v>0</v>
      </c>
    </row>
    <row r="85" spans="1:77">
      <c r="A85" s="904"/>
      <c r="B85" s="999">
        <f>Rezone!J85</f>
        <v>83</v>
      </c>
      <c r="C85" s="64">
        <f>Construction!E85</f>
        <v>1000</v>
      </c>
      <c r="D85" s="26">
        <f>Production!P85</f>
        <v>0</v>
      </c>
      <c r="E85" s="26">
        <f>Production!Q85</f>
        <v>6426</v>
      </c>
      <c r="F85" s="1022"/>
      <c r="G85" s="1017"/>
      <c r="H85" s="1019"/>
      <c r="I85" s="1016"/>
      <c r="J85" s="958"/>
      <c r="K85" s="1019"/>
      <c r="L85" s="1018"/>
      <c r="M85" s="1017"/>
      <c r="N85" s="1016"/>
      <c r="O85" s="1019"/>
      <c r="P85" s="1015"/>
      <c r="Q85" s="1017"/>
      <c r="R85" s="1019"/>
      <c r="S85" s="1019"/>
      <c r="T85" s="1016"/>
      <c r="U85" s="1019"/>
      <c r="V85" s="315"/>
      <c r="W85" s="52">
        <f t="shared" si="56"/>
        <v>0</v>
      </c>
      <c r="X85" s="16">
        <f t="shared" si="30"/>
        <v>0</v>
      </c>
      <c r="Y85" s="16">
        <f t="shared" si="31"/>
        <v>0</v>
      </c>
      <c r="Z85" s="16">
        <f t="shared" si="32"/>
        <v>0</v>
      </c>
      <c r="AA85" s="16">
        <f t="shared" si="33"/>
        <v>0</v>
      </c>
      <c r="AB85" s="16">
        <f t="shared" si="34"/>
        <v>0</v>
      </c>
      <c r="AC85" s="16">
        <f t="shared" si="35"/>
        <v>0</v>
      </c>
      <c r="AD85" s="16">
        <f t="shared" si="36"/>
        <v>0</v>
      </c>
      <c r="AE85" s="16">
        <f t="shared" si="37"/>
        <v>0</v>
      </c>
      <c r="AF85" s="16">
        <f t="shared" si="38"/>
        <v>0</v>
      </c>
      <c r="AG85" s="16">
        <f t="shared" si="39"/>
        <v>0</v>
      </c>
      <c r="AH85" s="16">
        <f t="shared" si="40"/>
        <v>0</v>
      </c>
      <c r="AI85" s="16">
        <f t="shared" si="41"/>
        <v>0</v>
      </c>
      <c r="AJ85" s="16">
        <f t="shared" si="42"/>
        <v>0</v>
      </c>
      <c r="AK85" s="16">
        <f t="shared" si="43"/>
        <v>0</v>
      </c>
      <c r="AL85" s="16">
        <f t="shared" si="44"/>
        <v>0</v>
      </c>
      <c r="AM85" s="16">
        <f t="shared" si="45"/>
        <v>0</v>
      </c>
      <c r="AN85" s="16">
        <f t="shared" si="46"/>
        <v>0</v>
      </c>
      <c r="AO85" s="16">
        <f t="shared" si="47"/>
        <v>0</v>
      </c>
      <c r="AP85" s="16">
        <f t="shared" si="48"/>
        <v>0</v>
      </c>
      <c r="AQ85" s="16">
        <f t="shared" si="49"/>
        <v>0</v>
      </c>
      <c r="AR85" s="16">
        <f t="shared" si="50"/>
        <v>0</v>
      </c>
      <c r="AS85" s="16">
        <f t="shared" si="51"/>
        <v>0</v>
      </c>
      <c r="AT85" s="16">
        <f t="shared" si="52"/>
        <v>0</v>
      </c>
      <c r="AU85" s="16">
        <f t="shared" si="53"/>
        <v>0</v>
      </c>
      <c r="AV85" s="16">
        <f t="shared" si="54"/>
        <v>0</v>
      </c>
      <c r="AW85" s="16">
        <f t="shared" si="55"/>
        <v>0</v>
      </c>
    </row>
    <row r="86" spans="1:77">
      <c r="A86" s="904"/>
      <c r="B86" s="998">
        <f>Rezone!J86</f>
        <v>84</v>
      </c>
      <c r="C86" s="160">
        <f>Construction!E86</f>
        <v>1000</v>
      </c>
      <c r="D86" s="164">
        <f>Production!P86</f>
        <v>0</v>
      </c>
      <c r="E86" s="164">
        <f>Production!Q86</f>
        <v>6426</v>
      </c>
      <c r="F86" s="1025"/>
      <c r="G86" s="1019"/>
      <c r="H86" s="958"/>
      <c r="I86" s="958"/>
      <c r="J86" s="958"/>
      <c r="K86" s="1019"/>
      <c r="L86" s="1019"/>
      <c r="M86" s="958"/>
      <c r="N86" s="1019"/>
      <c r="O86" s="1019"/>
      <c r="P86" s="958"/>
      <c r="Q86" s="958"/>
      <c r="R86" s="1019"/>
      <c r="S86" s="1019"/>
      <c r="T86" s="958"/>
      <c r="U86" s="1019"/>
      <c r="V86" s="315"/>
      <c r="W86" s="52">
        <f t="shared" si="56"/>
        <v>0</v>
      </c>
      <c r="X86" s="16">
        <f t="shared" si="30"/>
        <v>0</v>
      </c>
      <c r="Y86" s="16">
        <f t="shared" si="31"/>
        <v>0</v>
      </c>
      <c r="Z86" s="16">
        <f t="shared" si="32"/>
        <v>0</v>
      </c>
      <c r="AA86" s="16">
        <f t="shared" si="33"/>
        <v>0</v>
      </c>
      <c r="AB86" s="16">
        <f t="shared" si="34"/>
        <v>0</v>
      </c>
      <c r="AC86" s="16">
        <f t="shared" si="35"/>
        <v>0</v>
      </c>
      <c r="AD86" s="16">
        <f t="shared" si="36"/>
        <v>0</v>
      </c>
      <c r="AE86" s="16">
        <f t="shared" si="37"/>
        <v>0</v>
      </c>
      <c r="AF86" s="16">
        <f t="shared" si="38"/>
        <v>0</v>
      </c>
      <c r="AG86" s="16">
        <f t="shared" si="39"/>
        <v>0</v>
      </c>
      <c r="AH86" s="16">
        <f t="shared" si="40"/>
        <v>0</v>
      </c>
      <c r="AI86" s="16">
        <f t="shared" si="41"/>
        <v>0</v>
      </c>
      <c r="AJ86" s="16">
        <f t="shared" si="42"/>
        <v>0</v>
      </c>
      <c r="AK86" s="16">
        <f t="shared" si="43"/>
        <v>0</v>
      </c>
      <c r="AL86" s="16">
        <f t="shared" si="44"/>
        <v>0</v>
      </c>
      <c r="AM86" s="16">
        <f t="shared" si="45"/>
        <v>0</v>
      </c>
      <c r="AN86" s="16">
        <f t="shared" si="46"/>
        <v>0</v>
      </c>
      <c r="AO86" s="16">
        <f t="shared" si="47"/>
        <v>0</v>
      </c>
      <c r="AP86" s="16">
        <f t="shared" si="48"/>
        <v>0</v>
      </c>
      <c r="AQ86" s="16">
        <f t="shared" si="49"/>
        <v>0</v>
      </c>
      <c r="AR86" s="16">
        <f t="shared" si="50"/>
        <v>0</v>
      </c>
      <c r="AS86" s="16">
        <f t="shared" si="51"/>
        <v>0</v>
      </c>
      <c r="AT86" s="16">
        <f t="shared" si="52"/>
        <v>0</v>
      </c>
      <c r="AU86" s="16">
        <f t="shared" si="53"/>
        <v>0</v>
      </c>
      <c r="AV86" s="16">
        <f t="shared" si="54"/>
        <v>0</v>
      </c>
      <c r="AW86" s="16">
        <f t="shared" si="55"/>
        <v>0</v>
      </c>
    </row>
    <row r="87" spans="1:77" s="12" customFormat="1">
      <c r="A87" s="905"/>
      <c r="B87" s="1000">
        <f>Rezone!J87</f>
        <v>85</v>
      </c>
      <c r="C87" s="203">
        <f>Construction!E87</f>
        <v>1000</v>
      </c>
      <c r="D87" s="153">
        <f>Production!P87</f>
        <v>0</v>
      </c>
      <c r="E87" s="153">
        <f>Production!Q87</f>
        <v>6426</v>
      </c>
      <c r="F87" s="1020"/>
      <c r="G87" s="1021"/>
      <c r="H87" s="804"/>
      <c r="I87" s="804"/>
      <c r="J87" s="804"/>
      <c r="K87" s="1021"/>
      <c r="L87" s="1021"/>
      <c r="M87" s="804"/>
      <c r="N87" s="1021"/>
      <c r="O87" s="1021"/>
      <c r="P87" s="804"/>
      <c r="Q87" s="804"/>
      <c r="R87" s="1021"/>
      <c r="S87" s="1021"/>
      <c r="T87" s="804"/>
      <c r="U87" s="1021"/>
      <c r="V87" s="854"/>
      <c r="W87" s="50">
        <f t="shared" si="56"/>
        <v>0</v>
      </c>
      <c r="X87" s="12">
        <f t="shared" si="30"/>
        <v>0</v>
      </c>
      <c r="Y87" s="12">
        <f t="shared" si="31"/>
        <v>0</v>
      </c>
      <c r="Z87" s="12">
        <f t="shared" si="32"/>
        <v>0</v>
      </c>
      <c r="AA87" s="12">
        <f t="shared" si="33"/>
        <v>0</v>
      </c>
      <c r="AB87" s="12">
        <f t="shared" si="34"/>
        <v>0</v>
      </c>
      <c r="AC87" s="12">
        <f t="shared" si="35"/>
        <v>0</v>
      </c>
      <c r="AD87" s="12">
        <f t="shared" si="36"/>
        <v>0</v>
      </c>
      <c r="AE87" s="12">
        <f t="shared" si="37"/>
        <v>0</v>
      </c>
      <c r="AF87" s="12">
        <f t="shared" si="38"/>
        <v>0</v>
      </c>
      <c r="AG87" s="12">
        <f t="shared" si="39"/>
        <v>0</v>
      </c>
      <c r="AH87" s="12">
        <f t="shared" si="40"/>
        <v>0</v>
      </c>
      <c r="AI87" s="12">
        <f t="shared" si="41"/>
        <v>0</v>
      </c>
      <c r="AJ87" s="12">
        <f t="shared" si="42"/>
        <v>0</v>
      </c>
      <c r="AK87" s="12">
        <f t="shared" si="43"/>
        <v>0</v>
      </c>
      <c r="AL87" s="12">
        <f t="shared" si="44"/>
        <v>0</v>
      </c>
      <c r="AM87" s="12">
        <f t="shared" si="45"/>
        <v>0</v>
      </c>
      <c r="AN87" s="12">
        <f t="shared" si="46"/>
        <v>0</v>
      </c>
      <c r="AO87" s="12">
        <f t="shared" si="47"/>
        <v>0</v>
      </c>
      <c r="AP87" s="12">
        <f t="shared" si="48"/>
        <v>0</v>
      </c>
      <c r="AQ87" s="12">
        <f t="shared" si="49"/>
        <v>0</v>
      </c>
      <c r="AR87" s="12">
        <f t="shared" si="50"/>
        <v>0</v>
      </c>
      <c r="AS87" s="12">
        <f t="shared" si="51"/>
        <v>0</v>
      </c>
      <c r="AT87" s="12">
        <f t="shared" si="52"/>
        <v>0</v>
      </c>
      <c r="AU87" s="12">
        <f t="shared" si="53"/>
        <v>0</v>
      </c>
      <c r="AV87" s="12">
        <f t="shared" si="54"/>
        <v>0</v>
      </c>
      <c r="AW87" s="12">
        <f t="shared" si="55"/>
        <v>0</v>
      </c>
      <c r="AX87" s="286"/>
      <c r="BY87" s="51"/>
    </row>
    <row r="88" spans="1:77">
      <c r="A88" s="904"/>
      <c r="B88" s="998">
        <f>Rezone!J88</f>
        <v>86</v>
      </c>
      <c r="C88" s="160">
        <f>Construction!E88</f>
        <v>1000</v>
      </c>
      <c r="D88" s="164">
        <f>Production!P88</f>
        <v>0</v>
      </c>
      <c r="E88" s="164">
        <f>Production!Q88</f>
        <v>6426</v>
      </c>
      <c r="F88" s="1025"/>
      <c r="G88" s="1019"/>
      <c r="H88" s="958"/>
      <c r="I88" s="1019"/>
      <c r="J88" s="1019"/>
      <c r="K88" s="1019"/>
      <c r="L88" s="1018"/>
      <c r="M88" s="958"/>
      <c r="N88" s="1015"/>
      <c r="O88" s="1019"/>
      <c r="P88" s="958"/>
      <c r="Q88" s="958"/>
      <c r="R88" s="1019"/>
      <c r="S88" s="1019"/>
      <c r="T88" s="958"/>
      <c r="U88" s="1019"/>
      <c r="V88" s="315"/>
      <c r="W88" s="52">
        <f t="shared" si="56"/>
        <v>0</v>
      </c>
      <c r="X88" s="16">
        <f t="shared" si="30"/>
        <v>0</v>
      </c>
      <c r="Y88" s="16">
        <f t="shared" si="31"/>
        <v>0</v>
      </c>
      <c r="Z88" s="16">
        <f t="shared" si="32"/>
        <v>0</v>
      </c>
      <c r="AA88" s="16">
        <f t="shared" si="33"/>
        <v>0</v>
      </c>
      <c r="AB88" s="16">
        <f t="shared" si="34"/>
        <v>0</v>
      </c>
      <c r="AC88" s="16">
        <f t="shared" si="35"/>
        <v>0</v>
      </c>
      <c r="AD88" s="16">
        <f t="shared" si="36"/>
        <v>0</v>
      </c>
      <c r="AE88" s="16">
        <f t="shared" si="37"/>
        <v>0</v>
      </c>
      <c r="AF88" s="16">
        <f t="shared" si="38"/>
        <v>0</v>
      </c>
      <c r="AG88" s="16">
        <f t="shared" si="39"/>
        <v>0</v>
      </c>
      <c r="AH88" s="16">
        <f t="shared" si="40"/>
        <v>0</v>
      </c>
      <c r="AI88" s="16">
        <f t="shared" si="41"/>
        <v>0</v>
      </c>
      <c r="AJ88" s="16">
        <f t="shared" si="42"/>
        <v>0</v>
      </c>
      <c r="AK88" s="16">
        <f t="shared" si="43"/>
        <v>0</v>
      </c>
      <c r="AL88" s="16">
        <f t="shared" si="44"/>
        <v>0</v>
      </c>
      <c r="AM88" s="16">
        <f t="shared" si="45"/>
        <v>0</v>
      </c>
      <c r="AN88" s="16">
        <f t="shared" si="46"/>
        <v>0</v>
      </c>
      <c r="AO88" s="16">
        <f t="shared" si="47"/>
        <v>0</v>
      </c>
      <c r="AP88" s="16">
        <f t="shared" si="48"/>
        <v>0</v>
      </c>
      <c r="AQ88" s="16">
        <f t="shared" si="49"/>
        <v>0</v>
      </c>
      <c r="AR88" s="16">
        <f t="shared" si="50"/>
        <v>0</v>
      </c>
      <c r="AS88" s="16">
        <f t="shared" si="51"/>
        <v>0</v>
      </c>
      <c r="AT88" s="16">
        <f t="shared" si="52"/>
        <v>0</v>
      </c>
      <c r="AU88" s="16">
        <f t="shared" si="53"/>
        <v>0</v>
      </c>
      <c r="AV88" s="16">
        <f t="shared" si="54"/>
        <v>0</v>
      </c>
      <c r="AW88" s="16">
        <f t="shared" si="55"/>
        <v>0</v>
      </c>
    </row>
    <row r="89" spans="1:77">
      <c r="A89" s="904"/>
      <c r="B89" s="998">
        <f>Rezone!J89</f>
        <v>87</v>
      </c>
      <c r="C89" s="160">
        <f>Construction!E89</f>
        <v>1000</v>
      </c>
      <c r="D89" s="164">
        <f>Production!P89</f>
        <v>0</v>
      </c>
      <c r="E89" s="164">
        <f>Production!Q89</f>
        <v>6426</v>
      </c>
      <c r="F89" s="1025"/>
      <c r="G89" s="1018"/>
      <c r="H89" s="958"/>
      <c r="I89" s="1019"/>
      <c r="J89" s="1019"/>
      <c r="K89" s="1016"/>
      <c r="L89" s="1018"/>
      <c r="M89" s="958"/>
      <c r="N89" s="1016"/>
      <c r="O89" s="1018"/>
      <c r="P89" s="1017"/>
      <c r="Q89" s="1017"/>
      <c r="R89" s="1016"/>
      <c r="S89" s="1019"/>
      <c r="T89" s="958"/>
      <c r="U89" s="1019"/>
      <c r="V89" s="315"/>
      <c r="W89" s="52">
        <f t="shared" si="56"/>
        <v>0</v>
      </c>
      <c r="X89" s="16">
        <f t="shared" si="30"/>
        <v>0</v>
      </c>
      <c r="Y89" s="16">
        <f t="shared" si="31"/>
        <v>0</v>
      </c>
      <c r="Z89" s="16">
        <f t="shared" si="32"/>
        <v>0</v>
      </c>
      <c r="AA89" s="16">
        <f t="shared" si="33"/>
        <v>0</v>
      </c>
      <c r="AB89" s="16">
        <f t="shared" si="34"/>
        <v>0</v>
      </c>
      <c r="AC89" s="16">
        <f t="shared" si="35"/>
        <v>0</v>
      </c>
      <c r="AD89" s="16">
        <f t="shared" si="36"/>
        <v>0</v>
      </c>
      <c r="AE89" s="16">
        <f t="shared" si="37"/>
        <v>0</v>
      </c>
      <c r="AF89" s="16">
        <f t="shared" si="38"/>
        <v>0</v>
      </c>
      <c r="AG89" s="16">
        <f t="shared" si="39"/>
        <v>0</v>
      </c>
      <c r="AH89" s="16">
        <f t="shared" si="40"/>
        <v>0</v>
      </c>
      <c r="AI89" s="16">
        <f t="shared" si="41"/>
        <v>0</v>
      </c>
      <c r="AJ89" s="16">
        <f t="shared" si="42"/>
        <v>0</v>
      </c>
      <c r="AK89" s="16">
        <f t="shared" si="43"/>
        <v>0</v>
      </c>
      <c r="AL89" s="16">
        <f t="shared" si="44"/>
        <v>0</v>
      </c>
      <c r="AM89" s="16">
        <f t="shared" si="45"/>
        <v>0</v>
      </c>
      <c r="AN89" s="16">
        <f t="shared" si="46"/>
        <v>0</v>
      </c>
      <c r="AO89" s="16">
        <f t="shared" si="47"/>
        <v>0</v>
      </c>
      <c r="AP89" s="16">
        <f t="shared" si="48"/>
        <v>0</v>
      </c>
      <c r="AQ89" s="16">
        <f t="shared" si="49"/>
        <v>0</v>
      </c>
      <c r="AR89" s="16">
        <f t="shared" si="50"/>
        <v>0</v>
      </c>
      <c r="AS89" s="16">
        <f t="shared" si="51"/>
        <v>0</v>
      </c>
      <c r="AT89" s="16">
        <f t="shared" si="52"/>
        <v>0</v>
      </c>
      <c r="AU89" s="16">
        <f t="shared" si="53"/>
        <v>0</v>
      </c>
      <c r="AV89" s="16">
        <f t="shared" si="54"/>
        <v>0</v>
      </c>
      <c r="AW89" s="16">
        <f t="shared" si="55"/>
        <v>0</v>
      </c>
    </row>
    <row r="90" spans="1:77">
      <c r="A90" s="904"/>
      <c r="B90" s="999">
        <f>Rezone!J90</f>
        <v>88</v>
      </c>
      <c r="C90" s="64">
        <f>Construction!E90</f>
        <v>1000</v>
      </c>
      <c r="D90" s="26">
        <f>Production!P90</f>
        <v>0</v>
      </c>
      <c r="E90" s="26">
        <f>Production!Q90</f>
        <v>6426</v>
      </c>
      <c r="F90" s="1025"/>
      <c r="G90" s="1019"/>
      <c r="H90" s="958"/>
      <c r="I90" s="958"/>
      <c r="J90" s="958"/>
      <c r="K90" s="1019"/>
      <c r="L90" s="1018"/>
      <c r="M90" s="958"/>
      <c r="N90" s="1016"/>
      <c r="O90" s="1019"/>
      <c r="P90" s="958"/>
      <c r="Q90" s="958"/>
      <c r="R90" s="1019"/>
      <c r="S90" s="1019"/>
      <c r="T90" s="958"/>
      <c r="U90" s="1019"/>
      <c r="V90" s="315"/>
      <c r="W90" s="52">
        <f t="shared" si="56"/>
        <v>0</v>
      </c>
      <c r="X90" s="16">
        <f t="shared" si="30"/>
        <v>0</v>
      </c>
      <c r="Y90" s="16">
        <f t="shared" si="31"/>
        <v>0</v>
      </c>
      <c r="Z90" s="16">
        <f t="shared" si="32"/>
        <v>0</v>
      </c>
      <c r="AA90" s="16">
        <f t="shared" si="33"/>
        <v>0</v>
      </c>
      <c r="AB90" s="16">
        <f t="shared" si="34"/>
        <v>0</v>
      </c>
      <c r="AC90" s="16">
        <f t="shared" si="35"/>
        <v>0</v>
      </c>
      <c r="AD90" s="16">
        <f t="shared" si="36"/>
        <v>0</v>
      </c>
      <c r="AE90" s="16">
        <f t="shared" si="37"/>
        <v>0</v>
      </c>
      <c r="AF90" s="16">
        <f t="shared" si="38"/>
        <v>0</v>
      </c>
      <c r="AG90" s="16">
        <f t="shared" si="39"/>
        <v>0</v>
      </c>
      <c r="AH90" s="16">
        <f t="shared" si="40"/>
        <v>0</v>
      </c>
      <c r="AI90" s="16">
        <f t="shared" si="41"/>
        <v>0</v>
      </c>
      <c r="AJ90" s="16">
        <f t="shared" si="42"/>
        <v>0</v>
      </c>
      <c r="AK90" s="16">
        <f t="shared" si="43"/>
        <v>0</v>
      </c>
      <c r="AL90" s="16">
        <f t="shared" si="44"/>
        <v>0</v>
      </c>
      <c r="AM90" s="16">
        <f t="shared" si="45"/>
        <v>0</v>
      </c>
      <c r="AN90" s="16">
        <f t="shared" si="46"/>
        <v>0</v>
      </c>
      <c r="AO90" s="16">
        <f t="shared" si="47"/>
        <v>0</v>
      </c>
      <c r="AP90" s="16">
        <f t="shared" si="48"/>
        <v>0</v>
      </c>
      <c r="AQ90" s="16">
        <f t="shared" si="49"/>
        <v>0</v>
      </c>
      <c r="AR90" s="16">
        <f t="shared" si="50"/>
        <v>0</v>
      </c>
      <c r="AS90" s="16">
        <f t="shared" si="51"/>
        <v>0</v>
      </c>
      <c r="AT90" s="16">
        <f t="shared" si="52"/>
        <v>0</v>
      </c>
      <c r="AU90" s="16">
        <f t="shared" si="53"/>
        <v>0</v>
      </c>
      <c r="AV90" s="16">
        <f t="shared" si="54"/>
        <v>0</v>
      </c>
      <c r="AW90" s="16">
        <f t="shared" si="55"/>
        <v>0</v>
      </c>
    </row>
    <row r="91" spans="1:77">
      <c r="A91" s="904"/>
      <c r="B91" s="999">
        <f>Rezone!J91</f>
        <v>89</v>
      </c>
      <c r="C91" s="64">
        <f>Construction!E91</f>
        <v>1000</v>
      </c>
      <c r="D91" s="26">
        <f>Production!P91</f>
        <v>0</v>
      </c>
      <c r="E91" s="26">
        <f>Production!Q91</f>
        <v>6426</v>
      </c>
      <c r="F91" s="882"/>
      <c r="G91" s="958"/>
      <c r="H91" s="958"/>
      <c r="I91" s="958"/>
      <c r="J91" s="958"/>
      <c r="K91" s="1019"/>
      <c r="L91" s="1019"/>
      <c r="M91" s="958"/>
      <c r="N91" s="1019"/>
      <c r="O91" s="1019"/>
      <c r="P91" s="958"/>
      <c r="Q91" s="958"/>
      <c r="R91" s="1019"/>
      <c r="S91" s="1019"/>
      <c r="T91" s="958"/>
      <c r="U91" s="1019"/>
      <c r="V91" s="315"/>
      <c r="W91" s="52">
        <f t="shared" si="56"/>
        <v>0</v>
      </c>
      <c r="X91" s="16">
        <f t="shared" si="30"/>
        <v>0</v>
      </c>
      <c r="Y91" s="16">
        <f t="shared" si="31"/>
        <v>0</v>
      </c>
      <c r="Z91" s="16">
        <f t="shared" si="32"/>
        <v>0</v>
      </c>
      <c r="AA91" s="16">
        <f t="shared" si="33"/>
        <v>0</v>
      </c>
      <c r="AB91" s="16">
        <f t="shared" si="34"/>
        <v>0</v>
      </c>
      <c r="AC91" s="16">
        <f t="shared" si="35"/>
        <v>0</v>
      </c>
      <c r="AD91" s="16">
        <f t="shared" si="36"/>
        <v>0</v>
      </c>
      <c r="AE91" s="16">
        <f t="shared" si="37"/>
        <v>0</v>
      </c>
      <c r="AF91" s="16">
        <f t="shared" si="38"/>
        <v>0</v>
      </c>
      <c r="AG91" s="16">
        <f t="shared" si="39"/>
        <v>0</v>
      </c>
      <c r="AH91" s="16">
        <f t="shared" si="40"/>
        <v>0</v>
      </c>
      <c r="AI91" s="16">
        <f t="shared" si="41"/>
        <v>0</v>
      </c>
      <c r="AJ91" s="16">
        <f t="shared" si="42"/>
        <v>0</v>
      </c>
      <c r="AK91" s="16">
        <f t="shared" si="43"/>
        <v>0</v>
      </c>
      <c r="AL91" s="16">
        <f t="shared" si="44"/>
        <v>0</v>
      </c>
      <c r="AM91" s="16">
        <f t="shared" si="45"/>
        <v>0</v>
      </c>
      <c r="AN91" s="16">
        <f t="shared" si="46"/>
        <v>0</v>
      </c>
      <c r="AO91" s="16">
        <f t="shared" si="47"/>
        <v>0</v>
      </c>
      <c r="AP91" s="16">
        <f t="shared" si="48"/>
        <v>0</v>
      </c>
      <c r="AQ91" s="16">
        <f t="shared" si="49"/>
        <v>0</v>
      </c>
      <c r="AR91" s="16">
        <f t="shared" si="50"/>
        <v>0</v>
      </c>
      <c r="AS91" s="16">
        <f t="shared" si="51"/>
        <v>0</v>
      </c>
      <c r="AT91" s="16">
        <f t="shared" si="52"/>
        <v>0</v>
      </c>
      <c r="AU91" s="16">
        <f t="shared" si="53"/>
        <v>0</v>
      </c>
      <c r="AV91" s="16">
        <f t="shared" si="54"/>
        <v>0</v>
      </c>
      <c r="AW91" s="16">
        <f t="shared" si="55"/>
        <v>0</v>
      </c>
    </row>
    <row r="92" spans="1:77">
      <c r="A92" s="904"/>
      <c r="B92" s="999">
        <f>Rezone!J92</f>
        <v>90</v>
      </c>
      <c r="C92" s="64">
        <f>Construction!E92</f>
        <v>1000</v>
      </c>
      <c r="D92" s="26">
        <f>Production!P92</f>
        <v>0</v>
      </c>
      <c r="E92" s="26">
        <f>Production!Q92</f>
        <v>6426</v>
      </c>
      <c r="F92" s="1022"/>
      <c r="G92" s="1017"/>
      <c r="H92" s="1019"/>
      <c r="I92" s="958"/>
      <c r="J92" s="958"/>
      <c r="K92" s="1019"/>
      <c r="L92" s="1019"/>
      <c r="M92" s="958"/>
      <c r="N92" s="1019"/>
      <c r="O92" s="1019"/>
      <c r="P92" s="1015"/>
      <c r="Q92" s="958"/>
      <c r="R92" s="1019"/>
      <c r="S92" s="1019"/>
      <c r="T92" s="958"/>
      <c r="U92" s="1019"/>
      <c r="V92" s="315"/>
      <c r="W92" s="52">
        <f t="shared" si="56"/>
        <v>0</v>
      </c>
      <c r="X92" s="16">
        <f t="shared" si="30"/>
        <v>0</v>
      </c>
      <c r="Y92" s="16">
        <f t="shared" si="31"/>
        <v>0</v>
      </c>
      <c r="Z92" s="16">
        <f t="shared" si="32"/>
        <v>0</v>
      </c>
      <c r="AA92" s="16">
        <f t="shared" si="33"/>
        <v>0</v>
      </c>
      <c r="AB92" s="16">
        <f t="shared" si="34"/>
        <v>0</v>
      </c>
      <c r="AC92" s="16">
        <f t="shared" si="35"/>
        <v>0</v>
      </c>
      <c r="AD92" s="16">
        <f t="shared" si="36"/>
        <v>0</v>
      </c>
      <c r="AE92" s="16">
        <f t="shared" si="37"/>
        <v>0</v>
      </c>
      <c r="AF92" s="16">
        <f t="shared" si="38"/>
        <v>0</v>
      </c>
      <c r="AG92" s="16">
        <f t="shared" si="39"/>
        <v>0</v>
      </c>
      <c r="AH92" s="16">
        <f t="shared" si="40"/>
        <v>0</v>
      </c>
      <c r="AI92" s="16">
        <f t="shared" si="41"/>
        <v>0</v>
      </c>
      <c r="AJ92" s="16">
        <f t="shared" si="42"/>
        <v>0</v>
      </c>
      <c r="AK92" s="16">
        <f t="shared" si="43"/>
        <v>0</v>
      </c>
      <c r="AL92" s="16">
        <f t="shared" si="44"/>
        <v>0</v>
      </c>
      <c r="AM92" s="16">
        <f t="shared" si="45"/>
        <v>0</v>
      </c>
      <c r="AN92" s="16">
        <f t="shared" si="46"/>
        <v>0</v>
      </c>
      <c r="AO92" s="16">
        <f t="shared" si="47"/>
        <v>0</v>
      </c>
      <c r="AP92" s="16">
        <f t="shared" si="48"/>
        <v>0</v>
      </c>
      <c r="AQ92" s="16">
        <f t="shared" si="49"/>
        <v>0</v>
      </c>
      <c r="AR92" s="16">
        <f t="shared" si="50"/>
        <v>0</v>
      </c>
      <c r="AS92" s="16">
        <f t="shared" si="51"/>
        <v>0</v>
      </c>
      <c r="AT92" s="16">
        <f t="shared" si="52"/>
        <v>0</v>
      </c>
      <c r="AU92" s="16">
        <f t="shared" si="53"/>
        <v>0</v>
      </c>
      <c r="AV92" s="16">
        <f t="shared" si="54"/>
        <v>0</v>
      </c>
      <c r="AW92" s="16">
        <f t="shared" si="55"/>
        <v>0</v>
      </c>
    </row>
    <row r="93" spans="1:77">
      <c r="A93" s="904"/>
      <c r="B93" s="999">
        <f>Rezone!J93</f>
        <v>91</v>
      </c>
      <c r="C93" s="64">
        <f>Construction!E93</f>
        <v>1000</v>
      </c>
      <c r="D93" s="26">
        <f>Production!P93</f>
        <v>0</v>
      </c>
      <c r="E93" s="26">
        <f>Production!Q93</f>
        <v>6426</v>
      </c>
      <c r="F93" s="1026"/>
      <c r="G93" s="958"/>
      <c r="H93" s="1019"/>
      <c r="I93" s="1016"/>
      <c r="J93" s="958"/>
      <c r="K93" s="1019"/>
      <c r="L93" s="1018"/>
      <c r="M93" s="1017"/>
      <c r="N93" s="1016"/>
      <c r="O93" s="1019"/>
      <c r="P93" s="1015"/>
      <c r="Q93" s="958"/>
      <c r="R93" s="1019"/>
      <c r="S93" s="1019"/>
      <c r="T93" s="1016"/>
      <c r="U93" s="1019"/>
      <c r="V93" s="315"/>
      <c r="W93" s="52">
        <f t="shared" si="56"/>
        <v>0</v>
      </c>
      <c r="X93" s="16">
        <f t="shared" si="30"/>
        <v>0</v>
      </c>
      <c r="Y93" s="16">
        <f t="shared" si="31"/>
        <v>0</v>
      </c>
      <c r="Z93" s="16">
        <f t="shared" si="32"/>
        <v>0</v>
      </c>
      <c r="AA93" s="16">
        <f t="shared" si="33"/>
        <v>0</v>
      </c>
      <c r="AB93" s="16">
        <f t="shared" si="34"/>
        <v>0</v>
      </c>
      <c r="AC93" s="16">
        <f t="shared" si="35"/>
        <v>0</v>
      </c>
      <c r="AD93" s="16">
        <f t="shared" si="36"/>
        <v>0</v>
      </c>
      <c r="AE93" s="16">
        <f t="shared" si="37"/>
        <v>0</v>
      </c>
      <c r="AF93" s="16">
        <f t="shared" si="38"/>
        <v>0</v>
      </c>
      <c r="AG93" s="16">
        <f t="shared" si="39"/>
        <v>0</v>
      </c>
      <c r="AH93" s="16">
        <f t="shared" si="40"/>
        <v>0</v>
      </c>
      <c r="AI93" s="16">
        <f t="shared" si="41"/>
        <v>0</v>
      </c>
      <c r="AJ93" s="16">
        <f t="shared" si="42"/>
        <v>0</v>
      </c>
      <c r="AK93" s="16">
        <f t="shared" si="43"/>
        <v>0</v>
      </c>
      <c r="AL93" s="16">
        <f t="shared" si="44"/>
        <v>0</v>
      </c>
      <c r="AM93" s="16">
        <f t="shared" si="45"/>
        <v>0</v>
      </c>
      <c r="AN93" s="16">
        <f t="shared" si="46"/>
        <v>0</v>
      </c>
      <c r="AO93" s="16">
        <f t="shared" si="47"/>
        <v>0</v>
      </c>
      <c r="AP93" s="16">
        <f t="shared" si="48"/>
        <v>0</v>
      </c>
      <c r="AQ93" s="16">
        <f t="shared" si="49"/>
        <v>0</v>
      </c>
      <c r="AR93" s="16">
        <f t="shared" si="50"/>
        <v>0</v>
      </c>
      <c r="AS93" s="16">
        <f t="shared" si="51"/>
        <v>0</v>
      </c>
      <c r="AT93" s="16">
        <f t="shared" si="52"/>
        <v>0</v>
      </c>
      <c r="AU93" s="16">
        <f t="shared" si="53"/>
        <v>0</v>
      </c>
      <c r="AV93" s="16">
        <f t="shared" si="54"/>
        <v>0</v>
      </c>
      <c r="AW93" s="16">
        <f t="shared" si="55"/>
        <v>0</v>
      </c>
    </row>
    <row r="94" spans="1:77">
      <c r="A94" s="904"/>
      <c r="B94" s="999">
        <f>Rezone!J94</f>
        <v>92</v>
      </c>
      <c r="C94" s="64">
        <f>Construction!E94</f>
        <v>1000</v>
      </c>
      <c r="D94" s="26">
        <f>Production!P94</f>
        <v>0</v>
      </c>
      <c r="E94" s="26">
        <f>Production!Q94</f>
        <v>6426</v>
      </c>
      <c r="F94" s="1026"/>
      <c r="G94" s="1017"/>
      <c r="H94" s="1019"/>
      <c r="I94" s="1016"/>
      <c r="J94" s="958"/>
      <c r="K94" s="1019"/>
      <c r="L94" s="1019"/>
      <c r="M94" s="958"/>
      <c r="N94" s="1019"/>
      <c r="O94" s="1019"/>
      <c r="P94" s="1015"/>
      <c r="Q94" s="1017"/>
      <c r="R94" s="1019"/>
      <c r="S94" s="1019"/>
      <c r="T94" s="1016"/>
      <c r="U94" s="1019"/>
      <c r="V94" s="315"/>
      <c r="W94" s="52">
        <f t="shared" si="56"/>
        <v>0</v>
      </c>
      <c r="X94" s="16">
        <f t="shared" si="30"/>
        <v>0</v>
      </c>
      <c r="Y94" s="16">
        <f t="shared" si="31"/>
        <v>0</v>
      </c>
      <c r="Z94" s="16">
        <f t="shared" si="32"/>
        <v>0</v>
      </c>
      <c r="AA94" s="16">
        <f t="shared" si="33"/>
        <v>0</v>
      </c>
      <c r="AB94" s="16">
        <f t="shared" si="34"/>
        <v>0</v>
      </c>
      <c r="AC94" s="16">
        <f t="shared" si="35"/>
        <v>0</v>
      </c>
      <c r="AD94" s="16">
        <f t="shared" si="36"/>
        <v>0</v>
      </c>
      <c r="AE94" s="16">
        <f t="shared" si="37"/>
        <v>0</v>
      </c>
      <c r="AF94" s="16">
        <f t="shared" si="38"/>
        <v>0</v>
      </c>
      <c r="AG94" s="16">
        <f t="shared" si="39"/>
        <v>0</v>
      </c>
      <c r="AH94" s="16">
        <f t="shared" si="40"/>
        <v>0</v>
      </c>
      <c r="AI94" s="16">
        <f t="shared" si="41"/>
        <v>0</v>
      </c>
      <c r="AJ94" s="16">
        <f t="shared" si="42"/>
        <v>0</v>
      </c>
      <c r="AK94" s="16">
        <f t="shared" si="43"/>
        <v>0</v>
      </c>
      <c r="AL94" s="16">
        <f t="shared" si="44"/>
        <v>0</v>
      </c>
      <c r="AM94" s="16">
        <f t="shared" si="45"/>
        <v>0</v>
      </c>
      <c r="AN94" s="16">
        <f t="shared" si="46"/>
        <v>0</v>
      </c>
      <c r="AO94" s="16">
        <f t="shared" si="47"/>
        <v>0</v>
      </c>
      <c r="AP94" s="16">
        <f t="shared" si="48"/>
        <v>0</v>
      </c>
      <c r="AQ94" s="16">
        <f t="shared" si="49"/>
        <v>0</v>
      </c>
      <c r="AR94" s="16">
        <f t="shared" si="50"/>
        <v>0</v>
      </c>
      <c r="AS94" s="16">
        <f t="shared" si="51"/>
        <v>0</v>
      </c>
      <c r="AT94" s="16">
        <f t="shared" si="52"/>
        <v>0</v>
      </c>
      <c r="AU94" s="16">
        <f t="shared" si="53"/>
        <v>0</v>
      </c>
      <c r="AV94" s="16">
        <f t="shared" si="54"/>
        <v>0</v>
      </c>
      <c r="AW94" s="16">
        <f t="shared" si="55"/>
        <v>0</v>
      </c>
    </row>
    <row r="95" spans="1:77">
      <c r="A95" s="904"/>
      <c r="B95" s="999">
        <f>Rezone!J95</f>
        <v>93</v>
      </c>
      <c r="C95" s="64">
        <f>Construction!E95</f>
        <v>1000</v>
      </c>
      <c r="D95" s="26">
        <f>Production!P95</f>
        <v>0</v>
      </c>
      <c r="E95" s="26">
        <f>Production!Q95</f>
        <v>6426</v>
      </c>
      <c r="F95" s="1027"/>
      <c r="G95" s="107"/>
      <c r="H95" s="958"/>
      <c r="I95" s="958"/>
      <c r="J95" s="958"/>
      <c r="K95" s="107"/>
      <c r="L95" s="107"/>
      <c r="M95" s="958"/>
      <c r="N95" s="107"/>
      <c r="O95" s="107"/>
      <c r="P95" s="958"/>
      <c r="Q95" s="958"/>
      <c r="R95" s="107"/>
      <c r="S95" s="107"/>
      <c r="T95" s="958"/>
      <c r="U95" s="107"/>
      <c r="W95" s="52">
        <f t="shared" si="56"/>
        <v>0</v>
      </c>
      <c r="X95" s="16">
        <f t="shared" si="30"/>
        <v>0</v>
      </c>
      <c r="Y95" s="16">
        <f t="shared" si="31"/>
        <v>0</v>
      </c>
      <c r="Z95" s="16">
        <f t="shared" si="32"/>
        <v>0</v>
      </c>
      <c r="AA95" s="16">
        <f t="shared" si="33"/>
        <v>0</v>
      </c>
      <c r="AB95" s="16">
        <f t="shared" si="34"/>
        <v>0</v>
      </c>
      <c r="AC95" s="16">
        <f t="shared" si="35"/>
        <v>0</v>
      </c>
      <c r="AD95" s="16">
        <f t="shared" si="36"/>
        <v>0</v>
      </c>
      <c r="AE95" s="16">
        <f t="shared" si="37"/>
        <v>0</v>
      </c>
      <c r="AF95" s="16">
        <f t="shared" si="38"/>
        <v>0</v>
      </c>
      <c r="AG95" s="16">
        <f t="shared" si="39"/>
        <v>0</v>
      </c>
      <c r="AH95" s="16">
        <f t="shared" si="40"/>
        <v>0</v>
      </c>
      <c r="AI95" s="16">
        <f t="shared" si="41"/>
        <v>0</v>
      </c>
      <c r="AJ95" s="16">
        <f t="shared" si="42"/>
        <v>0</v>
      </c>
      <c r="AK95" s="16">
        <f t="shared" si="43"/>
        <v>0</v>
      </c>
      <c r="AL95" s="16">
        <f t="shared" si="44"/>
        <v>0</v>
      </c>
      <c r="AM95" s="16">
        <f t="shared" si="45"/>
        <v>0</v>
      </c>
      <c r="AN95" s="16">
        <f t="shared" si="46"/>
        <v>0</v>
      </c>
      <c r="AO95" s="16">
        <f t="shared" si="47"/>
        <v>0</v>
      </c>
      <c r="AP95" s="16">
        <f t="shared" si="48"/>
        <v>0</v>
      </c>
      <c r="AQ95" s="16">
        <f t="shared" si="49"/>
        <v>0</v>
      </c>
      <c r="AR95" s="16">
        <f t="shared" si="50"/>
        <v>0</v>
      </c>
      <c r="AS95" s="16">
        <f t="shared" si="51"/>
        <v>0</v>
      </c>
      <c r="AT95" s="16">
        <f t="shared" si="52"/>
        <v>0</v>
      </c>
      <c r="AU95" s="16">
        <f t="shared" si="53"/>
        <v>0</v>
      </c>
      <c r="AV95" s="16">
        <f t="shared" si="54"/>
        <v>0</v>
      </c>
      <c r="AW95" s="16">
        <f t="shared" si="55"/>
        <v>0</v>
      </c>
    </row>
    <row r="96" spans="1:77">
      <c r="A96" s="904"/>
      <c r="B96" s="999">
        <f>Rezone!J96</f>
        <v>94</v>
      </c>
      <c r="C96" s="64">
        <f>Construction!E96</f>
        <v>1000</v>
      </c>
      <c r="D96" s="26">
        <f>Production!P96</f>
        <v>0</v>
      </c>
      <c r="E96" s="57">
        <f>Production!Q96</f>
        <v>6426</v>
      </c>
      <c r="W96" s="52">
        <f t="shared" si="56"/>
        <v>0</v>
      </c>
      <c r="X96" s="16">
        <f t="shared" si="30"/>
        <v>0</v>
      </c>
      <c r="Y96" s="16">
        <f t="shared" si="31"/>
        <v>0</v>
      </c>
      <c r="Z96" s="16">
        <f t="shared" si="32"/>
        <v>0</v>
      </c>
      <c r="AA96" s="16">
        <f t="shared" si="33"/>
        <v>0</v>
      </c>
      <c r="AB96" s="16">
        <f t="shared" si="34"/>
        <v>0</v>
      </c>
      <c r="AC96" s="16">
        <f t="shared" si="35"/>
        <v>0</v>
      </c>
      <c r="AD96" s="16">
        <f t="shared" si="36"/>
        <v>0</v>
      </c>
      <c r="AE96" s="16">
        <f t="shared" si="37"/>
        <v>0</v>
      </c>
      <c r="AF96" s="16">
        <f t="shared" si="38"/>
        <v>0</v>
      </c>
      <c r="AG96" s="16">
        <f t="shared" si="39"/>
        <v>0</v>
      </c>
      <c r="AH96" s="16">
        <f t="shared" si="40"/>
        <v>0</v>
      </c>
      <c r="AI96" s="16">
        <f t="shared" si="41"/>
        <v>0</v>
      </c>
      <c r="AJ96" s="16">
        <f t="shared" si="42"/>
        <v>0</v>
      </c>
      <c r="AK96" s="16">
        <f t="shared" si="43"/>
        <v>0</v>
      </c>
      <c r="AL96" s="16">
        <f t="shared" si="44"/>
        <v>0</v>
      </c>
      <c r="AM96" s="16">
        <f t="shared" si="45"/>
        <v>0</v>
      </c>
      <c r="AN96" s="16">
        <f t="shared" si="46"/>
        <v>0</v>
      </c>
      <c r="AO96" s="16">
        <f t="shared" si="47"/>
        <v>0</v>
      </c>
      <c r="AP96" s="16">
        <f t="shared" si="48"/>
        <v>0</v>
      </c>
      <c r="AQ96" s="16">
        <f t="shared" si="49"/>
        <v>0</v>
      </c>
      <c r="AR96" s="16">
        <f t="shared" si="50"/>
        <v>0</v>
      </c>
      <c r="AS96" s="16">
        <f t="shared" si="51"/>
        <v>0</v>
      </c>
      <c r="AT96" s="16">
        <f t="shared" si="52"/>
        <v>0</v>
      </c>
      <c r="AU96" s="16">
        <f t="shared" si="53"/>
        <v>0</v>
      </c>
      <c r="AV96" s="16">
        <f t="shared" si="54"/>
        <v>0</v>
      </c>
      <c r="AW96" s="16">
        <f t="shared" si="55"/>
        <v>0</v>
      </c>
    </row>
    <row r="97" spans="1:77">
      <c r="A97" s="904"/>
      <c r="B97" s="999">
        <f>Rezone!J97</f>
        <v>95</v>
      </c>
      <c r="C97" s="64">
        <f>Construction!E97</f>
        <v>1000</v>
      </c>
      <c r="D97" s="26">
        <f>Production!P97</f>
        <v>0</v>
      </c>
      <c r="E97" s="57">
        <f>Production!Q97</f>
        <v>6426</v>
      </c>
      <c r="W97" s="52">
        <f t="shared" si="56"/>
        <v>0</v>
      </c>
      <c r="X97" s="16">
        <f t="shared" si="30"/>
        <v>0</v>
      </c>
      <c r="Y97" s="16">
        <f t="shared" si="31"/>
        <v>0</v>
      </c>
      <c r="Z97" s="16">
        <f t="shared" si="32"/>
        <v>0</v>
      </c>
      <c r="AA97" s="16">
        <f t="shared" si="33"/>
        <v>0</v>
      </c>
      <c r="AB97" s="16">
        <f t="shared" si="34"/>
        <v>0</v>
      </c>
      <c r="AC97" s="16">
        <f t="shared" si="35"/>
        <v>0</v>
      </c>
      <c r="AD97" s="16">
        <f t="shared" si="36"/>
        <v>0</v>
      </c>
      <c r="AE97" s="16">
        <f t="shared" si="37"/>
        <v>0</v>
      </c>
      <c r="AF97" s="16">
        <f t="shared" si="38"/>
        <v>0</v>
      </c>
      <c r="AG97" s="16">
        <f t="shared" si="39"/>
        <v>0</v>
      </c>
      <c r="AH97" s="16">
        <f t="shared" si="40"/>
        <v>0</v>
      </c>
      <c r="AI97" s="16">
        <f t="shared" si="41"/>
        <v>0</v>
      </c>
      <c r="AJ97" s="16">
        <f t="shared" si="42"/>
        <v>0</v>
      </c>
      <c r="AK97" s="16">
        <f t="shared" si="43"/>
        <v>0</v>
      </c>
      <c r="AL97" s="16">
        <f t="shared" si="44"/>
        <v>0</v>
      </c>
      <c r="AM97" s="16">
        <f t="shared" si="45"/>
        <v>0</v>
      </c>
      <c r="AN97" s="16">
        <f t="shared" si="46"/>
        <v>0</v>
      </c>
      <c r="AO97" s="16">
        <f t="shared" si="47"/>
        <v>0</v>
      </c>
      <c r="AP97" s="16">
        <f t="shared" si="48"/>
        <v>0</v>
      </c>
      <c r="AQ97" s="16">
        <f t="shared" si="49"/>
        <v>0</v>
      </c>
      <c r="AR97" s="16">
        <f t="shared" si="50"/>
        <v>0</v>
      </c>
      <c r="AS97" s="16">
        <f t="shared" si="51"/>
        <v>0</v>
      </c>
      <c r="AT97" s="16">
        <f t="shared" si="52"/>
        <v>0</v>
      </c>
      <c r="AU97" s="16">
        <f t="shared" si="53"/>
        <v>0</v>
      </c>
      <c r="AV97" s="16">
        <f t="shared" si="54"/>
        <v>0</v>
      </c>
      <c r="AW97" s="16">
        <f t="shared" si="55"/>
        <v>0</v>
      </c>
    </row>
    <row r="98" spans="1:77" ht="13.5" thickBot="1">
      <c r="A98" s="904"/>
      <c r="B98" s="998">
        <f>Rezone!J98</f>
        <v>96</v>
      </c>
      <c r="C98" s="160">
        <f>Construction!E98</f>
        <v>1000</v>
      </c>
      <c r="D98" s="164">
        <f>Production!P98</f>
        <v>0</v>
      </c>
      <c r="E98" s="166">
        <f>Production!Q98</f>
        <v>6426</v>
      </c>
      <c r="W98" s="52">
        <f t="shared" si="56"/>
        <v>0</v>
      </c>
      <c r="X98" s="16">
        <f t="shared" si="30"/>
        <v>0</v>
      </c>
      <c r="Y98" s="16">
        <f t="shared" si="31"/>
        <v>0</v>
      </c>
      <c r="Z98" s="16">
        <f t="shared" si="32"/>
        <v>0</v>
      </c>
      <c r="AA98" s="16">
        <f t="shared" si="33"/>
        <v>0</v>
      </c>
      <c r="AB98" s="16">
        <f t="shared" si="34"/>
        <v>0</v>
      </c>
      <c r="AC98" s="16">
        <f t="shared" si="35"/>
        <v>0</v>
      </c>
      <c r="AD98" s="16">
        <f t="shared" si="36"/>
        <v>0</v>
      </c>
      <c r="AE98" s="16">
        <f t="shared" si="37"/>
        <v>0</v>
      </c>
      <c r="AF98" s="16">
        <f t="shared" si="38"/>
        <v>0</v>
      </c>
      <c r="AG98" s="16">
        <f t="shared" si="39"/>
        <v>0</v>
      </c>
      <c r="AH98" s="16">
        <f t="shared" si="40"/>
        <v>0</v>
      </c>
      <c r="AI98" s="16">
        <f t="shared" si="41"/>
        <v>0</v>
      </c>
      <c r="AJ98" s="16">
        <f t="shared" si="42"/>
        <v>0</v>
      </c>
      <c r="AK98" s="16">
        <f t="shared" si="43"/>
        <v>0</v>
      </c>
      <c r="AL98" s="16">
        <f t="shared" si="44"/>
        <v>0</v>
      </c>
      <c r="AM98" s="16">
        <f t="shared" si="45"/>
        <v>0</v>
      </c>
      <c r="AN98" s="16">
        <f t="shared" si="46"/>
        <v>0</v>
      </c>
      <c r="AO98" s="16">
        <f t="shared" si="47"/>
        <v>0</v>
      </c>
      <c r="AP98" s="16">
        <f t="shared" si="48"/>
        <v>0</v>
      </c>
      <c r="AQ98" s="16">
        <f t="shared" si="49"/>
        <v>0</v>
      </c>
      <c r="AR98" s="16">
        <f t="shared" si="50"/>
        <v>0</v>
      </c>
      <c r="AS98" s="16">
        <f t="shared" si="51"/>
        <v>0</v>
      </c>
      <c r="AT98" s="16">
        <f t="shared" si="52"/>
        <v>0</v>
      </c>
      <c r="AU98" s="16">
        <f t="shared" si="53"/>
        <v>0</v>
      </c>
      <c r="AV98" s="16">
        <f t="shared" si="54"/>
        <v>0</v>
      </c>
      <c r="AW98" s="16">
        <f t="shared" si="55"/>
        <v>0</v>
      </c>
    </row>
    <row r="99" spans="1:77" s="936" customFormat="1" ht="13.5" thickBot="1">
      <c r="A99" s="906"/>
      <c r="B99" s="1001">
        <f>Rezone!J99</f>
        <v>97</v>
      </c>
      <c r="C99" s="181">
        <f>Construction!E99</f>
        <v>1000</v>
      </c>
      <c r="D99" s="174">
        <f>Production!P99</f>
        <v>0</v>
      </c>
      <c r="E99" s="179">
        <f>Production!Q99</f>
        <v>6426</v>
      </c>
      <c r="F99" s="937"/>
      <c r="W99" s="937">
        <f t="shared" si="56"/>
        <v>0</v>
      </c>
      <c r="X99" s="936">
        <f t="shared" si="30"/>
        <v>0</v>
      </c>
      <c r="Y99" s="936">
        <f t="shared" si="31"/>
        <v>0</v>
      </c>
      <c r="Z99" s="936">
        <f t="shared" si="32"/>
        <v>0</v>
      </c>
      <c r="AA99" s="936">
        <f t="shared" si="33"/>
        <v>0</v>
      </c>
      <c r="AB99" s="936">
        <f t="shared" si="34"/>
        <v>0</v>
      </c>
      <c r="AC99" s="936">
        <f t="shared" si="35"/>
        <v>0</v>
      </c>
      <c r="AD99" s="936">
        <f t="shared" si="36"/>
        <v>0</v>
      </c>
      <c r="AE99" s="936">
        <f t="shared" si="37"/>
        <v>0</v>
      </c>
      <c r="AF99" s="936">
        <f t="shared" si="38"/>
        <v>0</v>
      </c>
      <c r="AG99" s="936">
        <f t="shared" si="39"/>
        <v>0</v>
      </c>
      <c r="AH99" s="936">
        <f t="shared" si="40"/>
        <v>0</v>
      </c>
      <c r="AI99" s="936">
        <f t="shared" si="41"/>
        <v>0</v>
      </c>
      <c r="AJ99" s="936">
        <f t="shared" si="42"/>
        <v>0</v>
      </c>
      <c r="AK99" s="936">
        <f t="shared" si="43"/>
        <v>0</v>
      </c>
      <c r="AL99" s="936">
        <f t="shared" si="44"/>
        <v>0</v>
      </c>
      <c r="AM99" s="936">
        <f t="shared" si="45"/>
        <v>0</v>
      </c>
      <c r="AN99" s="936">
        <f t="shared" si="46"/>
        <v>0</v>
      </c>
      <c r="AO99" s="936">
        <f t="shared" si="47"/>
        <v>0</v>
      </c>
      <c r="AP99" s="936">
        <f t="shared" si="48"/>
        <v>0</v>
      </c>
      <c r="AQ99" s="936">
        <f t="shared" si="49"/>
        <v>0</v>
      </c>
      <c r="AR99" s="936">
        <f t="shared" si="50"/>
        <v>0</v>
      </c>
      <c r="AS99" s="936">
        <f t="shared" si="51"/>
        <v>0</v>
      </c>
      <c r="AT99" s="936">
        <f t="shared" si="52"/>
        <v>0</v>
      </c>
      <c r="AU99" s="936">
        <f t="shared" si="53"/>
        <v>0</v>
      </c>
      <c r="AV99" s="936">
        <f t="shared" si="54"/>
        <v>0</v>
      </c>
      <c r="AW99" s="936">
        <f t="shared" si="55"/>
        <v>0</v>
      </c>
      <c r="AX99" s="950"/>
      <c r="BY99" s="938"/>
    </row>
    <row r="100" spans="1:77">
      <c r="A100" s="904"/>
      <c r="B100" s="998">
        <f>Rezone!J100</f>
        <v>98</v>
      </c>
      <c r="C100" s="160">
        <f>Construction!E100</f>
        <v>1000</v>
      </c>
      <c r="D100" s="164">
        <f>Production!P100</f>
        <v>0</v>
      </c>
      <c r="E100" s="166">
        <f>Production!Q100</f>
        <v>6426</v>
      </c>
      <c r="W100" s="52">
        <f t="shared" si="56"/>
        <v>0</v>
      </c>
      <c r="X100" s="16">
        <f t="shared" si="30"/>
        <v>0</v>
      </c>
      <c r="Y100" s="16">
        <f t="shared" si="31"/>
        <v>0</v>
      </c>
      <c r="Z100" s="16">
        <f t="shared" si="32"/>
        <v>0</v>
      </c>
      <c r="AA100" s="16">
        <f t="shared" si="33"/>
        <v>0</v>
      </c>
      <c r="AB100" s="16">
        <f t="shared" si="34"/>
        <v>0</v>
      </c>
      <c r="AC100" s="16">
        <f t="shared" si="35"/>
        <v>0</v>
      </c>
      <c r="AD100" s="16">
        <f t="shared" si="36"/>
        <v>0</v>
      </c>
      <c r="AE100" s="16">
        <f t="shared" si="37"/>
        <v>0</v>
      </c>
      <c r="AF100" s="16">
        <f t="shared" si="38"/>
        <v>0</v>
      </c>
      <c r="AG100" s="16">
        <f t="shared" si="39"/>
        <v>0</v>
      </c>
      <c r="AH100" s="16">
        <f t="shared" si="40"/>
        <v>0</v>
      </c>
      <c r="AI100" s="16">
        <f t="shared" si="41"/>
        <v>0</v>
      </c>
      <c r="AJ100" s="16">
        <f t="shared" si="42"/>
        <v>0</v>
      </c>
      <c r="AK100" s="16">
        <f t="shared" si="43"/>
        <v>0</v>
      </c>
      <c r="AL100" s="16">
        <f t="shared" si="44"/>
        <v>0</v>
      </c>
      <c r="AM100" s="16">
        <f t="shared" si="45"/>
        <v>0</v>
      </c>
      <c r="AN100" s="16">
        <f t="shared" si="46"/>
        <v>0</v>
      </c>
      <c r="AO100" s="16">
        <f t="shared" si="47"/>
        <v>0</v>
      </c>
      <c r="AP100" s="16">
        <f t="shared" si="48"/>
        <v>0</v>
      </c>
      <c r="AQ100" s="16">
        <f t="shared" si="49"/>
        <v>0</v>
      </c>
      <c r="AR100" s="16">
        <f t="shared" si="50"/>
        <v>0</v>
      </c>
      <c r="AS100" s="16">
        <f t="shared" si="51"/>
        <v>0</v>
      </c>
      <c r="AT100" s="16">
        <f t="shared" si="52"/>
        <v>0</v>
      </c>
      <c r="AU100" s="16">
        <f t="shared" si="53"/>
        <v>0</v>
      </c>
      <c r="AV100" s="16">
        <f t="shared" si="54"/>
        <v>0</v>
      </c>
      <c r="AW100" s="16">
        <f t="shared" si="55"/>
        <v>0</v>
      </c>
    </row>
    <row r="101" spans="1:77">
      <c r="A101" s="904"/>
      <c r="B101" s="998">
        <f>Rezone!J101</f>
        <v>99</v>
      </c>
      <c r="C101" s="160">
        <f>Construction!E101</f>
        <v>1000</v>
      </c>
      <c r="D101" s="164">
        <f>Production!P101</f>
        <v>0</v>
      </c>
      <c r="E101" s="166">
        <f>Production!Q101</f>
        <v>6426</v>
      </c>
      <c r="W101" s="52">
        <f t="shared" si="56"/>
        <v>0</v>
      </c>
      <c r="X101" s="16">
        <f t="shared" si="30"/>
        <v>0</v>
      </c>
      <c r="Y101" s="16">
        <f t="shared" si="31"/>
        <v>0</v>
      </c>
      <c r="Z101" s="16">
        <f t="shared" si="32"/>
        <v>0</v>
      </c>
      <c r="AA101" s="16">
        <f t="shared" si="33"/>
        <v>0</v>
      </c>
      <c r="AB101" s="16">
        <f t="shared" si="34"/>
        <v>0</v>
      </c>
      <c r="AC101" s="16">
        <f t="shared" si="35"/>
        <v>0</v>
      </c>
      <c r="AD101" s="16">
        <f t="shared" si="36"/>
        <v>0</v>
      </c>
      <c r="AE101" s="16">
        <f t="shared" si="37"/>
        <v>0</v>
      </c>
      <c r="AF101" s="16">
        <f t="shared" si="38"/>
        <v>0</v>
      </c>
      <c r="AG101" s="16">
        <f t="shared" si="39"/>
        <v>0</v>
      </c>
      <c r="AH101" s="16">
        <f t="shared" si="40"/>
        <v>0</v>
      </c>
      <c r="AI101" s="16">
        <f t="shared" si="41"/>
        <v>0</v>
      </c>
      <c r="AJ101" s="16">
        <f t="shared" si="42"/>
        <v>0</v>
      </c>
      <c r="AK101" s="16">
        <f t="shared" si="43"/>
        <v>0</v>
      </c>
      <c r="AL101" s="16">
        <f t="shared" si="44"/>
        <v>0</v>
      </c>
      <c r="AM101" s="16">
        <f t="shared" si="45"/>
        <v>0</v>
      </c>
      <c r="AN101" s="16">
        <f t="shared" si="46"/>
        <v>0</v>
      </c>
      <c r="AO101" s="16">
        <f t="shared" si="47"/>
        <v>0</v>
      </c>
      <c r="AP101" s="16">
        <f t="shared" si="48"/>
        <v>0</v>
      </c>
      <c r="AQ101" s="16">
        <f t="shared" si="49"/>
        <v>0</v>
      </c>
      <c r="AR101" s="16">
        <f t="shared" si="50"/>
        <v>0</v>
      </c>
      <c r="AS101" s="16">
        <f t="shared" si="51"/>
        <v>0</v>
      </c>
      <c r="AT101" s="16">
        <f t="shared" si="52"/>
        <v>0</v>
      </c>
      <c r="AU101" s="16">
        <f t="shared" si="53"/>
        <v>0</v>
      </c>
      <c r="AV101" s="16">
        <f t="shared" si="54"/>
        <v>0</v>
      </c>
      <c r="AW101" s="16">
        <f t="shared" si="55"/>
        <v>0</v>
      </c>
    </row>
    <row r="102" spans="1:77">
      <c r="A102" s="904"/>
      <c r="B102" s="999">
        <f>Rezone!J102</f>
        <v>100</v>
      </c>
      <c r="C102" s="64">
        <f>Construction!E102</f>
        <v>1000</v>
      </c>
      <c r="D102" s="26">
        <f>Production!P102</f>
        <v>0</v>
      </c>
      <c r="E102" s="57">
        <f>Production!Q102</f>
        <v>6426</v>
      </c>
      <c r="W102" s="52">
        <f t="shared" si="56"/>
        <v>0</v>
      </c>
      <c r="X102" s="16">
        <f t="shared" si="30"/>
        <v>0</v>
      </c>
      <c r="Y102" s="16">
        <f t="shared" si="31"/>
        <v>0</v>
      </c>
      <c r="Z102" s="16">
        <f t="shared" si="32"/>
        <v>0</v>
      </c>
      <c r="AA102" s="16">
        <f t="shared" si="33"/>
        <v>0</v>
      </c>
      <c r="AB102" s="16">
        <f t="shared" si="34"/>
        <v>0</v>
      </c>
      <c r="AC102" s="16">
        <f t="shared" si="35"/>
        <v>0</v>
      </c>
      <c r="AD102" s="16">
        <f t="shared" si="36"/>
        <v>0</v>
      </c>
      <c r="AE102" s="16">
        <f t="shared" si="37"/>
        <v>0</v>
      </c>
      <c r="AF102" s="16">
        <f t="shared" si="38"/>
        <v>0</v>
      </c>
      <c r="AG102" s="16">
        <f t="shared" si="39"/>
        <v>0</v>
      </c>
      <c r="AH102" s="16">
        <f t="shared" si="40"/>
        <v>0</v>
      </c>
      <c r="AI102" s="16">
        <f t="shared" si="41"/>
        <v>0</v>
      </c>
      <c r="AJ102" s="16">
        <f t="shared" si="42"/>
        <v>0</v>
      </c>
      <c r="AK102" s="16">
        <f t="shared" si="43"/>
        <v>0</v>
      </c>
      <c r="AL102" s="16">
        <f t="shared" si="44"/>
        <v>0</v>
      </c>
      <c r="AM102" s="16">
        <f t="shared" si="45"/>
        <v>0</v>
      </c>
      <c r="AN102" s="16">
        <f t="shared" si="46"/>
        <v>0</v>
      </c>
      <c r="AO102" s="16">
        <f t="shared" si="47"/>
        <v>0</v>
      </c>
      <c r="AP102" s="16">
        <f t="shared" si="48"/>
        <v>0</v>
      </c>
      <c r="AQ102" s="16">
        <f t="shared" si="49"/>
        <v>0</v>
      </c>
      <c r="AR102" s="16">
        <f t="shared" si="50"/>
        <v>0</v>
      </c>
      <c r="AS102" s="16">
        <f t="shared" si="51"/>
        <v>0</v>
      </c>
      <c r="AT102" s="16">
        <f t="shared" si="52"/>
        <v>0</v>
      </c>
      <c r="AU102" s="16">
        <f t="shared" si="53"/>
        <v>0</v>
      </c>
      <c r="AV102" s="16">
        <f t="shared" si="54"/>
        <v>0</v>
      </c>
      <c r="AW102" s="16">
        <f t="shared" si="55"/>
        <v>0</v>
      </c>
    </row>
    <row r="103" spans="1:77">
      <c r="A103" s="904"/>
      <c r="B103" s="999">
        <f>Rezone!J103</f>
        <v>101</v>
      </c>
      <c r="C103" s="64">
        <f>Construction!E103</f>
        <v>1000</v>
      </c>
      <c r="D103" s="26">
        <f>Production!P103</f>
        <v>0</v>
      </c>
      <c r="E103" s="57">
        <f>Production!Q103</f>
        <v>6426</v>
      </c>
      <c r="W103" s="52">
        <f t="shared" si="56"/>
        <v>0</v>
      </c>
      <c r="X103" s="16">
        <f t="shared" si="30"/>
        <v>0</v>
      </c>
      <c r="Y103" s="16">
        <f t="shared" si="31"/>
        <v>0</v>
      </c>
      <c r="Z103" s="16">
        <f t="shared" si="32"/>
        <v>0</v>
      </c>
      <c r="AA103" s="16">
        <f t="shared" si="33"/>
        <v>0</v>
      </c>
      <c r="AB103" s="16">
        <f t="shared" si="34"/>
        <v>0</v>
      </c>
      <c r="AC103" s="16">
        <f t="shared" si="35"/>
        <v>0</v>
      </c>
      <c r="AD103" s="16">
        <f t="shared" si="36"/>
        <v>0</v>
      </c>
      <c r="AE103" s="16">
        <f t="shared" si="37"/>
        <v>0</v>
      </c>
      <c r="AF103" s="16">
        <f t="shared" si="38"/>
        <v>0</v>
      </c>
      <c r="AG103" s="16">
        <f t="shared" si="39"/>
        <v>0</v>
      </c>
      <c r="AH103" s="16">
        <f t="shared" si="40"/>
        <v>0</v>
      </c>
      <c r="AI103" s="16">
        <f t="shared" si="41"/>
        <v>0</v>
      </c>
      <c r="AJ103" s="16">
        <f t="shared" si="42"/>
        <v>0</v>
      </c>
      <c r="AK103" s="16">
        <f t="shared" si="43"/>
        <v>0</v>
      </c>
      <c r="AL103" s="16">
        <f t="shared" si="44"/>
        <v>0</v>
      </c>
      <c r="AM103" s="16">
        <f t="shared" si="45"/>
        <v>0</v>
      </c>
      <c r="AN103" s="16">
        <f t="shared" si="46"/>
        <v>0</v>
      </c>
      <c r="AO103" s="16">
        <f t="shared" si="47"/>
        <v>0</v>
      </c>
      <c r="AP103" s="16">
        <f t="shared" si="48"/>
        <v>0</v>
      </c>
      <c r="AQ103" s="16">
        <f t="shared" si="49"/>
        <v>0</v>
      </c>
      <c r="AR103" s="16">
        <f t="shared" si="50"/>
        <v>0</v>
      </c>
      <c r="AS103" s="16">
        <f t="shared" si="51"/>
        <v>0</v>
      </c>
      <c r="AT103" s="16">
        <f t="shared" si="52"/>
        <v>0</v>
      </c>
      <c r="AU103" s="16">
        <f t="shared" si="53"/>
        <v>0</v>
      </c>
      <c r="AV103" s="16">
        <f t="shared" si="54"/>
        <v>0</v>
      </c>
      <c r="AW103" s="16">
        <f t="shared" si="55"/>
        <v>0</v>
      </c>
    </row>
    <row r="104" spans="1:77">
      <c r="A104" s="904"/>
      <c r="B104" s="999">
        <f>Rezone!J104</f>
        <v>102</v>
      </c>
      <c r="C104" s="64">
        <f>Construction!E104</f>
        <v>1000</v>
      </c>
      <c r="D104" s="26">
        <f>Production!P104</f>
        <v>0</v>
      </c>
      <c r="E104" s="57">
        <f>Production!Q104</f>
        <v>6426</v>
      </c>
      <c r="W104" s="52">
        <f t="shared" si="56"/>
        <v>0</v>
      </c>
      <c r="X104" s="16">
        <f t="shared" si="30"/>
        <v>0</v>
      </c>
      <c r="Y104" s="16">
        <f t="shared" si="31"/>
        <v>0</v>
      </c>
      <c r="Z104" s="16">
        <f t="shared" si="32"/>
        <v>0</v>
      </c>
      <c r="AA104" s="16">
        <f t="shared" si="33"/>
        <v>0</v>
      </c>
      <c r="AB104" s="16">
        <f t="shared" si="34"/>
        <v>0</v>
      </c>
      <c r="AC104" s="16">
        <f t="shared" si="35"/>
        <v>0</v>
      </c>
      <c r="AD104" s="16">
        <f t="shared" si="36"/>
        <v>0</v>
      </c>
      <c r="AE104" s="16">
        <f t="shared" si="37"/>
        <v>0</v>
      </c>
      <c r="AF104" s="16">
        <f t="shared" si="38"/>
        <v>0</v>
      </c>
      <c r="AG104" s="16">
        <f t="shared" si="39"/>
        <v>0</v>
      </c>
      <c r="AH104" s="16">
        <f t="shared" si="40"/>
        <v>0</v>
      </c>
      <c r="AI104" s="16">
        <f t="shared" si="41"/>
        <v>0</v>
      </c>
      <c r="AJ104" s="16">
        <f t="shared" si="42"/>
        <v>0</v>
      </c>
      <c r="AK104" s="16">
        <f t="shared" si="43"/>
        <v>0</v>
      </c>
      <c r="AL104" s="16">
        <f t="shared" si="44"/>
        <v>0</v>
      </c>
      <c r="AM104" s="16">
        <f t="shared" si="45"/>
        <v>0</v>
      </c>
      <c r="AN104" s="16">
        <f t="shared" si="46"/>
        <v>0</v>
      </c>
      <c r="AO104" s="16">
        <f t="shared" si="47"/>
        <v>0</v>
      </c>
      <c r="AP104" s="16">
        <f t="shared" si="48"/>
        <v>0</v>
      </c>
      <c r="AQ104" s="16">
        <f t="shared" si="49"/>
        <v>0</v>
      </c>
      <c r="AR104" s="16">
        <f t="shared" si="50"/>
        <v>0</v>
      </c>
      <c r="AS104" s="16">
        <f t="shared" si="51"/>
        <v>0</v>
      </c>
      <c r="AT104" s="16">
        <f t="shared" si="52"/>
        <v>0</v>
      </c>
      <c r="AU104" s="16">
        <f t="shared" si="53"/>
        <v>0</v>
      </c>
      <c r="AV104" s="16">
        <f t="shared" si="54"/>
        <v>0</v>
      </c>
      <c r="AW104" s="16">
        <f t="shared" si="55"/>
        <v>0</v>
      </c>
    </row>
    <row r="105" spans="1:77">
      <c r="A105" s="904"/>
      <c r="B105" s="999">
        <f>Rezone!J105</f>
        <v>103</v>
      </c>
      <c r="C105" s="64">
        <f>Construction!E105</f>
        <v>1000</v>
      </c>
      <c r="D105" s="26">
        <f>Production!P105</f>
        <v>0</v>
      </c>
      <c r="E105" s="57">
        <f>Production!Q105</f>
        <v>6426</v>
      </c>
      <c r="W105" s="52">
        <f t="shared" si="56"/>
        <v>0</v>
      </c>
      <c r="X105" s="16">
        <f t="shared" si="30"/>
        <v>0</v>
      </c>
      <c r="Y105" s="16">
        <f t="shared" si="31"/>
        <v>0</v>
      </c>
      <c r="Z105" s="16">
        <f t="shared" si="32"/>
        <v>0</v>
      </c>
      <c r="AA105" s="16">
        <f t="shared" si="33"/>
        <v>0</v>
      </c>
      <c r="AB105" s="16">
        <f t="shared" si="34"/>
        <v>0</v>
      </c>
      <c r="AC105" s="16">
        <f t="shared" si="35"/>
        <v>0</v>
      </c>
      <c r="AD105" s="16">
        <f t="shared" si="36"/>
        <v>0</v>
      </c>
      <c r="AE105" s="16">
        <f t="shared" si="37"/>
        <v>0</v>
      </c>
      <c r="AF105" s="16">
        <f t="shared" si="38"/>
        <v>0</v>
      </c>
      <c r="AG105" s="16">
        <f t="shared" si="39"/>
        <v>0</v>
      </c>
      <c r="AH105" s="16">
        <f t="shared" si="40"/>
        <v>0</v>
      </c>
      <c r="AI105" s="16">
        <f t="shared" si="41"/>
        <v>0</v>
      </c>
      <c r="AJ105" s="16">
        <f t="shared" si="42"/>
        <v>0</v>
      </c>
      <c r="AK105" s="16">
        <f t="shared" si="43"/>
        <v>0</v>
      </c>
      <c r="AL105" s="16">
        <f t="shared" si="44"/>
        <v>0</v>
      </c>
      <c r="AM105" s="16">
        <f t="shared" si="45"/>
        <v>0</v>
      </c>
      <c r="AN105" s="16">
        <f t="shared" si="46"/>
        <v>0</v>
      </c>
      <c r="AO105" s="16">
        <f t="shared" si="47"/>
        <v>0</v>
      </c>
      <c r="AP105" s="16">
        <f t="shared" si="48"/>
        <v>0</v>
      </c>
      <c r="AQ105" s="16">
        <f t="shared" si="49"/>
        <v>0</v>
      </c>
      <c r="AR105" s="16">
        <f t="shared" si="50"/>
        <v>0</v>
      </c>
      <c r="AS105" s="16">
        <f t="shared" si="51"/>
        <v>0</v>
      </c>
      <c r="AT105" s="16">
        <f t="shared" si="52"/>
        <v>0</v>
      </c>
      <c r="AU105" s="16">
        <f t="shared" si="53"/>
        <v>0</v>
      </c>
      <c r="AV105" s="16">
        <f t="shared" si="54"/>
        <v>0</v>
      </c>
      <c r="AW105" s="16">
        <f t="shared" si="55"/>
        <v>0</v>
      </c>
    </row>
    <row r="106" spans="1:77">
      <c r="A106" s="904"/>
      <c r="B106" s="999">
        <f>Rezone!J106</f>
        <v>104</v>
      </c>
      <c r="C106" s="64">
        <f>Construction!E106</f>
        <v>1000</v>
      </c>
      <c r="D106" s="26">
        <f>Production!P106</f>
        <v>0</v>
      </c>
      <c r="E106" s="57">
        <f>Production!Q106</f>
        <v>6426</v>
      </c>
      <c r="W106" s="52">
        <f t="shared" si="56"/>
        <v>0</v>
      </c>
      <c r="X106" s="16">
        <f t="shared" si="30"/>
        <v>0</v>
      </c>
      <c r="Y106" s="16">
        <f t="shared" si="31"/>
        <v>0</v>
      </c>
      <c r="Z106" s="16">
        <f t="shared" si="32"/>
        <v>0</v>
      </c>
      <c r="AA106" s="16">
        <f t="shared" si="33"/>
        <v>0</v>
      </c>
      <c r="AB106" s="16">
        <f t="shared" si="34"/>
        <v>0</v>
      </c>
      <c r="AC106" s="16">
        <f t="shared" si="35"/>
        <v>0</v>
      </c>
      <c r="AD106" s="16">
        <f t="shared" si="36"/>
        <v>0</v>
      </c>
      <c r="AE106" s="16">
        <f t="shared" si="37"/>
        <v>0</v>
      </c>
      <c r="AF106" s="16">
        <f t="shared" si="38"/>
        <v>0</v>
      </c>
      <c r="AG106" s="16">
        <f t="shared" si="39"/>
        <v>0</v>
      </c>
      <c r="AH106" s="16">
        <f t="shared" si="40"/>
        <v>0</v>
      </c>
      <c r="AI106" s="16">
        <f t="shared" si="41"/>
        <v>0</v>
      </c>
      <c r="AJ106" s="16">
        <f t="shared" si="42"/>
        <v>0</v>
      </c>
      <c r="AK106" s="16">
        <f t="shared" si="43"/>
        <v>0</v>
      </c>
      <c r="AL106" s="16">
        <f t="shared" si="44"/>
        <v>0</v>
      </c>
      <c r="AM106" s="16">
        <f t="shared" si="45"/>
        <v>0</v>
      </c>
      <c r="AN106" s="16">
        <f t="shared" si="46"/>
        <v>0</v>
      </c>
      <c r="AO106" s="16">
        <f t="shared" si="47"/>
        <v>0</v>
      </c>
      <c r="AP106" s="16">
        <f t="shared" si="48"/>
        <v>0</v>
      </c>
      <c r="AQ106" s="16">
        <f t="shared" si="49"/>
        <v>0</v>
      </c>
      <c r="AR106" s="16">
        <f t="shared" si="50"/>
        <v>0</v>
      </c>
      <c r="AS106" s="16">
        <f t="shared" si="51"/>
        <v>0</v>
      </c>
      <c r="AT106" s="16">
        <f t="shared" si="52"/>
        <v>0</v>
      </c>
      <c r="AU106" s="16">
        <f t="shared" si="53"/>
        <v>0</v>
      </c>
      <c r="AV106" s="16">
        <f t="shared" si="54"/>
        <v>0</v>
      </c>
      <c r="AW106" s="16">
        <f t="shared" si="55"/>
        <v>0</v>
      </c>
    </row>
    <row r="107" spans="1:77">
      <c r="A107" s="904"/>
      <c r="B107" s="999">
        <f>Rezone!J107</f>
        <v>105</v>
      </c>
      <c r="C107" s="64">
        <f>Construction!E107</f>
        <v>1000</v>
      </c>
      <c r="D107" s="26">
        <f>Production!P107</f>
        <v>0</v>
      </c>
      <c r="E107" s="57">
        <f>Production!Q107</f>
        <v>6426</v>
      </c>
      <c r="W107" s="52">
        <f t="shared" si="56"/>
        <v>0</v>
      </c>
      <c r="X107" s="16">
        <f t="shared" si="30"/>
        <v>0</v>
      </c>
      <c r="Y107" s="16">
        <f t="shared" si="31"/>
        <v>0</v>
      </c>
      <c r="Z107" s="16">
        <f t="shared" si="32"/>
        <v>0</v>
      </c>
      <c r="AA107" s="16">
        <f t="shared" si="33"/>
        <v>0</v>
      </c>
      <c r="AB107" s="16">
        <f t="shared" si="34"/>
        <v>0</v>
      </c>
      <c r="AC107" s="16">
        <f t="shared" si="35"/>
        <v>0</v>
      </c>
      <c r="AD107" s="16">
        <f t="shared" si="36"/>
        <v>0</v>
      </c>
      <c r="AE107" s="16">
        <f t="shared" si="37"/>
        <v>0</v>
      </c>
      <c r="AF107" s="16">
        <f t="shared" si="38"/>
        <v>0</v>
      </c>
      <c r="AG107" s="16">
        <f t="shared" si="39"/>
        <v>0</v>
      </c>
      <c r="AH107" s="16">
        <f t="shared" si="40"/>
        <v>0</v>
      </c>
      <c r="AI107" s="16">
        <f t="shared" si="41"/>
        <v>0</v>
      </c>
      <c r="AJ107" s="16">
        <f t="shared" si="42"/>
        <v>0</v>
      </c>
      <c r="AK107" s="16">
        <f t="shared" si="43"/>
        <v>0</v>
      </c>
      <c r="AL107" s="16">
        <f t="shared" si="44"/>
        <v>0</v>
      </c>
      <c r="AM107" s="16">
        <f t="shared" si="45"/>
        <v>0</v>
      </c>
      <c r="AN107" s="16">
        <f t="shared" si="46"/>
        <v>0</v>
      </c>
      <c r="AO107" s="16">
        <f t="shared" si="47"/>
        <v>0</v>
      </c>
      <c r="AP107" s="16">
        <f t="shared" si="48"/>
        <v>0</v>
      </c>
      <c r="AQ107" s="16">
        <f t="shared" si="49"/>
        <v>0</v>
      </c>
      <c r="AR107" s="16">
        <f t="shared" si="50"/>
        <v>0</v>
      </c>
      <c r="AS107" s="16">
        <f t="shared" si="51"/>
        <v>0</v>
      </c>
      <c r="AT107" s="16">
        <f t="shared" si="52"/>
        <v>0</v>
      </c>
      <c r="AU107" s="16">
        <f t="shared" si="53"/>
        <v>0</v>
      </c>
      <c r="AV107" s="16">
        <f t="shared" si="54"/>
        <v>0</v>
      </c>
      <c r="AW107" s="16">
        <f t="shared" si="55"/>
        <v>0</v>
      </c>
    </row>
    <row r="108" spans="1:77">
      <c r="A108" s="904"/>
      <c r="B108" s="999">
        <f>Rezone!J108</f>
        <v>106</v>
      </c>
      <c r="C108" s="64">
        <f>Construction!E108</f>
        <v>1000</v>
      </c>
      <c r="D108" s="26">
        <f>Production!P108</f>
        <v>0</v>
      </c>
      <c r="E108" s="57">
        <f>Production!Q108</f>
        <v>6426</v>
      </c>
      <c r="W108" s="52">
        <f t="shared" si="56"/>
        <v>0</v>
      </c>
      <c r="X108" s="16">
        <f t="shared" si="30"/>
        <v>0</v>
      </c>
      <c r="Y108" s="16">
        <f t="shared" si="31"/>
        <v>0</v>
      </c>
      <c r="Z108" s="16">
        <f t="shared" si="32"/>
        <v>0</v>
      </c>
      <c r="AA108" s="16">
        <f t="shared" si="33"/>
        <v>0</v>
      </c>
      <c r="AB108" s="16">
        <f t="shared" si="34"/>
        <v>0</v>
      </c>
      <c r="AC108" s="16">
        <f t="shared" si="35"/>
        <v>0</v>
      </c>
      <c r="AD108" s="16">
        <f t="shared" si="36"/>
        <v>0</v>
      </c>
      <c r="AE108" s="16">
        <f t="shared" si="37"/>
        <v>0</v>
      </c>
      <c r="AF108" s="16">
        <f t="shared" si="38"/>
        <v>0</v>
      </c>
      <c r="AG108" s="16">
        <f t="shared" si="39"/>
        <v>0</v>
      </c>
      <c r="AH108" s="16">
        <f t="shared" si="40"/>
        <v>0</v>
      </c>
      <c r="AI108" s="16">
        <f t="shared" si="41"/>
        <v>0</v>
      </c>
      <c r="AJ108" s="16">
        <f t="shared" si="42"/>
        <v>0</v>
      </c>
      <c r="AK108" s="16">
        <f t="shared" si="43"/>
        <v>0</v>
      </c>
      <c r="AL108" s="16">
        <f t="shared" si="44"/>
        <v>0</v>
      </c>
      <c r="AM108" s="16">
        <f t="shared" si="45"/>
        <v>0</v>
      </c>
      <c r="AN108" s="16">
        <f t="shared" si="46"/>
        <v>0</v>
      </c>
      <c r="AO108" s="16">
        <f t="shared" si="47"/>
        <v>0</v>
      </c>
      <c r="AP108" s="16">
        <f t="shared" si="48"/>
        <v>0</v>
      </c>
      <c r="AQ108" s="16">
        <f t="shared" si="49"/>
        <v>0</v>
      </c>
      <c r="AR108" s="16">
        <f t="shared" si="50"/>
        <v>0</v>
      </c>
      <c r="AS108" s="16">
        <f t="shared" si="51"/>
        <v>0</v>
      </c>
      <c r="AT108" s="16">
        <f t="shared" si="52"/>
        <v>0</v>
      </c>
      <c r="AU108" s="16">
        <f t="shared" si="53"/>
        <v>0</v>
      </c>
      <c r="AV108" s="16">
        <f t="shared" si="54"/>
        <v>0</v>
      </c>
      <c r="AW108" s="16">
        <f t="shared" si="55"/>
        <v>0</v>
      </c>
    </row>
    <row r="109" spans="1:77">
      <c r="A109" s="904"/>
      <c r="B109" s="999">
        <f>Rezone!J109</f>
        <v>107</v>
      </c>
      <c r="C109" s="64">
        <f>Construction!E109</f>
        <v>1000</v>
      </c>
      <c r="D109" s="26">
        <f>Production!P109</f>
        <v>0</v>
      </c>
      <c r="E109" s="57">
        <f>Production!Q109</f>
        <v>6426</v>
      </c>
      <c r="W109" s="52">
        <f t="shared" si="56"/>
        <v>0</v>
      </c>
      <c r="X109" s="16">
        <f t="shared" si="30"/>
        <v>0</v>
      </c>
      <c r="Y109" s="16">
        <f t="shared" si="31"/>
        <v>0</v>
      </c>
      <c r="Z109" s="16">
        <f t="shared" si="32"/>
        <v>0</v>
      </c>
      <c r="AA109" s="16">
        <f t="shared" si="33"/>
        <v>0</v>
      </c>
      <c r="AB109" s="16">
        <f t="shared" si="34"/>
        <v>0</v>
      </c>
      <c r="AC109" s="16">
        <f t="shared" si="35"/>
        <v>0</v>
      </c>
      <c r="AD109" s="16">
        <f t="shared" si="36"/>
        <v>0</v>
      </c>
      <c r="AE109" s="16">
        <f t="shared" si="37"/>
        <v>0</v>
      </c>
      <c r="AF109" s="16">
        <f t="shared" si="38"/>
        <v>0</v>
      </c>
      <c r="AG109" s="16">
        <f t="shared" si="39"/>
        <v>0</v>
      </c>
      <c r="AH109" s="16">
        <f t="shared" si="40"/>
        <v>0</v>
      </c>
      <c r="AI109" s="16">
        <f t="shared" si="41"/>
        <v>0</v>
      </c>
      <c r="AJ109" s="16">
        <f t="shared" si="42"/>
        <v>0</v>
      </c>
      <c r="AK109" s="16">
        <f t="shared" si="43"/>
        <v>0</v>
      </c>
      <c r="AL109" s="16">
        <f t="shared" si="44"/>
        <v>0</v>
      </c>
      <c r="AM109" s="16">
        <f t="shared" si="45"/>
        <v>0</v>
      </c>
      <c r="AN109" s="16">
        <f t="shared" si="46"/>
        <v>0</v>
      </c>
      <c r="AO109" s="16">
        <f t="shared" si="47"/>
        <v>0</v>
      </c>
      <c r="AP109" s="16">
        <f t="shared" si="48"/>
        <v>0</v>
      </c>
      <c r="AQ109" s="16">
        <f t="shared" si="49"/>
        <v>0</v>
      </c>
      <c r="AR109" s="16">
        <f t="shared" si="50"/>
        <v>0</v>
      </c>
      <c r="AS109" s="16">
        <f t="shared" si="51"/>
        <v>0</v>
      </c>
      <c r="AT109" s="16">
        <f t="shared" si="52"/>
        <v>0</v>
      </c>
      <c r="AU109" s="16">
        <f t="shared" si="53"/>
        <v>0</v>
      </c>
      <c r="AV109" s="16">
        <f t="shared" si="54"/>
        <v>0</v>
      </c>
      <c r="AW109" s="16">
        <f t="shared" si="55"/>
        <v>0</v>
      </c>
    </row>
    <row r="110" spans="1:77">
      <c r="A110" s="904"/>
      <c r="B110" s="999">
        <f>Rezone!J110</f>
        <v>108</v>
      </c>
      <c r="C110" s="64">
        <f>Construction!E110</f>
        <v>1000</v>
      </c>
      <c r="D110" s="26">
        <f>Production!P110</f>
        <v>0</v>
      </c>
      <c r="E110" s="57">
        <f>Production!Q110</f>
        <v>6426</v>
      </c>
      <c r="W110" s="52">
        <f t="shared" si="56"/>
        <v>0</v>
      </c>
      <c r="X110" s="16">
        <f t="shared" si="30"/>
        <v>0</v>
      </c>
      <c r="Y110" s="16">
        <f t="shared" si="31"/>
        <v>0</v>
      </c>
      <c r="Z110" s="16">
        <f t="shared" si="32"/>
        <v>0</v>
      </c>
      <c r="AA110" s="16">
        <f t="shared" si="33"/>
        <v>0</v>
      </c>
      <c r="AB110" s="16">
        <f t="shared" si="34"/>
        <v>0</v>
      </c>
      <c r="AC110" s="16">
        <f t="shared" si="35"/>
        <v>0</v>
      </c>
      <c r="AD110" s="16">
        <f t="shared" si="36"/>
        <v>0</v>
      </c>
      <c r="AE110" s="16">
        <f t="shared" si="37"/>
        <v>0</v>
      </c>
      <c r="AF110" s="16">
        <f t="shared" si="38"/>
        <v>0</v>
      </c>
      <c r="AG110" s="16">
        <f t="shared" si="39"/>
        <v>0</v>
      </c>
      <c r="AH110" s="16">
        <f t="shared" si="40"/>
        <v>0</v>
      </c>
      <c r="AI110" s="16">
        <f t="shared" si="41"/>
        <v>0</v>
      </c>
      <c r="AJ110" s="16">
        <f t="shared" si="42"/>
        <v>0</v>
      </c>
      <c r="AK110" s="16">
        <f t="shared" si="43"/>
        <v>0</v>
      </c>
      <c r="AL110" s="16">
        <f t="shared" si="44"/>
        <v>0</v>
      </c>
      <c r="AM110" s="16">
        <f t="shared" si="45"/>
        <v>0</v>
      </c>
      <c r="AN110" s="16">
        <f t="shared" si="46"/>
        <v>0</v>
      </c>
      <c r="AO110" s="16">
        <f t="shared" si="47"/>
        <v>0</v>
      </c>
      <c r="AP110" s="16">
        <f t="shared" si="48"/>
        <v>0</v>
      </c>
      <c r="AQ110" s="16">
        <f t="shared" si="49"/>
        <v>0</v>
      </c>
      <c r="AR110" s="16">
        <f t="shared" si="50"/>
        <v>0</v>
      </c>
      <c r="AS110" s="16">
        <f t="shared" si="51"/>
        <v>0</v>
      </c>
      <c r="AT110" s="16">
        <f t="shared" si="52"/>
        <v>0</v>
      </c>
      <c r="AU110" s="16">
        <f t="shared" si="53"/>
        <v>0</v>
      </c>
      <c r="AV110" s="16">
        <f t="shared" si="54"/>
        <v>0</v>
      </c>
      <c r="AW110" s="16">
        <f t="shared" si="55"/>
        <v>0</v>
      </c>
    </row>
    <row r="111" spans="1:77" s="12" customFormat="1">
      <c r="A111" s="905"/>
      <c r="B111" s="1002">
        <f>Rezone!J111</f>
        <v>109</v>
      </c>
      <c r="C111" s="93">
        <f>Construction!E111</f>
        <v>1000</v>
      </c>
      <c r="D111" s="13">
        <f>Production!P111</f>
        <v>0</v>
      </c>
      <c r="E111" s="55">
        <f>Production!Q111</f>
        <v>6426</v>
      </c>
      <c r="W111" s="50">
        <f t="shared" si="56"/>
        <v>0</v>
      </c>
      <c r="X111" s="12">
        <f t="shared" si="30"/>
        <v>0</v>
      </c>
      <c r="Y111" s="12">
        <f t="shared" si="31"/>
        <v>0</v>
      </c>
      <c r="Z111" s="12">
        <f t="shared" si="32"/>
        <v>0</v>
      </c>
      <c r="AA111" s="12">
        <f t="shared" si="33"/>
        <v>0</v>
      </c>
      <c r="AB111" s="12">
        <f t="shared" si="34"/>
        <v>0</v>
      </c>
      <c r="AC111" s="12">
        <f t="shared" si="35"/>
        <v>0</v>
      </c>
      <c r="AD111" s="12">
        <f t="shared" si="36"/>
        <v>0</v>
      </c>
      <c r="AE111" s="12">
        <f t="shared" si="37"/>
        <v>0</v>
      </c>
      <c r="AF111" s="12">
        <f t="shared" si="38"/>
        <v>0</v>
      </c>
      <c r="AG111" s="12">
        <f t="shared" si="39"/>
        <v>0</v>
      </c>
      <c r="AH111" s="12">
        <f t="shared" si="40"/>
        <v>0</v>
      </c>
      <c r="AI111" s="12">
        <f t="shared" si="41"/>
        <v>0</v>
      </c>
      <c r="AJ111" s="12">
        <f t="shared" si="42"/>
        <v>0</v>
      </c>
      <c r="AK111" s="12">
        <f t="shared" si="43"/>
        <v>0</v>
      </c>
      <c r="AL111" s="12">
        <f t="shared" si="44"/>
        <v>0</v>
      </c>
      <c r="AM111" s="12">
        <f t="shared" si="45"/>
        <v>0</v>
      </c>
      <c r="AN111" s="12">
        <f t="shared" si="46"/>
        <v>0</v>
      </c>
      <c r="AO111" s="12">
        <f t="shared" si="47"/>
        <v>0</v>
      </c>
      <c r="AP111" s="12">
        <f t="shared" si="48"/>
        <v>0</v>
      </c>
      <c r="AQ111" s="12">
        <f t="shared" si="49"/>
        <v>0</v>
      </c>
      <c r="AR111" s="12">
        <f t="shared" si="50"/>
        <v>0</v>
      </c>
      <c r="AS111" s="12">
        <f t="shared" si="51"/>
        <v>0</v>
      </c>
      <c r="AT111" s="12">
        <f t="shared" si="52"/>
        <v>0</v>
      </c>
      <c r="AU111" s="12">
        <f t="shared" si="53"/>
        <v>0</v>
      </c>
      <c r="AV111" s="12">
        <f t="shared" si="54"/>
        <v>0</v>
      </c>
      <c r="AW111" s="12">
        <f t="shared" si="55"/>
        <v>0</v>
      </c>
      <c r="AX111" s="286"/>
      <c r="BY111" s="51"/>
    </row>
    <row r="112" spans="1:77">
      <c r="A112" s="904"/>
      <c r="B112" s="999">
        <f>Rezone!J112</f>
        <v>110</v>
      </c>
      <c r="C112" s="64">
        <f>Construction!E112</f>
        <v>1000</v>
      </c>
      <c r="D112" s="26">
        <f>Production!P112</f>
        <v>0</v>
      </c>
      <c r="E112" s="57">
        <f>Production!Q112</f>
        <v>6426</v>
      </c>
      <c r="W112" s="52">
        <f t="shared" si="56"/>
        <v>0</v>
      </c>
      <c r="X112" s="16">
        <f t="shared" si="30"/>
        <v>0</v>
      </c>
      <c r="Y112" s="16">
        <f t="shared" si="31"/>
        <v>0</v>
      </c>
      <c r="Z112" s="16">
        <f t="shared" si="32"/>
        <v>0</v>
      </c>
      <c r="AA112" s="16">
        <f t="shared" si="33"/>
        <v>0</v>
      </c>
      <c r="AB112" s="16">
        <f t="shared" si="34"/>
        <v>0</v>
      </c>
      <c r="AC112" s="16">
        <f t="shared" si="35"/>
        <v>0</v>
      </c>
      <c r="AD112" s="16">
        <f t="shared" si="36"/>
        <v>0</v>
      </c>
      <c r="AE112" s="16">
        <f t="shared" si="37"/>
        <v>0</v>
      </c>
      <c r="AF112" s="16">
        <f t="shared" si="38"/>
        <v>0</v>
      </c>
      <c r="AG112" s="16">
        <f t="shared" si="39"/>
        <v>0</v>
      </c>
      <c r="AH112" s="16">
        <f t="shared" si="40"/>
        <v>0</v>
      </c>
      <c r="AI112" s="16">
        <f t="shared" si="41"/>
        <v>0</v>
      </c>
      <c r="AJ112" s="16">
        <f t="shared" si="42"/>
        <v>0</v>
      </c>
      <c r="AK112" s="16">
        <f t="shared" si="43"/>
        <v>0</v>
      </c>
      <c r="AL112" s="16">
        <f t="shared" si="44"/>
        <v>0</v>
      </c>
      <c r="AM112" s="16">
        <f t="shared" si="45"/>
        <v>0</v>
      </c>
      <c r="AN112" s="16">
        <f t="shared" si="46"/>
        <v>0</v>
      </c>
      <c r="AO112" s="16">
        <f t="shared" si="47"/>
        <v>0</v>
      </c>
      <c r="AP112" s="16">
        <f t="shared" si="48"/>
        <v>0</v>
      </c>
      <c r="AQ112" s="16">
        <f t="shared" si="49"/>
        <v>0</v>
      </c>
      <c r="AR112" s="16">
        <f t="shared" si="50"/>
        <v>0</v>
      </c>
      <c r="AS112" s="16">
        <f t="shared" si="51"/>
        <v>0</v>
      </c>
      <c r="AT112" s="16">
        <f t="shared" si="52"/>
        <v>0</v>
      </c>
      <c r="AU112" s="16">
        <f t="shared" si="53"/>
        <v>0</v>
      </c>
      <c r="AV112" s="16">
        <f t="shared" si="54"/>
        <v>0</v>
      </c>
      <c r="AW112" s="16">
        <f t="shared" si="55"/>
        <v>0</v>
      </c>
    </row>
    <row r="113" spans="1:77">
      <c r="A113" s="904"/>
      <c r="B113" s="999">
        <f>Rezone!J113</f>
        <v>111</v>
      </c>
      <c r="C113" s="64">
        <f>Construction!E113</f>
        <v>1000</v>
      </c>
      <c r="D113" s="26">
        <f>Production!P113</f>
        <v>0</v>
      </c>
      <c r="E113" s="57">
        <f>Production!Q113</f>
        <v>6426</v>
      </c>
      <c r="W113" s="52">
        <f t="shared" si="56"/>
        <v>0</v>
      </c>
      <c r="X113" s="16">
        <f t="shared" si="30"/>
        <v>0</v>
      </c>
      <c r="Y113" s="16">
        <f t="shared" si="31"/>
        <v>0</v>
      </c>
      <c r="Z113" s="16">
        <f t="shared" si="32"/>
        <v>0</v>
      </c>
      <c r="AA113" s="16">
        <f t="shared" si="33"/>
        <v>0</v>
      </c>
      <c r="AB113" s="16">
        <f t="shared" si="34"/>
        <v>0</v>
      </c>
      <c r="AC113" s="16">
        <f t="shared" si="35"/>
        <v>0</v>
      </c>
      <c r="AD113" s="16">
        <f t="shared" si="36"/>
        <v>0</v>
      </c>
      <c r="AE113" s="16">
        <f t="shared" si="37"/>
        <v>0</v>
      </c>
      <c r="AF113" s="16">
        <f t="shared" si="38"/>
        <v>0</v>
      </c>
      <c r="AG113" s="16">
        <f t="shared" si="39"/>
        <v>0</v>
      </c>
      <c r="AH113" s="16">
        <f t="shared" si="40"/>
        <v>0</v>
      </c>
      <c r="AI113" s="16">
        <f t="shared" si="41"/>
        <v>0</v>
      </c>
      <c r="AJ113" s="16">
        <f t="shared" si="42"/>
        <v>0</v>
      </c>
      <c r="AK113" s="16">
        <f t="shared" si="43"/>
        <v>0</v>
      </c>
      <c r="AL113" s="16">
        <f t="shared" si="44"/>
        <v>0</v>
      </c>
      <c r="AM113" s="16">
        <f t="shared" si="45"/>
        <v>0</v>
      </c>
      <c r="AN113" s="16">
        <f t="shared" si="46"/>
        <v>0</v>
      </c>
      <c r="AO113" s="16">
        <f t="shared" si="47"/>
        <v>0</v>
      </c>
      <c r="AP113" s="16">
        <f t="shared" si="48"/>
        <v>0</v>
      </c>
      <c r="AQ113" s="16">
        <f t="shared" si="49"/>
        <v>0</v>
      </c>
      <c r="AR113" s="16">
        <f t="shared" si="50"/>
        <v>0</v>
      </c>
      <c r="AS113" s="16">
        <f t="shared" si="51"/>
        <v>0</v>
      </c>
      <c r="AT113" s="16">
        <f t="shared" si="52"/>
        <v>0</v>
      </c>
      <c r="AU113" s="16">
        <f t="shared" si="53"/>
        <v>0</v>
      </c>
      <c r="AV113" s="16">
        <f t="shared" si="54"/>
        <v>0</v>
      </c>
      <c r="AW113" s="16">
        <f t="shared" si="55"/>
        <v>0</v>
      </c>
    </row>
    <row r="114" spans="1:77">
      <c r="A114" s="904"/>
      <c r="B114" s="999">
        <f>Rezone!J114</f>
        <v>112</v>
      </c>
      <c r="C114" s="64">
        <f>Construction!E114</f>
        <v>1000</v>
      </c>
      <c r="D114" s="26">
        <f>Production!P114</f>
        <v>0</v>
      </c>
      <c r="E114" s="57">
        <f>Production!Q114</f>
        <v>6426</v>
      </c>
      <c r="W114" s="52">
        <f t="shared" si="56"/>
        <v>0</v>
      </c>
      <c r="X114" s="16">
        <f t="shared" si="30"/>
        <v>0</v>
      </c>
      <c r="Y114" s="16">
        <f t="shared" si="31"/>
        <v>0</v>
      </c>
      <c r="Z114" s="16">
        <f t="shared" si="32"/>
        <v>0</v>
      </c>
      <c r="AA114" s="16">
        <f t="shared" si="33"/>
        <v>0</v>
      </c>
      <c r="AB114" s="16">
        <f t="shared" si="34"/>
        <v>0</v>
      </c>
      <c r="AC114" s="16">
        <f t="shared" si="35"/>
        <v>0</v>
      </c>
      <c r="AD114" s="16">
        <f t="shared" si="36"/>
        <v>0</v>
      </c>
      <c r="AE114" s="16">
        <f t="shared" si="37"/>
        <v>0</v>
      </c>
      <c r="AF114" s="16">
        <f t="shared" si="38"/>
        <v>0</v>
      </c>
      <c r="AG114" s="16">
        <f t="shared" si="39"/>
        <v>0</v>
      </c>
      <c r="AH114" s="16">
        <f t="shared" si="40"/>
        <v>0</v>
      </c>
      <c r="AI114" s="16">
        <f t="shared" si="41"/>
        <v>0</v>
      </c>
      <c r="AJ114" s="16">
        <f t="shared" si="42"/>
        <v>0</v>
      </c>
      <c r="AK114" s="16">
        <f t="shared" si="43"/>
        <v>0</v>
      </c>
      <c r="AL114" s="16">
        <f t="shared" si="44"/>
        <v>0</v>
      </c>
      <c r="AM114" s="16">
        <f t="shared" si="45"/>
        <v>0</v>
      </c>
      <c r="AN114" s="16">
        <f t="shared" si="46"/>
        <v>0</v>
      </c>
      <c r="AO114" s="16">
        <f t="shared" si="47"/>
        <v>0</v>
      </c>
      <c r="AP114" s="16">
        <f t="shared" si="48"/>
        <v>0</v>
      </c>
      <c r="AQ114" s="16">
        <f t="shared" si="49"/>
        <v>0</v>
      </c>
      <c r="AR114" s="16">
        <f t="shared" si="50"/>
        <v>0</v>
      </c>
      <c r="AS114" s="16">
        <f t="shared" si="51"/>
        <v>0</v>
      </c>
      <c r="AT114" s="16">
        <f t="shared" si="52"/>
        <v>0</v>
      </c>
      <c r="AU114" s="16">
        <f t="shared" si="53"/>
        <v>0</v>
      </c>
      <c r="AV114" s="16">
        <f t="shared" si="54"/>
        <v>0</v>
      </c>
      <c r="AW114" s="16">
        <f t="shared" si="55"/>
        <v>0</v>
      </c>
    </row>
    <row r="115" spans="1:77">
      <c r="A115" s="904"/>
      <c r="B115" s="999">
        <f>Rezone!J115</f>
        <v>113</v>
      </c>
      <c r="C115" s="64">
        <f>Construction!E115</f>
        <v>1000</v>
      </c>
      <c r="D115" s="26">
        <f>Production!P115</f>
        <v>0</v>
      </c>
      <c r="E115" s="57">
        <f>Production!Q115</f>
        <v>6426</v>
      </c>
      <c r="W115" s="52">
        <f t="shared" si="56"/>
        <v>0</v>
      </c>
      <c r="X115" s="16">
        <f t="shared" si="30"/>
        <v>0</v>
      </c>
      <c r="Y115" s="16">
        <f t="shared" si="31"/>
        <v>0</v>
      </c>
      <c r="Z115" s="16">
        <f t="shared" si="32"/>
        <v>0</v>
      </c>
      <c r="AA115" s="16">
        <f t="shared" si="33"/>
        <v>0</v>
      </c>
      <c r="AB115" s="16">
        <f t="shared" si="34"/>
        <v>0</v>
      </c>
      <c r="AC115" s="16">
        <f t="shared" si="35"/>
        <v>0</v>
      </c>
      <c r="AD115" s="16">
        <f t="shared" si="36"/>
        <v>0</v>
      </c>
      <c r="AE115" s="16">
        <f t="shared" si="37"/>
        <v>0</v>
      </c>
      <c r="AF115" s="16">
        <f t="shared" si="38"/>
        <v>0</v>
      </c>
      <c r="AG115" s="16">
        <f t="shared" si="39"/>
        <v>0</v>
      </c>
      <c r="AH115" s="16">
        <f t="shared" si="40"/>
        <v>0</v>
      </c>
      <c r="AI115" s="16">
        <f t="shared" si="41"/>
        <v>0</v>
      </c>
      <c r="AJ115" s="16">
        <f t="shared" si="42"/>
        <v>0</v>
      </c>
      <c r="AK115" s="16">
        <f t="shared" si="43"/>
        <v>0</v>
      </c>
      <c r="AL115" s="16">
        <f t="shared" si="44"/>
        <v>0</v>
      </c>
      <c r="AM115" s="16">
        <f t="shared" si="45"/>
        <v>0</v>
      </c>
      <c r="AN115" s="16">
        <f t="shared" si="46"/>
        <v>0</v>
      </c>
      <c r="AO115" s="16">
        <f t="shared" si="47"/>
        <v>0</v>
      </c>
      <c r="AP115" s="16">
        <f t="shared" si="48"/>
        <v>0</v>
      </c>
      <c r="AQ115" s="16">
        <f t="shared" si="49"/>
        <v>0</v>
      </c>
      <c r="AR115" s="16">
        <f t="shared" si="50"/>
        <v>0</v>
      </c>
      <c r="AS115" s="16">
        <f t="shared" si="51"/>
        <v>0</v>
      </c>
      <c r="AT115" s="16">
        <f t="shared" si="52"/>
        <v>0</v>
      </c>
      <c r="AU115" s="16">
        <f t="shared" si="53"/>
        <v>0</v>
      </c>
      <c r="AV115" s="16">
        <f t="shared" si="54"/>
        <v>0</v>
      </c>
      <c r="AW115" s="16">
        <f t="shared" si="55"/>
        <v>0</v>
      </c>
    </row>
    <row r="116" spans="1:77">
      <c r="A116" s="904"/>
      <c r="B116" s="999">
        <f>Rezone!J116</f>
        <v>114</v>
      </c>
      <c r="C116" s="64">
        <f>Construction!E116</f>
        <v>1000</v>
      </c>
      <c r="D116" s="26">
        <f>Production!P116</f>
        <v>0</v>
      </c>
      <c r="E116" s="57">
        <f>Production!Q116</f>
        <v>6426</v>
      </c>
      <c r="W116" s="52">
        <f t="shared" si="56"/>
        <v>0</v>
      </c>
      <c r="X116" s="16">
        <f t="shared" si="30"/>
        <v>0</v>
      </c>
      <c r="Y116" s="16">
        <f t="shared" si="31"/>
        <v>0</v>
      </c>
      <c r="Z116" s="16">
        <f t="shared" si="32"/>
        <v>0</v>
      </c>
      <c r="AA116" s="16">
        <f t="shared" si="33"/>
        <v>0</v>
      </c>
      <c r="AB116" s="16">
        <f t="shared" si="34"/>
        <v>0</v>
      </c>
      <c r="AC116" s="16">
        <f t="shared" si="35"/>
        <v>0</v>
      </c>
      <c r="AD116" s="16">
        <f t="shared" si="36"/>
        <v>0</v>
      </c>
      <c r="AE116" s="16">
        <f t="shared" si="37"/>
        <v>0</v>
      </c>
      <c r="AF116" s="16">
        <f t="shared" si="38"/>
        <v>0</v>
      </c>
      <c r="AG116" s="16">
        <f t="shared" si="39"/>
        <v>0</v>
      </c>
      <c r="AH116" s="16">
        <f t="shared" si="40"/>
        <v>0</v>
      </c>
      <c r="AI116" s="16">
        <f t="shared" si="41"/>
        <v>0</v>
      </c>
      <c r="AJ116" s="16">
        <f t="shared" si="42"/>
        <v>0</v>
      </c>
      <c r="AK116" s="16">
        <f t="shared" si="43"/>
        <v>0</v>
      </c>
      <c r="AL116" s="16">
        <f t="shared" si="44"/>
        <v>0</v>
      </c>
      <c r="AM116" s="16">
        <f t="shared" si="45"/>
        <v>0</v>
      </c>
      <c r="AN116" s="16">
        <f t="shared" si="46"/>
        <v>0</v>
      </c>
      <c r="AO116" s="16">
        <f t="shared" si="47"/>
        <v>0</v>
      </c>
      <c r="AP116" s="16">
        <f t="shared" si="48"/>
        <v>0</v>
      </c>
      <c r="AQ116" s="16">
        <f t="shared" si="49"/>
        <v>0</v>
      </c>
      <c r="AR116" s="16">
        <f t="shared" si="50"/>
        <v>0</v>
      </c>
      <c r="AS116" s="16">
        <f t="shared" si="51"/>
        <v>0</v>
      </c>
      <c r="AT116" s="16">
        <f t="shared" si="52"/>
        <v>0</v>
      </c>
      <c r="AU116" s="16">
        <f t="shared" si="53"/>
        <v>0</v>
      </c>
      <c r="AV116" s="16">
        <f t="shared" si="54"/>
        <v>0</v>
      </c>
      <c r="AW116" s="16">
        <f t="shared" si="55"/>
        <v>0</v>
      </c>
    </row>
    <row r="117" spans="1:77">
      <c r="A117" s="904"/>
      <c r="B117" s="999">
        <f>Rezone!J117</f>
        <v>115</v>
      </c>
      <c r="C117" s="64">
        <f>Construction!E117</f>
        <v>1000</v>
      </c>
      <c r="D117" s="26">
        <f>Production!P117</f>
        <v>0</v>
      </c>
      <c r="E117" s="57">
        <f>Production!Q117</f>
        <v>6426</v>
      </c>
      <c r="W117" s="52">
        <f t="shared" si="56"/>
        <v>0</v>
      </c>
      <c r="X117" s="16">
        <f t="shared" si="30"/>
        <v>0</v>
      </c>
      <c r="Y117" s="16">
        <f t="shared" si="31"/>
        <v>0</v>
      </c>
      <c r="Z117" s="16">
        <f t="shared" si="32"/>
        <v>0</v>
      </c>
      <c r="AA117" s="16">
        <f t="shared" si="33"/>
        <v>0</v>
      </c>
      <c r="AB117" s="16">
        <f t="shared" si="34"/>
        <v>0</v>
      </c>
      <c r="AC117" s="16">
        <f t="shared" si="35"/>
        <v>0</v>
      </c>
      <c r="AD117" s="16">
        <f t="shared" si="36"/>
        <v>0</v>
      </c>
      <c r="AE117" s="16">
        <f t="shared" si="37"/>
        <v>0</v>
      </c>
      <c r="AF117" s="16">
        <f t="shared" si="38"/>
        <v>0</v>
      </c>
      <c r="AG117" s="16">
        <f t="shared" si="39"/>
        <v>0</v>
      </c>
      <c r="AH117" s="16">
        <f t="shared" si="40"/>
        <v>0</v>
      </c>
      <c r="AI117" s="16">
        <f t="shared" si="41"/>
        <v>0</v>
      </c>
      <c r="AJ117" s="16">
        <f t="shared" si="42"/>
        <v>0</v>
      </c>
      <c r="AK117" s="16">
        <f t="shared" si="43"/>
        <v>0</v>
      </c>
      <c r="AL117" s="16">
        <f t="shared" si="44"/>
        <v>0</v>
      </c>
      <c r="AM117" s="16">
        <f t="shared" si="45"/>
        <v>0</v>
      </c>
      <c r="AN117" s="16">
        <f t="shared" si="46"/>
        <v>0</v>
      </c>
      <c r="AO117" s="16">
        <f t="shared" si="47"/>
        <v>0</v>
      </c>
      <c r="AP117" s="16">
        <f t="shared" si="48"/>
        <v>0</v>
      </c>
      <c r="AQ117" s="16">
        <f t="shared" si="49"/>
        <v>0</v>
      </c>
      <c r="AR117" s="16">
        <f t="shared" si="50"/>
        <v>0</v>
      </c>
      <c r="AS117" s="16">
        <f t="shared" si="51"/>
        <v>0</v>
      </c>
      <c r="AT117" s="16">
        <f t="shared" si="52"/>
        <v>0</v>
      </c>
      <c r="AU117" s="16">
        <f t="shared" si="53"/>
        <v>0</v>
      </c>
      <c r="AV117" s="16">
        <f t="shared" si="54"/>
        <v>0</v>
      </c>
      <c r="AW117" s="16">
        <f t="shared" si="55"/>
        <v>0</v>
      </c>
    </row>
    <row r="118" spans="1:77">
      <c r="A118" s="904"/>
      <c r="B118" s="999">
        <f>Rezone!J118</f>
        <v>116</v>
      </c>
      <c r="C118" s="64">
        <f>Construction!E118</f>
        <v>1000</v>
      </c>
      <c r="D118" s="26">
        <f>Production!P118</f>
        <v>0</v>
      </c>
      <c r="E118" s="57">
        <f>Production!Q118</f>
        <v>6426</v>
      </c>
      <c r="W118" s="52">
        <f t="shared" si="56"/>
        <v>0</v>
      </c>
      <c r="X118" s="16">
        <f t="shared" si="30"/>
        <v>0</v>
      </c>
      <c r="Y118" s="16">
        <f t="shared" si="31"/>
        <v>0</v>
      </c>
      <c r="Z118" s="16">
        <f t="shared" si="32"/>
        <v>0</v>
      </c>
      <c r="AA118" s="16">
        <f t="shared" si="33"/>
        <v>0</v>
      </c>
      <c r="AB118" s="16">
        <f t="shared" si="34"/>
        <v>0</v>
      </c>
      <c r="AC118" s="16">
        <f t="shared" si="35"/>
        <v>0</v>
      </c>
      <c r="AD118" s="16">
        <f t="shared" si="36"/>
        <v>0</v>
      </c>
      <c r="AE118" s="16">
        <f t="shared" si="37"/>
        <v>0</v>
      </c>
      <c r="AF118" s="16">
        <f t="shared" si="38"/>
        <v>0</v>
      </c>
      <c r="AG118" s="16">
        <f t="shared" si="39"/>
        <v>0</v>
      </c>
      <c r="AH118" s="16">
        <f t="shared" si="40"/>
        <v>0</v>
      </c>
      <c r="AI118" s="16">
        <f t="shared" si="41"/>
        <v>0</v>
      </c>
      <c r="AJ118" s="16">
        <f t="shared" si="42"/>
        <v>0</v>
      </c>
      <c r="AK118" s="16">
        <f t="shared" si="43"/>
        <v>0</v>
      </c>
      <c r="AL118" s="16">
        <f t="shared" si="44"/>
        <v>0</v>
      </c>
      <c r="AM118" s="16">
        <f t="shared" si="45"/>
        <v>0</v>
      </c>
      <c r="AN118" s="16">
        <f t="shared" si="46"/>
        <v>0</v>
      </c>
      <c r="AO118" s="16">
        <f t="shared" si="47"/>
        <v>0</v>
      </c>
      <c r="AP118" s="16">
        <f t="shared" si="48"/>
        <v>0</v>
      </c>
      <c r="AQ118" s="16">
        <f t="shared" si="49"/>
        <v>0</v>
      </c>
      <c r="AR118" s="16">
        <f t="shared" si="50"/>
        <v>0</v>
      </c>
      <c r="AS118" s="16">
        <f t="shared" si="51"/>
        <v>0</v>
      </c>
      <c r="AT118" s="16">
        <f t="shared" si="52"/>
        <v>0</v>
      </c>
      <c r="AU118" s="16">
        <f t="shared" si="53"/>
        <v>0</v>
      </c>
      <c r="AV118" s="16">
        <f t="shared" si="54"/>
        <v>0</v>
      </c>
      <c r="AW118" s="16">
        <f t="shared" si="55"/>
        <v>0</v>
      </c>
    </row>
    <row r="119" spans="1:77">
      <c r="A119" s="904"/>
      <c r="B119" s="999">
        <f>Rezone!J119</f>
        <v>117</v>
      </c>
      <c r="C119" s="64">
        <f>Construction!E119</f>
        <v>1000</v>
      </c>
      <c r="D119" s="26">
        <f>Production!P119</f>
        <v>0</v>
      </c>
      <c r="E119" s="57">
        <f>Production!Q119</f>
        <v>6426</v>
      </c>
      <c r="W119" s="52">
        <f t="shared" si="56"/>
        <v>0</v>
      </c>
      <c r="X119" s="16">
        <f t="shared" si="30"/>
        <v>0</v>
      </c>
      <c r="Y119" s="16">
        <f t="shared" si="31"/>
        <v>0</v>
      </c>
      <c r="Z119" s="16">
        <f t="shared" si="32"/>
        <v>0</v>
      </c>
      <c r="AA119" s="16">
        <f t="shared" si="33"/>
        <v>0</v>
      </c>
      <c r="AB119" s="16">
        <f t="shared" si="34"/>
        <v>0</v>
      </c>
      <c r="AC119" s="16">
        <f t="shared" si="35"/>
        <v>0</v>
      </c>
      <c r="AD119" s="16">
        <f t="shared" si="36"/>
        <v>0</v>
      </c>
      <c r="AE119" s="16">
        <f t="shared" si="37"/>
        <v>0</v>
      </c>
      <c r="AF119" s="16">
        <f t="shared" si="38"/>
        <v>0</v>
      </c>
      <c r="AG119" s="16">
        <f t="shared" si="39"/>
        <v>0</v>
      </c>
      <c r="AH119" s="16">
        <f t="shared" si="40"/>
        <v>0</v>
      </c>
      <c r="AI119" s="16">
        <f t="shared" si="41"/>
        <v>0</v>
      </c>
      <c r="AJ119" s="16">
        <f t="shared" si="42"/>
        <v>0</v>
      </c>
      <c r="AK119" s="16">
        <f t="shared" si="43"/>
        <v>0</v>
      </c>
      <c r="AL119" s="16">
        <f t="shared" si="44"/>
        <v>0</v>
      </c>
      <c r="AM119" s="16">
        <f t="shared" si="45"/>
        <v>0</v>
      </c>
      <c r="AN119" s="16">
        <f t="shared" si="46"/>
        <v>0</v>
      </c>
      <c r="AO119" s="16">
        <f t="shared" si="47"/>
        <v>0</v>
      </c>
      <c r="AP119" s="16">
        <f t="shared" si="48"/>
        <v>0</v>
      </c>
      <c r="AQ119" s="16">
        <f t="shared" si="49"/>
        <v>0</v>
      </c>
      <c r="AR119" s="16">
        <f t="shared" si="50"/>
        <v>0</v>
      </c>
      <c r="AS119" s="16">
        <f t="shared" si="51"/>
        <v>0</v>
      </c>
      <c r="AT119" s="16">
        <f t="shared" si="52"/>
        <v>0</v>
      </c>
      <c r="AU119" s="16">
        <f t="shared" si="53"/>
        <v>0</v>
      </c>
      <c r="AV119" s="16">
        <f t="shared" si="54"/>
        <v>0</v>
      </c>
      <c r="AW119" s="16">
        <f t="shared" si="55"/>
        <v>0</v>
      </c>
    </row>
    <row r="120" spans="1:77">
      <c r="A120" s="904"/>
      <c r="B120" s="999">
        <f>Rezone!J120</f>
        <v>118</v>
      </c>
      <c r="C120" s="64">
        <f>Construction!E120</f>
        <v>1000</v>
      </c>
      <c r="D120" s="26">
        <f>Production!P120</f>
        <v>0</v>
      </c>
      <c r="E120" s="57">
        <f>Production!Q120</f>
        <v>6426</v>
      </c>
      <c r="W120" s="52">
        <f t="shared" si="56"/>
        <v>0</v>
      </c>
      <c r="X120" s="16">
        <f t="shared" si="30"/>
        <v>0</v>
      </c>
      <c r="Y120" s="16">
        <f t="shared" si="31"/>
        <v>0</v>
      </c>
      <c r="Z120" s="16">
        <f t="shared" si="32"/>
        <v>0</v>
      </c>
      <c r="AA120" s="16">
        <f t="shared" si="33"/>
        <v>0</v>
      </c>
      <c r="AB120" s="16">
        <f t="shared" si="34"/>
        <v>0</v>
      </c>
      <c r="AC120" s="16">
        <f t="shared" si="35"/>
        <v>0</v>
      </c>
      <c r="AD120" s="16">
        <f t="shared" si="36"/>
        <v>0</v>
      </c>
      <c r="AE120" s="16">
        <f t="shared" si="37"/>
        <v>0</v>
      </c>
      <c r="AF120" s="16">
        <f t="shared" si="38"/>
        <v>0</v>
      </c>
      <c r="AG120" s="16">
        <f t="shared" si="39"/>
        <v>0</v>
      </c>
      <c r="AH120" s="16">
        <f t="shared" si="40"/>
        <v>0</v>
      </c>
      <c r="AI120" s="16">
        <f t="shared" si="41"/>
        <v>0</v>
      </c>
      <c r="AJ120" s="16">
        <f t="shared" si="42"/>
        <v>0</v>
      </c>
      <c r="AK120" s="16">
        <f t="shared" si="43"/>
        <v>0</v>
      </c>
      <c r="AL120" s="16">
        <f t="shared" si="44"/>
        <v>0</v>
      </c>
      <c r="AM120" s="16">
        <f t="shared" si="45"/>
        <v>0</v>
      </c>
      <c r="AN120" s="16">
        <f t="shared" si="46"/>
        <v>0</v>
      </c>
      <c r="AO120" s="16">
        <f t="shared" si="47"/>
        <v>0</v>
      </c>
      <c r="AP120" s="16">
        <f t="shared" si="48"/>
        <v>0</v>
      </c>
      <c r="AQ120" s="16">
        <f t="shared" si="49"/>
        <v>0</v>
      </c>
      <c r="AR120" s="16">
        <f t="shared" si="50"/>
        <v>0</v>
      </c>
      <c r="AS120" s="16">
        <f t="shared" si="51"/>
        <v>0</v>
      </c>
      <c r="AT120" s="16">
        <f t="shared" si="52"/>
        <v>0</v>
      </c>
      <c r="AU120" s="16">
        <f t="shared" si="53"/>
        <v>0</v>
      </c>
      <c r="AV120" s="16">
        <f t="shared" si="54"/>
        <v>0</v>
      </c>
      <c r="AW120" s="16">
        <f t="shared" si="55"/>
        <v>0</v>
      </c>
    </row>
    <row r="121" spans="1:77">
      <c r="A121" s="904"/>
      <c r="B121" s="999">
        <f>Rezone!J121</f>
        <v>119</v>
      </c>
      <c r="C121" s="64">
        <f>Construction!E121</f>
        <v>1000</v>
      </c>
      <c r="D121" s="26">
        <f>Production!P121</f>
        <v>0</v>
      </c>
      <c r="E121" s="57">
        <f>Production!Q121</f>
        <v>6426</v>
      </c>
      <c r="W121" s="52">
        <f t="shared" si="56"/>
        <v>0</v>
      </c>
      <c r="X121" s="16">
        <f t="shared" si="30"/>
        <v>0</v>
      </c>
      <c r="Y121" s="16">
        <f t="shared" si="31"/>
        <v>0</v>
      </c>
      <c r="Z121" s="16">
        <f t="shared" si="32"/>
        <v>0</v>
      </c>
      <c r="AA121" s="16">
        <f t="shared" si="33"/>
        <v>0</v>
      </c>
      <c r="AB121" s="16">
        <f t="shared" si="34"/>
        <v>0</v>
      </c>
      <c r="AC121" s="16">
        <f t="shared" si="35"/>
        <v>0</v>
      </c>
      <c r="AD121" s="16">
        <f t="shared" si="36"/>
        <v>0</v>
      </c>
      <c r="AE121" s="16">
        <f t="shared" si="37"/>
        <v>0</v>
      </c>
      <c r="AF121" s="16">
        <f t="shared" si="38"/>
        <v>0</v>
      </c>
      <c r="AG121" s="16">
        <f t="shared" si="39"/>
        <v>0</v>
      </c>
      <c r="AH121" s="16">
        <f t="shared" si="40"/>
        <v>0</v>
      </c>
      <c r="AI121" s="16">
        <f t="shared" si="41"/>
        <v>0</v>
      </c>
      <c r="AJ121" s="16">
        <f t="shared" si="42"/>
        <v>0</v>
      </c>
      <c r="AK121" s="16">
        <f t="shared" si="43"/>
        <v>0</v>
      </c>
      <c r="AL121" s="16">
        <f t="shared" si="44"/>
        <v>0</v>
      </c>
      <c r="AM121" s="16">
        <f t="shared" si="45"/>
        <v>0</v>
      </c>
      <c r="AN121" s="16">
        <f t="shared" si="46"/>
        <v>0</v>
      </c>
      <c r="AO121" s="16">
        <f t="shared" si="47"/>
        <v>0</v>
      </c>
      <c r="AP121" s="16">
        <f t="shared" si="48"/>
        <v>0</v>
      </c>
      <c r="AQ121" s="16">
        <f t="shared" si="49"/>
        <v>0</v>
      </c>
      <c r="AR121" s="16">
        <f t="shared" si="50"/>
        <v>0</v>
      </c>
      <c r="AS121" s="16">
        <f t="shared" si="51"/>
        <v>0</v>
      </c>
      <c r="AT121" s="16">
        <f t="shared" si="52"/>
        <v>0</v>
      </c>
      <c r="AU121" s="16">
        <f t="shared" si="53"/>
        <v>0</v>
      </c>
      <c r="AV121" s="16">
        <f t="shared" si="54"/>
        <v>0</v>
      </c>
      <c r="AW121" s="16">
        <f t="shared" si="55"/>
        <v>0</v>
      </c>
    </row>
    <row r="122" spans="1:77" ht="13.5" thickBot="1">
      <c r="A122" s="904"/>
      <c r="B122" s="999">
        <f>Rezone!J122</f>
        <v>120</v>
      </c>
      <c r="C122" s="64">
        <f>Construction!E122</f>
        <v>1000</v>
      </c>
      <c r="D122" s="26">
        <f>Production!P122</f>
        <v>0</v>
      </c>
      <c r="E122" s="57">
        <f>Production!Q122</f>
        <v>6426</v>
      </c>
      <c r="W122" s="52">
        <f t="shared" si="56"/>
        <v>0</v>
      </c>
      <c r="X122" s="16">
        <f t="shared" si="30"/>
        <v>0</v>
      </c>
      <c r="Y122" s="16">
        <f t="shared" si="31"/>
        <v>0</v>
      </c>
      <c r="Z122" s="16">
        <f t="shared" si="32"/>
        <v>0</v>
      </c>
      <c r="AA122" s="16">
        <f t="shared" si="33"/>
        <v>0</v>
      </c>
      <c r="AB122" s="16">
        <f t="shared" si="34"/>
        <v>0</v>
      </c>
      <c r="AC122" s="16">
        <f t="shared" si="35"/>
        <v>0</v>
      </c>
      <c r="AD122" s="16">
        <f t="shared" si="36"/>
        <v>0</v>
      </c>
      <c r="AE122" s="16">
        <f t="shared" si="37"/>
        <v>0</v>
      </c>
      <c r="AF122" s="16">
        <f t="shared" si="38"/>
        <v>0</v>
      </c>
      <c r="AG122" s="16">
        <f t="shared" si="39"/>
        <v>0</v>
      </c>
      <c r="AH122" s="16">
        <f t="shared" si="40"/>
        <v>0</v>
      </c>
      <c r="AI122" s="16">
        <f t="shared" si="41"/>
        <v>0</v>
      </c>
      <c r="AJ122" s="16">
        <f t="shared" si="42"/>
        <v>0</v>
      </c>
      <c r="AK122" s="16">
        <f t="shared" si="43"/>
        <v>0</v>
      </c>
      <c r="AL122" s="16">
        <f t="shared" si="44"/>
        <v>0</v>
      </c>
      <c r="AM122" s="16">
        <f t="shared" si="45"/>
        <v>0</v>
      </c>
      <c r="AN122" s="16">
        <f t="shared" si="46"/>
        <v>0</v>
      </c>
      <c r="AO122" s="16">
        <f t="shared" si="47"/>
        <v>0</v>
      </c>
      <c r="AP122" s="16">
        <f t="shared" si="48"/>
        <v>0</v>
      </c>
      <c r="AQ122" s="16">
        <f t="shared" si="49"/>
        <v>0</v>
      </c>
      <c r="AR122" s="16">
        <f t="shared" si="50"/>
        <v>0</v>
      </c>
      <c r="AS122" s="16">
        <f t="shared" si="51"/>
        <v>0</v>
      </c>
      <c r="AT122" s="16">
        <f t="shared" si="52"/>
        <v>0</v>
      </c>
      <c r="AU122" s="16">
        <f t="shared" si="53"/>
        <v>0</v>
      </c>
      <c r="AV122" s="16">
        <f t="shared" si="54"/>
        <v>0</v>
      </c>
      <c r="AW122" s="16">
        <f t="shared" si="55"/>
        <v>0</v>
      </c>
    </row>
    <row r="123" spans="1:77" s="111" customFormat="1" ht="14.25" thickTop="1" thickBot="1">
      <c r="A123" s="907"/>
      <c r="B123" s="1003">
        <f>Rezone!J123</f>
        <v>121</v>
      </c>
      <c r="C123" s="117">
        <f>Construction!E123</f>
        <v>1000</v>
      </c>
      <c r="D123" s="108">
        <f>Production!P123</f>
        <v>0</v>
      </c>
      <c r="E123" s="109">
        <f>Production!Q123</f>
        <v>6426</v>
      </c>
      <c r="W123" s="113">
        <f t="shared" si="56"/>
        <v>0</v>
      </c>
      <c r="X123" s="111">
        <f t="shared" si="30"/>
        <v>0</v>
      </c>
      <c r="Y123" s="111">
        <f t="shared" si="31"/>
        <v>0</v>
      </c>
      <c r="Z123" s="111">
        <f t="shared" si="32"/>
        <v>0</v>
      </c>
      <c r="AA123" s="111">
        <f t="shared" si="33"/>
        <v>0</v>
      </c>
      <c r="AB123" s="111">
        <f t="shared" si="34"/>
        <v>0</v>
      </c>
      <c r="AC123" s="111">
        <f t="shared" si="35"/>
        <v>0</v>
      </c>
      <c r="AD123" s="111">
        <f t="shared" si="36"/>
        <v>0</v>
      </c>
      <c r="AE123" s="111">
        <f t="shared" si="37"/>
        <v>0</v>
      </c>
      <c r="AF123" s="111">
        <f t="shared" si="38"/>
        <v>0</v>
      </c>
      <c r="AG123" s="111">
        <f t="shared" si="39"/>
        <v>0</v>
      </c>
      <c r="AH123" s="111">
        <f t="shared" si="40"/>
        <v>0</v>
      </c>
      <c r="AI123" s="111">
        <f t="shared" si="41"/>
        <v>0</v>
      </c>
      <c r="AJ123" s="111">
        <f t="shared" si="42"/>
        <v>0</v>
      </c>
      <c r="AK123" s="111">
        <f t="shared" si="43"/>
        <v>0</v>
      </c>
      <c r="AL123" s="111">
        <f t="shared" si="44"/>
        <v>0</v>
      </c>
      <c r="AM123" s="111">
        <f t="shared" si="45"/>
        <v>0</v>
      </c>
      <c r="AN123" s="111">
        <f t="shared" si="46"/>
        <v>0</v>
      </c>
      <c r="AO123" s="111">
        <f t="shared" si="47"/>
        <v>0</v>
      </c>
      <c r="AP123" s="111">
        <f t="shared" si="48"/>
        <v>0</v>
      </c>
      <c r="AQ123" s="111">
        <f t="shared" si="49"/>
        <v>0</v>
      </c>
      <c r="AR123" s="111">
        <f t="shared" si="50"/>
        <v>0</v>
      </c>
      <c r="AS123" s="111">
        <f t="shared" si="51"/>
        <v>0</v>
      </c>
      <c r="AT123" s="111">
        <f t="shared" si="52"/>
        <v>0</v>
      </c>
      <c r="AU123" s="111">
        <f t="shared" si="53"/>
        <v>0</v>
      </c>
      <c r="AV123" s="111">
        <f t="shared" si="54"/>
        <v>0</v>
      </c>
      <c r="AW123" s="111">
        <f t="shared" si="55"/>
        <v>0</v>
      </c>
      <c r="AX123" s="116"/>
      <c r="BY123" s="115"/>
    </row>
    <row r="124" spans="1:77" ht="13.5" thickTop="1">
      <c r="A124" s="904"/>
      <c r="B124" s="999">
        <f>Rezone!J124</f>
        <v>122</v>
      </c>
      <c r="C124" s="64">
        <f>Construction!E124</f>
        <v>1000</v>
      </c>
      <c r="D124" s="26">
        <f>Production!P124</f>
        <v>0</v>
      </c>
      <c r="E124" s="57">
        <f>Production!Q124</f>
        <v>6426</v>
      </c>
      <c r="W124" s="52">
        <f t="shared" si="56"/>
        <v>0</v>
      </c>
      <c r="X124" s="16">
        <f t="shared" si="30"/>
        <v>0</v>
      </c>
      <c r="Y124" s="16">
        <f t="shared" si="31"/>
        <v>0</v>
      </c>
      <c r="Z124" s="16">
        <f t="shared" si="32"/>
        <v>0</v>
      </c>
      <c r="AA124" s="16">
        <f t="shared" si="33"/>
        <v>0</v>
      </c>
      <c r="AB124" s="16">
        <f t="shared" si="34"/>
        <v>0</v>
      </c>
      <c r="AC124" s="16">
        <f t="shared" si="35"/>
        <v>0</v>
      </c>
      <c r="AD124" s="16">
        <f t="shared" si="36"/>
        <v>0</v>
      </c>
      <c r="AE124" s="16">
        <f t="shared" si="37"/>
        <v>0</v>
      </c>
      <c r="AF124" s="16">
        <f t="shared" si="38"/>
        <v>0</v>
      </c>
      <c r="AG124" s="16">
        <f t="shared" si="39"/>
        <v>0</v>
      </c>
      <c r="AH124" s="16">
        <f t="shared" si="40"/>
        <v>0</v>
      </c>
      <c r="AI124" s="16">
        <f t="shared" si="41"/>
        <v>0</v>
      </c>
      <c r="AJ124" s="16">
        <f t="shared" si="42"/>
        <v>0</v>
      </c>
      <c r="AK124" s="16">
        <f t="shared" si="43"/>
        <v>0</v>
      </c>
      <c r="AL124" s="16">
        <f t="shared" si="44"/>
        <v>0</v>
      </c>
      <c r="AM124" s="16">
        <f t="shared" si="45"/>
        <v>0</v>
      </c>
      <c r="AN124" s="16">
        <f t="shared" si="46"/>
        <v>0</v>
      </c>
      <c r="AO124" s="16">
        <f t="shared" si="47"/>
        <v>0</v>
      </c>
      <c r="AP124" s="16">
        <f t="shared" si="48"/>
        <v>0</v>
      </c>
      <c r="AQ124" s="16">
        <f t="shared" si="49"/>
        <v>0</v>
      </c>
      <c r="AR124" s="16">
        <f t="shared" si="50"/>
        <v>0</v>
      </c>
      <c r="AS124" s="16">
        <f t="shared" si="51"/>
        <v>0</v>
      </c>
      <c r="AT124" s="16">
        <f t="shared" si="52"/>
        <v>0</v>
      </c>
      <c r="AU124" s="16">
        <f t="shared" si="53"/>
        <v>0</v>
      </c>
      <c r="AV124" s="16">
        <f t="shared" si="54"/>
        <v>0</v>
      </c>
      <c r="AW124" s="16">
        <f t="shared" si="55"/>
        <v>0</v>
      </c>
    </row>
    <row r="125" spans="1:77">
      <c r="A125" s="904"/>
      <c r="B125" s="999">
        <f>Rezone!J125</f>
        <v>123</v>
      </c>
      <c r="C125" s="64">
        <f>Construction!E125</f>
        <v>1000</v>
      </c>
      <c r="D125" s="26">
        <f>Production!P125</f>
        <v>0</v>
      </c>
      <c r="E125" s="57">
        <f>Production!Q125</f>
        <v>6426</v>
      </c>
      <c r="W125" s="52">
        <f t="shared" si="56"/>
        <v>0</v>
      </c>
      <c r="X125" s="16">
        <f t="shared" si="30"/>
        <v>0</v>
      </c>
      <c r="Y125" s="16">
        <f t="shared" si="31"/>
        <v>0</v>
      </c>
      <c r="Z125" s="16">
        <f t="shared" si="32"/>
        <v>0</v>
      </c>
      <c r="AA125" s="16">
        <f t="shared" si="33"/>
        <v>0</v>
      </c>
      <c r="AB125" s="16">
        <f t="shared" si="34"/>
        <v>0</v>
      </c>
      <c r="AC125" s="16">
        <f t="shared" si="35"/>
        <v>0</v>
      </c>
      <c r="AD125" s="16">
        <f t="shared" si="36"/>
        <v>0</v>
      </c>
      <c r="AE125" s="16">
        <f t="shared" si="37"/>
        <v>0</v>
      </c>
      <c r="AF125" s="16">
        <f t="shared" si="38"/>
        <v>0</v>
      </c>
      <c r="AG125" s="16">
        <f t="shared" si="39"/>
        <v>0</v>
      </c>
      <c r="AH125" s="16">
        <f t="shared" si="40"/>
        <v>0</v>
      </c>
      <c r="AI125" s="16">
        <f t="shared" si="41"/>
        <v>0</v>
      </c>
      <c r="AJ125" s="16">
        <f t="shared" si="42"/>
        <v>0</v>
      </c>
      <c r="AK125" s="16">
        <f t="shared" si="43"/>
        <v>0</v>
      </c>
      <c r="AL125" s="16">
        <f t="shared" si="44"/>
        <v>0</v>
      </c>
      <c r="AM125" s="16">
        <f t="shared" si="45"/>
        <v>0</v>
      </c>
      <c r="AN125" s="16">
        <f t="shared" si="46"/>
        <v>0</v>
      </c>
      <c r="AO125" s="16">
        <f t="shared" si="47"/>
        <v>0</v>
      </c>
      <c r="AP125" s="16">
        <f t="shared" si="48"/>
        <v>0</v>
      </c>
      <c r="AQ125" s="16">
        <f t="shared" si="49"/>
        <v>0</v>
      </c>
      <c r="AR125" s="16">
        <f t="shared" si="50"/>
        <v>0</v>
      </c>
      <c r="AS125" s="16">
        <f t="shared" si="51"/>
        <v>0</v>
      </c>
      <c r="AT125" s="16">
        <f t="shared" si="52"/>
        <v>0</v>
      </c>
      <c r="AU125" s="16">
        <f t="shared" si="53"/>
        <v>0</v>
      </c>
      <c r="AV125" s="16">
        <f t="shared" si="54"/>
        <v>0</v>
      </c>
      <c r="AW125" s="16">
        <f t="shared" si="55"/>
        <v>0</v>
      </c>
    </row>
    <row r="126" spans="1:77">
      <c r="A126" s="904"/>
      <c r="B126" s="999">
        <f>Rezone!J126</f>
        <v>124</v>
      </c>
      <c r="C126" s="64">
        <f>Construction!E126</f>
        <v>1000</v>
      </c>
      <c r="D126" s="26">
        <f>Production!P126</f>
        <v>0</v>
      </c>
      <c r="E126" s="57">
        <f>Production!Q126</f>
        <v>6426</v>
      </c>
      <c r="W126" s="52">
        <f t="shared" si="56"/>
        <v>0</v>
      </c>
      <c r="X126" s="16">
        <f t="shared" si="30"/>
        <v>0</v>
      </c>
      <c r="Y126" s="16">
        <f t="shared" si="31"/>
        <v>0</v>
      </c>
      <c r="Z126" s="16">
        <f t="shared" si="32"/>
        <v>0</v>
      </c>
      <c r="AA126" s="16">
        <f t="shared" si="33"/>
        <v>0</v>
      </c>
      <c r="AB126" s="16">
        <f t="shared" si="34"/>
        <v>0</v>
      </c>
      <c r="AC126" s="16">
        <f t="shared" si="35"/>
        <v>0</v>
      </c>
      <c r="AD126" s="16">
        <f t="shared" si="36"/>
        <v>0</v>
      </c>
      <c r="AE126" s="16">
        <f t="shared" si="37"/>
        <v>0</v>
      </c>
      <c r="AF126" s="16">
        <f t="shared" si="38"/>
        <v>0</v>
      </c>
      <c r="AG126" s="16">
        <f t="shared" si="39"/>
        <v>0</v>
      </c>
      <c r="AH126" s="16">
        <f t="shared" si="40"/>
        <v>0</v>
      </c>
      <c r="AI126" s="16">
        <f t="shared" si="41"/>
        <v>0</v>
      </c>
      <c r="AJ126" s="16">
        <f t="shared" si="42"/>
        <v>0</v>
      </c>
      <c r="AK126" s="16">
        <f t="shared" si="43"/>
        <v>0</v>
      </c>
      <c r="AL126" s="16">
        <f t="shared" si="44"/>
        <v>0</v>
      </c>
      <c r="AM126" s="16">
        <f t="shared" si="45"/>
        <v>0</v>
      </c>
      <c r="AN126" s="16">
        <f t="shared" si="46"/>
        <v>0</v>
      </c>
      <c r="AO126" s="16">
        <f t="shared" si="47"/>
        <v>0</v>
      </c>
      <c r="AP126" s="16">
        <f t="shared" si="48"/>
        <v>0</v>
      </c>
      <c r="AQ126" s="16">
        <f t="shared" si="49"/>
        <v>0</v>
      </c>
      <c r="AR126" s="16">
        <f t="shared" si="50"/>
        <v>0</v>
      </c>
      <c r="AS126" s="16">
        <f t="shared" si="51"/>
        <v>0</v>
      </c>
      <c r="AT126" s="16">
        <f t="shared" si="52"/>
        <v>0</v>
      </c>
      <c r="AU126" s="16">
        <f t="shared" si="53"/>
        <v>0</v>
      </c>
      <c r="AV126" s="16">
        <f t="shared" si="54"/>
        <v>0</v>
      </c>
      <c r="AW126" s="16">
        <f t="shared" si="55"/>
        <v>0</v>
      </c>
    </row>
    <row r="127" spans="1:77">
      <c r="A127" s="904"/>
      <c r="B127" s="999">
        <f>Rezone!J127</f>
        <v>125</v>
      </c>
      <c r="C127" s="64">
        <f>Construction!E127</f>
        <v>1000</v>
      </c>
      <c r="D127" s="26">
        <f>Production!P127</f>
        <v>0</v>
      </c>
      <c r="E127" s="57">
        <f>Production!Q127</f>
        <v>6426</v>
      </c>
      <c r="W127" s="52">
        <f t="shared" si="56"/>
        <v>0</v>
      </c>
      <c r="X127" s="16">
        <f t="shared" si="30"/>
        <v>0</v>
      </c>
      <c r="Y127" s="16">
        <f t="shared" si="31"/>
        <v>0</v>
      </c>
      <c r="Z127" s="16">
        <f t="shared" si="32"/>
        <v>0</v>
      </c>
      <c r="AA127" s="16">
        <f t="shared" si="33"/>
        <v>0</v>
      </c>
      <c r="AB127" s="16">
        <f t="shared" si="34"/>
        <v>0</v>
      </c>
      <c r="AC127" s="16">
        <f t="shared" si="35"/>
        <v>0</v>
      </c>
      <c r="AD127" s="16">
        <f t="shared" si="36"/>
        <v>0</v>
      </c>
      <c r="AE127" s="16">
        <f t="shared" si="37"/>
        <v>0</v>
      </c>
      <c r="AF127" s="16">
        <f t="shared" si="38"/>
        <v>0</v>
      </c>
      <c r="AG127" s="16">
        <f t="shared" si="39"/>
        <v>0</v>
      </c>
      <c r="AH127" s="16">
        <f t="shared" si="40"/>
        <v>0</v>
      </c>
      <c r="AI127" s="16">
        <f t="shared" si="41"/>
        <v>0</v>
      </c>
      <c r="AJ127" s="16">
        <f t="shared" si="42"/>
        <v>0</v>
      </c>
      <c r="AK127" s="16">
        <f t="shared" si="43"/>
        <v>0</v>
      </c>
      <c r="AL127" s="16">
        <f t="shared" si="44"/>
        <v>0</v>
      </c>
      <c r="AM127" s="16">
        <f t="shared" si="45"/>
        <v>0</v>
      </c>
      <c r="AN127" s="16">
        <f t="shared" si="46"/>
        <v>0</v>
      </c>
      <c r="AO127" s="16">
        <f t="shared" si="47"/>
        <v>0</v>
      </c>
      <c r="AP127" s="16">
        <f t="shared" si="48"/>
        <v>0</v>
      </c>
      <c r="AQ127" s="16">
        <f t="shared" si="49"/>
        <v>0</v>
      </c>
      <c r="AR127" s="16">
        <f t="shared" si="50"/>
        <v>0</v>
      </c>
      <c r="AS127" s="16">
        <f t="shared" si="51"/>
        <v>0</v>
      </c>
      <c r="AT127" s="16">
        <f t="shared" si="52"/>
        <v>0</v>
      </c>
      <c r="AU127" s="16">
        <f t="shared" si="53"/>
        <v>0</v>
      </c>
      <c r="AV127" s="16">
        <f t="shared" si="54"/>
        <v>0</v>
      </c>
      <c r="AW127" s="16">
        <f t="shared" si="55"/>
        <v>0</v>
      </c>
    </row>
    <row r="128" spans="1:77">
      <c r="A128" s="904"/>
      <c r="B128" s="999">
        <f>Rezone!J128</f>
        <v>126</v>
      </c>
      <c r="C128" s="64">
        <f>Construction!E128</f>
        <v>1000</v>
      </c>
      <c r="D128" s="26">
        <f>Production!P128</f>
        <v>0</v>
      </c>
      <c r="E128" s="57">
        <f>Production!Q128</f>
        <v>6426</v>
      </c>
      <c r="W128" s="52">
        <f t="shared" si="56"/>
        <v>0</v>
      </c>
      <c r="X128" s="16">
        <f t="shared" si="30"/>
        <v>0</v>
      </c>
      <c r="Y128" s="16">
        <f t="shared" si="31"/>
        <v>0</v>
      </c>
      <c r="Z128" s="16">
        <f t="shared" si="32"/>
        <v>0</v>
      </c>
      <c r="AA128" s="16">
        <f t="shared" si="33"/>
        <v>0</v>
      </c>
      <c r="AB128" s="16">
        <f t="shared" si="34"/>
        <v>0</v>
      </c>
      <c r="AC128" s="16">
        <f t="shared" si="35"/>
        <v>0</v>
      </c>
      <c r="AD128" s="16">
        <f t="shared" si="36"/>
        <v>0</v>
      </c>
      <c r="AE128" s="16">
        <f t="shared" si="37"/>
        <v>0</v>
      </c>
      <c r="AF128" s="16">
        <f t="shared" si="38"/>
        <v>0</v>
      </c>
      <c r="AG128" s="16">
        <f t="shared" si="39"/>
        <v>0</v>
      </c>
      <c r="AH128" s="16">
        <f t="shared" si="40"/>
        <v>0</v>
      </c>
      <c r="AI128" s="16">
        <f t="shared" si="41"/>
        <v>0</v>
      </c>
      <c r="AJ128" s="16">
        <f t="shared" si="42"/>
        <v>0</v>
      </c>
      <c r="AK128" s="16">
        <f t="shared" si="43"/>
        <v>0</v>
      </c>
      <c r="AL128" s="16">
        <f t="shared" si="44"/>
        <v>0</v>
      </c>
      <c r="AM128" s="16">
        <f t="shared" si="45"/>
        <v>0</v>
      </c>
      <c r="AN128" s="16">
        <f t="shared" si="46"/>
        <v>0</v>
      </c>
      <c r="AO128" s="16">
        <f t="shared" si="47"/>
        <v>0</v>
      </c>
      <c r="AP128" s="16">
        <f t="shared" si="48"/>
        <v>0</v>
      </c>
      <c r="AQ128" s="16">
        <f t="shared" si="49"/>
        <v>0</v>
      </c>
      <c r="AR128" s="16">
        <f t="shared" si="50"/>
        <v>0</v>
      </c>
      <c r="AS128" s="16">
        <f t="shared" si="51"/>
        <v>0</v>
      </c>
      <c r="AT128" s="16">
        <f t="shared" si="52"/>
        <v>0</v>
      </c>
      <c r="AU128" s="16">
        <f t="shared" si="53"/>
        <v>0</v>
      </c>
      <c r="AV128" s="16">
        <f t="shared" si="54"/>
        <v>0</v>
      </c>
      <c r="AW128" s="16">
        <f t="shared" si="55"/>
        <v>0</v>
      </c>
    </row>
    <row r="129" spans="1:77">
      <c r="A129" s="904"/>
      <c r="B129" s="999">
        <f>Rezone!J129</f>
        <v>127</v>
      </c>
      <c r="C129" s="64">
        <f>Construction!E129</f>
        <v>1000</v>
      </c>
      <c r="D129" s="26">
        <f>Production!P129</f>
        <v>0</v>
      </c>
      <c r="E129" s="57">
        <f>Production!Q129</f>
        <v>6426</v>
      </c>
      <c r="W129" s="52">
        <f t="shared" si="56"/>
        <v>0</v>
      </c>
      <c r="X129" s="16">
        <f t="shared" si="30"/>
        <v>0</v>
      </c>
      <c r="Y129" s="16">
        <f t="shared" si="31"/>
        <v>0</v>
      </c>
      <c r="Z129" s="16">
        <f t="shared" si="32"/>
        <v>0</v>
      </c>
      <c r="AA129" s="16">
        <f t="shared" si="33"/>
        <v>0</v>
      </c>
      <c r="AB129" s="16">
        <f t="shared" si="34"/>
        <v>0</v>
      </c>
      <c r="AC129" s="16">
        <f t="shared" si="35"/>
        <v>0</v>
      </c>
      <c r="AD129" s="16">
        <f t="shared" si="36"/>
        <v>0</v>
      </c>
      <c r="AE129" s="16">
        <f t="shared" si="37"/>
        <v>0</v>
      </c>
      <c r="AF129" s="16">
        <f t="shared" si="38"/>
        <v>0</v>
      </c>
      <c r="AG129" s="16">
        <f t="shared" si="39"/>
        <v>0</v>
      </c>
      <c r="AH129" s="16">
        <f t="shared" si="40"/>
        <v>0</v>
      </c>
      <c r="AI129" s="16">
        <f t="shared" si="41"/>
        <v>0</v>
      </c>
      <c r="AJ129" s="16">
        <f t="shared" si="42"/>
        <v>0</v>
      </c>
      <c r="AK129" s="16">
        <f t="shared" si="43"/>
        <v>0</v>
      </c>
      <c r="AL129" s="16">
        <f t="shared" si="44"/>
        <v>0</v>
      </c>
      <c r="AM129" s="16">
        <f t="shared" si="45"/>
        <v>0</v>
      </c>
      <c r="AN129" s="16">
        <f t="shared" si="46"/>
        <v>0</v>
      </c>
      <c r="AO129" s="16">
        <f t="shared" si="47"/>
        <v>0</v>
      </c>
      <c r="AP129" s="16">
        <f t="shared" si="48"/>
        <v>0</v>
      </c>
      <c r="AQ129" s="16">
        <f t="shared" si="49"/>
        <v>0</v>
      </c>
      <c r="AR129" s="16">
        <f t="shared" si="50"/>
        <v>0</v>
      </c>
      <c r="AS129" s="16">
        <f t="shared" si="51"/>
        <v>0</v>
      </c>
      <c r="AT129" s="16">
        <f t="shared" si="52"/>
        <v>0</v>
      </c>
      <c r="AU129" s="16">
        <f t="shared" si="53"/>
        <v>0</v>
      </c>
      <c r="AV129" s="16">
        <f t="shared" si="54"/>
        <v>0</v>
      </c>
      <c r="AW129" s="16">
        <f t="shared" si="55"/>
        <v>0</v>
      </c>
    </row>
    <row r="130" spans="1:77">
      <c r="A130" s="904"/>
      <c r="B130" s="999">
        <f>Rezone!J130</f>
        <v>128</v>
      </c>
      <c r="C130" s="64">
        <f>Construction!E130</f>
        <v>1000</v>
      </c>
      <c r="D130" s="26">
        <f>Production!P130</f>
        <v>0</v>
      </c>
      <c r="E130" s="57">
        <f>Production!Q130</f>
        <v>6426</v>
      </c>
      <c r="W130" s="52">
        <f t="shared" si="56"/>
        <v>0</v>
      </c>
      <c r="X130" s="16">
        <f t="shared" si="30"/>
        <v>0</v>
      </c>
      <c r="Y130" s="16">
        <f t="shared" si="31"/>
        <v>0</v>
      </c>
      <c r="Z130" s="16">
        <f t="shared" si="32"/>
        <v>0</v>
      </c>
      <c r="AA130" s="16">
        <f t="shared" si="33"/>
        <v>0</v>
      </c>
      <c r="AB130" s="16">
        <f t="shared" si="34"/>
        <v>0</v>
      </c>
      <c r="AC130" s="16">
        <f t="shared" si="35"/>
        <v>0</v>
      </c>
      <c r="AD130" s="16">
        <f t="shared" si="36"/>
        <v>0</v>
      </c>
      <c r="AE130" s="16">
        <f t="shared" si="37"/>
        <v>0</v>
      </c>
      <c r="AF130" s="16">
        <f t="shared" si="38"/>
        <v>0</v>
      </c>
      <c r="AG130" s="16">
        <f t="shared" si="39"/>
        <v>0</v>
      </c>
      <c r="AH130" s="16">
        <f t="shared" si="40"/>
        <v>0</v>
      </c>
      <c r="AI130" s="16">
        <f t="shared" si="41"/>
        <v>0</v>
      </c>
      <c r="AJ130" s="16">
        <f t="shared" si="42"/>
        <v>0</v>
      </c>
      <c r="AK130" s="16">
        <f t="shared" si="43"/>
        <v>0</v>
      </c>
      <c r="AL130" s="16">
        <f t="shared" si="44"/>
        <v>0</v>
      </c>
      <c r="AM130" s="16">
        <f t="shared" si="45"/>
        <v>0</v>
      </c>
      <c r="AN130" s="16">
        <f t="shared" si="46"/>
        <v>0</v>
      </c>
      <c r="AO130" s="16">
        <f t="shared" si="47"/>
        <v>0</v>
      </c>
      <c r="AP130" s="16">
        <f t="shared" si="48"/>
        <v>0</v>
      </c>
      <c r="AQ130" s="16">
        <f t="shared" si="49"/>
        <v>0</v>
      </c>
      <c r="AR130" s="16">
        <f t="shared" si="50"/>
        <v>0</v>
      </c>
      <c r="AS130" s="16">
        <f t="shared" si="51"/>
        <v>0</v>
      </c>
      <c r="AT130" s="16">
        <f t="shared" si="52"/>
        <v>0</v>
      </c>
      <c r="AU130" s="16">
        <f t="shared" si="53"/>
        <v>0</v>
      </c>
      <c r="AV130" s="16">
        <f t="shared" si="54"/>
        <v>0</v>
      </c>
      <c r="AW130" s="16">
        <f t="shared" si="55"/>
        <v>0</v>
      </c>
    </row>
    <row r="131" spans="1:77">
      <c r="A131" s="904"/>
      <c r="B131" s="999">
        <f>Rezone!J131</f>
        <v>129</v>
      </c>
      <c r="C131" s="64">
        <f>Construction!E131</f>
        <v>1000</v>
      </c>
      <c r="D131" s="26">
        <f>Production!P131</f>
        <v>0</v>
      </c>
      <c r="E131" s="57">
        <f>Production!Q131</f>
        <v>6426</v>
      </c>
      <c r="W131" s="52">
        <f t="shared" si="56"/>
        <v>0</v>
      </c>
      <c r="X131" s="16">
        <f t="shared" si="30"/>
        <v>0</v>
      </c>
      <c r="Y131" s="16">
        <f t="shared" si="31"/>
        <v>0</v>
      </c>
      <c r="Z131" s="16">
        <f t="shared" si="32"/>
        <v>0</v>
      </c>
      <c r="AA131" s="16">
        <f t="shared" si="33"/>
        <v>0</v>
      </c>
      <c r="AB131" s="16">
        <f t="shared" si="34"/>
        <v>0</v>
      </c>
      <c r="AC131" s="16">
        <f t="shared" si="35"/>
        <v>0</v>
      </c>
      <c r="AD131" s="16">
        <f t="shared" si="36"/>
        <v>0</v>
      </c>
      <c r="AE131" s="16">
        <f t="shared" si="37"/>
        <v>0</v>
      </c>
      <c r="AF131" s="16">
        <f t="shared" si="38"/>
        <v>0</v>
      </c>
      <c r="AG131" s="16">
        <f t="shared" si="39"/>
        <v>0</v>
      </c>
      <c r="AH131" s="16">
        <f t="shared" si="40"/>
        <v>0</v>
      </c>
      <c r="AI131" s="16">
        <f t="shared" si="41"/>
        <v>0</v>
      </c>
      <c r="AJ131" s="16">
        <f t="shared" si="42"/>
        <v>0</v>
      </c>
      <c r="AK131" s="16">
        <f t="shared" si="43"/>
        <v>0</v>
      </c>
      <c r="AL131" s="16">
        <f t="shared" si="44"/>
        <v>0</v>
      </c>
      <c r="AM131" s="16">
        <f t="shared" si="45"/>
        <v>0</v>
      </c>
      <c r="AN131" s="16">
        <f t="shared" si="46"/>
        <v>0</v>
      </c>
      <c r="AO131" s="16">
        <f t="shared" si="47"/>
        <v>0</v>
      </c>
      <c r="AP131" s="16">
        <f t="shared" si="48"/>
        <v>0</v>
      </c>
      <c r="AQ131" s="16">
        <f t="shared" si="49"/>
        <v>0</v>
      </c>
      <c r="AR131" s="16">
        <f t="shared" si="50"/>
        <v>0</v>
      </c>
      <c r="AS131" s="16">
        <f t="shared" si="51"/>
        <v>0</v>
      </c>
      <c r="AT131" s="16">
        <f t="shared" si="52"/>
        <v>0</v>
      </c>
      <c r="AU131" s="16">
        <f t="shared" si="53"/>
        <v>0</v>
      </c>
      <c r="AV131" s="16">
        <f t="shared" si="54"/>
        <v>0</v>
      </c>
      <c r="AW131" s="16">
        <f t="shared" si="55"/>
        <v>0</v>
      </c>
    </row>
    <row r="132" spans="1:77">
      <c r="A132" s="904"/>
      <c r="B132" s="999">
        <f>Rezone!J132</f>
        <v>130</v>
      </c>
      <c r="C132" s="64">
        <f>Construction!E132</f>
        <v>1000</v>
      </c>
      <c r="D132" s="26">
        <f>Production!P132</f>
        <v>0</v>
      </c>
      <c r="E132" s="57">
        <f>Production!Q132</f>
        <v>6426</v>
      </c>
      <c r="W132" s="52">
        <f t="shared" si="56"/>
        <v>0</v>
      </c>
      <c r="X132" s="16">
        <f t="shared" si="30"/>
        <v>0</v>
      </c>
      <c r="Y132" s="16">
        <f t="shared" si="31"/>
        <v>0</v>
      </c>
      <c r="Z132" s="16">
        <f t="shared" si="32"/>
        <v>0</v>
      </c>
      <c r="AA132" s="16">
        <f t="shared" si="33"/>
        <v>0</v>
      </c>
      <c r="AB132" s="16">
        <f t="shared" si="34"/>
        <v>0</v>
      </c>
      <c r="AC132" s="16">
        <f t="shared" si="35"/>
        <v>0</v>
      </c>
      <c r="AD132" s="16">
        <f t="shared" si="36"/>
        <v>0</v>
      </c>
      <c r="AE132" s="16">
        <f t="shared" si="37"/>
        <v>0</v>
      </c>
      <c r="AF132" s="16">
        <f t="shared" si="38"/>
        <v>0</v>
      </c>
      <c r="AG132" s="16">
        <f t="shared" si="39"/>
        <v>0</v>
      </c>
      <c r="AH132" s="16">
        <f t="shared" si="40"/>
        <v>0</v>
      </c>
      <c r="AI132" s="16">
        <f t="shared" si="41"/>
        <v>0</v>
      </c>
      <c r="AJ132" s="16">
        <f t="shared" si="42"/>
        <v>0</v>
      </c>
      <c r="AK132" s="16">
        <f t="shared" si="43"/>
        <v>0</v>
      </c>
      <c r="AL132" s="16">
        <f t="shared" si="44"/>
        <v>0</v>
      </c>
      <c r="AM132" s="16">
        <f t="shared" si="45"/>
        <v>0</v>
      </c>
      <c r="AN132" s="16">
        <f t="shared" si="46"/>
        <v>0</v>
      </c>
      <c r="AO132" s="16">
        <f t="shared" si="47"/>
        <v>0</v>
      </c>
      <c r="AP132" s="16">
        <f t="shared" si="48"/>
        <v>0</v>
      </c>
      <c r="AQ132" s="16">
        <f t="shared" si="49"/>
        <v>0</v>
      </c>
      <c r="AR132" s="16">
        <f t="shared" si="50"/>
        <v>0</v>
      </c>
      <c r="AS132" s="16">
        <f t="shared" si="51"/>
        <v>0</v>
      </c>
      <c r="AT132" s="16">
        <f t="shared" si="52"/>
        <v>0</v>
      </c>
      <c r="AU132" s="16">
        <f t="shared" si="53"/>
        <v>0</v>
      </c>
      <c r="AV132" s="16">
        <f t="shared" si="54"/>
        <v>0</v>
      </c>
      <c r="AW132" s="16">
        <f t="shared" si="55"/>
        <v>0</v>
      </c>
    </row>
    <row r="133" spans="1:77">
      <c r="A133" s="904"/>
      <c r="B133" s="999">
        <f>Rezone!J133</f>
        <v>131</v>
      </c>
      <c r="C133" s="64">
        <f>Construction!E133</f>
        <v>1000</v>
      </c>
      <c r="D133" s="26">
        <f>Production!P133</f>
        <v>0</v>
      </c>
      <c r="E133" s="57">
        <f>Production!Q133</f>
        <v>6426</v>
      </c>
      <c r="W133" s="52">
        <f t="shared" si="56"/>
        <v>0</v>
      </c>
      <c r="X133" s="16">
        <f t="shared" ref="X133:AG135" si="57">MAX(X132,AZ133)</f>
        <v>0</v>
      </c>
      <c r="Y133" s="16">
        <f t="shared" si="57"/>
        <v>0</v>
      </c>
      <c r="Z133" s="16">
        <f t="shared" si="57"/>
        <v>0</v>
      </c>
      <c r="AA133" s="16">
        <f t="shared" si="57"/>
        <v>0</v>
      </c>
      <c r="AB133" s="16">
        <f t="shared" si="57"/>
        <v>0</v>
      </c>
      <c r="AC133" s="16">
        <f t="shared" si="57"/>
        <v>0</v>
      </c>
      <c r="AD133" s="16">
        <f t="shared" si="57"/>
        <v>0</v>
      </c>
      <c r="AE133" s="16">
        <f t="shared" si="57"/>
        <v>0</v>
      </c>
      <c r="AF133" s="16">
        <f t="shared" si="57"/>
        <v>0</v>
      </c>
      <c r="AG133" s="16">
        <f t="shared" si="57"/>
        <v>0</v>
      </c>
      <c r="AH133" s="16">
        <f t="shared" ref="AH133:AQ135" si="58">MAX(AH132,BJ133)</f>
        <v>0</v>
      </c>
      <c r="AI133" s="16">
        <f t="shared" si="58"/>
        <v>0</v>
      </c>
      <c r="AJ133" s="16">
        <f t="shared" si="58"/>
        <v>0</v>
      </c>
      <c r="AK133" s="16">
        <f t="shared" si="58"/>
        <v>0</v>
      </c>
      <c r="AL133" s="16">
        <f t="shared" si="58"/>
        <v>0</v>
      </c>
      <c r="AM133" s="16">
        <f t="shared" si="58"/>
        <v>0</v>
      </c>
      <c r="AN133" s="16">
        <f t="shared" si="58"/>
        <v>0</v>
      </c>
      <c r="AO133" s="16">
        <f t="shared" si="58"/>
        <v>0</v>
      </c>
      <c r="AP133" s="16">
        <f t="shared" si="58"/>
        <v>0</v>
      </c>
      <c r="AQ133" s="16">
        <f t="shared" si="58"/>
        <v>0</v>
      </c>
      <c r="AR133" s="16">
        <f t="shared" ref="AR133:AW135" si="59">MAX(AR132,BT133)</f>
        <v>0</v>
      </c>
      <c r="AS133" s="16">
        <f t="shared" si="59"/>
        <v>0</v>
      </c>
      <c r="AT133" s="16">
        <f t="shared" si="59"/>
        <v>0</v>
      </c>
      <c r="AU133" s="16">
        <f t="shared" si="59"/>
        <v>0</v>
      </c>
      <c r="AV133" s="16">
        <f t="shared" si="59"/>
        <v>0</v>
      </c>
      <c r="AW133" s="16">
        <f t="shared" si="59"/>
        <v>0</v>
      </c>
    </row>
    <row r="134" spans="1:77">
      <c r="A134" s="904"/>
      <c r="B134" s="999">
        <f>Rezone!J134</f>
        <v>132</v>
      </c>
      <c r="C134" s="64">
        <f>Construction!E134</f>
        <v>1000</v>
      </c>
      <c r="D134" s="26">
        <f>Production!P134</f>
        <v>0</v>
      </c>
      <c r="E134" s="57">
        <f>Production!Q134</f>
        <v>6426</v>
      </c>
      <c r="W134" s="52">
        <f t="shared" si="56"/>
        <v>0</v>
      </c>
      <c r="X134" s="16">
        <f t="shared" si="57"/>
        <v>0</v>
      </c>
      <c r="Y134" s="16">
        <f t="shared" si="57"/>
        <v>0</v>
      </c>
      <c r="Z134" s="16">
        <f t="shared" si="57"/>
        <v>0</v>
      </c>
      <c r="AA134" s="16">
        <f t="shared" si="57"/>
        <v>0</v>
      </c>
      <c r="AB134" s="16">
        <f t="shared" si="57"/>
        <v>0</v>
      </c>
      <c r="AC134" s="16">
        <f t="shared" si="57"/>
        <v>0</v>
      </c>
      <c r="AD134" s="16">
        <f t="shared" si="57"/>
        <v>0</v>
      </c>
      <c r="AE134" s="16">
        <f t="shared" si="57"/>
        <v>0</v>
      </c>
      <c r="AF134" s="16">
        <f t="shared" si="57"/>
        <v>0</v>
      </c>
      <c r="AG134" s="16">
        <f t="shared" si="57"/>
        <v>0</v>
      </c>
      <c r="AH134" s="16">
        <f t="shared" si="58"/>
        <v>0</v>
      </c>
      <c r="AI134" s="16">
        <f t="shared" si="58"/>
        <v>0</v>
      </c>
      <c r="AJ134" s="16">
        <f t="shared" si="58"/>
        <v>0</v>
      </c>
      <c r="AK134" s="16">
        <f t="shared" si="58"/>
        <v>0</v>
      </c>
      <c r="AL134" s="16">
        <f t="shared" si="58"/>
        <v>0</v>
      </c>
      <c r="AM134" s="16">
        <f t="shared" si="58"/>
        <v>0</v>
      </c>
      <c r="AN134" s="16">
        <f t="shared" si="58"/>
        <v>0</v>
      </c>
      <c r="AO134" s="16">
        <f t="shared" si="58"/>
        <v>0</v>
      </c>
      <c r="AP134" s="16">
        <f t="shared" si="58"/>
        <v>0</v>
      </c>
      <c r="AQ134" s="16">
        <f t="shared" si="58"/>
        <v>0</v>
      </c>
      <c r="AR134" s="16">
        <f t="shared" si="59"/>
        <v>0</v>
      </c>
      <c r="AS134" s="16">
        <f t="shared" si="59"/>
        <v>0</v>
      </c>
      <c r="AT134" s="16">
        <f t="shared" si="59"/>
        <v>0</v>
      </c>
      <c r="AU134" s="16">
        <f t="shared" si="59"/>
        <v>0</v>
      </c>
      <c r="AV134" s="16">
        <f t="shared" si="59"/>
        <v>0</v>
      </c>
      <c r="AW134" s="16">
        <f t="shared" si="59"/>
        <v>0</v>
      </c>
    </row>
    <row r="135" spans="1:77" s="12" customFormat="1">
      <c r="A135" s="905"/>
      <c r="B135" s="1002">
        <f>Rezone!J135</f>
        <v>133</v>
      </c>
      <c r="C135" s="93">
        <f>Construction!E135</f>
        <v>1000</v>
      </c>
      <c r="D135" s="13">
        <f>Production!P135</f>
        <v>0</v>
      </c>
      <c r="E135" s="55">
        <f>Production!Q135</f>
        <v>6426</v>
      </c>
      <c r="W135" s="50">
        <f t="shared" si="56"/>
        <v>0</v>
      </c>
      <c r="X135" s="12">
        <f t="shared" si="57"/>
        <v>0</v>
      </c>
      <c r="Y135" s="12">
        <f t="shared" si="57"/>
        <v>0</v>
      </c>
      <c r="Z135" s="12">
        <f t="shared" si="57"/>
        <v>0</v>
      </c>
      <c r="AA135" s="12">
        <f t="shared" si="57"/>
        <v>0</v>
      </c>
      <c r="AB135" s="12">
        <f t="shared" si="57"/>
        <v>0</v>
      </c>
      <c r="AC135" s="12">
        <f t="shared" si="57"/>
        <v>0</v>
      </c>
      <c r="AD135" s="12">
        <f t="shared" si="57"/>
        <v>0</v>
      </c>
      <c r="AE135" s="12">
        <f t="shared" si="57"/>
        <v>0</v>
      </c>
      <c r="AF135" s="12">
        <f t="shared" si="57"/>
        <v>0</v>
      </c>
      <c r="AG135" s="12">
        <f t="shared" si="57"/>
        <v>0</v>
      </c>
      <c r="AH135" s="12">
        <f t="shared" si="58"/>
        <v>0</v>
      </c>
      <c r="AI135" s="12">
        <f t="shared" si="58"/>
        <v>0</v>
      </c>
      <c r="AJ135" s="12">
        <f t="shared" si="58"/>
        <v>0</v>
      </c>
      <c r="AK135" s="12">
        <f t="shared" si="58"/>
        <v>0</v>
      </c>
      <c r="AL135" s="12">
        <f t="shared" si="58"/>
        <v>0</v>
      </c>
      <c r="AM135" s="12">
        <f t="shared" si="58"/>
        <v>0</v>
      </c>
      <c r="AN135" s="12">
        <f t="shared" si="58"/>
        <v>0</v>
      </c>
      <c r="AO135" s="12">
        <f t="shared" si="58"/>
        <v>0</v>
      </c>
      <c r="AP135" s="12">
        <f t="shared" si="58"/>
        <v>0</v>
      </c>
      <c r="AQ135" s="12">
        <f t="shared" si="58"/>
        <v>0</v>
      </c>
      <c r="AR135" s="12">
        <f t="shared" si="59"/>
        <v>0</v>
      </c>
      <c r="AS135" s="12">
        <f t="shared" si="59"/>
        <v>0</v>
      </c>
      <c r="AT135" s="12">
        <f t="shared" si="59"/>
        <v>0</v>
      </c>
      <c r="AU135" s="12">
        <f t="shared" si="59"/>
        <v>0</v>
      </c>
      <c r="AV135" s="12">
        <f t="shared" si="59"/>
        <v>0</v>
      </c>
      <c r="AW135" s="12">
        <f t="shared" si="59"/>
        <v>0</v>
      </c>
      <c r="AX135" s="286"/>
      <c r="BY135" s="51"/>
    </row>
    <row r="1268" spans="1:49">
      <c r="A1268" s="496" t="s">
        <v>332</v>
      </c>
      <c r="W1268" s="52">
        <f t="shared" ref="W1268:AW1268" si="60">MAX(W88,AY1268)</f>
        <v>0</v>
      </c>
      <c r="X1268" s="16">
        <f t="shared" si="60"/>
        <v>0</v>
      </c>
      <c r="Y1268" s="16">
        <f t="shared" si="60"/>
        <v>0</v>
      </c>
      <c r="Z1268" s="16">
        <f t="shared" si="60"/>
        <v>0</v>
      </c>
      <c r="AA1268" s="16">
        <f t="shared" si="60"/>
        <v>0</v>
      </c>
      <c r="AB1268" s="16">
        <f t="shared" si="60"/>
        <v>0</v>
      </c>
      <c r="AC1268" s="16">
        <f t="shared" si="60"/>
        <v>0</v>
      </c>
      <c r="AD1268" s="16">
        <f t="shared" si="60"/>
        <v>0</v>
      </c>
      <c r="AE1268" s="16">
        <f t="shared" si="60"/>
        <v>0</v>
      </c>
      <c r="AF1268" s="16">
        <f t="shared" si="60"/>
        <v>0</v>
      </c>
      <c r="AG1268" s="16">
        <f t="shared" si="60"/>
        <v>0</v>
      </c>
      <c r="AH1268" s="16">
        <f t="shared" si="60"/>
        <v>0</v>
      </c>
      <c r="AI1268" s="16">
        <f t="shared" si="60"/>
        <v>0</v>
      </c>
      <c r="AJ1268" s="16">
        <f t="shared" si="60"/>
        <v>0</v>
      </c>
      <c r="AK1268" s="16">
        <f t="shared" si="60"/>
        <v>0</v>
      </c>
      <c r="AL1268" s="16">
        <f t="shared" si="60"/>
        <v>0</v>
      </c>
      <c r="AM1268" s="16">
        <f t="shared" si="60"/>
        <v>0</v>
      </c>
      <c r="AN1268" s="16">
        <f t="shared" si="60"/>
        <v>0</v>
      </c>
      <c r="AO1268" s="16">
        <f t="shared" si="60"/>
        <v>0</v>
      </c>
      <c r="AP1268" s="16">
        <f t="shared" si="60"/>
        <v>0</v>
      </c>
      <c r="AQ1268" s="16">
        <f t="shared" si="60"/>
        <v>0</v>
      </c>
      <c r="AR1268" s="16">
        <f t="shared" si="60"/>
        <v>0</v>
      </c>
      <c r="AS1268" s="16">
        <f t="shared" si="60"/>
        <v>0</v>
      </c>
      <c r="AT1268" s="16">
        <f t="shared" si="60"/>
        <v>0</v>
      </c>
      <c r="AU1268" s="16">
        <f t="shared" si="60"/>
        <v>0</v>
      </c>
      <c r="AV1268" s="16">
        <f t="shared" si="60"/>
        <v>0</v>
      </c>
      <c r="AW1268" s="16">
        <f t="shared" si="60"/>
        <v>0</v>
      </c>
    </row>
    <row r="1269" spans="1:49">
      <c r="A1269" s="855">
        <f ca="1">Overview!E17</f>
        <v>1185</v>
      </c>
      <c r="W1269" s="52">
        <f t="shared" ref="W1269:AW1269" si="61">MAX(W1268,AY1269)</f>
        <v>0</v>
      </c>
      <c r="X1269" s="16">
        <f t="shared" si="61"/>
        <v>0</v>
      </c>
      <c r="Y1269" s="16">
        <f t="shared" si="61"/>
        <v>0</v>
      </c>
      <c r="Z1269" s="16">
        <f t="shared" si="61"/>
        <v>0</v>
      </c>
      <c r="AA1269" s="16">
        <f t="shared" si="61"/>
        <v>0</v>
      </c>
      <c r="AB1269" s="16">
        <f t="shared" si="61"/>
        <v>0</v>
      </c>
      <c r="AC1269" s="16">
        <f t="shared" si="61"/>
        <v>0</v>
      </c>
      <c r="AD1269" s="16">
        <f t="shared" si="61"/>
        <v>0</v>
      </c>
      <c r="AE1269" s="16">
        <f t="shared" si="61"/>
        <v>0</v>
      </c>
      <c r="AF1269" s="16">
        <f t="shared" si="61"/>
        <v>0</v>
      </c>
      <c r="AG1269" s="16">
        <f t="shared" si="61"/>
        <v>0</v>
      </c>
      <c r="AH1269" s="16">
        <f t="shared" si="61"/>
        <v>0</v>
      </c>
      <c r="AI1269" s="16">
        <f t="shared" si="61"/>
        <v>0</v>
      </c>
      <c r="AJ1269" s="16">
        <f t="shared" si="61"/>
        <v>0</v>
      </c>
      <c r="AK1269" s="16">
        <f t="shared" si="61"/>
        <v>0</v>
      </c>
      <c r="AL1269" s="16">
        <f t="shared" si="61"/>
        <v>0</v>
      </c>
      <c r="AM1269" s="16">
        <f t="shared" si="61"/>
        <v>0</v>
      </c>
      <c r="AN1269" s="16">
        <f t="shared" si="61"/>
        <v>0</v>
      </c>
      <c r="AO1269" s="16">
        <f t="shared" si="61"/>
        <v>0</v>
      </c>
      <c r="AP1269" s="16">
        <f t="shared" si="61"/>
        <v>0</v>
      </c>
      <c r="AQ1269" s="16">
        <f t="shared" si="61"/>
        <v>0</v>
      </c>
      <c r="AR1269" s="16">
        <f t="shared" si="61"/>
        <v>0</v>
      </c>
      <c r="AS1269" s="16">
        <f t="shared" si="61"/>
        <v>0</v>
      </c>
      <c r="AT1269" s="16">
        <f t="shared" si="61"/>
        <v>0</v>
      </c>
      <c r="AU1269" s="16">
        <f t="shared" si="61"/>
        <v>0</v>
      </c>
      <c r="AV1269" s="16">
        <f t="shared" si="61"/>
        <v>0</v>
      </c>
      <c r="AW1269" s="16">
        <f t="shared" si="61"/>
        <v>0</v>
      </c>
    </row>
  </sheetData>
  <dataConsolidate/>
  <mergeCells count="40">
    <mergeCell ref="G4:H4"/>
    <mergeCell ref="G3:I3"/>
    <mergeCell ref="AI1:AK1"/>
    <mergeCell ref="AL1:AN1"/>
    <mergeCell ref="W1:Y1"/>
    <mergeCell ref="Z1:AB1"/>
    <mergeCell ref="AC1:AE1"/>
    <mergeCell ref="AF1:AH1"/>
    <mergeCell ref="BK1:BM1"/>
    <mergeCell ref="BN1:BP1"/>
    <mergeCell ref="Q12:S12"/>
    <mergeCell ref="Q13:S13"/>
    <mergeCell ref="P8:Q8"/>
    <mergeCell ref="P9:Q9"/>
    <mergeCell ref="Q3:S3"/>
    <mergeCell ref="Q4:S4"/>
    <mergeCell ref="BE1:BG1"/>
    <mergeCell ref="BH1:BJ1"/>
    <mergeCell ref="AY1:BA1"/>
    <mergeCell ref="BB1:BD1"/>
    <mergeCell ref="Q5:S5"/>
    <mergeCell ref="Q6:S6"/>
    <mergeCell ref="Q21:S21"/>
    <mergeCell ref="Q22:S22"/>
    <mergeCell ref="G19:I19"/>
    <mergeCell ref="G20:H20"/>
    <mergeCell ref="G21:H21"/>
    <mergeCell ref="G22:H22"/>
    <mergeCell ref="Q19:S19"/>
    <mergeCell ref="Q20:S20"/>
    <mergeCell ref="P16:Q16"/>
    <mergeCell ref="P17:Q17"/>
    <mergeCell ref="G5:H5"/>
    <mergeCell ref="G6:H6"/>
    <mergeCell ref="G13:H13"/>
    <mergeCell ref="G12:I12"/>
    <mergeCell ref="H17:J17"/>
    <mergeCell ref="H16:K16"/>
    <mergeCell ref="H8:K8"/>
    <mergeCell ref="H9:J9"/>
  </mergeCells>
  <phoneticPr fontId="0" type="noConversion"/>
  <conditionalFormatting sqref="Q20:S22 H17 G4:G6 G20:G22 G13 M16:M18 M13 M8:M10 M5 M21 P17:Q17 Q13:S13 P9:Q9 Q4:S6 H9">
    <cfRule type="expression" dxfId="40" priority="1" stopIfTrue="1">
      <formula>NOT(F4)</formula>
    </cfRule>
    <cfRule type="expression" dxfId="39" priority="2" stopIfTrue="1">
      <formula>TRUE</formula>
    </cfRule>
  </conditionalFormatting>
  <conditionalFormatting sqref="I22 I6">
    <cfRule type="expression" dxfId="38" priority="3" stopIfTrue="1">
      <formula>AND(F4,F5)</formula>
    </cfRule>
  </conditionalFormatting>
  <conditionalFormatting sqref="N10 N18">
    <cfRule type="expression" dxfId="37" priority="4" stopIfTrue="1">
      <formula>AND(L8,L9)</formula>
    </cfRule>
  </conditionalFormatting>
  <conditionalFormatting sqref="T22 T6">
    <cfRule type="expression" dxfId="36" priority="5" stopIfTrue="1">
      <formula>AND(P4,P5)</formula>
    </cfRule>
  </conditionalFormatting>
  <conditionalFormatting sqref="I4:I5 I20:I21">
    <cfRule type="expression" dxfId="35" priority="6" stopIfTrue="1">
      <formula>OR(F4,$I$1&gt;0)</formula>
    </cfRule>
  </conditionalFormatting>
  <conditionalFormatting sqref="T4:T5 T20:T21">
    <cfRule type="expression" dxfId="34" priority="7" stopIfTrue="1">
      <formula>OR(P4,$I$1&gt;0)</formula>
    </cfRule>
  </conditionalFormatting>
  <conditionalFormatting sqref="N8:N9 N16:N17">
    <cfRule type="expression" dxfId="33" priority="8" stopIfTrue="1">
      <formula>OR(L8,$I$1&gt;0)</formula>
    </cfRule>
  </conditionalFormatting>
  <conditionalFormatting sqref="I13">
    <cfRule type="expression" dxfId="32" priority="9" stopIfTrue="1">
      <formula>OR(F13,AND(F22,$F$6,$I$1&gt;0))</formula>
    </cfRule>
  </conditionalFormatting>
  <conditionalFormatting sqref="A1269">
    <cfRule type="expression" dxfId="31" priority="10" stopIfTrue="1">
      <formula>#REF!&gt;144</formula>
    </cfRule>
  </conditionalFormatting>
  <conditionalFormatting sqref="K9">
    <cfRule type="expression" dxfId="30" priority="11" stopIfTrue="1">
      <formula>OR($G$9,AND($F$6,$L$10,$I$1&gt;0))</formula>
    </cfRule>
  </conditionalFormatting>
  <conditionalFormatting sqref="K17">
    <cfRule type="expression" dxfId="29" priority="12" stopIfTrue="1">
      <formula>OR($G$17,AND($F$22,$L$18,$I$1&gt;0))</formula>
    </cfRule>
  </conditionalFormatting>
  <conditionalFormatting sqref="R9">
    <cfRule type="expression" dxfId="28" priority="13" stopIfTrue="1">
      <formula>OR($O$9,AND($P$6,$L$10,$I$1&gt;0))</formula>
    </cfRule>
  </conditionalFormatting>
  <conditionalFormatting sqref="N21">
    <cfRule type="expression" dxfId="27" priority="14" stopIfTrue="1">
      <formula>OR($L$21,AND($F$22,$P$22,$I$1&gt;0))</formula>
    </cfRule>
  </conditionalFormatting>
  <conditionalFormatting sqref="R17">
    <cfRule type="expression" dxfId="26" priority="15" stopIfTrue="1">
      <formula>OR($O$17,AND($P$22,$L$18,$I$1&gt;0))</formula>
    </cfRule>
  </conditionalFormatting>
  <conditionalFormatting sqref="N5">
    <cfRule type="expression" dxfId="25" priority="16" stopIfTrue="1">
      <formula>OR($L$5,AND($F$6,$P$6,$I$1&gt;0))</formula>
    </cfRule>
  </conditionalFormatting>
  <conditionalFormatting sqref="T13">
    <cfRule type="expression" dxfId="24" priority="17" stopIfTrue="1">
      <formula>OR($P$13,AND($P$22,$P$6,$I$1&gt;0))</formula>
    </cfRule>
  </conditionalFormatting>
  <conditionalFormatting sqref="N13">
    <cfRule type="expression" dxfId="23" priority="18" stopIfTrue="1">
      <formula>OR($L$13,AND($L$18,$L$10,$I$1&gt;0))</formula>
    </cfRule>
  </conditionalFormatting>
  <conditionalFormatting sqref="D3 E3:E135 B3:C135">
    <cfRule type="expression" dxfId="22" priority="19" stopIfTrue="1">
      <formula>OR(ROW()-3=$A$1269,B3&lt;0)</formula>
    </cfRule>
  </conditionalFormatting>
  <conditionalFormatting sqref="A1:E2 V1:IV2">
    <cfRule type="expression" dxfId="21" priority="20" stopIfTrue="1">
      <formula>$A$1269&lt;1</formula>
    </cfRule>
  </conditionalFormatting>
  <conditionalFormatting sqref="D4:D135">
    <cfRule type="expression" dxfId="20" priority="21" stopIfTrue="1">
      <formula>OR(ROW()-3=$A$1269,D4&lt;0)</formula>
    </cfRule>
    <cfRule type="expression" dxfId="19" priority="22" stopIfTrue="1">
      <formula>D4&lt;D3</formula>
    </cfRule>
  </conditionalFormatting>
  <pageMargins left="0.75" right="0.75" top="1" bottom="1" header="0.5" footer="0.5"/>
  <pageSetup paperSize="9" orientation="portrait" horizontalDpi="300" verticalDpi="300" copies="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310</vt:i4>
      </vt:variant>
    </vt:vector>
  </HeadingPairs>
  <TitlesOfParts>
    <vt:vector size="324" baseType="lpstr">
      <vt:lpstr>Overview</vt:lpstr>
      <vt:lpstr>Population</vt:lpstr>
      <vt:lpstr>Production</vt:lpstr>
      <vt:lpstr>Construction</vt:lpstr>
      <vt:lpstr>Explore</vt:lpstr>
      <vt:lpstr>Military</vt:lpstr>
      <vt:lpstr>Rezone</vt:lpstr>
      <vt:lpstr>Magic</vt:lpstr>
      <vt:lpstr>Techs</vt:lpstr>
      <vt:lpstr>Imps</vt:lpstr>
      <vt:lpstr>Log</vt:lpstr>
      <vt:lpstr>Constants</vt:lpstr>
      <vt:lpstr>Races</vt:lpstr>
      <vt:lpstr>calc</vt:lpstr>
      <vt:lpstr>adept_dp_bonus</vt:lpstr>
      <vt:lpstr>adept_dp_cap</vt:lpstr>
      <vt:lpstr>adept_op_bonus</vt:lpstr>
      <vt:lpstr>adept_op_cap</vt:lpstr>
      <vt:lpstr>alch_plat</vt:lpstr>
      <vt:lpstr>alchemist_flame_bonus</vt:lpstr>
      <vt:lpstr>ant_explore_penalty</vt:lpstr>
      <vt:lpstr>ants</vt:lpstr>
      <vt:lpstr>ants_spell_cost</vt:lpstr>
      <vt:lpstr>ants_spell_time</vt:lpstr>
      <vt:lpstr>archmage_plat</vt:lpstr>
      <vt:lpstr>ares_call_bonus</vt:lpstr>
      <vt:lpstr>armada_spell_cost</vt:lpstr>
      <vt:lpstr>armada_spell_time</vt:lpstr>
      <vt:lpstr>banshee_bonus</vt:lpstr>
      <vt:lpstr>banshee_cap</vt:lpstr>
      <vt:lpstr>barracks_size</vt:lpstr>
      <vt:lpstr>beast</vt:lpstr>
      <vt:lpstr>blackorc</vt:lpstr>
      <vt:lpstr>blizzard_bonus</vt:lpstr>
      <vt:lpstr>bloodrage_bonus</vt:lpstr>
      <vt:lpstr>boat_size</vt:lpstr>
      <vt:lpstr>building_employment</vt:lpstr>
      <vt:lpstr>cant_build</vt:lpstr>
      <vt:lpstr>cant_invest</vt:lpstr>
      <vt:lpstr>crusade_bonus</vt:lpstr>
      <vt:lpstr>dark_elf</vt:lpstr>
      <vt:lpstr>days_late</vt:lpstr>
      <vt:lpstr>days_late_def_specs</vt:lpstr>
      <vt:lpstr>days_late_draftees</vt:lpstr>
      <vt:lpstr>days_late_food</vt:lpstr>
      <vt:lpstr>days_late_lumber</vt:lpstr>
      <vt:lpstr>days_late_mana</vt:lpstr>
      <vt:lpstr>days_late_ore</vt:lpstr>
      <vt:lpstr>days_late_peasants</vt:lpstr>
      <vt:lpstr>days_late_plat</vt:lpstr>
      <vt:lpstr>dm_gems</vt:lpstr>
      <vt:lpstr>dock_boats_hr</vt:lpstr>
      <vt:lpstr>dock_food</vt:lpstr>
      <vt:lpstr>double_mana</vt:lpstr>
      <vt:lpstr>druid_dp_bonus</vt:lpstr>
      <vt:lpstr>druid_dp_cap</vt:lpstr>
      <vt:lpstr>druid_op_bonus</vt:lpstr>
      <vt:lpstr>druid_op_cap</vt:lpstr>
      <vt:lpstr>dryad_bonus</vt:lpstr>
      <vt:lpstr>dryad_cap</vt:lpstr>
      <vt:lpstr>dwarf_spell_cost</vt:lpstr>
      <vt:lpstr>dwarf_spell_time</vt:lpstr>
      <vt:lpstr>elite1_boats</vt:lpstr>
      <vt:lpstr>elite1_dp</vt:lpstr>
      <vt:lpstr>elite1_food</vt:lpstr>
      <vt:lpstr>elite1_gems</vt:lpstr>
      <vt:lpstr>elite1_lumber</vt:lpstr>
      <vt:lpstr>elite1_mana</vt:lpstr>
      <vt:lpstr>elite1_name</vt:lpstr>
      <vt:lpstr>elite1_op</vt:lpstr>
      <vt:lpstr>elite1_ore</vt:lpstr>
      <vt:lpstr>elite1_plat</vt:lpstr>
      <vt:lpstr>elite2_boats</vt:lpstr>
      <vt:lpstr>elite2_dp</vt:lpstr>
      <vt:lpstr>elite2_food</vt:lpstr>
      <vt:lpstr>elite2_gems</vt:lpstr>
      <vt:lpstr>elite2_lumber</vt:lpstr>
      <vt:lpstr>elite2_mana</vt:lpstr>
      <vt:lpstr>elite2_name</vt:lpstr>
      <vt:lpstr>elite2_op</vt:lpstr>
      <vt:lpstr>elite2_ore</vt:lpstr>
      <vt:lpstr>elite2_plat</vt:lpstr>
      <vt:lpstr>extra_ore</vt:lpstr>
      <vt:lpstr>facs_constr_factor</vt:lpstr>
      <vt:lpstr>facs_constr_max</vt:lpstr>
      <vt:lpstr>facs_rezone_factor</vt:lpstr>
      <vt:lpstr>facs_rezone_max</vt:lpstr>
      <vt:lpstr>fanatic_bonus</vt:lpstr>
      <vt:lpstr>fanatic_cap</vt:lpstr>
      <vt:lpstr>farm_food</vt:lpstr>
      <vt:lpstr>fh_peas_dp</vt:lpstr>
      <vt:lpstr>firewalker_spell_cost</vt:lpstr>
      <vt:lpstr>firewalker_spell_time</vt:lpstr>
      <vt:lpstr>flying_ant_bonus</vt:lpstr>
      <vt:lpstr>flying_ant_cap</vt:lpstr>
      <vt:lpstr>food_decay</vt:lpstr>
      <vt:lpstr>food_per_person</vt:lpstr>
      <vt:lpstr>frenzy_bonus</vt:lpstr>
      <vt:lpstr>frost_mage_bonus</vt:lpstr>
      <vt:lpstr>frost_mage_cap</vt:lpstr>
      <vt:lpstr>gaias_blessing_food</vt:lpstr>
      <vt:lpstr>gaias_blessing_lumber</vt:lpstr>
      <vt:lpstr>gaias_watch_bonus</vt:lpstr>
      <vt:lpstr>gn_bonus</vt:lpstr>
      <vt:lpstr>gn_bonus_cap</vt:lpstr>
      <vt:lpstr>gnome</vt:lpstr>
      <vt:lpstr>goat_witch_bonus</vt:lpstr>
      <vt:lpstr>goat_witch_cap</vt:lpstr>
      <vt:lpstr>goblin_spell_cost</vt:lpstr>
      <vt:lpstr>goblin_spell_time</vt:lpstr>
      <vt:lpstr>growth_spell_cost</vt:lpstr>
      <vt:lpstr>growth_spell_time</vt:lpstr>
      <vt:lpstr>gt_bonus</vt:lpstr>
      <vt:lpstr>gt_bonus_cap</vt:lpstr>
      <vt:lpstr>halfer</vt:lpstr>
      <vt:lpstr>halfling_spell_cost</vt:lpstr>
      <vt:lpstr>halfling_spell_time</vt:lpstr>
      <vt:lpstr>harbor_towers_cap</vt:lpstr>
      <vt:lpstr>harbor_towers_param</vt:lpstr>
      <vt:lpstr>harmony_bonus</vt:lpstr>
      <vt:lpstr>holy_warrior_bonus</vt:lpstr>
      <vt:lpstr>holy_warrior_cap</vt:lpstr>
      <vt:lpstr>home_land</vt:lpstr>
      <vt:lpstr>howling_dp_bonus</vt:lpstr>
      <vt:lpstr>howling_op_bonus</vt:lpstr>
      <vt:lpstr>human_spell_cost</vt:lpstr>
      <vt:lpstr>human_spell_time</vt:lpstr>
      <vt:lpstr>ice_elem_bonus</vt:lpstr>
      <vt:lpstr>ice_elem_cap</vt:lpstr>
      <vt:lpstr>icekin</vt:lpstr>
      <vt:lpstr>icekin_spell_cost</vt:lpstr>
      <vt:lpstr>icekin_spell_time</vt:lpstr>
      <vt:lpstr>impgnome_spell_cost</vt:lpstr>
      <vt:lpstr>impgnome_spell_time</vt:lpstr>
      <vt:lpstr>Imps</vt:lpstr>
      <vt:lpstr>keep_cap</vt:lpstr>
      <vt:lpstr>keep_param</vt:lpstr>
      <vt:lpstr>killingrage_bonus</vt:lpstr>
      <vt:lpstr>kobold</vt:lpstr>
      <vt:lpstr>kobold_spell_cost</vt:lpstr>
      <vt:lpstr>kobold_spell_time</vt:lpstr>
      <vt:lpstr>lizardman_bonus</vt:lpstr>
      <vt:lpstr>lizardman_cap</vt:lpstr>
      <vt:lpstr>lizzie</vt:lpstr>
      <vt:lpstr>lumber_rot</vt:lpstr>
      <vt:lpstr>lux_spell_cost</vt:lpstr>
      <vt:lpstr>lux_spell_time</vt:lpstr>
      <vt:lpstr>ly_lumber</vt:lpstr>
      <vt:lpstr>mana_drain</vt:lpstr>
      <vt:lpstr>mason_bonus</vt:lpstr>
      <vt:lpstr>midas_bonus</vt:lpstr>
      <vt:lpstr>min_tech_cost</vt:lpstr>
      <vt:lpstr>miners_sight_bonus</vt:lpstr>
      <vt:lpstr>mining_strength_bonus</vt:lpstr>
      <vt:lpstr>minotaur_bonus</vt:lpstr>
      <vt:lpstr>minotaur_cap</vt:lpstr>
      <vt:lpstr>mystic_bonus</vt:lpstr>
      <vt:lpstr>mystic_cap</vt:lpstr>
      <vt:lpstr>nightfall_bonus</vt:lpstr>
      <vt:lpstr>nightshade_bonus</vt:lpstr>
      <vt:lpstr>no_boats</vt:lpstr>
      <vt:lpstr>no_food</vt:lpstr>
      <vt:lpstr>no_ore</vt:lpstr>
      <vt:lpstr>norse</vt:lpstr>
      <vt:lpstr>nox</vt:lpstr>
      <vt:lpstr>nox_nightshade_cap</vt:lpstr>
      <vt:lpstr>nox_nightshade_swamp_bonus</vt:lpstr>
      <vt:lpstr>nox_spell_cost</vt:lpstr>
      <vt:lpstr>nox_spell_time</vt:lpstr>
      <vt:lpstr>om_ore</vt:lpstr>
      <vt:lpstr>orc</vt:lpstr>
      <vt:lpstr>orc_spell_cost</vt:lpstr>
      <vt:lpstr>orc_spell_time</vt:lpstr>
      <vt:lpstr>phantom_bonus</vt:lpstr>
      <vt:lpstr>phantom_cap</vt:lpstr>
      <vt:lpstr>pop_in_building</vt:lpstr>
      <vt:lpstr>pop_in_home</vt:lpstr>
      <vt:lpstr>pop_on_barren</vt:lpstr>
      <vt:lpstr>prestige_food_bonus</vt:lpstr>
      <vt:lpstr>prestige_multiplier</vt:lpstr>
      <vt:lpstr>prestige_offense_bonus</vt:lpstr>
      <vt:lpstr>prestige_pop_multiplier</vt:lpstr>
      <vt:lpstr>race</vt:lpstr>
      <vt:lpstr>race_construction_cost</vt:lpstr>
      <vt:lpstr>race_defense</vt:lpstr>
      <vt:lpstr>race_food_bonus</vt:lpstr>
      <vt:lpstr>race_food_consumption</vt:lpstr>
      <vt:lpstr>race_gem_bonus</vt:lpstr>
      <vt:lpstr>race_invest_bonus</vt:lpstr>
      <vt:lpstr>race_lumber_bonus</vt:lpstr>
      <vt:lpstr>race_mana_bonus</vt:lpstr>
      <vt:lpstr>race_offense</vt:lpstr>
      <vt:lpstr>race_ore_bonus</vt:lpstr>
      <vt:lpstr>race_platinum_bonus</vt:lpstr>
      <vt:lpstr>race_pop_bonus</vt:lpstr>
      <vt:lpstr>race_pop_growth</vt:lpstr>
      <vt:lpstr>race_rezone_cost</vt:lpstr>
      <vt:lpstr>race_spy_strength</vt:lpstr>
      <vt:lpstr>race_wizard_strength</vt:lpstr>
      <vt:lpstr>races</vt:lpstr>
      <vt:lpstr>raw_drafting</vt:lpstr>
      <vt:lpstr>raw_pop_growth</vt:lpstr>
      <vt:lpstr>resources</vt:lpstr>
      <vt:lpstr>rocka_bonus</vt:lpstr>
      <vt:lpstr>rocka_cap</vt:lpstr>
      <vt:lpstr>sacred</vt:lpstr>
      <vt:lpstr>science_cap</vt:lpstr>
      <vt:lpstr>science_param</vt:lpstr>
      <vt:lpstr>smithy_bonus</vt:lpstr>
      <vt:lpstr>smithy_bonus_cap</vt:lpstr>
      <vt:lpstr>spec_dp</vt:lpstr>
      <vt:lpstr>spec_dp_name</vt:lpstr>
      <vt:lpstr>spec_dp_ore</vt:lpstr>
      <vt:lpstr>spec_dp_plat</vt:lpstr>
      <vt:lpstr>spec_op</vt:lpstr>
      <vt:lpstr>spec_op_name</vt:lpstr>
      <vt:lpstr>spec_op_ore</vt:lpstr>
      <vt:lpstr>spec_op_plat</vt:lpstr>
      <vt:lpstr>spec1_food</vt:lpstr>
      <vt:lpstr>spec1_gems</vt:lpstr>
      <vt:lpstr>spec1_lumber</vt:lpstr>
      <vt:lpstr>spec1_mana</vt:lpstr>
      <vt:lpstr>spec2_food</vt:lpstr>
      <vt:lpstr>spec2_gems</vt:lpstr>
      <vt:lpstr>spec2_lumber</vt:lpstr>
      <vt:lpstr>spec2_mana</vt:lpstr>
      <vt:lpstr>spirit</vt:lpstr>
      <vt:lpstr>spy_plat</vt:lpstr>
      <vt:lpstr>staff_bonus</vt:lpstr>
      <vt:lpstr>staff_cap</vt:lpstr>
      <vt:lpstr>start_alchs</vt:lpstr>
      <vt:lpstr>start_ams</vt:lpstr>
      <vt:lpstr>start_boats</vt:lpstr>
      <vt:lpstr>start_caverns</vt:lpstr>
      <vt:lpstr>start_dm</vt:lpstr>
      <vt:lpstr>start_docks</vt:lpstr>
      <vt:lpstr>start_dp_specs</vt:lpstr>
      <vt:lpstr>start_draftees</vt:lpstr>
      <vt:lpstr>start_elite1s</vt:lpstr>
      <vt:lpstr>start_elite2s</vt:lpstr>
      <vt:lpstr>start_facs</vt:lpstr>
      <vt:lpstr>start_farms</vt:lpstr>
      <vt:lpstr>start_food</vt:lpstr>
      <vt:lpstr>start_forest</vt:lpstr>
      <vt:lpstr>start_gems</vt:lpstr>
      <vt:lpstr>start_gn</vt:lpstr>
      <vt:lpstr>start_gt</vt:lpstr>
      <vt:lpstr>start_havens</vt:lpstr>
      <vt:lpstr>start_hills</vt:lpstr>
      <vt:lpstr>start_homes</vt:lpstr>
      <vt:lpstr>start_lumber</vt:lpstr>
      <vt:lpstr>start_ly</vt:lpstr>
      <vt:lpstr>start_mana</vt:lpstr>
      <vt:lpstr>start_masons</vt:lpstr>
      <vt:lpstr>start_mountains</vt:lpstr>
      <vt:lpstr>start_om</vt:lpstr>
      <vt:lpstr>start_op_specs</vt:lpstr>
      <vt:lpstr>start_ore</vt:lpstr>
      <vt:lpstr>start_peasants</vt:lpstr>
      <vt:lpstr>start_plains</vt:lpstr>
      <vt:lpstr>start_plat</vt:lpstr>
      <vt:lpstr>start_prestige</vt:lpstr>
      <vt:lpstr>start_rax</vt:lpstr>
      <vt:lpstr>start_schools</vt:lpstr>
      <vt:lpstr>start_shrines</vt:lpstr>
      <vt:lpstr>start_smithies</vt:lpstr>
      <vt:lpstr>start_spies</vt:lpstr>
      <vt:lpstr>start_swamp</vt:lpstr>
      <vt:lpstr>start_temples</vt:lpstr>
      <vt:lpstr>start_towers</vt:lpstr>
      <vt:lpstr>start_water</vt:lpstr>
      <vt:lpstr>start_wg</vt:lpstr>
      <vt:lpstr>start_wizards</vt:lpstr>
      <vt:lpstr>sylvan</vt:lpstr>
      <vt:lpstr>sylvan_spell_cost</vt:lpstr>
      <vt:lpstr>sylvan_spell_time</vt:lpstr>
      <vt:lpstr>tax</vt:lpstr>
      <vt:lpstr>tech_conquerors_crafts</vt:lpstr>
      <vt:lpstr>tech_construction</vt:lpstr>
      <vt:lpstr>tech_construction_pop</vt:lpstr>
      <vt:lpstr>tech_construction_rezone</vt:lpstr>
      <vt:lpstr>tech_cost_per_acre</vt:lpstr>
      <vt:lpstr>tech_enchanted_lands_explore</vt:lpstr>
      <vt:lpstr>tech_enchanted_lands_mana</vt:lpstr>
      <vt:lpstr>tech_explore_cost</vt:lpstr>
      <vt:lpstr>tech_explore_cost2</vt:lpstr>
      <vt:lpstr>tech_explore_draft1</vt:lpstr>
      <vt:lpstr>tech_explore_draft2</vt:lpstr>
      <vt:lpstr>tech_fruits_of_labor_gems</vt:lpstr>
      <vt:lpstr>tech_fruits_of_labor1</vt:lpstr>
      <vt:lpstr>tech_magical_weaponry_op</vt:lpstr>
      <vt:lpstr>tech_magical_weaponry_wiz</vt:lpstr>
      <vt:lpstr>tech_master_of_frugality</vt:lpstr>
      <vt:lpstr>tech_military_offense</vt:lpstr>
      <vt:lpstr>tech_production_food</vt:lpstr>
      <vt:lpstr>tech_production_gems</vt:lpstr>
      <vt:lpstr>tech_production_plat</vt:lpstr>
      <vt:lpstr>tech_spy_cost</vt:lpstr>
      <vt:lpstr>tech_treasure_hunt_plat</vt:lpstr>
      <vt:lpstr>tech_urban_mastery_pop</vt:lpstr>
      <vt:lpstr>tech_wizard_cost</vt:lpstr>
      <vt:lpstr>tower_mana</vt:lpstr>
      <vt:lpstr>undead</vt:lpstr>
      <vt:lpstr>useless_spell_races</vt:lpstr>
      <vt:lpstr>valkyrja_bonus</vt:lpstr>
      <vt:lpstr>valkyrja_cap</vt:lpstr>
      <vt:lpstr>voodoo_magi_bonus</vt:lpstr>
      <vt:lpstr>voodoo_magi_cap</vt:lpstr>
      <vt:lpstr>walls_forges_cap</vt:lpstr>
      <vt:lpstr>walls_forges_param</vt:lpstr>
      <vt:lpstr>warlock_bonus</vt:lpstr>
      <vt:lpstr>warlock_cap</vt:lpstr>
      <vt:lpstr>warsong_bonus</vt:lpstr>
      <vt:lpstr>waves</vt:lpstr>
      <vt:lpstr>wg_spell_cost_cap</vt:lpstr>
      <vt:lpstr>wg_spell_cost_red</vt:lpstr>
      <vt:lpstr>wg_wiz_cost_bonus</vt:lpstr>
      <vt:lpstr>wg_wiz_cost_cap</vt:lpstr>
      <vt:lpstr>wizard_plat</vt:lpstr>
      <vt:lpstr>woodelf_spell_cost</vt:lpstr>
      <vt:lpstr>woodelf_spell_time</vt:lpstr>
      <vt:lpstr>woodie</vt:lpstr>
      <vt:lpstr>wraith_bonus</vt:lpstr>
      <vt:lpstr>wraith_cap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Dominion OOP Simulator</dc:title>
  <dc:subject>www.kamikazegames.com</dc:subject>
  <dc:creator>Blackreign</dc:creator>
  <cp:lastModifiedBy>Windows User</cp:lastModifiedBy>
  <cp:lastPrinted>2004-01-30T10:58:31Z</cp:lastPrinted>
  <dcterms:created xsi:type="dcterms:W3CDTF">2002-01-18T13:56:58Z</dcterms:created>
  <dcterms:modified xsi:type="dcterms:W3CDTF">2019-10-03T13:17:33Z</dcterms:modified>
</cp:coreProperties>
</file>