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D:\_110\中興大學\全方位\Final\全方位大數據智能實務應用班-P1P2\函數的應用\Samples\"/>
    </mc:Choice>
  </mc:AlternateContent>
  <xr:revisionPtr revIDLastSave="0" documentId="13_ncr:1_{ED121C1D-7028-4ED0-8C13-A1A159CF4C8A}" xr6:coauthVersionLast="47" xr6:coauthVersionMax="47" xr10:uidLastSave="{00000000-0000-0000-0000-000000000000}"/>
  <bookViews>
    <workbookView xWindow="-120" yWindow="-120" windowWidth="20640" windowHeight="11160" tabRatio="889" firstSheet="7" activeTab="19" xr2:uid="{00000000-000D-0000-FFFF-FFFF00000000}"/>
  </bookViews>
  <sheets>
    <sheet name="VLOOKUP" sheetId="5" r:id="rId1"/>
    <sheet name="特休對照表" sheetId="4" r:id="rId2"/>
    <sheet name="CHOOSE(1)" sheetId="12" r:id="rId3"/>
    <sheet name="CHOOSE(2)" sheetId="21" r:id="rId4"/>
    <sheet name="應用範例1" sheetId="22" r:id="rId5"/>
    <sheet name="應用範例2" sheetId="23" r:id="rId6"/>
    <sheet name="工作表13" sheetId="24" r:id="rId7"/>
    <sheet name="INDEX" sheetId="14" r:id="rId8"/>
    <sheet name="INDEX (2)" sheetId="15" r:id="rId9"/>
    <sheet name="INDEX (3)" sheetId="16" r:id="rId10"/>
    <sheet name="INDEX(4)" sheetId="17" r:id="rId11"/>
    <sheet name="MATCH" sheetId="18" r:id="rId12"/>
    <sheet name="MATCH (2)" sheetId="19" r:id="rId13"/>
    <sheet name="MATCH (3)" sheetId="20" r:id="rId14"/>
    <sheet name="累進稅率" sheetId="6" r:id="rId15"/>
    <sheet name="業績" sheetId="7" r:id="rId16"/>
    <sheet name="薪資系統" sheetId="9" r:id="rId17"/>
    <sheet name="薪資結構" sheetId="8" r:id="rId18"/>
    <sheet name="課表查詢" sheetId="10" r:id="rId19"/>
    <sheet name="小明" sheetId="11" r:id="rId20"/>
  </sheets>
  <externalReferences>
    <externalReference r:id="rId21"/>
    <externalReference r:id="rId22"/>
    <externalReference r:id="rId23"/>
  </externalReferences>
  <definedNames>
    <definedName name="_xlnm._FilterDatabase" localSheetId="16" hidden="1">薪資系統!$A$3:$G$43</definedName>
    <definedName name="_xlnm.Criteria">VLOOKUP!#REF!</definedName>
    <definedName name="_xlnm.Extract">VLOOKUP!#REF!</definedName>
    <definedName name="一月">應用範例2!$K$2:$K$4</definedName>
    <definedName name="二月">應用範例2!$L$2:$L$4</definedName>
    <definedName name="三月">應用範例2!$M$2:$M$4</definedName>
    <definedName name="工號">工作表13!$I$5:$I$118</definedName>
    <definedName name="五月">應用範例2!$O$2:$O$4</definedName>
    <definedName name="六月">應用範例2!$P$2:$P$4</definedName>
    <definedName name="化學">[1]設定格式化條件!$J$5:$J$14</definedName>
    <definedName name="四月">應用範例2!$N$2:$N$4</definedName>
    <definedName name="地理">[1]設定格式化條件!$I$5:$I$14</definedName>
    <definedName name="年齡">'[2]SUMIF-1'!$L$4:$L$12</definedName>
    <definedName name="姓名" localSheetId="6">工作表13!$E$5:$E$118</definedName>
    <definedName name="姓名">業績!$B$2:$B$21</definedName>
    <definedName name="性別">'[2]SUMIF-1'!$K$4:$K$12</definedName>
    <definedName name="英語">[1]設定格式化條件!$F$5:$F$14</definedName>
    <definedName name="國語">[1]設定格式化條件!$E$5:$E$14</definedName>
    <definedName name="第一季">業績!$C$2:$C$21</definedName>
    <definedName name="第二季">業績!$D$2:$D$21</definedName>
    <definedName name="第三季">業績!$E$2:$E$21</definedName>
    <definedName name="第四季">業績!$F$2:$F$21</definedName>
    <definedName name="部門">工作表13!$C$5:$C$118</definedName>
    <definedName name="業績">#REF!</definedName>
    <definedName name="數學">[1]設定格式化條件!$G$5:$G$14</definedName>
    <definedName name="學歷">工作表13!$K$5:$K$118</definedName>
    <definedName name="歷史">[1]設定格式化條件!$H$5:$H$14</definedName>
    <definedName name="薪資">'[2]SUMIF-1'!$M$4:$M$12</definedName>
    <definedName name="薪資對照表" localSheetId="16">[3]薪資結構!$A$4:$F$14</definedName>
    <definedName name="薪資對照表">薪資結構!$A$4:$F$14</definedName>
    <definedName name="職級" localSheetId="16">[3]薪資結構!$A$4:$A$14</definedName>
    <definedName name="職級">薪資結構!$A$4:$A$14</definedName>
    <definedName name="職等" localSheetId="16">[3]薪資結構!$A$4:$F$4</definedName>
    <definedName name="職等">薪資結構!$A$4:$F$4</definedName>
    <definedName name="職稱">工作表13!$D$5:$D$118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9" l="1"/>
  <c r="I6" i="9"/>
  <c r="I7" i="9"/>
  <c r="I8" i="9"/>
  <c r="I9" i="9"/>
  <c r="I10" i="9"/>
  <c r="I4" i="9"/>
  <c r="F22" i="7"/>
  <c r="G3" i="6"/>
  <c r="E10" i="20"/>
  <c r="E9" i="20"/>
  <c r="B15" i="16"/>
  <c r="G10" i="15"/>
  <c r="G9" i="14" a="1"/>
  <c r="G9" i="14" s="1"/>
  <c r="E2" i="24"/>
  <c r="D2" i="24"/>
  <c r="K15" i="23"/>
  <c r="B9" i="23"/>
  <c r="B7" i="23"/>
  <c r="F3" i="22"/>
  <c r="F4" i="22"/>
  <c r="F5" i="22"/>
  <c r="F6" i="22"/>
  <c r="F7" i="22"/>
  <c r="F8" i="22"/>
  <c r="F9" i="22"/>
  <c r="F10" i="22"/>
  <c r="F2" i="22"/>
  <c r="D2" i="12"/>
  <c r="B21" i="5"/>
  <c r="B20" i="5"/>
  <c r="J3" i="5"/>
  <c r="J4" i="5"/>
  <c r="J5" i="5"/>
  <c r="J6" i="5"/>
  <c r="J7" i="5"/>
  <c r="J8" i="5"/>
  <c r="J9" i="5"/>
  <c r="J10" i="5"/>
  <c r="J11" i="5"/>
  <c r="J12" i="5"/>
  <c r="J13" i="5"/>
  <c r="J14" i="5"/>
  <c r="J15" i="5"/>
  <c r="J16" i="5"/>
  <c r="J2" i="5"/>
  <c r="K3" i="5"/>
  <c r="D3" i="5" s="1"/>
  <c r="K4" i="5"/>
  <c r="D4" i="5" s="1"/>
  <c r="C21" i="5" s="1"/>
  <c r="K5" i="5"/>
  <c r="D5" i="5" s="1"/>
  <c r="K6" i="5"/>
  <c r="D6" i="5" s="1"/>
  <c r="K7" i="5"/>
  <c r="D7" i="5" s="1"/>
  <c r="K8" i="5"/>
  <c r="D8" i="5" s="1"/>
  <c r="K9" i="5"/>
  <c r="D9" i="5" s="1"/>
  <c r="K10" i="5"/>
  <c r="D10" i="5" s="1"/>
  <c r="K11" i="5"/>
  <c r="D11" i="5" s="1"/>
  <c r="K12" i="5"/>
  <c r="D12" i="5" s="1"/>
  <c r="K13" i="5"/>
  <c r="D13" i="5" s="1"/>
  <c r="K14" i="5"/>
  <c r="D14" i="5" s="1"/>
  <c r="K15" i="5"/>
  <c r="D15" i="5" s="1"/>
  <c r="K16" i="5"/>
  <c r="D16" i="5" s="1"/>
  <c r="K2" i="5"/>
  <c r="D2" i="5" s="1"/>
  <c r="G10" i="16"/>
  <c r="B10" i="23"/>
  <c r="D10" i="23" s="1"/>
  <c r="D9" i="23"/>
  <c r="E10" i="22"/>
  <c r="D10" i="22"/>
  <c r="E9" i="22"/>
  <c r="D9" i="22"/>
  <c r="E8" i="22"/>
  <c r="D8" i="22"/>
  <c r="E7" i="22"/>
  <c r="D7" i="22"/>
  <c r="E6" i="22"/>
  <c r="D6" i="22"/>
  <c r="E5" i="22"/>
  <c r="D5" i="22"/>
  <c r="E4" i="22"/>
  <c r="D4" i="22"/>
  <c r="E3" i="22"/>
  <c r="D3" i="22"/>
  <c r="E2" i="22"/>
  <c r="D2" i="22"/>
  <c r="B4" i="21"/>
  <c r="B2" i="21"/>
  <c r="E1" i="21"/>
  <c r="K7" i="23"/>
  <c r="K10" i="23"/>
  <c r="K9" i="23"/>
  <c r="C20" i="5" l="1"/>
  <c r="M13" i="5"/>
  <c r="M9" i="5"/>
  <c r="M5" i="5"/>
  <c r="M16" i="5"/>
  <c r="M12" i="5"/>
  <c r="M8" i="5"/>
  <c r="M4" i="5"/>
  <c r="M15" i="5"/>
  <c r="M11" i="5"/>
  <c r="M7" i="5"/>
  <c r="M3" i="5"/>
  <c r="M14" i="5"/>
  <c r="M10" i="5"/>
  <c r="M6" i="5"/>
  <c r="M2" i="5"/>
  <c r="F11" i="19"/>
  <c r="F10" i="19"/>
  <c r="E11" i="18"/>
  <c r="E10" i="18"/>
  <c r="F14" i="17"/>
  <c r="E14" i="17"/>
  <c r="D14" i="17"/>
  <c r="C14" i="17"/>
  <c r="B14" i="17"/>
  <c r="G11" i="16"/>
  <c r="I2" i="5"/>
  <c r="M10" i="23"/>
  <c r="M9" i="23"/>
  <c r="D15" i="10" l="1"/>
  <c r="G4" i="9" l="1"/>
  <c r="A50"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B14" i="8"/>
  <c r="C14" i="8" s="1"/>
  <c r="C13" i="8"/>
  <c r="B13" i="8"/>
  <c r="B12" i="8"/>
  <c r="C11" i="8"/>
  <c r="B11" i="8"/>
  <c r="B10" i="8"/>
  <c r="B9" i="8"/>
  <c r="B8" i="8"/>
  <c r="C7" i="8"/>
  <c r="B7" i="8"/>
  <c r="B6" i="8"/>
  <c r="C5" i="8"/>
  <c r="B5" i="8"/>
  <c r="E22" i="7"/>
  <c r="D22" i="7"/>
  <c r="C22" i="7"/>
  <c r="G21" i="7"/>
  <c r="G20" i="7"/>
  <c r="G19" i="7"/>
  <c r="G18" i="7"/>
  <c r="G17" i="7"/>
  <c r="G16" i="7"/>
  <c r="G15" i="7"/>
  <c r="G14" i="7"/>
  <c r="G13" i="7"/>
  <c r="G12" i="7"/>
  <c r="G11" i="7"/>
  <c r="G10" i="7"/>
  <c r="G9" i="7"/>
  <c r="G8" i="7"/>
  <c r="G7" i="7"/>
  <c r="G6" i="7"/>
  <c r="G5" i="7"/>
  <c r="G4" i="7"/>
  <c r="G3" i="7"/>
  <c r="G2" i="7"/>
  <c r="C9" i="8" l="1"/>
  <c r="H19" i="7"/>
  <c r="H3" i="7"/>
  <c r="H11" i="7"/>
  <c r="H6" i="7"/>
  <c r="H7" i="7"/>
  <c r="H16" i="7"/>
  <c r="H9" i="7"/>
  <c r="H17" i="7"/>
  <c r="H2" i="7"/>
  <c r="H10" i="7"/>
  <c r="H18" i="7"/>
  <c r="H4" i="7"/>
  <c r="H5" i="7"/>
  <c r="H13" i="7"/>
  <c r="H21" i="7"/>
  <c r="H14" i="7"/>
  <c r="H20" i="7"/>
  <c r="H8" i="7"/>
  <c r="H12" i="7"/>
  <c r="H15" i="7"/>
  <c r="D13" i="8"/>
  <c r="D11" i="8"/>
  <c r="D9" i="8"/>
  <c r="D7" i="8"/>
  <c r="D5" i="8"/>
  <c r="D14" i="8"/>
  <c r="D12" i="8"/>
  <c r="D10" i="8"/>
  <c r="D8" i="8"/>
  <c r="D6" i="8"/>
  <c r="C6" i="8"/>
  <c r="C8" i="8"/>
  <c r="C10" i="8"/>
  <c r="C12" i="8"/>
  <c r="E7" i="8" l="1"/>
  <c r="E14" i="8"/>
  <c r="E12" i="8"/>
  <c r="E10" i="8"/>
  <c r="E8" i="8"/>
  <c r="E6" i="8"/>
  <c r="E13" i="8"/>
  <c r="E11" i="8"/>
  <c r="E9" i="8"/>
  <c r="E5" i="8"/>
  <c r="F10" i="8" l="1"/>
  <c r="F6" i="8"/>
  <c r="F13" i="8"/>
  <c r="F11" i="8"/>
  <c r="F9" i="8"/>
  <c r="F7" i="8"/>
  <c r="F5" i="8"/>
  <c r="F14" i="8"/>
  <c r="F12" i="8"/>
  <c r="F8" i="8"/>
  <c r="H10" i="6" l="1"/>
  <c r="G10" i="6"/>
  <c r="H9" i="6"/>
  <c r="G9" i="6"/>
  <c r="H8" i="6"/>
  <c r="G8" i="6"/>
  <c r="H7" i="6"/>
  <c r="G7" i="6"/>
  <c r="H6" i="6"/>
  <c r="G6" i="6"/>
  <c r="H5" i="6"/>
  <c r="G5" i="6"/>
  <c r="H4" i="6"/>
  <c r="G4" i="6"/>
  <c r="H3" i="6"/>
  <c r="I3" i="5"/>
  <c r="I4" i="5"/>
  <c r="I5" i="5"/>
  <c r="I6" i="5"/>
  <c r="I7" i="5"/>
  <c r="I8" i="5"/>
  <c r="I9" i="5"/>
  <c r="I10" i="5"/>
  <c r="I11" i="5"/>
  <c r="I12" i="5"/>
  <c r="I13" i="5"/>
  <c r="I14" i="5"/>
  <c r="I15" i="5"/>
  <c r="I1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蘇孟緯</author>
  </authors>
  <commentList>
    <comment ref="D2" authorId="0" shapeId="0" xr:uid="{50F736A2-4B09-457E-A243-3416F8315B24}">
      <text>
        <r>
          <rPr>
            <b/>
            <sz val="9"/>
            <color indexed="81"/>
            <rFont val="細明體"/>
            <family val="3"/>
            <charset val="136"/>
          </rPr>
          <t>蘇孟緯</t>
        </r>
        <r>
          <rPr>
            <b/>
            <sz val="9"/>
            <color indexed="81"/>
            <rFont val="Tahoma"/>
            <family val="2"/>
          </rPr>
          <t>:</t>
        </r>
        <r>
          <rPr>
            <sz val="9"/>
            <color indexed="81"/>
            <rFont val="Tahoma"/>
            <family val="2"/>
          </rPr>
          <t xml:space="preserve">
"</t>
        </r>
        <r>
          <rPr>
            <sz val="9"/>
            <color indexed="81"/>
            <rFont val="細明體"/>
            <family val="3"/>
            <charset val="136"/>
          </rPr>
          <t>姓名"名稱所定義的範圍要重設，因為其他工作表有設同樣的名稱，但內容項目不同。</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<sst xmlns="http://schemas.openxmlformats.org/spreadsheetml/2006/main" count="1253" uniqueCount="465">
  <si>
    <t>到職日</t>
  </si>
  <si>
    <t>起休年</t>
  </si>
  <si>
    <t>員工代號</t>
  </si>
  <si>
    <t>姓名</t>
  </si>
  <si>
    <t>職稱</t>
  </si>
  <si>
    <t>部門</t>
  </si>
  <si>
    <t>事業部</t>
  </si>
  <si>
    <t>月薪</t>
  </si>
  <si>
    <t>生日</t>
  </si>
  <si>
    <t>在職日</t>
  </si>
  <si>
    <t>年資</t>
  </si>
  <si>
    <t>跨年</t>
  </si>
  <si>
    <t>鄭文瑩</t>
  </si>
  <si>
    <t>行政助理</t>
  </si>
  <si>
    <t>工程部</t>
  </si>
  <si>
    <t>印表機</t>
  </si>
  <si>
    <t>陳崇銘</t>
  </si>
  <si>
    <t>傳真機</t>
  </si>
  <si>
    <t>陳宏輝</t>
  </si>
  <si>
    <t>軟體工程師</t>
  </si>
  <si>
    <t>影印機</t>
  </si>
  <si>
    <t>康書澤</t>
  </si>
  <si>
    <t>蔡韻華</t>
  </si>
  <si>
    <t>助理工程師</t>
  </si>
  <si>
    <t>陳麗琴</t>
  </si>
  <si>
    <t>管理助理</t>
  </si>
  <si>
    <t>黃瑞元</t>
  </si>
  <si>
    <t>總工程師</t>
  </si>
  <si>
    <t>王重昌</t>
  </si>
  <si>
    <t>技術員</t>
  </si>
  <si>
    <t>林玲芬</t>
  </si>
  <si>
    <t>方敏玉</t>
  </si>
  <si>
    <t>呂時哲</t>
  </si>
  <si>
    <t>吳浩忠</t>
  </si>
  <si>
    <t>機械工程師</t>
  </si>
  <si>
    <t>徐文彥</t>
  </si>
  <si>
    <t>林俊偉</t>
  </si>
  <si>
    <t>王朝悟</t>
  </si>
  <si>
    <t>特休
Hlookup</t>
    <phoneticPr fontId="6" type="noConversion"/>
  </si>
  <si>
    <t>VLOOKUP以欄的方式尋找儲存格中對應的值</t>
    <phoneticPr fontId="2" type="noConversion"/>
  </si>
  <si>
    <t>所得稅</t>
  </si>
  <si>
    <t>稅率</t>
  </si>
  <si>
    <t>累進差額</t>
  </si>
  <si>
    <t>綜合所得淨額</t>
  </si>
  <si>
    <t>適用稅率</t>
  </si>
  <si>
    <t>編號</t>
    <phoneticPr fontId="2" type="noConversion"/>
  </si>
  <si>
    <t>第一季</t>
    <phoneticPr fontId="2" type="noConversion"/>
  </si>
  <si>
    <t>第二季</t>
  </si>
  <si>
    <t>第三季</t>
  </si>
  <si>
    <t>第四季</t>
  </si>
  <si>
    <t>總計</t>
  </si>
  <si>
    <t>名次</t>
  </si>
  <si>
    <t>李慧怡</t>
  </si>
  <si>
    <t>陳香蘭</t>
  </si>
  <si>
    <t>趙新維</t>
  </si>
  <si>
    <t>王玉崙</t>
  </si>
  <si>
    <t>吳牧勳</t>
  </si>
  <si>
    <t>李光耀</t>
  </si>
  <si>
    <t>郭婉如</t>
  </si>
  <si>
    <t>沈其鈞</t>
  </si>
  <si>
    <t>倪文彬</t>
  </si>
  <si>
    <t>楊雅婷</t>
  </si>
  <si>
    <t>梁玉佩</t>
  </si>
  <si>
    <t>王怡文</t>
  </si>
  <si>
    <t>陳怡蓁</t>
  </si>
  <si>
    <t>黃華南</t>
  </si>
  <si>
    <t>陳妍靚</t>
  </si>
  <si>
    <t>范姜少華</t>
  </si>
  <si>
    <t>林展如</t>
  </si>
  <si>
    <t>洪嘉陽</t>
  </si>
  <si>
    <t>王玫麗</t>
  </si>
  <si>
    <t>廖冷峰</t>
  </si>
  <si>
    <t>銷售最佳
業務員</t>
    <phoneticPr fontId="2" type="noConversion"/>
  </si>
  <si>
    <t>人事薪資結構表</t>
  </si>
  <si>
    <r>
      <t xml:space="preserve">              </t>
    </r>
    <r>
      <rPr>
        <sz val="9"/>
        <rFont val="新細明體"/>
        <family val="1"/>
        <charset val="136"/>
      </rPr>
      <t>級差
基本薪資</t>
    </r>
    <phoneticPr fontId="2" type="noConversion"/>
  </si>
  <si>
    <r>
      <t xml:space="preserve">源源股份有限公司薪資系統
</t>
    </r>
    <r>
      <rPr>
        <b/>
        <sz val="14"/>
        <color indexed="12"/>
        <rFont val="標楷體"/>
        <family val="4"/>
        <charset val="136"/>
      </rPr>
      <t>月報表</t>
    </r>
    <phoneticPr fontId="2" type="noConversion"/>
  </si>
  <si>
    <t>員工號碼</t>
  </si>
  <si>
    <t>職務</t>
  </si>
  <si>
    <t>生日</t>
    <phoneticPr fontId="2" type="noConversion"/>
  </si>
  <si>
    <t>職等</t>
  </si>
  <si>
    <t>職級</t>
  </si>
  <si>
    <t>本薪</t>
  </si>
  <si>
    <t>00141</t>
  </si>
  <si>
    <t>賴旭修</t>
  </si>
  <si>
    <t>副科長</t>
  </si>
  <si>
    <t>00185</t>
  </si>
  <si>
    <t>莊鏡如</t>
  </si>
  <si>
    <t>助理</t>
  </si>
  <si>
    <t>00220</t>
  </si>
  <si>
    <t>陳美君</t>
  </si>
  <si>
    <t>主任</t>
  </si>
  <si>
    <t>00222</t>
  </si>
  <si>
    <t>楊芝凌</t>
  </si>
  <si>
    <t>科長</t>
  </si>
  <si>
    <t>00226</t>
  </si>
  <si>
    <t>康祝菁</t>
  </si>
  <si>
    <t>00297</t>
  </si>
  <si>
    <t>李惟惟</t>
  </si>
  <si>
    <t>00348</t>
  </si>
  <si>
    <t>朱英菁</t>
  </si>
  <si>
    <t>辦事員</t>
  </si>
  <si>
    <t>00367</t>
  </si>
  <si>
    <t>郭麗雯</t>
  </si>
  <si>
    <t>00425</t>
  </si>
  <si>
    <t>彭淑瑛</t>
  </si>
  <si>
    <t>經理</t>
  </si>
  <si>
    <t>00458</t>
  </si>
  <si>
    <t>徐俐萍</t>
  </si>
  <si>
    <t>00946</t>
  </si>
  <si>
    <t>鍾佩君</t>
  </si>
  <si>
    <t>00549</t>
  </si>
  <si>
    <t>陳俊宏</t>
  </si>
  <si>
    <t>00360</t>
  </si>
  <si>
    <t>韓璧鴻</t>
  </si>
  <si>
    <t>00688</t>
  </si>
  <si>
    <t>陳登亮</t>
  </si>
  <si>
    <t>00595</t>
  </si>
  <si>
    <t>周建銘</t>
  </si>
  <si>
    <t>00686</t>
  </si>
  <si>
    <t>羅郁琪</t>
  </si>
  <si>
    <t>00810</t>
  </si>
  <si>
    <t>蔡明傑</t>
  </si>
  <si>
    <t>00697</t>
  </si>
  <si>
    <t>黃翊倫</t>
  </si>
  <si>
    <t>00157</t>
  </si>
  <si>
    <t>張秋月</t>
  </si>
  <si>
    <t>00349</t>
  </si>
  <si>
    <t>歐陽婉美</t>
  </si>
  <si>
    <t>00568</t>
  </si>
  <si>
    <t>李淑君</t>
  </si>
  <si>
    <t>00375</t>
  </si>
  <si>
    <t>王為寰</t>
  </si>
  <si>
    <t>00795</t>
  </si>
  <si>
    <t>謝宛君</t>
  </si>
  <si>
    <t>吳嘉峰</t>
  </si>
  <si>
    <t>00630</t>
    <phoneticPr fontId="2" type="noConversion"/>
  </si>
  <si>
    <t>唐正慈</t>
  </si>
  <si>
    <t>張婉珍</t>
  </si>
  <si>
    <t>00357</t>
  </si>
  <si>
    <t>陳蔓怡</t>
  </si>
  <si>
    <t>00597</t>
  </si>
  <si>
    <t>廖琴韻</t>
  </si>
  <si>
    <t>00439</t>
  </si>
  <si>
    <t>鄭莉亭</t>
  </si>
  <si>
    <t>00301</t>
  </si>
  <si>
    <t>林承賢</t>
  </si>
  <si>
    <t>00653</t>
  </si>
  <si>
    <t>林筱雯</t>
  </si>
  <si>
    <t>謝長霖</t>
  </si>
  <si>
    <t>00873</t>
  </si>
  <si>
    <t>陳添義</t>
  </si>
  <si>
    <t>00198</t>
  </si>
  <si>
    <t>黃新蕾</t>
  </si>
  <si>
    <t>00914</t>
  </si>
  <si>
    <t>宋秀鳳</t>
  </si>
  <si>
    <t>00200</t>
    <phoneticPr fontId="2" type="noConversion"/>
  </si>
  <si>
    <t>劉國源</t>
  </si>
  <si>
    <t>00257</t>
  </si>
  <si>
    <t>范雅惠</t>
  </si>
  <si>
    <t>00922</t>
  </si>
  <si>
    <t>黎宗良</t>
  </si>
  <si>
    <t>00350</t>
    <phoneticPr fontId="2" type="noConversion"/>
  </si>
  <si>
    <t>賴文智</t>
  </si>
  <si>
    <t>00395</t>
  </si>
  <si>
    <t>林建邦</t>
  </si>
  <si>
    <t>本月份
壽星</t>
    <phoneticPr fontId="2" type="noConversion"/>
  </si>
  <si>
    <t>星期一</t>
    <phoneticPr fontId="2" type="noConversion"/>
  </si>
  <si>
    <t>星期二</t>
  </si>
  <si>
    <t>星期三</t>
  </si>
  <si>
    <t>星期四</t>
  </si>
  <si>
    <t>星期五</t>
  </si>
  <si>
    <t>週會</t>
    <phoneticPr fontId="2" type="noConversion"/>
  </si>
  <si>
    <t>數學</t>
    <phoneticPr fontId="2" type="noConversion"/>
  </si>
  <si>
    <t>專題製作</t>
    <phoneticPr fontId="2" type="noConversion"/>
  </si>
  <si>
    <t>國文</t>
    <phoneticPr fontId="2" type="noConversion"/>
  </si>
  <si>
    <t>音樂</t>
    <phoneticPr fontId="2" type="noConversion"/>
  </si>
  <si>
    <t>第2節</t>
  </si>
  <si>
    <t>公民</t>
    <phoneticPr fontId="2" type="noConversion"/>
  </si>
  <si>
    <t>社會</t>
    <phoneticPr fontId="2" type="noConversion"/>
  </si>
  <si>
    <t>作文</t>
    <phoneticPr fontId="2" type="noConversion"/>
  </si>
  <si>
    <t>英文</t>
    <phoneticPr fontId="2" type="noConversion"/>
  </si>
  <si>
    <t>健康教育</t>
    <phoneticPr fontId="2" type="noConversion"/>
  </si>
  <si>
    <t>美勞</t>
    <phoneticPr fontId="2" type="noConversion"/>
  </si>
  <si>
    <t>化學</t>
    <phoneticPr fontId="2" type="noConversion"/>
  </si>
  <si>
    <t>電腦</t>
    <phoneticPr fontId="2" type="noConversion"/>
  </si>
  <si>
    <t>物理</t>
    <phoneticPr fontId="2" type="noConversion"/>
  </si>
  <si>
    <t>專題</t>
    <phoneticPr fontId="2" type="noConversion"/>
  </si>
  <si>
    <t>分組活動</t>
    <phoneticPr fontId="2" type="noConversion"/>
  </si>
  <si>
    <t>課後活動</t>
    <phoneticPr fontId="2" type="noConversion"/>
  </si>
  <si>
    <t>分組討論</t>
    <phoneticPr fontId="2" type="noConversion"/>
  </si>
  <si>
    <t>查詢對照表中的資料-課表查詢</t>
    <phoneticPr fontId="2" type="noConversion"/>
  </si>
  <si>
    <t>1.老師說：</t>
  </si>
  <si>
    <t>「漢字中，凡是帶三點水的，一定都有水，例如：江、河、湖、海…。」</t>
  </si>
  <si>
    <t>小明說：「沙漠呢？」</t>
  </si>
  <si>
    <t>老師說：「滾！」</t>
  </si>
  <si>
    <t>小明說：「我滾的時候也沒看到水啊！」</t>
  </si>
  <si>
    <t>老師說: 你出去</t>
  </si>
  <si>
    <t>2.老師上課叫小明起立回答問題，想鍛鍊他的膽子。</t>
  </si>
  <si>
    <t>小明懦弱的回答：「我…不會…。」</t>
  </si>
  <si>
    <t>老師說：「就不能像個男子漢一樣嗎？」</t>
  </si>
  <si>
    <t>小明若有所思…終於，小明怒拍桌子大吼一聲：</t>
  </si>
  <si>
    <t>「老子不會！」</t>
  </si>
  <si>
    <t>3.老師發現上課時</t>
  </si>
  <si>
    <t>小明總是不專心愛講話，生氣的說：</t>
  </si>
  <si>
    <t>「小明，你再不專心上課，</t>
  </si>
  <si>
    <t>我就要告訴你爸爸。」</t>
  </si>
  <si>
    <t>小明淡淡的說：</t>
  </si>
  <si>
    <t>「老師，其實我對你也不是很滿意，可是我都沒跟你爸爸說。」 </t>
  </si>
  <si>
    <t>4.老師：</t>
  </si>
  <si>
    <t>「哪個同學用四個字來形容一下</t>
  </si>
  <si>
    <t>一個人長得很醜？」</t>
  </si>
  <si>
    <t>小華說：「其貌不揚。」</t>
  </si>
  <si>
    <t>小英說：「奇醜無比。」</t>
  </si>
  <si>
    <t>小明用手指著老師說：</t>
  </si>
  <si>
    <t>「有點像你。」</t>
  </si>
  <si>
    <t>5.上語文課時老師：</t>
  </si>
  <si>
    <t>「小明請你依照</t>
  </si>
  <si>
    <t>『如果每一滴水都能代表一份祝福，那我送你一片海洋』 句型，練習造句。」</t>
  </si>
  <si>
    <t>小明說：</t>
  </si>
  <si>
    <t>「如果每一朵花都代表一份祝福，我會送你一個花圈。」</t>
  </si>
  <si>
    <t>小明的功課表</t>
    <phoneticPr fontId="2" type="noConversion"/>
  </si>
  <si>
    <t>第1節</t>
    <phoneticPr fontId="2" type="noConversion"/>
  </si>
  <si>
    <t>第2節</t>
    <phoneticPr fontId="2" type="noConversion"/>
  </si>
  <si>
    <t>第3節</t>
    <phoneticPr fontId="2" type="noConversion"/>
  </si>
  <si>
    <t>第4節</t>
    <phoneticPr fontId="2" type="noConversion"/>
  </si>
  <si>
    <t>第5節</t>
    <phoneticPr fontId="2" type="noConversion"/>
  </si>
  <si>
    <t>第6節</t>
    <phoneticPr fontId="2" type="noConversion"/>
  </si>
  <si>
    <t>第7節</t>
    <phoneticPr fontId="2" type="noConversion"/>
  </si>
  <si>
    <t>星期</t>
    <phoneticPr fontId="2" type="noConversion"/>
  </si>
  <si>
    <t>第幾節</t>
    <phoneticPr fontId="2" type="noConversion"/>
  </si>
  <si>
    <t>課程</t>
    <phoneticPr fontId="2" type="noConversion"/>
  </si>
  <si>
    <t>資料</t>
  </si>
  <si>
    <t>釘子</t>
  </si>
  <si>
    <t>螺絲釘</t>
  </si>
  <si>
    <t>螺帽</t>
  </si>
  <si>
    <t>螺栓</t>
  </si>
  <si>
    <t>INDEX從參照中取出儲存格中的值-1</t>
    <phoneticPr fontId="2" type="noConversion"/>
  </si>
  <si>
    <t>水果</t>
  </si>
  <si>
    <t>價格</t>
  </si>
  <si>
    <t>項目個數</t>
  </si>
  <si>
    <t>蘋果</t>
  </si>
  <si>
    <t>香蕉</t>
  </si>
  <si>
    <t>檸檬</t>
  </si>
  <si>
    <t>柑橘</t>
  </si>
  <si>
    <t>第幾列</t>
    <phoneticPr fontId="2" type="noConversion"/>
  </si>
  <si>
    <t>梨子</t>
  </si>
  <si>
    <t>第幾欄</t>
    <phoneticPr fontId="2" type="noConversion"/>
  </si>
  <si>
    <t>杏仁</t>
  </si>
  <si>
    <t>查詢結果</t>
    <phoneticPr fontId="2" type="noConversion"/>
  </si>
  <si>
    <t>腰果</t>
  </si>
  <si>
    <t>花生</t>
  </si>
  <si>
    <t>胡桃</t>
  </si>
  <si>
    <t>INDEX從參照中取出儲存格中的值-2</t>
    <phoneticPr fontId="2" type="noConversion"/>
  </si>
  <si>
    <t>第幾區</t>
    <phoneticPr fontId="2" type="noConversion"/>
  </si>
  <si>
    <t>cart</t>
    <phoneticPr fontId="2" type="noConversion"/>
  </si>
  <si>
    <t>INDEX從參照中取出儲存格中的值-3</t>
    <phoneticPr fontId="2" type="noConversion"/>
  </si>
  <si>
    <t>第幾列開始</t>
    <phoneticPr fontId="2" type="noConversion"/>
  </si>
  <si>
    <t>第幾欄開始</t>
    <phoneticPr fontId="2" type="noConversion"/>
  </si>
  <si>
    <t>查詢加總結果</t>
    <phoneticPr fontId="2" type="noConversion"/>
  </si>
  <si>
    <t>查詢平均價格</t>
    <phoneticPr fontId="2" type="noConversion"/>
  </si>
  <si>
    <t>INDEX從參照中取出儲存格中的值-4</t>
    <phoneticPr fontId="2" type="noConversion"/>
  </si>
  <si>
    <t>第3節</t>
  </si>
  <si>
    <t>第4節</t>
  </si>
  <si>
    <t>第5節</t>
  </si>
  <si>
    <t>第6節</t>
  </si>
  <si>
    <t>第7節</t>
  </si>
  <si>
    <t>結果</t>
    <phoneticPr fontId="2" type="noConversion"/>
  </si>
  <si>
    <t>MATCH依照比對的方式取出符合資料的資料位置-1</t>
    <phoneticPr fontId="2" type="noConversion"/>
  </si>
  <si>
    <t>品名</t>
    <phoneticPr fontId="2" type="noConversion"/>
  </si>
  <si>
    <t>單價</t>
    <phoneticPr fontId="2" type="noConversion"/>
  </si>
  <si>
    <t>數量</t>
    <phoneticPr fontId="2" type="noConversion"/>
  </si>
  <si>
    <t>CD</t>
    <phoneticPr fontId="2" type="noConversion"/>
  </si>
  <si>
    <t>VCD</t>
    <phoneticPr fontId="2" type="noConversion"/>
  </si>
  <si>
    <t>DVD</t>
    <phoneticPr fontId="2" type="noConversion"/>
  </si>
  <si>
    <t>MD</t>
    <phoneticPr fontId="2" type="noConversion"/>
  </si>
  <si>
    <t>MP3</t>
    <phoneticPr fontId="2" type="noConversion"/>
  </si>
  <si>
    <t>CD-R</t>
    <phoneticPr fontId="2" type="noConversion"/>
  </si>
  <si>
    <t>cd</t>
    <phoneticPr fontId="2" type="noConversion"/>
  </si>
  <si>
    <t>MATCH依照比對的方式取出符合資料的資料位置-2</t>
    <phoneticPr fontId="2" type="noConversion"/>
  </si>
  <si>
    <t>位置</t>
    <phoneticPr fontId="2" type="noConversion"/>
  </si>
  <si>
    <t>MATCH依照比對的方式取出符合資料的資料位置-3
與INDEX的搭配使用方式</t>
    <phoneticPr fontId="2" type="noConversion"/>
  </si>
  <si>
    <t>生產地</t>
    <phoneticPr fontId="2" type="noConversion"/>
  </si>
  <si>
    <t>台灣</t>
    <phoneticPr fontId="2" type="noConversion"/>
  </si>
  <si>
    <t>大陸</t>
    <phoneticPr fontId="2" type="noConversion"/>
  </si>
  <si>
    <t>香港</t>
    <phoneticPr fontId="2" type="noConversion"/>
  </si>
  <si>
    <t>韓國</t>
    <phoneticPr fontId="2" type="noConversion"/>
  </si>
  <si>
    <t>日本</t>
    <phoneticPr fontId="2" type="noConversion"/>
  </si>
  <si>
    <t>菲律賓</t>
    <phoneticPr fontId="2" type="noConversion"/>
  </si>
  <si>
    <t>日期</t>
    <phoneticPr fontId="2" type="noConversion"/>
  </si>
  <si>
    <r>
      <t>除以</t>
    </r>
    <r>
      <rPr>
        <sz val="12"/>
        <rFont val="Times New Roman"/>
        <family val="1"/>
      </rPr>
      <t>7</t>
    </r>
    <r>
      <rPr>
        <sz val="12"/>
        <rFont val="新細明體"/>
        <family val="1"/>
        <charset val="136"/>
      </rPr>
      <t>之餘數</t>
    </r>
    <phoneticPr fontId="2" type="noConversion"/>
  </si>
  <si>
    <r>
      <t xml:space="preserve">  </t>
    </r>
    <r>
      <rPr>
        <sz val="12"/>
        <rFont val="新細明體"/>
        <family val="1"/>
        <charset val="136"/>
      </rPr>
      <t>←</t>
    </r>
    <r>
      <rPr>
        <sz val="12"/>
        <rFont val="Times New Roman"/>
        <family val="1"/>
      </rPr>
      <t xml:space="preserve"> =MOD(B1,7)</t>
    </r>
    <phoneticPr fontId="2" type="noConversion"/>
  </si>
  <si>
    <r>
      <t xml:space="preserve">  </t>
    </r>
    <r>
      <rPr>
        <sz val="12"/>
        <rFont val="新細明體"/>
        <family val="1"/>
        <charset val="136"/>
      </rPr>
      <t>←</t>
    </r>
    <r>
      <rPr>
        <sz val="12"/>
        <rFont val="Times New Roman"/>
        <family val="1"/>
      </rPr>
      <t xml:space="preserve">  =B1</t>
    </r>
    <phoneticPr fontId="2" type="noConversion"/>
  </si>
  <si>
    <t>練習：</t>
    <phoneticPr fontId="2" type="noConversion"/>
  </si>
  <si>
    <t>編號</t>
  </si>
  <si>
    <t>業績</t>
    <phoneticPr fontId="2" type="noConversion"/>
  </si>
  <si>
    <t>業績獎金</t>
    <phoneticPr fontId="2" type="noConversion"/>
  </si>
  <si>
    <t>備註</t>
    <phoneticPr fontId="2" type="noConversion"/>
  </si>
  <si>
    <t>張惠真</t>
  </si>
  <si>
    <t>呂姿瑩</t>
  </si>
  <si>
    <t>吳志明</t>
  </si>
  <si>
    <t>黃啟川</t>
  </si>
  <si>
    <t>謝龍盛</t>
  </si>
  <si>
    <t>孫國寧</t>
  </si>
  <si>
    <t>楊桂芬</t>
  </si>
  <si>
    <t>梁國棟</t>
  </si>
  <si>
    <t>林美惠</t>
  </si>
  <si>
    <t>一月</t>
  </si>
  <si>
    <t>二月</t>
  </si>
  <si>
    <t>三月</t>
  </si>
  <si>
    <t>四月</t>
  </si>
  <si>
    <t>五月</t>
  </si>
  <si>
    <t>六月</t>
  </si>
  <si>
    <t>電視</t>
  </si>
  <si>
    <t>電冰箱</t>
  </si>
  <si>
    <t>冷氣機</t>
  </si>
  <si>
    <t>加總月份</t>
    <phoneticPr fontId="2" type="noConversion"/>
  </si>
  <si>
    <t>合計</t>
    <phoneticPr fontId="2" type="noConversion"/>
  </si>
  <si>
    <t>極大</t>
    <phoneticPr fontId="2" type="noConversion"/>
  </si>
  <si>
    <t>極小</t>
    <phoneticPr fontId="2" type="noConversion"/>
  </si>
  <si>
    <t>工號</t>
    <phoneticPr fontId="6" type="noConversion"/>
  </si>
  <si>
    <t>姓名</t>
    <phoneticPr fontId="6" type="noConversion"/>
  </si>
  <si>
    <t>https://dotblogs.com.tw/areswang/2019/04/23/vlookup3</t>
  </si>
  <si>
    <t>學歷</t>
    <phoneticPr fontId="6" type="noConversion"/>
  </si>
  <si>
    <t>戶籍地</t>
    <phoneticPr fontId="6" type="noConversion"/>
  </si>
  <si>
    <t>管理部</t>
  </si>
  <si>
    <t>林世彪</t>
  </si>
  <si>
    <t>管理部經理</t>
  </si>
  <si>
    <t>專科</t>
  </si>
  <si>
    <t>台北市</t>
  </si>
  <si>
    <t>李建志</t>
  </si>
  <si>
    <t>碩士</t>
    <phoneticPr fontId="6" type="noConversion"/>
  </si>
  <si>
    <t>桃園縣</t>
    <phoneticPr fontId="6" type="noConversion"/>
  </si>
  <si>
    <t>行銷部</t>
  </si>
  <si>
    <t>張英明</t>
  </si>
  <si>
    <t>行銷經理</t>
  </si>
  <si>
    <t>苗栗縣</t>
    <phoneticPr fontId="6" type="noConversion"/>
  </si>
  <si>
    <t>賴誠和</t>
  </si>
  <si>
    <t>大學</t>
    <phoneticPr fontId="6" type="noConversion"/>
  </si>
  <si>
    <t>台北縣</t>
    <phoneticPr fontId="6" type="noConversion"/>
  </si>
  <si>
    <t>張德鑫</t>
  </si>
  <si>
    <t>嘉義縣</t>
    <phoneticPr fontId="6" type="noConversion"/>
  </si>
  <si>
    <t>蔡宜賢</t>
  </si>
  <si>
    <t>工程部經理</t>
  </si>
  <si>
    <t>博士</t>
    <phoneticPr fontId="6" type="noConversion"/>
  </si>
  <si>
    <t>蕭文豐</t>
  </si>
  <si>
    <t>台南縣</t>
    <phoneticPr fontId="6" type="noConversion"/>
  </si>
  <si>
    <t>郭永隆</t>
  </si>
  <si>
    <t>黃松鈞</t>
  </si>
  <si>
    <t>台南市</t>
    <phoneticPr fontId="6" type="noConversion"/>
  </si>
  <si>
    <t>陳健志</t>
  </si>
  <si>
    <t>台北市</t>
    <phoneticPr fontId="6" type="noConversion"/>
  </si>
  <si>
    <t>方勝安</t>
  </si>
  <si>
    <t>資深工程師</t>
  </si>
  <si>
    <t>康再添</t>
  </si>
  <si>
    <t>廖祟倫</t>
  </si>
  <si>
    <t>產品業務專員</t>
  </si>
  <si>
    <t>郭瑞勛</t>
  </si>
  <si>
    <t>總務經理</t>
  </si>
  <si>
    <t>專科</t>
    <phoneticPr fontId="6" type="noConversion"/>
  </si>
  <si>
    <t>新竹市</t>
    <phoneticPr fontId="6" type="noConversion"/>
  </si>
  <si>
    <t>研發部</t>
  </si>
  <si>
    <t>廖國仁</t>
  </si>
  <si>
    <t>資深研究員</t>
  </si>
  <si>
    <t>何信章</t>
  </si>
  <si>
    <t>產品經理</t>
  </si>
  <si>
    <t>何惠玲</t>
  </si>
  <si>
    <t>蔡宏欣</t>
  </si>
  <si>
    <t>黃信翔</t>
  </si>
  <si>
    <t>林佑吉</t>
  </si>
  <si>
    <t>徐利拓</t>
  </si>
  <si>
    <t>林進財</t>
  </si>
  <si>
    <t>白鴻達</t>
  </si>
  <si>
    <t>陳俐蓉</t>
  </si>
  <si>
    <t>張韻貞</t>
  </si>
  <si>
    <t>呂澤仁</t>
  </si>
  <si>
    <t>首席研究員</t>
  </si>
  <si>
    <t>楊宗芬</t>
  </si>
  <si>
    <t>洪婷婷</t>
  </si>
  <si>
    <t>楊順德</t>
  </si>
  <si>
    <t>侯怡安</t>
  </si>
  <si>
    <t>研究員</t>
  </si>
  <si>
    <t>洪錦義</t>
  </si>
  <si>
    <t>梁明哲</t>
  </si>
  <si>
    <t>李嘉榮</t>
  </si>
  <si>
    <t>江俊英</t>
  </si>
  <si>
    <t>曾文良</t>
  </si>
  <si>
    <t>楊志輝</t>
  </si>
  <si>
    <t>會計處</t>
  </si>
  <si>
    <t>王筱萍</t>
  </si>
  <si>
    <t>會計經理</t>
  </si>
  <si>
    <t>吳東輝</t>
  </si>
  <si>
    <t>何秀雯</t>
  </si>
  <si>
    <t>陳武雄</t>
  </si>
  <si>
    <t>石麗琪</t>
  </si>
  <si>
    <t>李建松</t>
  </si>
  <si>
    <t>李克宏</t>
  </si>
  <si>
    <t>鍾堯暉</t>
  </si>
  <si>
    <t>周志文</t>
  </si>
  <si>
    <t>企劃部</t>
  </si>
  <si>
    <t>謝碧玉</t>
  </si>
  <si>
    <t>企劃專員</t>
  </si>
  <si>
    <t>黃文儒</t>
  </si>
  <si>
    <t>彭家達</t>
  </si>
  <si>
    <t>林芳如</t>
  </si>
  <si>
    <t>楊靜娟</t>
  </si>
  <si>
    <t>黃郁華</t>
  </si>
  <si>
    <t>會計員</t>
  </si>
  <si>
    <t>江麗美</t>
  </si>
  <si>
    <t>范淑君</t>
  </si>
  <si>
    <t>張德良</t>
  </si>
  <si>
    <t>莊國祥</t>
  </si>
  <si>
    <t>劉文龍</t>
  </si>
  <si>
    <t>高志霖</t>
  </si>
  <si>
    <t>陳燕如</t>
  </si>
  <si>
    <t>傅莉雅</t>
  </si>
  <si>
    <t>謝雅君</t>
  </si>
  <si>
    <t>陳昭蓉</t>
  </si>
  <si>
    <t>張秀卿</t>
  </si>
  <si>
    <t>江學成</t>
  </si>
  <si>
    <t>陳永逸</t>
  </si>
  <si>
    <t>葉威漢</t>
  </si>
  <si>
    <t>張桂香</t>
  </si>
  <si>
    <t>朱心梅</t>
  </si>
  <si>
    <t>陳國賢</t>
  </si>
  <si>
    <t>蘇啟民</t>
  </si>
  <si>
    <t>李芷雲</t>
  </si>
  <si>
    <t>李偉德</t>
  </si>
  <si>
    <t>胡義偉</t>
  </si>
  <si>
    <t>葉永明</t>
  </si>
  <si>
    <t>林永強</t>
  </si>
  <si>
    <t>沈欣慧</t>
  </si>
  <si>
    <t>張如秀</t>
  </si>
  <si>
    <t>會計助理</t>
  </si>
  <si>
    <t>李安邦</t>
  </si>
  <si>
    <t>楊淑娟</t>
  </si>
  <si>
    <t>許啟超</t>
  </si>
  <si>
    <t>蔡啟輝</t>
  </si>
  <si>
    <t>李貞媛</t>
  </si>
  <si>
    <t>于昱緯</t>
  </si>
  <si>
    <t>黃宗鑫</t>
  </si>
  <si>
    <t>曾苑婷</t>
  </si>
  <si>
    <t>鍾振榮</t>
  </si>
  <si>
    <t>宋志強</t>
  </si>
  <si>
    <t>陳美欣</t>
  </si>
  <si>
    <t>范士亞</t>
  </si>
  <si>
    <t>王應邦</t>
  </si>
  <si>
    <t>林玉雯</t>
  </si>
  <si>
    <t>李慧宜</t>
  </si>
  <si>
    <t>莊惠伶</t>
  </si>
  <si>
    <t>設計助理</t>
  </si>
  <si>
    <t>周芳瑤</t>
  </si>
  <si>
    <t>柯緒德</t>
  </si>
  <si>
    <t>黃東慶</t>
  </si>
  <si>
    <t>林俊勇</t>
  </si>
  <si>
    <t>吳妍琪</t>
  </si>
  <si>
    <t>周國榮</t>
  </si>
  <si>
    <t>李郁雪</t>
  </si>
  <si>
    <t>使用XLOOKUP</t>
    <phoneticPr fontId="6" type="noConversion"/>
  </si>
  <si>
    <t>特休</t>
    <phoneticPr fontId="6" type="noConversion"/>
  </si>
  <si>
    <t>備註</t>
  </si>
  <si>
    <t>尚可</t>
  </si>
  <si>
    <t>待加強</t>
  </si>
  <si>
    <t>優等</t>
  </si>
  <si>
    <t>業績</t>
  </si>
  <si>
    <t>VLOOKUP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</si>
</sst>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2" formatCode="_-&quot;$&quot;* #,##0_-;\-&quot;$&quot;* #,##0_-;_-&quot;$&quot;* &quot;-&quot;_-;_-@_-"/>
    <numFmt numFmtId="41" formatCode="_-* #,##0_-;\-* #,##0_-;_-* &quot;-&quot;_-;_-@_-"/>
    <numFmt numFmtId="44" formatCode="_-&quot;$&quot;* #,##0.00_-;\-&quot;$&quot;* #,##0.00_-;_-&quot;$&quot;* &quot;-&quot;??_-;_-@_-"/>
    <numFmt numFmtId="176" formatCode="&quot;$&quot;#,##0_);[Red]\(&quot;$&quot;#,##0\)"/>
    <numFmt numFmtId="177" formatCode="&quot;$&quot;#,##0.00_);[Red]\(&quot;$&quot;#,##0.00\)"/>
    <numFmt numFmtId="178" formatCode="m&quot;月&quot;d&quot;日&quot;"/>
    <numFmt numFmtId="179" formatCode="#,##0_ ;[Red]\-#,##0\ "/>
    <numFmt numFmtId="180" formatCode="&quot;第&quot;0&quot;職等&quot;"/>
    <numFmt numFmtId="181" formatCode="&quot;第&quot;0&quot;職級&quot;"/>
    <numFmt numFmtId="182" formatCode="e\.mm\.dd"/>
    <numFmt numFmtId="183" formatCode="&quot;$&quot;**#,##0_)"/>
    <numFmt numFmtId="184" formatCode="yyyy/mm/dd;@"/>
    <numFmt numFmtId="185" formatCode="aaaa"/>
    <numFmt numFmtId="186" formatCode="[$-404]e/mm/dd"/>
    <numFmt numFmtId="188" formatCode="&quot;$&quot;*/#,##0_)"/>
  </numFmts>
  <fonts count="48">
    <font>
      <sz val="12"/>
      <name val="新細明體"/>
      <family val="1"/>
      <charset val="136"/>
    </font>
    <font>
      <sz val="12"/>
      <name val="新細明體"/>
      <family val="1"/>
      <charset val="136"/>
    </font>
    <font>
      <sz val="9"/>
      <name val="新細明體"/>
      <family val="1"/>
      <charset val="136"/>
    </font>
    <font>
      <sz val="10"/>
      <name val="MS Sans Serif"/>
      <family val="2"/>
    </font>
    <font>
      <b/>
      <sz val="10"/>
      <name val="MS Sans Serif"/>
      <family val="2"/>
    </font>
    <font>
      <b/>
      <sz val="12"/>
      <name val="CFShouSung"/>
      <family val="1"/>
    </font>
    <font>
      <sz val="9"/>
      <name val="細明體"/>
      <family val="3"/>
      <charset val="136"/>
    </font>
    <font>
      <b/>
      <sz val="12"/>
      <name val="細明體"/>
      <family val="3"/>
      <charset val="136"/>
    </font>
    <font>
      <b/>
      <sz val="10"/>
      <name val="細明體"/>
      <family val="3"/>
      <charset val="136"/>
    </font>
    <font>
      <b/>
      <sz val="12"/>
      <color indexed="12"/>
      <name val="細明體"/>
      <family val="3"/>
      <charset val="136"/>
    </font>
    <font>
      <sz val="10"/>
      <color indexed="12"/>
      <name val="細明體"/>
      <family val="3"/>
      <charset val="136"/>
    </font>
    <font>
      <sz val="12"/>
      <color indexed="12"/>
      <name val="細明體"/>
      <family val="3"/>
      <charset val="136"/>
    </font>
    <font>
      <sz val="12"/>
      <name val="細明體"/>
      <family val="3"/>
      <charset val="136"/>
    </font>
    <font>
      <b/>
      <sz val="12"/>
      <color indexed="9"/>
      <name val="細明體"/>
      <family val="3"/>
      <charset val="136"/>
    </font>
    <font>
      <sz val="12"/>
      <color indexed="10"/>
      <name val="新細明體"/>
      <family val="1"/>
      <charset val="136"/>
    </font>
    <font>
      <sz val="16"/>
      <name val="新細明體"/>
      <family val="1"/>
      <charset val="136"/>
    </font>
    <font>
      <b/>
      <sz val="12"/>
      <name val="新細明體"/>
      <family val="1"/>
      <charset val="136"/>
    </font>
    <font>
      <sz val="12"/>
      <name val="Arial"/>
      <family val="2"/>
    </font>
    <font>
      <b/>
      <sz val="10"/>
      <name val="新細明體"/>
      <family val="1"/>
      <charset val="136"/>
    </font>
    <font>
      <b/>
      <u/>
      <sz val="28"/>
      <color indexed="36"/>
      <name val="標楷體"/>
      <family val="4"/>
      <charset val="136"/>
    </font>
    <font>
      <u/>
      <sz val="24"/>
      <name val="Times New Roman"/>
      <family val="1"/>
    </font>
    <font>
      <sz val="24"/>
      <name val="Times New Roman"/>
      <family val="1"/>
    </font>
    <font>
      <sz val="9"/>
      <name val="Times New Roman"/>
      <family val="1"/>
    </font>
    <font>
      <sz val="7"/>
      <name val="Small Fonts"/>
      <family val="2"/>
    </font>
    <font>
      <sz val="12"/>
      <name val="Times New Roman"/>
      <family val="1"/>
    </font>
    <font>
      <b/>
      <sz val="20"/>
      <color indexed="20"/>
      <name val="標楷體"/>
      <family val="4"/>
      <charset val="136"/>
    </font>
    <font>
      <b/>
      <sz val="14"/>
      <color indexed="12"/>
      <name val="標楷體"/>
      <family val="4"/>
      <charset val="136"/>
    </font>
    <font>
      <b/>
      <sz val="12"/>
      <color rgb="FFFF0000"/>
      <name val="新細明體"/>
      <family val="1"/>
      <charset val="136"/>
    </font>
    <font>
      <sz val="12"/>
      <color theme="1"/>
      <name val="新細明體"/>
      <family val="1"/>
      <charset val="136"/>
    </font>
    <font>
      <b/>
      <sz val="12"/>
      <name val="Arial"/>
      <family val="2"/>
    </font>
    <font>
      <sz val="10"/>
      <name val="Arial"/>
      <family val="2"/>
    </font>
    <font>
      <u/>
      <sz val="12"/>
      <color theme="10"/>
      <name val="新細明體"/>
      <family val="1"/>
      <charset val="136"/>
    </font>
    <font>
      <sz val="12"/>
      <color theme="0"/>
      <name val="新細明體"/>
      <family val="1"/>
      <charset val="136"/>
    </font>
    <font>
      <sz val="12"/>
      <color theme="0"/>
      <name val="Adobe 繁黑體 Std B"/>
      <family val="2"/>
      <charset val="136"/>
    </font>
    <font>
      <sz val="12"/>
      <color theme="0"/>
      <name val="標楷體"/>
      <family val="4"/>
      <charset val="136"/>
    </font>
    <font>
      <sz val="12"/>
      <name val="新細明體"/>
      <family val="1"/>
      <charset val="136"/>
      <scheme val="major"/>
    </font>
    <font>
      <sz val="14"/>
      <name val="新細明體"/>
      <family val="1"/>
      <charset val="136"/>
    </font>
    <font>
      <b/>
      <sz val="12"/>
      <color indexed="9"/>
      <name val="新細明體"/>
      <family val="1"/>
      <charset val="136"/>
    </font>
    <font>
      <sz val="12"/>
      <color indexed="9"/>
      <name val="新細明體"/>
      <family val="1"/>
      <charset val="136"/>
    </font>
    <font>
      <sz val="12"/>
      <color rgb="FFFFFF00"/>
      <name val="細明體"/>
      <family val="3"/>
      <charset val="136"/>
    </font>
    <font>
      <b/>
      <sz val="11"/>
      <color rgb="FF555555"/>
      <name val="Arial"/>
      <family val="2"/>
    </font>
    <font>
      <b/>
      <sz val="14"/>
      <color indexed="10"/>
      <name val="細明體"/>
      <family val="3"/>
      <charset val="136"/>
    </font>
    <font>
      <sz val="10"/>
      <name val="細明體"/>
      <family val="3"/>
      <charset val="136"/>
    </font>
    <font>
      <sz val="15"/>
      <color rgb="FF212529"/>
      <name val="Arial"/>
      <family val="2"/>
    </font>
    <font>
      <sz val="9"/>
      <color indexed="81"/>
      <name val="Tahoma"/>
      <family val="2"/>
    </font>
    <font>
      <b/>
      <sz val="9"/>
      <color indexed="81"/>
      <name val="Tahoma"/>
      <family val="2"/>
    </font>
    <font>
      <b/>
      <sz val="9"/>
      <color indexed="81"/>
      <name val="細明體"/>
      <family val="3"/>
      <charset val="136"/>
    </font>
    <font>
      <sz val="9"/>
      <color indexed="81"/>
      <name val="細明體"/>
      <family val="3"/>
      <charset val="136"/>
    </font>
  </fonts>
  <fills count="24">
    <fill>
      <patternFill patternType="none"/>
    </fill>
    <fill>
      <patternFill patternType="gray125"/>
    </fill>
    <fill>
      <patternFill patternType="solid">
        <fgColor indexed="13"/>
        <bgColor indexed="64"/>
      </patternFill>
    </fill>
    <fill>
      <patternFill patternType="solid">
        <fgColor indexed="18"/>
        <bgColor indexed="22"/>
      </patternFill>
    </fill>
    <fill>
      <patternFill patternType="solid">
        <fgColor indexed="44"/>
        <bgColor indexed="64"/>
      </patternFill>
    </fill>
    <fill>
      <patternFill patternType="solid">
        <fgColor indexed="42"/>
        <bgColor indexed="64"/>
      </patternFill>
    </fill>
    <fill>
      <patternFill patternType="solid">
        <fgColor indexed="22"/>
        <bgColor indexed="64"/>
      </patternFill>
    </fill>
    <fill>
      <patternFill patternType="solid">
        <fgColor indexed="43"/>
        <bgColor indexed="64"/>
      </patternFill>
    </fill>
    <fill>
      <patternFill patternType="solid">
        <fgColor indexed="26"/>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indexed="46"/>
        <bgColor indexed="64"/>
      </patternFill>
    </fill>
    <fill>
      <patternFill patternType="solid">
        <fgColor rgb="FF00B050"/>
        <bgColor indexed="64"/>
      </patternFill>
    </fill>
    <fill>
      <patternFill patternType="solid">
        <fgColor theme="3" tint="-0.249977111117893"/>
        <bgColor indexed="64"/>
      </patternFill>
    </fill>
    <fill>
      <patternFill patternType="solid">
        <fgColor theme="0"/>
        <bgColor indexed="64"/>
      </patternFill>
    </fill>
    <fill>
      <patternFill patternType="solid">
        <fgColor indexed="45"/>
        <bgColor indexed="64"/>
      </patternFill>
    </fill>
    <fill>
      <patternFill patternType="solid">
        <fgColor indexed="47"/>
        <bgColor indexed="64"/>
      </patternFill>
    </fill>
    <fill>
      <patternFill patternType="solid">
        <fgColor indexed="14"/>
        <bgColor indexed="64"/>
      </patternFill>
    </fill>
    <fill>
      <patternFill patternType="solid">
        <fgColor indexed="41"/>
        <bgColor indexed="64"/>
      </patternFill>
    </fill>
    <fill>
      <patternFill patternType="solid">
        <fgColor rgb="FFFFFF00"/>
        <bgColor indexed="64"/>
      </patternFill>
    </fill>
    <fill>
      <patternFill patternType="solid">
        <fgColor indexed="61"/>
        <bgColor indexed="64"/>
      </patternFill>
    </fill>
    <fill>
      <patternFill patternType="solid">
        <fgColor indexed="20"/>
        <bgColor indexed="24"/>
      </patternFill>
    </fill>
    <fill>
      <patternFill patternType="solid">
        <fgColor theme="9" tint="-0.249977111117893"/>
        <bgColor indexed="64"/>
      </patternFill>
    </fill>
    <fill>
      <patternFill patternType="solid">
        <fgColor indexed="18"/>
        <bgColor indexed="24"/>
      </patternFill>
    </fill>
  </fills>
  <borders count="66">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Down="1">
      <left style="medium">
        <color indexed="64"/>
      </left>
      <right style="double">
        <color indexed="64"/>
      </right>
      <top style="medium">
        <color indexed="64"/>
      </top>
      <bottom style="thin">
        <color indexed="64"/>
      </bottom>
      <diagonal style="hair">
        <color indexed="64"/>
      </diagonal>
    </border>
    <border>
      <left style="medium">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style="thin">
        <color indexed="64"/>
      </left>
      <right/>
      <top/>
      <bottom/>
      <diagonal/>
    </border>
    <border>
      <left/>
      <right/>
      <top style="double">
        <color indexed="64"/>
      </top>
      <bottom/>
      <diagonal/>
    </border>
    <border>
      <left style="thin">
        <color indexed="64"/>
      </left>
      <right/>
      <top style="double">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double">
        <color auto="1"/>
      </bottom>
      <diagonal/>
    </border>
    <border>
      <left style="medium">
        <color indexed="64"/>
      </left>
      <right style="medium">
        <color indexed="64"/>
      </right>
      <top style="medium">
        <color indexed="64"/>
      </top>
      <bottom style="medium">
        <color indexed="64"/>
      </bottom>
      <diagonal/>
    </border>
    <border>
      <left style="thin">
        <color auto="1"/>
      </left>
      <right/>
      <top style="double">
        <color auto="1"/>
      </top>
      <bottom style="thin">
        <color auto="1"/>
      </bottom>
      <diagonal/>
    </border>
    <border>
      <left/>
      <right/>
      <top/>
      <bottom style="thin">
        <color indexed="64"/>
      </bottom>
      <diagonal/>
    </border>
    <border>
      <left style="thin">
        <color indexed="39"/>
      </left>
      <right style="thin">
        <color indexed="39"/>
      </right>
      <top/>
      <bottom style="thin">
        <color indexed="39"/>
      </bottom>
      <diagonal/>
    </border>
    <border>
      <left/>
      <right style="thin">
        <color indexed="39"/>
      </right>
      <top/>
      <bottom style="thin">
        <color indexed="39"/>
      </bottom>
      <diagonal/>
    </border>
    <border>
      <left style="thin">
        <color indexed="39"/>
      </left>
      <right/>
      <top/>
      <bottom style="thin">
        <color indexed="39"/>
      </bottom>
      <diagonal/>
    </border>
    <border>
      <left style="thin">
        <color indexed="39"/>
      </left>
      <right style="thin">
        <color indexed="39"/>
      </right>
      <top style="thin">
        <color indexed="39"/>
      </top>
      <bottom style="thin">
        <color indexed="39"/>
      </bottom>
      <diagonal/>
    </border>
    <border>
      <left/>
      <right style="thin">
        <color indexed="39"/>
      </right>
      <top style="thin">
        <color indexed="39"/>
      </top>
      <bottom style="thin">
        <color indexed="39"/>
      </bottom>
      <diagonal/>
    </border>
    <border>
      <left style="thin">
        <color indexed="39"/>
      </left>
      <right/>
      <top style="thin">
        <color indexed="39"/>
      </top>
      <bottom style="thin">
        <color indexed="39"/>
      </bottom>
      <diagonal/>
    </border>
    <border>
      <left style="thin">
        <color indexed="39"/>
      </left>
      <right style="thin">
        <color indexed="39"/>
      </right>
      <top style="thin">
        <color indexed="39"/>
      </top>
      <bottom/>
      <diagonal/>
    </border>
    <border>
      <left/>
      <right style="thin">
        <color indexed="39"/>
      </right>
      <top style="thin">
        <color indexed="39"/>
      </top>
      <bottom/>
      <diagonal/>
    </border>
    <border>
      <left style="thin">
        <color indexed="39"/>
      </left>
      <right/>
      <top style="thin">
        <color indexed="39"/>
      </top>
      <bottom/>
      <diagonal/>
    </border>
    <border>
      <left style="thin">
        <color indexed="64"/>
      </left>
      <right style="thin">
        <color indexed="64"/>
      </right>
      <top style="thin">
        <color indexed="64"/>
      </top>
      <bottom style="thin">
        <color indexed="64"/>
      </bottom>
      <diagonal/>
    </border>
    <border>
      <left style="medium">
        <color indexed="22"/>
      </left>
      <right style="thin">
        <color indexed="22"/>
      </right>
      <top/>
      <bottom/>
      <diagonal/>
    </border>
    <border>
      <left style="thin">
        <color indexed="22"/>
      </left>
      <right style="thin">
        <color indexed="22"/>
      </right>
      <top/>
      <bottom/>
      <diagonal/>
    </border>
    <border>
      <left style="thin">
        <color indexed="22"/>
      </left>
      <right style="medium">
        <color indexed="22"/>
      </right>
      <top/>
      <bottom/>
      <diagonal/>
    </border>
    <border>
      <left style="thin">
        <color indexed="64"/>
      </left>
      <right style="thin">
        <color indexed="64"/>
      </right>
      <top style="thin">
        <color indexed="64"/>
      </top>
      <bottom/>
      <diagonal/>
    </border>
    <border>
      <left style="medium">
        <color indexed="22"/>
      </left>
      <right style="thin">
        <color indexed="22"/>
      </right>
      <top style="medium">
        <color indexed="22"/>
      </top>
      <bottom style="thick">
        <color theme="0"/>
      </bottom>
      <diagonal/>
    </border>
    <border>
      <left style="thin">
        <color indexed="22"/>
      </left>
      <right style="thin">
        <color indexed="22"/>
      </right>
      <top style="medium">
        <color indexed="22"/>
      </top>
      <bottom style="thick">
        <color theme="0"/>
      </bottom>
      <diagonal/>
    </border>
  </borders>
  <cellStyleXfs count="21">
    <xf numFmtId="0" fontId="0" fillId="0" borderId="0">
      <alignment vertical="center"/>
    </xf>
    <xf numFmtId="38" fontId="3" fillId="0" borderId="0" applyFont="0" applyFill="0" applyBorder="0" applyAlignment="0" applyProtection="0"/>
    <xf numFmtId="176" fontId="3" fillId="0" borderId="0" applyFont="0" applyFill="0" applyBorder="0" applyAlignment="0" applyProtection="0"/>
    <xf numFmtId="0" fontId="4" fillId="0" borderId="0" applyNumberFormat="0" applyFill="0" applyBorder="0" applyAlignment="0" applyProtection="0"/>
    <xf numFmtId="0" fontId="3" fillId="0" borderId="0"/>
    <xf numFmtId="40" fontId="3" fillId="0" borderId="0" applyFont="0" applyFill="0" applyBorder="0" applyAlignment="0" applyProtection="0"/>
    <xf numFmtId="9" fontId="1" fillId="0" borderId="0" applyFont="0" applyFill="0" applyBorder="0" applyAlignment="0" applyProtection="0">
      <alignment vertical="center"/>
    </xf>
    <xf numFmtId="177" fontId="3" fillId="0" borderId="0" applyFont="0" applyFill="0" applyBorder="0" applyAlignment="0" applyProtection="0"/>
    <xf numFmtId="0" fontId="5" fillId="0" borderId="0" applyBorder="0">
      <alignment horizontal="center"/>
    </xf>
    <xf numFmtId="0" fontId="1" fillId="0" borderId="0"/>
    <xf numFmtId="0" fontId="1" fillId="0" borderId="0"/>
    <xf numFmtId="41" fontId="1" fillId="0" borderId="0" applyFont="0" applyFill="0" applyBorder="0" applyAlignment="0" applyProtection="0"/>
    <xf numFmtId="37" fontId="23" fillId="0" borderId="0"/>
    <xf numFmtId="0" fontId="3" fillId="0" borderId="0"/>
    <xf numFmtId="42" fontId="24" fillId="0" borderId="0" applyFont="0" applyFill="0" applyBorder="0" applyAlignment="0" applyProtection="0"/>
    <xf numFmtId="0" fontId="1" fillId="0" borderId="0">
      <alignment vertical="center"/>
    </xf>
    <xf numFmtId="0" fontId="29" fillId="0" borderId="41" applyNumberFormat="0" applyAlignment="0" applyProtection="0">
      <alignment horizontal="left" vertical="center"/>
    </xf>
    <xf numFmtId="0" fontId="29" fillId="0" borderId="42">
      <alignment horizontal="left" vertical="center"/>
    </xf>
    <xf numFmtId="0" fontId="1" fillId="0" borderId="0"/>
    <xf numFmtId="0" fontId="31" fillId="0" borderId="0" applyNumberFormat="0" applyFill="0" applyBorder="0" applyAlignment="0" applyProtection="0">
      <alignment vertical="center"/>
    </xf>
    <xf numFmtId="44" fontId="1" fillId="0" borderId="0" applyFont="0" applyFill="0" applyBorder="0" applyAlignment="0" applyProtection="0">
      <alignment vertical="center"/>
    </xf>
  </cellStyleXfs>
  <cellXfs count="223">
    <xf numFmtId="0" fontId="0" fillId="0" borderId="0" xfId="0">
      <alignment vertical="center"/>
    </xf>
    <xf numFmtId="0" fontId="3" fillId="0" borderId="0" xfId="4"/>
    <xf numFmtId="0" fontId="7" fillId="0" borderId="1" xfId="4" applyFont="1" applyBorder="1" applyAlignment="1">
      <alignment horizontal="centerContinuous"/>
    </xf>
    <xf numFmtId="0" fontId="8" fillId="0" borderId="2" xfId="4" applyFont="1" applyBorder="1" applyAlignment="1">
      <alignment horizontal="centerContinuous" vertical="top"/>
    </xf>
    <xf numFmtId="0" fontId="9" fillId="2" borderId="3" xfId="4" applyFont="1" applyFill="1" applyBorder="1" applyAlignment="1">
      <alignment horizontal="center" vertical="center"/>
    </xf>
    <xf numFmtId="0" fontId="9" fillId="2" borderId="4" xfId="4" applyFont="1" applyFill="1" applyBorder="1" applyAlignment="1">
      <alignment horizontal="center" vertical="center"/>
    </xf>
    <xf numFmtId="178" fontId="10" fillId="2" borderId="5" xfId="4" applyNumberFormat="1" applyFont="1" applyFill="1" applyBorder="1"/>
    <xf numFmtId="179" fontId="11" fillId="2" borderId="6" xfId="5" applyNumberFormat="1" applyFont="1" applyFill="1" applyBorder="1" applyAlignment="1">
      <alignment horizontal="center"/>
    </xf>
    <xf numFmtId="0" fontId="12" fillId="0" borderId="0" xfId="4" applyFont="1" applyBorder="1"/>
    <xf numFmtId="0" fontId="12" fillId="0" borderId="7" xfId="4" applyFont="1" applyBorder="1"/>
    <xf numFmtId="178" fontId="10" fillId="2" borderId="8" xfId="4" applyNumberFormat="1" applyFont="1" applyFill="1" applyBorder="1"/>
    <xf numFmtId="0" fontId="12" fillId="0" borderId="9" xfId="4" applyFont="1" applyBorder="1"/>
    <xf numFmtId="0" fontId="12" fillId="0" borderId="10" xfId="4" applyFont="1" applyBorder="1"/>
    <xf numFmtId="0" fontId="12" fillId="0" borderId="0" xfId="4" applyFont="1" applyFill="1" applyBorder="1"/>
    <xf numFmtId="178" fontId="3" fillId="0" borderId="0" xfId="4" applyNumberFormat="1"/>
    <xf numFmtId="0" fontId="7" fillId="0" borderId="0" xfId="4" applyFont="1" applyAlignment="1">
      <alignment horizontal="center"/>
    </xf>
    <xf numFmtId="0" fontId="12" fillId="0" borderId="0" xfId="4" applyFont="1"/>
    <xf numFmtId="30" fontId="12" fillId="0" borderId="0" xfId="4" applyNumberFormat="1" applyFont="1"/>
    <xf numFmtId="0" fontId="12" fillId="0" borderId="0" xfId="4" applyFont="1" applyAlignment="1">
      <alignment horizontal="center"/>
    </xf>
    <xf numFmtId="176" fontId="12" fillId="0" borderId="0" xfId="7" applyNumberFormat="1" applyFont="1"/>
    <xf numFmtId="0" fontId="0" fillId="0" borderId="1"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alignment vertical="center"/>
    </xf>
    <xf numFmtId="0" fontId="0" fillId="0" borderId="13" xfId="0" applyBorder="1">
      <alignment vertical="center"/>
    </xf>
    <xf numFmtId="9" fontId="1" fillId="0" borderId="0" xfId="6" applyBorder="1" applyAlignment="1"/>
    <xf numFmtId="0" fontId="0" fillId="0" borderId="7" xfId="0" applyBorder="1">
      <alignment vertical="center"/>
    </xf>
    <xf numFmtId="9" fontId="0" fillId="0" borderId="0" xfId="6" applyFont="1">
      <alignment vertical="center"/>
    </xf>
    <xf numFmtId="0" fontId="0" fillId="5" borderId="13" xfId="0" applyFill="1" applyBorder="1">
      <alignment vertical="center"/>
    </xf>
    <xf numFmtId="9" fontId="1" fillId="5" borderId="0" xfId="6" applyFill="1" applyBorder="1" applyAlignment="1"/>
    <xf numFmtId="0" fontId="0" fillId="5" borderId="7" xfId="0" applyFill="1" applyBorder="1">
      <alignment vertical="center"/>
    </xf>
    <xf numFmtId="0" fontId="0" fillId="0" borderId="14" xfId="0" applyBorder="1">
      <alignment vertical="center"/>
    </xf>
    <xf numFmtId="9" fontId="1" fillId="0" borderId="9" xfId="6" applyBorder="1" applyAlignment="1"/>
    <xf numFmtId="0" fontId="0" fillId="0" borderId="10" xfId="0" applyBorder="1">
      <alignment vertical="center"/>
    </xf>
    <xf numFmtId="0" fontId="14" fillId="0" borderId="0" xfId="0" applyFont="1">
      <alignment vertical="center"/>
    </xf>
    <xf numFmtId="0" fontId="16" fillId="6" borderId="15" xfId="9" applyFont="1" applyFill="1" applyBorder="1" applyAlignment="1">
      <alignment horizontal="center" vertical="center"/>
    </xf>
    <xf numFmtId="0" fontId="16" fillId="6" borderId="16" xfId="9" applyFont="1" applyFill="1" applyBorder="1" applyAlignment="1">
      <alignment horizontal="center" vertical="center"/>
    </xf>
    <xf numFmtId="0" fontId="16" fillId="6" borderId="2" xfId="9" applyFont="1" applyFill="1" applyBorder="1" applyAlignment="1">
      <alignment horizontal="center" vertical="center"/>
    </xf>
    <xf numFmtId="0" fontId="16" fillId="6" borderId="3" xfId="9" applyFont="1" applyFill="1" applyBorder="1" applyAlignment="1">
      <alignment horizontal="center" vertical="center"/>
    </xf>
    <xf numFmtId="0" fontId="16" fillId="6" borderId="4" xfId="9" applyFont="1" applyFill="1" applyBorder="1" applyAlignment="1">
      <alignment horizontal="center" vertical="center"/>
    </xf>
    <xf numFmtId="0" fontId="1" fillId="0" borderId="0" xfId="9" applyAlignment="1">
      <alignment vertical="center"/>
    </xf>
    <xf numFmtId="0" fontId="17" fillId="0" borderId="5" xfId="9" applyNumberFormat="1" applyFont="1" applyBorder="1" applyAlignment="1">
      <alignment horizontal="center" vertical="center"/>
    </xf>
    <xf numFmtId="0" fontId="12" fillId="0" borderId="17" xfId="10" applyFont="1" applyBorder="1" applyAlignment="1">
      <alignment horizontal="center" vertical="center"/>
    </xf>
    <xf numFmtId="0" fontId="17" fillId="0" borderId="18" xfId="9" applyFont="1" applyBorder="1" applyAlignment="1">
      <alignment horizontal="center" vertical="center"/>
    </xf>
    <xf numFmtId="1" fontId="17" fillId="0" borderId="6" xfId="9" applyNumberFormat="1" applyFont="1" applyBorder="1" applyAlignment="1">
      <alignment horizontal="center" vertical="center"/>
    </xf>
    <xf numFmtId="1" fontId="17" fillId="0" borderId="19" xfId="9" applyNumberFormat="1" applyFont="1" applyBorder="1" applyAlignment="1">
      <alignment horizontal="center" vertical="center"/>
    </xf>
    <xf numFmtId="0" fontId="17" fillId="0" borderId="20" xfId="9" applyNumberFormat="1" applyFont="1" applyBorder="1" applyAlignment="1">
      <alignment horizontal="center" vertical="center"/>
    </xf>
    <xf numFmtId="0" fontId="12" fillId="0" borderId="21" xfId="10" applyFont="1" applyBorder="1" applyAlignment="1">
      <alignment horizontal="center" vertical="center"/>
    </xf>
    <xf numFmtId="0" fontId="17" fillId="0" borderId="22" xfId="9" applyFont="1" applyBorder="1" applyAlignment="1">
      <alignment horizontal="center" vertical="center"/>
    </xf>
    <xf numFmtId="1" fontId="17" fillId="0" borderId="23" xfId="9" applyNumberFormat="1" applyFont="1" applyBorder="1" applyAlignment="1">
      <alignment horizontal="center" vertical="center"/>
    </xf>
    <xf numFmtId="0" fontId="1" fillId="0" borderId="26" xfId="9" applyBorder="1" applyAlignment="1">
      <alignment vertical="center"/>
    </xf>
    <xf numFmtId="0" fontId="1" fillId="0" borderId="27" xfId="9" applyBorder="1" applyAlignment="1">
      <alignment vertical="center"/>
    </xf>
    <xf numFmtId="0" fontId="1" fillId="7" borderId="26" xfId="9" applyFill="1" applyBorder="1" applyAlignment="1">
      <alignment horizontal="center" vertical="center"/>
    </xf>
    <xf numFmtId="0" fontId="1" fillId="7" borderId="28" xfId="9" applyFill="1" applyBorder="1" applyAlignment="1">
      <alignment horizontal="center" vertical="center"/>
    </xf>
    <xf numFmtId="0" fontId="1" fillId="0" borderId="0" xfId="9" applyAlignment="1">
      <alignment horizontal="center" vertical="center"/>
    </xf>
    <xf numFmtId="0" fontId="19" fillId="0" borderId="0" xfId="9" applyFont="1" applyAlignment="1">
      <alignment horizontal="centerContinuous"/>
    </xf>
    <xf numFmtId="0" fontId="20" fillId="0" borderId="0" xfId="9" applyFont="1" applyAlignment="1">
      <alignment horizontal="centerContinuous"/>
    </xf>
    <xf numFmtId="0" fontId="21" fillId="0" borderId="0" xfId="9" applyFont="1" applyAlignment="1">
      <alignment horizontal="centerContinuous"/>
    </xf>
    <xf numFmtId="0" fontId="1" fillId="0" borderId="0" xfId="9"/>
    <xf numFmtId="0" fontId="1" fillId="0" borderId="0" xfId="9" quotePrefix="1" applyAlignment="1">
      <alignment horizontal="left"/>
    </xf>
    <xf numFmtId="0" fontId="22" fillId="0" borderId="29" xfId="9" applyFont="1" applyBorder="1" applyAlignment="1">
      <alignment vertical="center" wrapText="1"/>
    </xf>
    <xf numFmtId="0" fontId="1" fillId="0" borderId="3" xfId="9" applyBorder="1" applyAlignment="1">
      <alignment vertical="center"/>
    </xf>
    <xf numFmtId="0" fontId="1" fillId="0" borderId="4" xfId="9" applyBorder="1" applyAlignment="1">
      <alignment vertical="center"/>
    </xf>
    <xf numFmtId="0" fontId="1" fillId="0" borderId="30" xfId="9" applyBorder="1" applyAlignment="1">
      <alignment horizontal="center" vertical="center"/>
    </xf>
    <xf numFmtId="180" fontId="16" fillId="8" borderId="31" xfId="9" applyNumberFormat="1" applyFont="1" applyFill="1" applyBorder="1" applyAlignment="1">
      <alignment horizontal="center" vertical="center"/>
    </xf>
    <xf numFmtId="180" fontId="16" fillId="8" borderId="32" xfId="9" applyNumberFormat="1" applyFont="1" applyFill="1" applyBorder="1" applyAlignment="1">
      <alignment horizontal="center" vertical="center"/>
    </xf>
    <xf numFmtId="181" fontId="16" fillId="8" borderId="33" xfId="9" applyNumberFormat="1" applyFont="1" applyFill="1" applyBorder="1" applyAlignment="1">
      <alignment horizontal="center" vertical="center"/>
    </xf>
    <xf numFmtId="41" fontId="0" fillId="2" borderId="6" xfId="11" applyFont="1" applyFill="1" applyBorder="1" applyAlignment="1">
      <alignment vertical="center"/>
    </xf>
    <xf numFmtId="41" fontId="0" fillId="0" borderId="6" xfId="11" applyFont="1" applyBorder="1" applyAlignment="1">
      <alignment vertical="center"/>
    </xf>
    <xf numFmtId="41" fontId="0" fillId="0" borderId="19" xfId="11" applyFont="1" applyBorder="1" applyAlignment="1">
      <alignment vertical="center"/>
    </xf>
    <xf numFmtId="41" fontId="0" fillId="9" borderId="6" xfId="11" applyFont="1" applyFill="1" applyBorder="1" applyAlignment="1">
      <alignment vertical="center"/>
    </xf>
    <xf numFmtId="181" fontId="16" fillId="8" borderId="34" xfId="9" applyNumberFormat="1" applyFont="1" applyFill="1" applyBorder="1" applyAlignment="1">
      <alignment horizontal="center" vertical="center"/>
    </xf>
    <xf numFmtId="41" fontId="0" fillId="0" borderId="27" xfId="11" applyFont="1" applyBorder="1" applyAlignment="1">
      <alignment vertical="center"/>
    </xf>
    <xf numFmtId="41" fontId="0" fillId="0" borderId="28" xfId="11" applyFont="1" applyBorder="1" applyAlignment="1">
      <alignment vertical="center"/>
    </xf>
    <xf numFmtId="0" fontId="25" fillId="0" borderId="0" xfId="9" applyFont="1" applyAlignment="1">
      <alignment horizontal="center" wrapText="1"/>
    </xf>
    <xf numFmtId="0" fontId="25" fillId="0" borderId="0" xfId="9" applyFont="1" applyAlignment="1">
      <alignment horizontal="center"/>
    </xf>
    <xf numFmtId="0" fontId="27" fillId="7" borderId="0" xfId="9" applyFont="1" applyFill="1" applyBorder="1" applyAlignment="1">
      <alignment horizontal="center" vertical="center"/>
    </xf>
    <xf numFmtId="0" fontId="27" fillId="7" borderId="35" xfId="9" applyFont="1" applyFill="1" applyBorder="1" applyAlignment="1">
      <alignment horizontal="center" vertical="center"/>
    </xf>
    <xf numFmtId="0" fontId="28" fillId="10" borderId="36" xfId="9" applyFont="1" applyFill="1" applyBorder="1" applyAlignment="1">
      <alignment horizontal="center" vertical="center"/>
    </xf>
    <xf numFmtId="0" fontId="28" fillId="10" borderId="37" xfId="9" applyFont="1" applyFill="1" applyBorder="1" applyAlignment="1">
      <alignment horizontal="center" vertical="center"/>
    </xf>
    <xf numFmtId="182" fontId="28" fillId="10" borderId="37" xfId="9" applyNumberFormat="1" applyFont="1" applyFill="1" applyBorder="1" applyAlignment="1">
      <alignment horizontal="center" vertical="center"/>
    </xf>
    <xf numFmtId="0" fontId="28" fillId="0" borderId="38" xfId="9" applyFont="1" applyBorder="1" applyAlignment="1">
      <alignment horizontal="center" vertical="center"/>
    </xf>
    <xf numFmtId="0" fontId="28" fillId="0" borderId="39" xfId="9" applyFont="1" applyBorder="1" applyAlignment="1">
      <alignment horizontal="center" vertical="center"/>
    </xf>
    <xf numFmtId="182" fontId="28" fillId="0" borderId="39" xfId="9" applyNumberFormat="1" applyFont="1" applyBorder="1" applyAlignment="1">
      <alignment horizontal="center" vertical="center"/>
    </xf>
    <xf numFmtId="183" fontId="28" fillId="0" borderId="39" xfId="9" applyNumberFormat="1" applyFont="1" applyBorder="1" applyAlignment="1">
      <alignment vertical="center"/>
    </xf>
    <xf numFmtId="0" fontId="28" fillId="10" borderId="38" xfId="9" applyFont="1" applyFill="1" applyBorder="1" applyAlignment="1">
      <alignment horizontal="center" vertical="center"/>
    </xf>
    <xf numFmtId="0" fontId="28" fillId="10" borderId="39" xfId="9" applyFont="1" applyFill="1" applyBorder="1" applyAlignment="1">
      <alignment horizontal="center" vertical="center"/>
    </xf>
    <xf numFmtId="182" fontId="28" fillId="10" borderId="39" xfId="9" applyNumberFormat="1" applyFont="1" applyFill="1" applyBorder="1" applyAlignment="1">
      <alignment horizontal="center" vertical="center"/>
    </xf>
    <xf numFmtId="183" fontId="28" fillId="10" borderId="39" xfId="9" applyNumberFormat="1" applyFont="1" applyFill="1" applyBorder="1" applyAlignment="1">
      <alignment vertical="center"/>
    </xf>
    <xf numFmtId="49" fontId="28" fillId="10" borderId="38" xfId="9" applyNumberFormat="1" applyFont="1" applyFill="1" applyBorder="1" applyAlignment="1">
      <alignment horizontal="center" vertical="center"/>
    </xf>
    <xf numFmtId="49" fontId="28" fillId="0" borderId="38" xfId="9" applyNumberFormat="1" applyFont="1" applyBorder="1" applyAlignment="1">
      <alignment horizontal="center" vertical="center"/>
    </xf>
    <xf numFmtId="0" fontId="1" fillId="0" borderId="0" xfId="9" applyAlignment="1">
      <alignment horizontal="center"/>
    </xf>
    <xf numFmtId="0" fontId="16" fillId="7" borderId="40" xfId="9" applyFont="1" applyFill="1" applyBorder="1" applyAlignment="1">
      <alignment horizontal="center" vertical="center" wrapText="1"/>
    </xf>
    <xf numFmtId="0" fontId="16" fillId="7" borderId="40" xfId="9" applyFont="1" applyFill="1" applyBorder="1" applyAlignment="1">
      <alignment horizontal="center" vertical="center"/>
    </xf>
    <xf numFmtId="0" fontId="1" fillId="0" borderId="6" xfId="9" applyBorder="1" applyAlignment="1">
      <alignment horizontal="center" vertical="center"/>
    </xf>
    <xf numFmtId="0" fontId="1" fillId="0" borderId="0" xfId="15">
      <alignment vertical="center"/>
    </xf>
    <xf numFmtId="0" fontId="1" fillId="0" borderId="6" xfId="15" applyBorder="1" applyAlignment="1">
      <alignment horizontal="center" vertical="center"/>
    </xf>
    <xf numFmtId="0" fontId="30" fillId="0" borderId="0" xfId="0" applyFont="1" applyAlignment="1">
      <alignment horizontal="left" vertical="center" wrapText="1"/>
    </xf>
    <xf numFmtId="0" fontId="0" fillId="0" borderId="0" xfId="0" applyFont="1">
      <alignment vertical="center"/>
    </xf>
    <xf numFmtId="0" fontId="33" fillId="13" borderId="44" xfId="15" applyFont="1" applyFill="1" applyBorder="1">
      <alignment vertical="center"/>
    </xf>
    <xf numFmtId="0" fontId="32" fillId="14" borderId="43" xfId="15" applyFont="1" applyFill="1" applyBorder="1">
      <alignment vertical="center"/>
    </xf>
    <xf numFmtId="0" fontId="34" fillId="12" borderId="6" xfId="15" applyFont="1" applyFill="1" applyBorder="1" applyAlignment="1">
      <alignment horizontal="center" vertical="center"/>
    </xf>
    <xf numFmtId="0" fontId="34" fillId="12" borderId="17" xfId="15" applyFont="1" applyFill="1" applyBorder="1" applyAlignment="1">
      <alignment horizontal="center" vertical="center"/>
    </xf>
    <xf numFmtId="0" fontId="34" fillId="12" borderId="31" xfId="15" applyFont="1" applyFill="1" applyBorder="1" applyAlignment="1">
      <alignment horizontal="center" vertical="center"/>
    </xf>
    <xf numFmtId="0" fontId="34" fillId="12" borderId="46" xfId="15" applyFont="1" applyFill="1" applyBorder="1" applyAlignment="1">
      <alignment horizontal="center" vertical="center"/>
    </xf>
    <xf numFmtId="0" fontId="33" fillId="13" borderId="44" xfId="15" applyFont="1" applyFill="1" applyBorder="1" applyAlignment="1">
      <alignment horizontal="center" vertical="center"/>
    </xf>
    <xf numFmtId="0" fontId="33" fillId="13" borderId="45" xfId="15" applyFont="1" applyFill="1" applyBorder="1" applyAlignment="1">
      <alignment horizontal="center" vertical="center"/>
    </xf>
    <xf numFmtId="0" fontId="33" fillId="13" borderId="44" xfId="15" applyFont="1" applyFill="1" applyBorder="1" applyAlignment="1">
      <alignment horizontal="distributed" vertical="center"/>
    </xf>
    <xf numFmtId="0" fontId="33" fillId="13" borderId="48" xfId="15" applyFont="1" applyFill="1" applyBorder="1" applyAlignment="1">
      <alignment horizontal="distributed" vertical="center"/>
    </xf>
    <xf numFmtId="0" fontId="1" fillId="0" borderId="23" xfId="15" applyBorder="1" applyAlignment="1">
      <alignment horizontal="center" vertical="center"/>
    </xf>
    <xf numFmtId="0" fontId="1" fillId="0" borderId="47" xfId="15" applyNumberFormat="1" applyBorder="1" applyAlignment="1">
      <alignment horizontal="center" vertical="center"/>
    </xf>
    <xf numFmtId="0" fontId="35" fillId="0" borderId="6" xfId="4" applyFont="1" applyBorder="1" applyAlignment="1">
      <alignment horizontal="center"/>
    </xf>
    <xf numFmtId="0" fontId="35" fillId="0" borderId="6" xfId="4" applyFont="1" applyBorder="1"/>
    <xf numFmtId="0" fontId="35" fillId="0" borderId="6" xfId="4" quotePrefix="1" applyFont="1" applyBorder="1" applyAlignment="1">
      <alignment horizontal="left"/>
    </xf>
    <xf numFmtId="176" fontId="35" fillId="0" borderId="6" xfId="4" quotePrefix="1" applyNumberFormat="1" applyFont="1" applyBorder="1" applyAlignment="1">
      <alignment horizontal="center"/>
    </xf>
    <xf numFmtId="176" fontId="35" fillId="0" borderId="6" xfId="7" applyNumberFormat="1" applyFont="1" applyBorder="1"/>
    <xf numFmtId="184" fontId="35" fillId="0" borderId="6" xfId="4" applyNumberFormat="1" applyFont="1" applyBorder="1"/>
    <xf numFmtId="38" fontId="35" fillId="0" borderId="6" xfId="5" applyNumberFormat="1" applyFont="1" applyBorder="1"/>
    <xf numFmtId="38" fontId="35" fillId="2" borderId="6" xfId="5" applyNumberFormat="1" applyFont="1" applyFill="1" applyBorder="1"/>
    <xf numFmtId="0" fontId="35" fillId="4" borderId="6" xfId="4" applyFont="1" applyFill="1" applyBorder="1"/>
    <xf numFmtId="0" fontId="35" fillId="0" borderId="6" xfId="4" applyFont="1" applyFill="1" applyBorder="1" applyAlignment="1" applyProtection="1">
      <alignment horizontal="center"/>
      <protection locked="0"/>
    </xf>
    <xf numFmtId="0" fontId="35" fillId="0" borderId="6" xfId="4" quotePrefix="1" applyFont="1" applyBorder="1" applyAlignment="1">
      <alignment horizontal="center"/>
    </xf>
    <xf numFmtId="0" fontId="16" fillId="0" borderId="6" xfId="0" applyFont="1" applyBorder="1" applyAlignment="1">
      <alignment vertical="center" wrapText="1"/>
    </xf>
    <xf numFmtId="0" fontId="0" fillId="0" borderId="6" xfId="0" applyBorder="1" applyAlignment="1">
      <alignment vertical="top" wrapText="1"/>
    </xf>
    <xf numFmtId="0" fontId="0" fillId="0" borderId="0" xfId="0" applyAlignment="1">
      <alignment horizontal="center" vertical="center"/>
    </xf>
    <xf numFmtId="0" fontId="16" fillId="0" borderId="0" xfId="0" applyFont="1" applyAlignment="1">
      <alignment horizontal="center" vertical="center" wrapText="1"/>
    </xf>
    <xf numFmtId="0" fontId="0" fillId="15" borderId="0" xfId="0" applyFill="1" applyAlignment="1">
      <alignment vertical="center" wrapText="1"/>
    </xf>
    <xf numFmtId="0" fontId="0" fillId="16" borderId="49" xfId="0" applyFill="1" applyBorder="1">
      <alignment vertical="center"/>
    </xf>
    <xf numFmtId="0" fontId="0" fillId="16" borderId="42" xfId="0" applyFill="1" applyBorder="1">
      <alignment vertical="center"/>
    </xf>
    <xf numFmtId="0" fontId="0" fillId="4" borderId="0" xfId="0" applyFill="1" applyAlignment="1">
      <alignment vertical="center" wrapText="1"/>
    </xf>
    <xf numFmtId="0" fontId="0" fillId="17" borderId="0" xfId="0" applyFill="1">
      <alignment vertical="center"/>
    </xf>
    <xf numFmtId="0" fontId="0" fillId="5" borderId="0" xfId="0" applyFill="1">
      <alignment vertical="center"/>
    </xf>
    <xf numFmtId="0" fontId="0" fillId="16" borderId="0" xfId="0" applyFill="1">
      <alignment vertical="center"/>
    </xf>
    <xf numFmtId="0" fontId="0" fillId="7" borderId="0" xfId="0" applyFill="1">
      <alignment vertical="center"/>
    </xf>
    <xf numFmtId="0" fontId="0" fillId="6" borderId="0" xfId="0" applyFill="1">
      <alignment vertical="center"/>
    </xf>
    <xf numFmtId="0" fontId="0" fillId="18" borderId="0" xfId="0" applyFill="1">
      <alignment vertical="center"/>
    </xf>
    <xf numFmtId="0" fontId="14" fillId="5" borderId="0" xfId="0" applyFont="1" applyFill="1">
      <alignment vertical="center"/>
    </xf>
    <xf numFmtId="0" fontId="0" fillId="15" borderId="0" xfId="0" applyFill="1">
      <alignment vertical="center"/>
    </xf>
    <xf numFmtId="14" fontId="1" fillId="0" borderId="0" xfId="9" applyNumberFormat="1"/>
    <xf numFmtId="0" fontId="1" fillId="19" borderId="0" xfId="9" applyFill="1"/>
    <xf numFmtId="0" fontId="24" fillId="0" borderId="0" xfId="9" applyFont="1"/>
    <xf numFmtId="185" fontId="1" fillId="19" borderId="0" xfId="9" applyNumberFormat="1" applyFill="1"/>
    <xf numFmtId="0" fontId="37" fillId="20" borderId="0" xfId="9" applyFont="1" applyFill="1"/>
    <xf numFmtId="0" fontId="38" fillId="21" borderId="11" xfId="9" applyFont="1" applyFill="1" applyBorder="1" applyAlignment="1">
      <alignment horizontal="left"/>
    </xf>
    <xf numFmtId="0" fontId="38" fillId="21" borderId="11" xfId="9" applyFont="1" applyFill="1" applyBorder="1" applyAlignment="1">
      <alignment horizontal="right"/>
    </xf>
    <xf numFmtId="0" fontId="1" fillId="0" borderId="0" xfId="9" applyAlignment="1">
      <alignment horizontal="left"/>
    </xf>
    <xf numFmtId="3" fontId="1" fillId="0" borderId="0" xfId="9" applyNumberFormat="1"/>
    <xf numFmtId="0" fontId="1" fillId="0" borderId="9" xfId="9" applyBorder="1" applyAlignment="1">
      <alignment horizontal="left"/>
    </xf>
    <xf numFmtId="0" fontId="1" fillId="0" borderId="9" xfId="9" applyBorder="1"/>
    <xf numFmtId="3" fontId="1" fillId="0" borderId="9" xfId="9" applyNumberFormat="1" applyBorder="1"/>
    <xf numFmtId="0" fontId="16" fillId="0" borderId="0" xfId="9" applyFont="1" applyAlignment="1">
      <alignment horizontal="right"/>
    </xf>
    <xf numFmtId="0" fontId="16" fillId="0" borderId="0" xfId="9" applyFont="1"/>
    <xf numFmtId="3" fontId="1" fillId="19" borderId="0" xfId="9" applyNumberFormat="1" applyFill="1"/>
    <xf numFmtId="0" fontId="7" fillId="0" borderId="0" xfId="0" applyFont="1" applyAlignment="1">
      <alignment horizontal="right"/>
    </xf>
    <xf numFmtId="0" fontId="12" fillId="0" borderId="0" xfId="0" applyFont="1" applyAlignment="1"/>
    <xf numFmtId="0" fontId="39" fillId="22" borderId="0" xfId="0" applyFont="1" applyFill="1" applyAlignment="1">
      <alignment horizontal="center"/>
    </xf>
    <xf numFmtId="0" fontId="12" fillId="0" borderId="0" xfId="0" applyFont="1" applyAlignment="1">
      <alignment horizontal="center"/>
    </xf>
    <xf numFmtId="176" fontId="12" fillId="0" borderId="0" xfId="20" applyNumberFormat="1" applyFont="1" applyAlignment="1"/>
    <xf numFmtId="30" fontId="12" fillId="0" borderId="0" xfId="0" applyNumberFormat="1" applyFont="1" applyAlignment="1"/>
    <xf numFmtId="0" fontId="12" fillId="0" borderId="6" xfId="0" applyFont="1" applyBorder="1" applyAlignment="1">
      <alignment horizontal="center"/>
    </xf>
    <xf numFmtId="0" fontId="40" fillId="0" borderId="6" xfId="0" applyFont="1" applyBorder="1" applyAlignment="1">
      <alignment horizontal="center"/>
    </xf>
    <xf numFmtId="0" fontId="31" fillId="0" borderId="0" xfId="19" applyAlignment="1"/>
    <xf numFmtId="0" fontId="12" fillId="0" borderId="0" xfId="20" applyNumberFormat="1" applyFont="1" applyAlignment="1"/>
    <xf numFmtId="0" fontId="12" fillId="0" borderId="0" xfId="0" applyFont="1" applyAlignment="1">
      <alignment horizontal="left"/>
    </xf>
    <xf numFmtId="0" fontId="41" fillId="0" borderId="0" xfId="8" applyFont="1" applyAlignment="1">
      <alignment horizontal="center" vertical="top" wrapText="1"/>
    </xf>
    <xf numFmtId="0" fontId="12" fillId="0" borderId="0" xfId="0" applyFont="1" applyAlignment="1">
      <alignment horizontal="right"/>
    </xf>
    <xf numFmtId="0" fontId="13" fillId="23" borderId="50" xfId="3" applyFont="1" applyFill="1" applyBorder="1" applyAlignment="1">
      <alignment horizontal="center" vertical="center"/>
    </xf>
    <xf numFmtId="0" fontId="13" fillId="23" borderId="51" xfId="3" applyFont="1" applyFill="1" applyBorder="1" applyAlignment="1">
      <alignment horizontal="center" vertical="center" wrapText="1"/>
    </xf>
    <xf numFmtId="0" fontId="13" fillId="23" borderId="50" xfId="3" quotePrefix="1" applyFont="1" applyFill="1" applyBorder="1" applyAlignment="1">
      <alignment horizontal="center" vertical="center"/>
    </xf>
    <xf numFmtId="30" fontId="13" fillId="23" borderId="50" xfId="3" applyNumberFormat="1" applyFont="1" applyFill="1" applyBorder="1" applyAlignment="1">
      <alignment horizontal="center" vertical="center"/>
    </xf>
    <xf numFmtId="0" fontId="13" fillId="23" borderId="52" xfId="3" applyFont="1" applyFill="1" applyBorder="1" applyAlignment="1">
      <alignment horizontal="center" vertical="center"/>
    </xf>
    <xf numFmtId="0" fontId="12" fillId="0" borderId="53" xfId="0" quotePrefix="1" applyFont="1" applyBorder="1" applyAlignment="1">
      <alignment horizontal="left"/>
    </xf>
    <xf numFmtId="0" fontId="12" fillId="0" borderId="53" xfId="0" applyFont="1" applyBorder="1" applyAlignment="1">
      <alignment horizontal="center"/>
    </xf>
    <xf numFmtId="0" fontId="12" fillId="0" borderId="53" xfId="0" applyFont="1" applyBorder="1" applyAlignment="1"/>
    <xf numFmtId="0" fontId="12" fillId="0" borderId="54" xfId="0" applyFont="1" applyBorder="1" applyAlignment="1">
      <alignment horizontal="center"/>
    </xf>
    <xf numFmtId="0" fontId="12" fillId="0" borderId="53" xfId="0" quotePrefix="1" applyFont="1" applyBorder="1" applyAlignment="1">
      <alignment horizontal="center"/>
    </xf>
    <xf numFmtId="176" fontId="12" fillId="0" borderId="53" xfId="20" applyNumberFormat="1" applyFont="1" applyBorder="1" applyAlignment="1"/>
    <xf numFmtId="186" fontId="12" fillId="0" borderId="53" xfId="0" applyNumberFormat="1" applyFont="1" applyBorder="1" applyAlignment="1"/>
    <xf numFmtId="0" fontId="12" fillId="0" borderId="55" xfId="0" applyFont="1" applyBorder="1" applyAlignment="1">
      <alignment horizontal="center"/>
    </xf>
    <xf numFmtId="0" fontId="42" fillId="0" borderId="0" xfId="0" applyFont="1" applyAlignment="1"/>
    <xf numFmtId="176" fontId="12" fillId="0" borderId="53" xfId="0" quotePrefix="1" applyNumberFormat="1" applyFont="1" applyBorder="1" applyAlignment="1">
      <alignment horizontal="center"/>
    </xf>
    <xf numFmtId="0" fontId="12" fillId="0" borderId="53" xfId="0" applyFont="1" applyBorder="1" applyAlignment="1" applyProtection="1">
      <alignment horizontal="center"/>
      <protection locked="0"/>
    </xf>
    <xf numFmtId="0" fontId="12" fillId="0" borderId="53" xfId="0" applyFont="1" applyBorder="1" applyAlignment="1">
      <alignment horizontal="left"/>
    </xf>
    <xf numFmtId="0" fontId="12" fillId="0" borderId="56" xfId="0" quotePrefix="1" applyFont="1" applyBorder="1" applyAlignment="1">
      <alignment horizontal="left"/>
    </xf>
    <xf numFmtId="0" fontId="12" fillId="0" borderId="56" xfId="0" applyFont="1" applyBorder="1" applyAlignment="1" applyProtection="1">
      <alignment horizontal="center"/>
      <protection locked="0"/>
    </xf>
    <xf numFmtId="0" fontId="12" fillId="0" borderId="57" xfId="0" applyFont="1" applyBorder="1" applyAlignment="1">
      <alignment horizontal="center"/>
    </xf>
    <xf numFmtId="176" fontId="12" fillId="0" borderId="56" xfId="0" quotePrefix="1" applyNumberFormat="1" applyFont="1" applyBorder="1" applyAlignment="1">
      <alignment horizontal="center"/>
    </xf>
    <xf numFmtId="176" fontId="12" fillId="0" borderId="56" xfId="20" applyNumberFormat="1" applyFont="1" applyBorder="1" applyAlignment="1"/>
    <xf numFmtId="186" fontId="12" fillId="0" borderId="56" xfId="0" applyNumberFormat="1" applyFont="1" applyBorder="1" applyAlignment="1"/>
    <xf numFmtId="0" fontId="12" fillId="0" borderId="56" xfId="0" applyFont="1" applyBorder="1" applyAlignment="1">
      <alignment horizontal="center"/>
    </xf>
    <xf numFmtId="0" fontId="12" fillId="0" borderId="58" xfId="0" applyFont="1" applyBorder="1" applyAlignment="1">
      <alignment horizontal="center"/>
    </xf>
    <xf numFmtId="0" fontId="12" fillId="0" borderId="0" xfId="0" quotePrefix="1" applyFont="1" applyAlignment="1"/>
    <xf numFmtId="0" fontId="43" fillId="0" borderId="0" xfId="0" applyFont="1">
      <alignment vertical="center"/>
    </xf>
    <xf numFmtId="0" fontId="15" fillId="5" borderId="0" xfId="0" applyFont="1" applyFill="1" applyAlignment="1">
      <alignment horizontal="center" vertical="center"/>
    </xf>
    <xf numFmtId="0" fontId="15" fillId="11" borderId="0" xfId="0" applyFont="1" applyFill="1" applyAlignment="1">
      <alignment horizontal="center" vertical="center"/>
    </xf>
    <xf numFmtId="0" fontId="36" fillId="5" borderId="0" xfId="0" applyFont="1" applyFill="1" applyAlignment="1">
      <alignment horizontal="center" vertical="center"/>
    </xf>
    <xf numFmtId="0" fontId="36" fillId="5" borderId="0" xfId="0" applyFont="1" applyFill="1" applyAlignment="1">
      <alignment horizontal="center" vertical="center" wrapText="1"/>
    </xf>
    <xf numFmtId="0" fontId="18" fillId="7" borderId="24" xfId="9" applyFont="1" applyFill="1" applyBorder="1" applyAlignment="1">
      <alignment horizontal="center" vertical="center" wrapText="1"/>
    </xf>
    <xf numFmtId="0" fontId="18" fillId="7" borderId="25" xfId="9" applyFont="1" applyFill="1" applyBorder="1" applyAlignment="1">
      <alignment horizontal="center" vertical="center"/>
    </xf>
    <xf numFmtId="0" fontId="25" fillId="0" borderId="0" xfId="9" applyFont="1" applyAlignment="1">
      <alignment horizontal="center" wrapText="1"/>
    </xf>
    <xf numFmtId="0" fontId="25" fillId="0" borderId="0" xfId="9" applyFont="1" applyAlignment="1">
      <alignment horizontal="center"/>
    </xf>
    <xf numFmtId="0" fontId="15" fillId="5" borderId="0" xfId="15" applyFont="1" applyFill="1" applyAlignment="1">
      <alignment horizontal="center" vertical="center"/>
    </xf>
    <xf numFmtId="0" fontId="31" fillId="11" borderId="0" xfId="19" applyNumberFormat="1" applyFill="1" applyAlignment="1">
      <alignment horizontal="center" vertical="center"/>
    </xf>
    <xf numFmtId="0" fontId="13" fillId="3" borderId="60" xfId="3" applyFont="1" applyFill="1" applyBorder="1" applyAlignment="1">
      <alignment horizontal="center" vertical="center" wrapText="1"/>
    </xf>
    <xf numFmtId="0" fontId="13" fillId="3" borderId="61" xfId="3" applyFont="1" applyFill="1" applyBorder="1" applyAlignment="1">
      <alignment horizontal="center" vertical="center"/>
    </xf>
    <xf numFmtId="0" fontId="13" fillId="3" borderId="61" xfId="3" quotePrefix="1" applyFont="1" applyFill="1" applyBorder="1" applyAlignment="1">
      <alignment horizontal="center" vertical="center"/>
    </xf>
    <xf numFmtId="30" fontId="13" fillId="3" borderId="61" xfId="3" applyNumberFormat="1" applyFont="1" applyFill="1" applyBorder="1" applyAlignment="1">
      <alignment horizontal="center" vertical="center"/>
    </xf>
    <xf numFmtId="0" fontId="13" fillId="3" borderId="62" xfId="3" applyFont="1" applyFill="1" applyBorder="1" applyAlignment="1">
      <alignment horizontal="center" vertical="center"/>
    </xf>
    <xf numFmtId="0" fontId="13" fillId="3" borderId="62" xfId="3" applyFont="1" applyFill="1" applyBorder="1" applyAlignment="1">
      <alignment horizontal="center" vertical="center" wrapText="1"/>
    </xf>
    <xf numFmtId="0" fontId="35" fillId="0" borderId="63" xfId="4" applyFont="1" applyBorder="1" applyAlignment="1">
      <alignment horizontal="center"/>
    </xf>
    <xf numFmtId="0" fontId="35" fillId="0" borderId="63" xfId="4" applyFont="1" applyFill="1" applyBorder="1" applyAlignment="1" applyProtection="1">
      <alignment horizontal="center"/>
      <protection locked="0"/>
    </xf>
    <xf numFmtId="0" fontId="35" fillId="0" borderId="63" xfId="4" quotePrefix="1" applyFont="1" applyBorder="1" applyAlignment="1">
      <alignment horizontal="left"/>
    </xf>
    <xf numFmtId="176" fontId="35" fillId="0" borderId="63" xfId="4" quotePrefix="1" applyNumberFormat="1" applyFont="1" applyBorder="1" applyAlignment="1">
      <alignment horizontal="center"/>
    </xf>
    <xf numFmtId="176" fontId="35" fillId="0" borderId="63" xfId="7" applyNumberFormat="1" applyFont="1" applyBorder="1"/>
    <xf numFmtId="184" fontId="35" fillId="0" borderId="63" xfId="4" applyNumberFormat="1" applyFont="1" applyBorder="1"/>
    <xf numFmtId="0" fontId="35" fillId="0" borderId="63" xfId="4" applyFont="1" applyBorder="1"/>
    <xf numFmtId="38" fontId="35" fillId="0" borderId="63" xfId="5" applyNumberFormat="1" applyFont="1" applyBorder="1"/>
    <xf numFmtId="38" fontId="35" fillId="2" borderId="63" xfId="5" applyNumberFormat="1" applyFont="1" applyFill="1" applyBorder="1"/>
    <xf numFmtId="0" fontId="35" fillId="4" borderId="63" xfId="4" applyFont="1" applyFill="1" applyBorder="1"/>
    <xf numFmtId="0" fontId="13" fillId="3" borderId="64" xfId="3" applyFont="1" applyFill="1" applyBorder="1" applyAlignment="1">
      <alignment horizontal="center" vertical="center" wrapText="1"/>
    </xf>
    <xf numFmtId="0" fontId="13" fillId="3" borderId="65" xfId="3" applyFont="1" applyFill="1" applyBorder="1" applyAlignment="1">
      <alignment horizontal="center" vertical="center"/>
    </xf>
    <xf numFmtId="0" fontId="1" fillId="0" borderId="59" xfId="9" applyBorder="1"/>
    <xf numFmtId="188" fontId="28" fillId="0" borderId="39" xfId="9" applyNumberFormat="1" applyFont="1" applyBorder="1" applyAlignment="1">
      <alignment vertical="center"/>
    </xf>
  </cellXfs>
  <cellStyles count="21">
    <cellStyle name="Comma [0]" xfId="1" xr:uid="{00000000-0005-0000-0000-000000000000}"/>
    <cellStyle name="Currency [0]" xfId="2" xr:uid="{00000000-0005-0000-0000-000001000000}"/>
    <cellStyle name="Header1" xfId="16" xr:uid="{00000000-0005-0000-0000-000002000000}"/>
    <cellStyle name="Header2" xfId="17" xr:uid="{00000000-0005-0000-0000-000003000000}"/>
    <cellStyle name="Heading" xfId="3" xr:uid="{00000000-0005-0000-0000-000004000000}"/>
    <cellStyle name="no dec" xfId="12" xr:uid="{00000000-0005-0000-0000-000005000000}"/>
    <cellStyle name="Normal_APR" xfId="13" xr:uid="{00000000-0005-0000-0000-000006000000}"/>
    <cellStyle name="一般" xfId="0" builtinId="0"/>
    <cellStyle name="一般 2" xfId="9" xr:uid="{00000000-0005-0000-0000-000008000000}"/>
    <cellStyle name="一般 2 2" xfId="15" xr:uid="{00000000-0005-0000-0000-000009000000}"/>
    <cellStyle name="一般 3" xfId="18" xr:uid="{00000000-0005-0000-0000-00000A000000}"/>
    <cellStyle name="一般_金融三 學期成績 查詢" xfId="10" xr:uid="{00000000-0005-0000-0000-00000B000000}"/>
    <cellStyle name="一般_特休對照表" xfId="4" xr:uid="{00000000-0005-0000-0000-00000C000000}"/>
    <cellStyle name="千分位[0] 2" xfId="11" xr:uid="{00000000-0005-0000-0000-00000D000000}"/>
    <cellStyle name="千分位_特休對照表" xfId="5" xr:uid="{00000000-0005-0000-0000-00000E000000}"/>
    <cellStyle name="百分比" xfId="6" builtinId="5"/>
    <cellStyle name="貨幣" xfId="20" builtinId="4"/>
    <cellStyle name="貨幣[0]_laroux" xfId="14" xr:uid="{00000000-0005-0000-0000-000010000000}"/>
    <cellStyle name="貨幣_特休對照表" xfId="7" xr:uid="{00000000-0005-0000-0000-000011000000}"/>
    <cellStyle name="超連結" xfId="19" builtinId="8"/>
    <cellStyle name="標題文字" xfId="8" xr:uid="{00000000-0005-0000-0000-000013000000}"/>
  </cellStyles>
  <dxfs count="47">
    <dxf>
      <fill>
        <patternFill>
          <bgColor rgb="FFFFC000"/>
        </patternFill>
      </fill>
    </dxf>
    <dxf>
      <font>
        <color rgb="FFFFC000"/>
      </font>
    </dxf>
    <dxf>
      <font>
        <b/>
        <i/>
      </font>
      <fill>
        <patternFill>
          <bgColor rgb="FFFFFF00"/>
        </patternFill>
      </fill>
    </dxf>
    <dxf>
      <font>
        <b/>
        <i val="0"/>
        <condense val="0"/>
        <extend val="0"/>
        <color indexed="12"/>
      </font>
      <fill>
        <patternFill>
          <bgColor indexed="41"/>
        </patternFill>
      </fill>
    </dxf>
    <dxf>
      <font>
        <b/>
        <i val="0"/>
        <condense val="0"/>
        <extend val="0"/>
        <color indexed="10"/>
      </font>
      <fill>
        <patternFill>
          <bgColor indexed="43"/>
        </patternFill>
      </fill>
    </dxf>
    <dxf>
      <font>
        <b/>
        <i val="0"/>
        <condense val="0"/>
        <extend val="0"/>
        <color indexed="14"/>
      </font>
    </dxf>
    <dxf>
      <font>
        <b/>
        <i val="0"/>
        <condense val="0"/>
        <extend val="0"/>
        <color indexed="12"/>
      </font>
    </dxf>
    <dxf>
      <font>
        <b/>
        <i val="0"/>
        <condense val="0"/>
        <extend val="0"/>
        <color indexed="53"/>
      </font>
    </dxf>
    <dxf>
      <font>
        <b val="0"/>
        <i val="0"/>
        <strike val="0"/>
        <condense val="0"/>
        <extend val="0"/>
        <outline val="0"/>
        <shadow val="0"/>
        <u val="none"/>
        <vertAlign val="baseline"/>
        <sz val="12"/>
        <color auto="1"/>
        <name val="細明體"/>
        <family val="3"/>
        <charset val="136"/>
        <scheme val="none"/>
      </font>
      <alignment horizontal="center" vertical="bottom" textRotation="0" wrapText="0" indent="0" justifyLastLine="0" shrinkToFit="0" readingOrder="0"/>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numFmt numFmtId="186" formatCode="[$-404]e/mm/dd"/>
      <alignment horizontal="center" vertical="bottom" textRotation="0" wrapText="0" indent="0" justifyLastLine="0" shrinkToFit="0" readingOrder="0"/>
      <border diagonalUp="0" diagonalDown="0">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新細明體"/>
        <family val="1"/>
        <charset val="136"/>
        <scheme val="maj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numFmt numFmtId="18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numFmt numFmtId="6" formatCode="#,##0;[Red]\-#,##0"/>
      <fill>
        <patternFill patternType="solid">
          <fgColor indexed="64"/>
          <bgColor indexed="13"/>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auto="1"/>
        <name val="新細明體"/>
        <family val="1"/>
        <charset val="136"/>
        <scheme val="major"/>
      </font>
      <numFmt numFmtId="0" formatCode="General"/>
      <fill>
        <patternFill patternType="solid">
          <fgColor indexed="64"/>
          <bgColor indexed="44"/>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indexed="9"/>
        <name val="細明體"/>
        <family val="3"/>
        <charset val="136"/>
        <scheme val="none"/>
      </font>
      <fill>
        <patternFill patternType="solid">
          <fgColor indexed="22"/>
          <bgColor indexed="18"/>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新細明體"/>
        <family val="1"/>
        <charset val="136"/>
        <scheme val="major"/>
      </font>
      <numFmt numFmtId="6" formatCode="#,##0;[Red]\-#,##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numFmt numFmtId="184" formatCode="yyyy/mm/dd;@"/>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numFmt numFmtId="176" formatCode="&quot;$&quot;#,##0_);[Red]\(&quot;$&quot;#,##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numFmt numFmtId="176" formatCode="&quot;$&quot;#,##0_);[Red]\(&quot;$&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新細明體"/>
        <family val="1"/>
        <charset val="136"/>
        <scheme val="maj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auto="1"/>
        <name val="新細明體"/>
        <family val="1"/>
        <charset val="136"/>
        <scheme val="maj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22"/>
        </top>
        <bottom style="thin">
          <color indexed="64"/>
        </bottom>
      </border>
    </dxf>
    <dxf>
      <font>
        <b val="0"/>
        <i val="0"/>
        <strike val="0"/>
        <condense val="0"/>
        <extend val="0"/>
        <outline val="0"/>
        <shadow val="0"/>
        <u val="none"/>
        <vertAlign val="baseline"/>
        <sz val="12"/>
        <color theme="1"/>
        <name val="新細明體"/>
        <scheme val="none"/>
      </font>
      <numFmt numFmtId="183" formatCode="&quot;$&quot;**#,##0_)"/>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新細明體"/>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新細明體"/>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新細明體"/>
        <scheme val="none"/>
      </font>
      <numFmt numFmtId="182" formatCode="e\.mm\.dd"/>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新細明體"/>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新細明體"/>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新細明體"/>
        <scheme val="none"/>
      </font>
      <numFmt numFmtId="30" formatCode="@"/>
      <alignment horizontal="center" vertical="center" textRotation="0" wrapText="0" indent="0" justifyLastLine="0" shrinkToFit="0" readingOrder="0"/>
      <border diagonalUp="0" diagonalDown="0">
        <left/>
        <right/>
        <top style="thin">
          <color indexed="64"/>
        </top>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新細明體"/>
        <scheme val="none"/>
      </font>
      <alignment horizontal="center" vertical="center" textRotation="0" wrapText="0" indent="0" justifyLastLine="0" shrinkToFit="0" readingOrder="0"/>
    </dxf>
    <dxf>
      <font>
        <b/>
        <i val="0"/>
        <strike val="0"/>
        <condense val="0"/>
        <extend val="0"/>
        <outline val="0"/>
        <shadow val="0"/>
        <u val="none"/>
        <vertAlign val="baseline"/>
        <sz val="12"/>
        <color rgb="FFFF0000"/>
        <name val="新細明體"/>
        <scheme val="none"/>
      </font>
      <fill>
        <patternFill patternType="solid">
          <fgColor indexed="64"/>
          <bgColor indexed="4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細明體"/>
        <family val="3"/>
        <charset val="136"/>
        <scheme val="none"/>
      </font>
      <numFmt numFmtId="0" formatCode="General"/>
      <alignment horizontal="center" vertical="bottom" textRotation="0" wrapText="0" indent="0" justifyLastLine="0" shrinkToFit="0" readingOrder="0"/>
      <border diagonalUp="0" diagonalDown="0">
        <left style="thin">
          <color indexed="39"/>
        </left>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numFmt numFmtId="0" formatCode="General"/>
      <alignment horizontal="center" vertical="bottom" textRotation="0" wrapText="0" indent="0" justifyLastLine="0" shrinkToFit="0" readingOrder="0"/>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numFmt numFmtId="186" formatCode="[$-404]e/mm/dd"/>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numFmt numFmtId="186" formatCode="[$-404]e/mm/dd"/>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numFmt numFmtId="176" formatCode="&quot;$&quot;#,##0_);[Red]\(&quot;$&quot;#,##0\)"/>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numFmt numFmtId="176" formatCode="&quot;$&quot;#,##0_);[Red]\(&quot;$&quot;#,##0\)"/>
      <alignment horizontal="center" vertical="bottom" textRotation="0" wrapText="0" indent="0" justifyLastLine="0" shrinkToFit="0" readingOrder="0"/>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alignment horizontal="left" vertical="bottom" textRotation="0" wrapText="0" indent="0" justifyLastLine="0" shrinkToFit="0" readingOrder="0"/>
      <border diagonalUp="0" diagonalDown="0">
        <left style="thin">
          <color indexed="39"/>
        </left>
        <right style="thin">
          <color indexed="39"/>
        </right>
        <top style="thin">
          <color indexed="39"/>
        </top>
        <bottom style="thin">
          <color indexed="39"/>
        </bottom>
        <vertical/>
        <horizontal/>
      </border>
    </dxf>
    <dxf>
      <font>
        <b val="0"/>
        <i val="0"/>
        <strike val="0"/>
        <condense val="0"/>
        <extend val="0"/>
        <outline val="0"/>
        <shadow val="0"/>
        <u val="none"/>
        <vertAlign val="baseline"/>
        <sz val="12"/>
        <color auto="1"/>
        <name val="細明體"/>
        <family val="3"/>
        <charset val="136"/>
        <scheme val="none"/>
      </font>
      <alignment horizontal="left" vertical="bottom" textRotation="0" wrapText="0" indent="0" justifyLastLine="0" shrinkToFit="0" readingOrder="0"/>
      <border diagonalUp="0" diagonalDown="0">
        <left style="thin">
          <color indexed="39"/>
        </left>
        <right style="thin">
          <color indexed="39"/>
        </right>
        <top style="thin">
          <color indexed="39"/>
        </top>
        <bottom style="thin">
          <color indexed="39"/>
        </bottom>
        <vertical/>
        <horizontal/>
      </border>
    </dxf>
    <dxf>
      <border outline="0">
        <top style="thin">
          <color indexed="39"/>
        </top>
      </border>
    </dxf>
    <dxf>
      <border outline="0">
        <left style="thin">
          <color indexed="39"/>
        </left>
        <right style="thin">
          <color indexed="39"/>
        </right>
        <top style="thin">
          <color indexed="39"/>
        </top>
        <bottom style="thin">
          <color indexed="39"/>
        </bottom>
      </border>
    </dxf>
    <dxf>
      <border outline="0">
        <bottom style="thin">
          <color indexed="39"/>
        </bottom>
      </border>
    </dxf>
    <dxf>
      <font>
        <b/>
        <i val="0"/>
        <strike val="0"/>
        <condense val="0"/>
        <extend val="0"/>
        <outline val="0"/>
        <shadow val="0"/>
        <u val="none"/>
        <vertAlign val="baseline"/>
        <sz val="12"/>
        <color indexed="9"/>
        <name val="細明體"/>
        <family val="3"/>
        <charset val="136"/>
        <scheme val="none"/>
      </font>
      <fill>
        <patternFill patternType="solid">
          <fgColor indexed="24"/>
          <bgColor indexed="18"/>
        </patternFill>
      </fill>
      <alignment horizontal="center" vertical="center" textRotation="0" wrapText="0" indent="0" justifyLastLine="0" shrinkToFit="0" readingOrder="0"/>
      <border diagonalUp="0" diagonalDown="0" outline="0">
        <left style="thin">
          <color indexed="39"/>
        </left>
        <right style="thin">
          <color indexed="39"/>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heetMetadata" Target="metadata.xml"/></Relationships>
</file>

<file path=xl/ctrlProps/ctrlProp1.xml><?xml version="1.0" encoding="utf-8"?>
<formControlPr xmlns="http://schemas.microsoft.com/office/spreadsheetml/2009/9/main" objectType="Spin" dx="15" fmlaLink="$C$2" max="29" min="1" page="10"/>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5506;&#34920;&#26597;&#35426;!A1"/></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9525</xdr:rowOff>
    </xdr:from>
    <xdr:to>
      <xdr:col>3</xdr:col>
      <xdr:colOff>9525</xdr:colOff>
      <xdr:row>2</xdr:row>
      <xdr:rowOff>0</xdr:rowOff>
    </xdr:to>
    <xdr:sp macro="" textlink="">
      <xdr:nvSpPr>
        <xdr:cNvPr id="1030" name="Line 1">
          <a:extLst>
            <a:ext uri="{FF2B5EF4-FFF2-40B4-BE49-F238E27FC236}">
              <a16:creationId xmlns:a16="http://schemas.microsoft.com/office/drawing/2014/main" id="{00000000-0008-0000-0100-000006040000}"/>
            </a:ext>
          </a:extLst>
        </xdr:cNvPr>
        <xdr:cNvSpPr>
          <a:spLocks noChangeShapeType="1"/>
        </xdr:cNvSpPr>
      </xdr:nvSpPr>
      <xdr:spPr bwMode="auto">
        <a:xfrm>
          <a:off x="619125" y="180975"/>
          <a:ext cx="962025" cy="2762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533400</xdr:colOff>
          <xdr:row>1</xdr:row>
          <xdr:rowOff>9525</xdr:rowOff>
        </xdr:from>
        <xdr:to>
          <xdr:col>3</xdr:col>
          <xdr:colOff>9525</xdr:colOff>
          <xdr:row>2</xdr:row>
          <xdr:rowOff>9525</xdr:rowOff>
        </xdr:to>
        <xdr:sp macro="" textlink="">
          <xdr:nvSpPr>
            <xdr:cNvPr id="3073" name="Spinner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8194" name="AutoShape 2" descr="http://essay.b0.upaiyun.com/174/850881/1.jpg">
          <a:extLst>
            <a:ext uri="{FF2B5EF4-FFF2-40B4-BE49-F238E27FC236}">
              <a16:creationId xmlns:a16="http://schemas.microsoft.com/office/drawing/2014/main" id="{00000000-0008-0000-1300-000002200000}"/>
            </a:ext>
          </a:extLst>
        </xdr:cNvPr>
        <xdr:cNvSpPr>
          <a:spLocks noChangeAspect="1" noChangeArrowheads="1"/>
        </xdr:cNvSpPr>
      </xdr:nvSpPr>
      <xdr:spPr bwMode="auto">
        <a:xfrm>
          <a:off x="685800" y="4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0</xdr:rowOff>
    </xdr:from>
    <xdr:to>
      <xdr:col>1</xdr:col>
      <xdr:colOff>304800</xdr:colOff>
      <xdr:row>2</xdr:row>
      <xdr:rowOff>304800</xdr:rowOff>
    </xdr:to>
    <xdr:sp macro="" textlink="">
      <xdr:nvSpPr>
        <xdr:cNvPr id="8195" name="AutoShape 3" descr="http://essay.b0.upaiyun.com/174/850881/1.jpg">
          <a:extLst>
            <a:ext uri="{FF2B5EF4-FFF2-40B4-BE49-F238E27FC236}">
              <a16:creationId xmlns:a16="http://schemas.microsoft.com/office/drawing/2014/main" id="{00000000-0008-0000-1300-000003200000}"/>
            </a:ext>
          </a:extLst>
        </xdr:cNvPr>
        <xdr:cNvSpPr>
          <a:spLocks noChangeAspect="1" noChangeArrowheads="1"/>
        </xdr:cNvSpPr>
      </xdr:nvSpPr>
      <xdr:spPr bwMode="auto">
        <a:xfrm>
          <a:off x="685800" y="4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228600</xdr:colOff>
      <xdr:row>1</xdr:row>
      <xdr:rowOff>9525</xdr:rowOff>
    </xdr:from>
    <xdr:to>
      <xdr:col>7</xdr:col>
      <xdr:colOff>475962</xdr:colOff>
      <xdr:row>7</xdr:row>
      <xdr:rowOff>95068</xdr:rowOff>
    </xdr:to>
    <xdr:pic>
      <xdr:nvPicPr>
        <xdr:cNvPr id="2" name="圖片 1">
          <a:hlinkClick xmlns:r="http://schemas.openxmlformats.org/officeDocument/2006/relationships" r:id="rId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2"/>
        <a:stretch>
          <a:fillRect/>
        </a:stretch>
      </xdr:blipFill>
      <xdr:spPr>
        <a:xfrm>
          <a:off x="5648325" y="219075"/>
          <a:ext cx="2304762" cy="145714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_104\TVTC\Excel&#26202;\&#23416;&#29983;&#35506;&#34920;-&#27298;&#35222;&#21443;&#2903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34311;&#23391;&#32239;\Excel2010&#36914;&#38542;\Samples\Excel&#24120;&#29992;&#20989;&#2597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_104\TVTC\Excel&#26202;\&#34218;&#36039;&#32080;&#27083;-INDEX-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設定格式化條件"/>
    </sheetNames>
    <sheetDataSet>
      <sheetData sheetId="0"/>
      <sheetData sheetId="1">
        <row r="5">
          <cell r="E5">
            <v>90</v>
          </cell>
          <cell r="F5">
            <v>86</v>
          </cell>
          <cell r="G5">
            <v>70</v>
          </cell>
          <cell r="H5">
            <v>52</v>
          </cell>
          <cell r="I5">
            <v>60</v>
          </cell>
          <cell r="J5">
            <v>59.9</v>
          </cell>
        </row>
        <row r="6">
          <cell r="E6">
            <v>83</v>
          </cell>
          <cell r="F6">
            <v>85</v>
          </cell>
          <cell r="G6">
            <v>80</v>
          </cell>
          <cell r="H6">
            <v>80</v>
          </cell>
          <cell r="I6">
            <v>85</v>
          </cell>
          <cell r="J6">
            <v>76</v>
          </cell>
        </row>
        <row r="7">
          <cell r="E7">
            <v>93</v>
          </cell>
          <cell r="F7">
            <v>65</v>
          </cell>
          <cell r="G7">
            <v>65</v>
          </cell>
          <cell r="H7">
            <v>54</v>
          </cell>
          <cell r="I7">
            <v>60</v>
          </cell>
          <cell r="J7">
            <v>50</v>
          </cell>
        </row>
        <row r="8">
          <cell r="E8">
            <v>78</v>
          </cell>
          <cell r="F8">
            <v>60</v>
          </cell>
          <cell r="G8">
            <v>55</v>
          </cell>
          <cell r="H8">
            <v>90</v>
          </cell>
          <cell r="I8">
            <v>80</v>
          </cell>
          <cell r="J8">
            <v>70</v>
          </cell>
        </row>
        <row r="9">
          <cell r="E9">
            <v>84</v>
          </cell>
          <cell r="F9">
            <v>75</v>
          </cell>
          <cell r="G9">
            <v>76</v>
          </cell>
          <cell r="H9">
            <v>89</v>
          </cell>
          <cell r="I9">
            <v>87</v>
          </cell>
          <cell r="J9">
            <v>60</v>
          </cell>
        </row>
        <row r="10">
          <cell r="E10">
            <v>78</v>
          </cell>
          <cell r="F10">
            <v>90</v>
          </cell>
          <cell r="G10">
            <v>55.4</v>
          </cell>
          <cell r="H10">
            <v>50</v>
          </cell>
          <cell r="I10">
            <v>50</v>
          </cell>
          <cell r="J10">
            <v>60</v>
          </cell>
        </row>
        <row r="11">
          <cell r="E11">
            <v>88</v>
          </cell>
          <cell r="F11">
            <v>62</v>
          </cell>
          <cell r="G11">
            <v>61</v>
          </cell>
          <cell r="H11">
            <v>88</v>
          </cell>
          <cell r="I11">
            <v>80</v>
          </cell>
          <cell r="J11">
            <v>60</v>
          </cell>
        </row>
        <row r="12">
          <cell r="E12">
            <v>90</v>
          </cell>
          <cell r="F12">
            <v>80</v>
          </cell>
          <cell r="G12">
            <v>67</v>
          </cell>
          <cell r="H12">
            <v>98</v>
          </cell>
          <cell r="I12">
            <v>89</v>
          </cell>
          <cell r="J12">
            <v>65</v>
          </cell>
        </row>
        <row r="13">
          <cell r="E13">
            <v>88</v>
          </cell>
          <cell r="F13">
            <v>80</v>
          </cell>
          <cell r="G13">
            <v>67</v>
          </cell>
          <cell r="H13">
            <v>78</v>
          </cell>
          <cell r="I13">
            <v>82</v>
          </cell>
          <cell r="J13">
            <v>74</v>
          </cell>
        </row>
        <row r="14">
          <cell r="E14">
            <v>87</v>
          </cell>
          <cell r="F14">
            <v>56</v>
          </cell>
          <cell r="G14">
            <v>60</v>
          </cell>
          <cell r="H14">
            <v>80</v>
          </cell>
          <cell r="I14">
            <v>86</v>
          </cell>
          <cell r="J14">
            <v>61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表索引"/>
      <sheetName val="＆"/>
      <sheetName val="ABS"/>
      <sheetName val="ASC"/>
      <sheetName val="CONCATENATE"/>
      <sheetName val="COS"/>
      <sheetName val="COUNTA"/>
      <sheetName val="COUNTBLANK"/>
      <sheetName val="COUNTIF-1"/>
      <sheetName val="COUNTIF-2"/>
      <sheetName val="DATE"/>
      <sheetName val="DAY"/>
      <sheetName val="DCOUNTA"/>
      <sheetName val="DCOUNTA (2)"/>
      <sheetName val="DCOUNTA (3)"/>
      <sheetName val="DCOUNTA (4)"/>
      <sheetName val="DAVERAGE"/>
      <sheetName val="DEVSQ"/>
      <sheetName val="DGET"/>
      <sheetName val="DGET (2)"/>
      <sheetName val="DMAX"/>
      <sheetName val="DMIN"/>
      <sheetName val="DOLLAR"/>
      <sheetName val="DSTDEV"/>
      <sheetName val="DSUM"/>
      <sheetName val="FACT"/>
      <sheetName val="FREQUENCY"/>
      <sheetName val="FV"/>
      <sheetName val="GROWTH"/>
      <sheetName val="GROWTH(2)"/>
      <sheetName val="HLOOKUP"/>
      <sheetName val="HOUR"/>
      <sheetName val="HYPGEOMDIST"/>
      <sheetName val="HYPGEOMDIST (2)"/>
      <sheetName val="IF-1"/>
      <sheetName val="IF-2"/>
      <sheetName val="IF-3"/>
      <sheetName val="IF-4"/>
      <sheetName val="IF-5"/>
      <sheetName val="IF-6"/>
      <sheetName val="INDEX"/>
      <sheetName val="INDEX (2)"/>
      <sheetName val="INDEX (3)"/>
      <sheetName val="INDEX(4)"/>
      <sheetName val="INDEX(5)"/>
      <sheetName val="INT"/>
      <sheetName val="IPMT"/>
      <sheetName val="IRR"/>
      <sheetName val="ISBLANK"/>
      <sheetName val="ISBLANK (2)"/>
      <sheetName val="ISERROR"/>
      <sheetName val="ISERROR (2)"/>
      <sheetName val="LARGE"/>
      <sheetName val="Left"/>
      <sheetName val="LEN"/>
      <sheetName val="MID"/>
      <sheetName val="MID (2)"/>
      <sheetName val="MINUTE"/>
      <sheetName val="MODE"/>
      <sheetName val="MOD"/>
      <sheetName val="MONTH"/>
      <sheetName val="MATCH"/>
      <sheetName val="MATCH (2)"/>
      <sheetName val="MATCH (3)"/>
      <sheetName val="NOW"/>
      <sheetName val="NPER"/>
      <sheetName val="OFFSET"/>
      <sheetName val="POISSON"/>
      <sheetName val="PMT"/>
      <sheetName val="PI"/>
      <sheetName val="RATE"/>
      <sheetName val="ROMAN"/>
      <sheetName val="POWER"/>
      <sheetName val="PPMT"/>
      <sheetName val="PV"/>
      <sheetName val="PRODUCT"/>
      <sheetName val="RIGHT"/>
      <sheetName val="RANK"/>
      <sheetName val="ROUND"/>
      <sheetName val="REPT"/>
      <sheetName val="SEARCH"/>
      <sheetName val="SEARCH (2)"/>
      <sheetName val="SECOND"/>
      <sheetName val="SIN"/>
      <sheetName val="STDEV"/>
      <sheetName val="SLN"/>
      <sheetName val="SMALL"/>
      <sheetName val="SQRT"/>
      <sheetName val="SUBSTITUTE"/>
      <sheetName val="SUMIF-1"/>
      <sheetName val="SUMIF-2"/>
      <sheetName val="SUMIF-3"/>
      <sheetName val="TIME"/>
      <sheetName val="TODAY"/>
      <sheetName val="TODAY-範例"/>
      <sheetName val="TRIM"/>
      <sheetName val="TRIMMEAN"/>
      <sheetName val="VAR"/>
      <sheetName val="VALUE"/>
      <sheetName val="VLOOKUP"/>
      <sheetName val="VLOOKUP-2"/>
      <sheetName val="VLOOKUP-3"/>
      <sheetName val="VLOOKUP-4"/>
      <sheetName val="WEEKDAY"/>
      <sheetName val="YEA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row r="4">
          <cell r="K4" t="str">
            <v>女</v>
          </cell>
          <cell r="L4">
            <v>21</v>
          </cell>
          <cell r="M4">
            <v>21500</v>
          </cell>
        </row>
        <row r="5">
          <cell r="K5" t="str">
            <v>女</v>
          </cell>
          <cell r="L5">
            <v>36</v>
          </cell>
          <cell r="M5">
            <v>34200</v>
          </cell>
        </row>
        <row r="6">
          <cell r="K6" t="str">
            <v>女</v>
          </cell>
          <cell r="L6">
            <v>48</v>
          </cell>
          <cell r="M6">
            <v>46000</v>
          </cell>
        </row>
        <row r="7">
          <cell r="K7" t="str">
            <v>女</v>
          </cell>
          <cell r="L7">
            <v>26</v>
          </cell>
          <cell r="M7">
            <v>25400</v>
          </cell>
        </row>
        <row r="8">
          <cell r="K8" t="str">
            <v>女</v>
          </cell>
          <cell r="L8">
            <v>37</v>
          </cell>
          <cell r="M8">
            <v>39000</v>
          </cell>
        </row>
        <row r="9">
          <cell r="K9" t="str">
            <v>男</v>
          </cell>
          <cell r="L9">
            <v>55</v>
          </cell>
          <cell r="M9">
            <v>48000</v>
          </cell>
        </row>
        <row r="10">
          <cell r="K10" t="str">
            <v>男</v>
          </cell>
          <cell r="L10">
            <v>33</v>
          </cell>
          <cell r="M10">
            <v>36000</v>
          </cell>
        </row>
        <row r="11">
          <cell r="K11" t="str">
            <v>男</v>
          </cell>
          <cell r="L11">
            <v>42</v>
          </cell>
          <cell r="M11">
            <v>41000</v>
          </cell>
        </row>
        <row r="12">
          <cell r="K12" t="str">
            <v>男</v>
          </cell>
          <cell r="L12">
            <v>35</v>
          </cell>
          <cell r="M12">
            <v>38760</v>
          </cell>
        </row>
      </sheetData>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薪資系統"/>
      <sheetName val="薪資結構"/>
      <sheetName val="工作表1"/>
    </sheetNames>
    <sheetDataSet>
      <sheetData sheetId="0"/>
      <sheetData sheetId="1">
        <row r="4">
          <cell r="A4">
            <v>10000</v>
          </cell>
          <cell r="B4">
            <v>5</v>
          </cell>
          <cell r="C4">
            <v>6</v>
          </cell>
          <cell r="D4">
            <v>7</v>
          </cell>
          <cell r="E4">
            <v>8</v>
          </cell>
          <cell r="F4">
            <v>9</v>
          </cell>
        </row>
        <row r="5">
          <cell r="A5">
            <v>1</v>
          </cell>
          <cell r="B5">
            <v>10000</v>
          </cell>
          <cell r="C5">
            <v>20000</v>
          </cell>
          <cell r="D5">
            <v>35000</v>
          </cell>
          <cell r="E5">
            <v>55000</v>
          </cell>
          <cell r="F5">
            <v>80000</v>
          </cell>
        </row>
        <row r="6">
          <cell r="A6">
            <v>2</v>
          </cell>
          <cell r="B6">
            <v>11000</v>
          </cell>
          <cell r="C6">
            <v>21500</v>
          </cell>
          <cell r="D6">
            <v>37000</v>
          </cell>
          <cell r="E6">
            <v>57500</v>
          </cell>
          <cell r="F6">
            <v>83000</v>
          </cell>
        </row>
        <row r="7">
          <cell r="A7">
            <v>3</v>
          </cell>
          <cell r="B7">
            <v>12000</v>
          </cell>
          <cell r="C7">
            <v>23000</v>
          </cell>
          <cell r="D7">
            <v>39000</v>
          </cell>
          <cell r="E7">
            <v>60000</v>
          </cell>
          <cell r="F7">
            <v>86000</v>
          </cell>
        </row>
        <row r="8">
          <cell r="A8">
            <v>4</v>
          </cell>
          <cell r="B8">
            <v>13000</v>
          </cell>
          <cell r="C8">
            <v>24500</v>
          </cell>
          <cell r="D8">
            <v>41000</v>
          </cell>
          <cell r="E8">
            <v>62500</v>
          </cell>
          <cell r="F8">
            <v>89000</v>
          </cell>
        </row>
        <row r="9">
          <cell r="A9">
            <v>5</v>
          </cell>
          <cell r="B9">
            <v>14000</v>
          </cell>
          <cell r="C9">
            <v>26000</v>
          </cell>
          <cell r="D9">
            <v>43000</v>
          </cell>
          <cell r="E9">
            <v>65000</v>
          </cell>
          <cell r="F9">
            <v>92000</v>
          </cell>
        </row>
        <row r="10">
          <cell r="A10">
            <v>6</v>
          </cell>
          <cell r="B10">
            <v>15000</v>
          </cell>
          <cell r="C10">
            <v>27500</v>
          </cell>
          <cell r="D10">
            <v>45000</v>
          </cell>
          <cell r="E10">
            <v>67500</v>
          </cell>
          <cell r="F10">
            <v>95000</v>
          </cell>
        </row>
        <row r="11">
          <cell r="A11">
            <v>7</v>
          </cell>
          <cell r="B11">
            <v>16000</v>
          </cell>
          <cell r="C11">
            <v>29000</v>
          </cell>
          <cell r="D11">
            <v>47000</v>
          </cell>
          <cell r="E11">
            <v>70000</v>
          </cell>
          <cell r="F11">
            <v>98000</v>
          </cell>
        </row>
        <row r="12">
          <cell r="A12">
            <v>8</v>
          </cell>
          <cell r="B12">
            <v>17000</v>
          </cell>
          <cell r="C12">
            <v>30500</v>
          </cell>
          <cell r="D12">
            <v>49000</v>
          </cell>
          <cell r="E12">
            <v>72500</v>
          </cell>
          <cell r="F12">
            <v>101000</v>
          </cell>
        </row>
        <row r="13">
          <cell r="A13">
            <v>9</v>
          </cell>
          <cell r="B13">
            <v>18000</v>
          </cell>
          <cell r="C13">
            <v>32000</v>
          </cell>
          <cell r="D13">
            <v>51000</v>
          </cell>
          <cell r="E13">
            <v>75000</v>
          </cell>
          <cell r="F13">
            <v>104000</v>
          </cell>
        </row>
        <row r="14">
          <cell r="A14">
            <v>10</v>
          </cell>
          <cell r="B14">
            <v>19000</v>
          </cell>
          <cell r="C14">
            <v>33500</v>
          </cell>
          <cell r="D14">
            <v>53000</v>
          </cell>
          <cell r="E14">
            <v>77500</v>
          </cell>
          <cell r="F14">
            <v>107000</v>
          </cell>
        </row>
      </sheetData>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86B48F-C0AB-4C28-9F81-565711BC019A}" name="員工到職特休" displayName="員工到職特休" ref="A1:M16" totalsRowShown="0" headerRowDxfId="14" tableBorderDxfId="24" headerRowCellStyle="Heading">
  <autoFilter ref="A1:M16" xr:uid="{EE86B48F-C0AB-4C28-9F81-565711BC019A}"/>
  <tableColumns count="13">
    <tableColumn id="1" xr3:uid="{F9C754EE-3137-429D-AF50-B8FF4680B143}" name="員工代號" dataDxfId="23" dataCellStyle="一般_特休對照表"/>
    <tableColumn id="4" xr3:uid="{5065913A-BA18-4881-B16D-5A9DC94695D1}" name="部門" dataDxfId="10" dataCellStyle="一般_特休對照表"/>
    <tableColumn id="2" xr3:uid="{97A228FE-4C63-4519-BB12-B3FE583E4BEE}" name="姓名" dataDxfId="22" dataCellStyle="一般_特休對照表"/>
    <tableColumn id="12" xr3:uid="{A767032E-408B-48DC-9C06-946D685E1B6D}" name="特休" dataDxfId="12" dataCellStyle="千分位_特休對照表">
      <calculatedColumnFormula>IF(K2&gt;=26,30,VLOOKUP(MONTH(H2),特休對照表!$C$3:$AC$14,K2,0))</calculatedColumnFormula>
    </tableColumn>
    <tableColumn id="3" xr3:uid="{2DA03C1D-C49D-4965-B579-44A2D0F3D222}" name="職稱" dataDxfId="21" dataCellStyle="一般_特休對照表"/>
    <tableColumn id="5" xr3:uid="{04BD7A68-90E0-4138-AC55-C709624200B7}" name="事業部" dataDxfId="20" dataCellStyle="一般_特休對照表"/>
    <tableColumn id="6" xr3:uid="{4000EC25-1136-42D2-A54F-7EA44D87CFE5}" name="月薪" dataDxfId="19" dataCellStyle="貨幣_特休對照表"/>
    <tableColumn id="7" xr3:uid="{0A815F77-C275-4FD4-A24B-A048DFA17CFB}" name="到職日" dataDxfId="18" dataCellStyle="一般_特休對照表"/>
    <tableColumn id="9" xr3:uid="{B9BCED3F-041C-4434-8604-60E0250F758D}" name="在職日" dataDxfId="17" dataCellStyle="一般_特休對照表">
      <calculatedColumnFormula>TODAY()-H2</calculatedColumnFormula>
    </tableColumn>
    <tableColumn id="10" xr3:uid="{F23AAA95-58D4-4DE0-A65C-06ACC099586D}" name="年資" dataDxfId="16" dataCellStyle="一般_特休對照表">
      <calculatedColumnFormula>DATEDIF(H2,TODAY(),"y")</calculatedColumnFormula>
    </tableColumn>
    <tableColumn id="11" xr3:uid="{58D37B69-039B-4E7B-BFB7-8F2DD3652A6C}" name="跨年" dataDxfId="15" dataCellStyle="千分位_特休對照表">
      <calculatedColumnFormula>YEAR(TODAY())-YEAR(H2)+1</calculatedColumnFormula>
    </tableColumn>
    <tableColumn id="8" xr3:uid="{85A1853F-898E-472D-A454-477D81BB0D54}" name="生日" dataDxfId="11" dataCellStyle="一般_特休對照表"/>
    <tableColumn id="13" xr3:uid="{EE1610FF-A7B3-464D-A12F-3A4C0728E3F5}" name="特休_x000a_Hlookup" dataDxfId="13" dataCellStyle="一般_特休對照表">
      <calculatedColumnFormula>HLOOKUP(K2-1,特休對照表!$D$2:$AC$14,MONTH(VLOOKUP!H2)+1)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8380DD-547F-411F-A45B-677C051CB684}" name="EMP_0001" displayName="EMP_0001" ref="C4:L118" totalsRowShown="0" headerRowDxfId="46" headerRowBorderDxfId="45" tableBorderDxfId="44" totalsRowBorderDxfId="43" headerRowCellStyle="Heading">
  <autoFilter ref="C4:L118" xr:uid="{878380DD-547F-411F-A45B-677C051CB684}"/>
  <tableColumns count="10">
    <tableColumn id="4" xr3:uid="{F9CD0247-767E-43F9-8AF8-191E066655B2}" name="部門" dataDxfId="42"/>
    <tableColumn id="3" xr3:uid="{9B92059D-F671-4EF5-AB02-D7F74F79F359}" name="職稱" dataDxfId="41"/>
    <tableColumn id="2" xr3:uid="{F24E97BB-C716-4846-9E9F-3DC62001834E}" name="姓名" dataDxfId="8"/>
    <tableColumn id="5" xr3:uid="{CCFCFDB3-EAF7-4C4A-A30A-C46EF0B7AF06}" name="事業部" dataDxfId="40"/>
    <tableColumn id="6" xr3:uid="{D1DFE40B-C7E3-48E5-8D5A-5DDBB10FF968}" name="月薪" dataDxfId="39" dataCellStyle="貨幣"/>
    <tableColumn id="7" xr3:uid="{4D9D361B-ABA3-45BA-9DB9-AB996C6C1384}" name="到職日" dataDxfId="38"/>
    <tableColumn id="1" xr3:uid="{37C78035-79B6-4EE8-98D8-3438B91BFFE4}" name="工號" dataDxfId="9"/>
    <tableColumn id="8" xr3:uid="{79D3F998-D3B9-41B4-8195-73872480C824}" name="生日" dataDxfId="37"/>
    <tableColumn id="9" xr3:uid="{5E84BB0B-36DE-4DF7-82F9-B48F273C49F1}" name="學歷" dataDxfId="36"/>
    <tableColumn id="10" xr3:uid="{773E1B4B-A276-4A77-9771-D7A0D74591AE}" name="戶籍地" dataDxfId="3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MP_SS_List" displayName="EMP_SS_List" ref="A3:G43" totalsRowShown="0" headerRowDxfId="34" dataDxfId="33" tableBorderDxfId="32">
  <autoFilter ref="A3:G43" xr:uid="{00000000-0009-0000-0100-000001000000}"/>
  <tableColumns count="7">
    <tableColumn id="1" xr3:uid="{00000000-0010-0000-0000-000001000000}" name="員工號碼" dataDxfId="31"/>
    <tableColumn id="2" xr3:uid="{00000000-0010-0000-0000-000002000000}" name="姓名" dataDxfId="30"/>
    <tableColumn id="3" xr3:uid="{00000000-0010-0000-0000-000003000000}" name="職務" dataDxfId="29"/>
    <tableColumn id="4" xr3:uid="{00000000-0010-0000-0000-000004000000}" name="生日" dataDxfId="28"/>
    <tableColumn id="5" xr3:uid="{00000000-0010-0000-0000-000005000000}" name="職等" dataDxfId="27"/>
    <tableColumn id="6" xr3:uid="{00000000-0010-0000-0000-000006000000}" name="職級" dataDxfId="26"/>
    <tableColumn id="7" xr3:uid="{00000000-0010-0000-0000-000007000000}" name="本薪" dataDxfId="25">
      <calculatedColumnFormula>INDEX(薪資對照表,MATCH(EMP_SS_List[[#This Row],[職級]],職級,0),MATCH(EMP_SS_List[[#This Row],[職等]],職等,0))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https://dotblogs.com.tw/areswang/2019/04/23/vlookup3" TargetMode="External"/><Relationship Id="rId4"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6"/>
  <sheetViews>
    <sheetView zoomScale="106" zoomScaleNormal="106" workbookViewId="0">
      <pane ySplit="1" topLeftCell="A11" activePane="bottomLeft" state="frozen"/>
      <selection activeCell="O4" sqref="O4"/>
      <selection pane="bottomLeft" activeCell="C21" sqref="C21"/>
    </sheetView>
  </sheetViews>
  <sheetFormatPr defaultColWidth="8" defaultRowHeight="16.5"/>
  <cols>
    <col min="1" max="2" width="11.5" style="18" customWidth="1"/>
    <col min="3" max="3" width="13.375" style="16" customWidth="1"/>
    <col min="4" max="4" width="7.125" style="16" customWidth="1"/>
    <col min="5" max="5" width="9.375" style="18" customWidth="1"/>
    <col min="6" max="6" width="9.875" style="19" customWidth="1"/>
    <col min="7" max="7" width="11.875" style="17" bestFit="1" customWidth="1"/>
    <col min="8" max="8" width="11.875" style="16" bestFit="1" customWidth="1"/>
    <col min="9" max="9" width="9.75" style="16" customWidth="1"/>
    <col min="10" max="10" width="7.875" style="16" customWidth="1"/>
    <col min="11" max="11" width="7.125" style="16" customWidth="1"/>
    <col min="12" max="12" width="15.625" style="16" customWidth="1"/>
    <col min="13" max="13" width="15" style="16" customWidth="1"/>
    <col min="14" max="14" width="5" style="16" customWidth="1"/>
    <col min="15" max="40" width="3.25" style="16" customWidth="1"/>
    <col min="41" max="16384" width="8" style="16"/>
  </cols>
  <sheetData>
    <row r="1" spans="1:40" s="15" customFormat="1" ht="33" customHeight="1">
      <c r="A1" s="203" t="s">
        <v>2</v>
      </c>
      <c r="B1" s="204" t="s">
        <v>5</v>
      </c>
      <c r="C1" s="204" t="s">
        <v>3</v>
      </c>
      <c r="D1" s="208" t="s">
        <v>458</v>
      </c>
      <c r="E1" s="204" t="s">
        <v>4</v>
      </c>
      <c r="F1" s="204" t="s">
        <v>6</v>
      </c>
      <c r="G1" s="205" t="s">
        <v>7</v>
      </c>
      <c r="H1" s="206" t="s">
        <v>0</v>
      </c>
      <c r="I1" s="207" t="s">
        <v>9</v>
      </c>
      <c r="J1" s="207" t="s">
        <v>10</v>
      </c>
      <c r="K1" s="208" t="s">
        <v>11</v>
      </c>
      <c r="L1" s="207" t="s">
        <v>8</v>
      </c>
      <c r="M1" s="208" t="s">
        <v>38</v>
      </c>
      <c r="N1" s="1"/>
      <c r="O1" s="1"/>
      <c r="P1" s="1"/>
      <c r="Q1" s="1"/>
      <c r="R1" s="1"/>
      <c r="S1" s="1"/>
      <c r="T1" s="1"/>
      <c r="U1" s="1"/>
      <c r="V1" s="1"/>
      <c r="W1" s="1"/>
      <c r="X1" s="1"/>
      <c r="Y1" s="1"/>
      <c r="Z1" s="1"/>
      <c r="AA1" s="1"/>
      <c r="AB1" s="1"/>
      <c r="AC1" s="1"/>
      <c r="AD1" s="1"/>
      <c r="AE1" s="1"/>
      <c r="AF1" s="1"/>
      <c r="AG1" s="1"/>
      <c r="AH1" s="1"/>
      <c r="AI1" s="1"/>
      <c r="AJ1" s="1"/>
      <c r="AK1" s="1"/>
      <c r="AL1" s="1"/>
      <c r="AM1" s="1"/>
      <c r="AN1" s="1"/>
    </row>
    <row r="2" spans="1:40">
      <c r="A2" s="111">
        <v>1976</v>
      </c>
      <c r="B2" s="113" t="s">
        <v>14</v>
      </c>
      <c r="C2" s="111" t="s">
        <v>12</v>
      </c>
      <c r="D2" s="118">
        <f ca="1">IF(K2&gt;=26,30,VLOOKUP(MONTH(H2),特休對照表!$C$3:$AC$14,K2,0))</f>
        <v>30</v>
      </c>
      <c r="E2" s="112" t="s">
        <v>13</v>
      </c>
      <c r="F2" s="114" t="s">
        <v>15</v>
      </c>
      <c r="G2" s="115">
        <v>23035.88</v>
      </c>
      <c r="H2" s="116">
        <v>34460</v>
      </c>
      <c r="I2" s="112">
        <f ca="1">TODAY()-H2</f>
        <v>9936</v>
      </c>
      <c r="J2" s="112">
        <f ca="1">DATEDIF(H2,TODAY(),"y")</f>
        <v>27</v>
      </c>
      <c r="K2" s="117">
        <f ca="1">YEAR(TODAY())-YEAR(H2)+1</f>
        <v>28</v>
      </c>
      <c r="L2" s="116">
        <v>32215</v>
      </c>
      <c r="M2" s="119">
        <f ca="1">HLOOKUP(K2-1,特休對照表!$D$2:$AC$14,MONTH(VLOOKUP!H2)+1)</f>
        <v>30</v>
      </c>
      <c r="N2" s="1"/>
      <c r="O2" s="1"/>
      <c r="P2" s="1"/>
      <c r="Q2" s="1"/>
      <c r="R2" s="1"/>
      <c r="S2" s="1"/>
      <c r="T2" s="1"/>
      <c r="U2" s="1"/>
      <c r="V2" s="1"/>
      <c r="W2" s="1"/>
      <c r="X2" s="1"/>
      <c r="Y2" s="1"/>
      <c r="Z2" s="1"/>
      <c r="AA2" s="1"/>
      <c r="AB2" s="1"/>
      <c r="AC2" s="1"/>
      <c r="AD2" s="1"/>
      <c r="AE2" s="1"/>
      <c r="AF2" s="1"/>
      <c r="AG2" s="1"/>
      <c r="AH2" s="1"/>
      <c r="AI2" s="1"/>
      <c r="AJ2" s="1"/>
      <c r="AK2" s="1"/>
      <c r="AL2" s="1"/>
      <c r="AM2" s="1"/>
      <c r="AN2" s="1"/>
    </row>
    <row r="3" spans="1:40">
      <c r="A3" s="111">
        <v>1168</v>
      </c>
      <c r="B3" s="113" t="s">
        <v>14</v>
      </c>
      <c r="C3" s="120" t="s">
        <v>16</v>
      </c>
      <c r="D3" s="118">
        <f ca="1">IF(K3&gt;=26,30,VLOOKUP(MONTH(H3),特休對照表!$C$3:$AC$14,K3,0))</f>
        <v>7</v>
      </c>
      <c r="E3" s="112" t="s">
        <v>13</v>
      </c>
      <c r="F3" s="114" t="s">
        <v>17</v>
      </c>
      <c r="G3" s="115">
        <v>23035.88</v>
      </c>
      <c r="H3" s="116">
        <v>43750</v>
      </c>
      <c r="I3" s="112">
        <f t="shared" ref="I3:I16" ca="1" si="0">TODAY()-H3</f>
        <v>646</v>
      </c>
      <c r="J3" s="112">
        <f t="shared" ref="J3:J16" ca="1" si="1">DATEDIF(H3,TODAY(),"y")</f>
        <v>1</v>
      </c>
      <c r="K3" s="117">
        <f t="shared" ref="K3:K16" ca="1" si="2">YEAR(TODAY())-YEAR(H3)+1</f>
        <v>3</v>
      </c>
      <c r="L3" s="116">
        <v>32122</v>
      </c>
      <c r="M3" s="119">
        <f ca="1">HLOOKUP(K3-1,特休對照表!$D$2:$AC$14,MONTH(VLOOKUP!H3)+1)</f>
        <v>7</v>
      </c>
      <c r="N3" s="1"/>
      <c r="O3" s="1"/>
      <c r="P3" s="1"/>
      <c r="Q3" s="1"/>
      <c r="R3" s="1"/>
      <c r="S3" s="1"/>
      <c r="T3" s="1"/>
      <c r="U3" s="1"/>
      <c r="V3" s="1"/>
      <c r="W3" s="1"/>
      <c r="X3" s="1"/>
      <c r="Y3" s="1"/>
      <c r="Z3" s="1"/>
      <c r="AA3" s="1"/>
      <c r="AB3" s="1"/>
      <c r="AC3" s="1"/>
      <c r="AD3" s="1"/>
      <c r="AE3" s="1"/>
      <c r="AF3" s="1"/>
      <c r="AG3" s="1"/>
      <c r="AH3" s="1"/>
      <c r="AI3" s="1"/>
      <c r="AJ3" s="1"/>
      <c r="AK3" s="1"/>
      <c r="AL3" s="1"/>
      <c r="AM3" s="1"/>
      <c r="AN3" s="1"/>
    </row>
    <row r="4" spans="1:40">
      <c r="A4" s="111">
        <v>1169</v>
      </c>
      <c r="B4" s="113" t="s">
        <v>14</v>
      </c>
      <c r="C4" s="111" t="s">
        <v>18</v>
      </c>
      <c r="D4" s="118">
        <f ca="1">IF(K4&gt;=26,30,VLOOKUP(MONTH(H4),特休對照表!$C$3:$AC$14,K4,0))</f>
        <v>15</v>
      </c>
      <c r="E4" s="113" t="s">
        <v>19</v>
      </c>
      <c r="F4" s="114" t="s">
        <v>20</v>
      </c>
      <c r="G4" s="115">
        <v>34002.050000000003</v>
      </c>
      <c r="H4" s="116">
        <v>40224</v>
      </c>
      <c r="I4" s="112">
        <f t="shared" ca="1" si="0"/>
        <v>4172</v>
      </c>
      <c r="J4" s="112">
        <f t="shared" ca="1" si="1"/>
        <v>11</v>
      </c>
      <c r="K4" s="117">
        <f t="shared" ca="1" si="2"/>
        <v>12</v>
      </c>
      <c r="L4" s="116">
        <v>32126</v>
      </c>
      <c r="M4" s="119">
        <f ca="1">HLOOKUP(K4-1,特休對照表!$D$2:$AC$14,MONTH(VLOOKUP!H4)+1)</f>
        <v>15</v>
      </c>
      <c r="N4" s="1"/>
      <c r="O4" s="1"/>
      <c r="P4" s="1"/>
      <c r="Q4" s="1"/>
      <c r="R4" s="1"/>
      <c r="S4" s="1"/>
      <c r="T4" s="1"/>
      <c r="U4" s="1"/>
      <c r="V4" s="1"/>
      <c r="W4" s="1"/>
      <c r="X4" s="1"/>
      <c r="Y4" s="1"/>
      <c r="Z4" s="1"/>
      <c r="AA4" s="1"/>
      <c r="AB4" s="1"/>
      <c r="AC4" s="1"/>
      <c r="AD4" s="1"/>
      <c r="AE4" s="1"/>
      <c r="AF4" s="1"/>
      <c r="AG4" s="1"/>
      <c r="AH4" s="1"/>
      <c r="AI4" s="1"/>
      <c r="AJ4" s="1"/>
      <c r="AK4" s="1"/>
      <c r="AL4" s="1"/>
      <c r="AM4" s="1"/>
      <c r="AN4" s="1"/>
    </row>
    <row r="5" spans="1:40">
      <c r="A5" s="111">
        <v>1816</v>
      </c>
      <c r="B5" s="113" t="s">
        <v>14</v>
      </c>
      <c r="C5" s="120" t="s">
        <v>21</v>
      </c>
      <c r="D5" s="118">
        <f ca="1">IF(K5&gt;=26,30,VLOOKUP(MONTH(H5),特休對照表!$C$3:$AC$14,K5,0))</f>
        <v>18</v>
      </c>
      <c r="E5" s="113" t="s">
        <v>19</v>
      </c>
      <c r="F5" s="114" t="s">
        <v>17</v>
      </c>
      <c r="G5" s="115">
        <v>35480.400000000001</v>
      </c>
      <c r="H5" s="116">
        <v>39427</v>
      </c>
      <c r="I5" s="112">
        <f t="shared" ca="1" si="0"/>
        <v>4969</v>
      </c>
      <c r="J5" s="112">
        <f t="shared" ca="1" si="1"/>
        <v>13</v>
      </c>
      <c r="K5" s="117">
        <f t="shared" ca="1" si="2"/>
        <v>15</v>
      </c>
      <c r="L5" s="116">
        <v>31812</v>
      </c>
      <c r="M5" s="119">
        <f ca="1">HLOOKUP(K5-1,特休對照表!$D$2:$AC$14,MONTH(VLOOKUP!H5)+1)</f>
        <v>18</v>
      </c>
      <c r="N5" s="1"/>
      <c r="O5" s="1"/>
      <c r="P5" s="1"/>
      <c r="Q5" s="1"/>
      <c r="R5" s="1"/>
      <c r="S5" s="1"/>
      <c r="T5" s="1"/>
      <c r="U5" s="1"/>
      <c r="V5" s="1"/>
      <c r="W5" s="1"/>
      <c r="X5" s="1"/>
      <c r="Y5" s="1"/>
      <c r="Z5" s="1"/>
      <c r="AA5" s="1"/>
      <c r="AB5" s="1"/>
      <c r="AC5" s="1"/>
      <c r="AD5" s="1"/>
      <c r="AE5" s="1"/>
      <c r="AF5" s="1"/>
      <c r="AG5" s="1"/>
      <c r="AH5" s="1"/>
      <c r="AI5" s="1"/>
      <c r="AJ5" s="1"/>
      <c r="AK5" s="1"/>
      <c r="AL5" s="1"/>
      <c r="AM5" s="1"/>
      <c r="AN5" s="1"/>
    </row>
    <row r="6" spans="1:40">
      <c r="A6" s="111">
        <v>1814</v>
      </c>
      <c r="B6" s="113" t="s">
        <v>14</v>
      </c>
      <c r="C6" s="120" t="s">
        <v>22</v>
      </c>
      <c r="D6" s="118">
        <f ca="1">IF(K6&gt;=26,30,VLOOKUP(MONTH(H6),特休對照表!$C$3:$AC$14,K6,0))</f>
        <v>19</v>
      </c>
      <c r="E6" s="113" t="s">
        <v>23</v>
      </c>
      <c r="F6" s="114" t="s">
        <v>17</v>
      </c>
      <c r="G6" s="115">
        <v>21303.599999999999</v>
      </c>
      <c r="H6" s="116">
        <v>38936</v>
      </c>
      <c r="I6" s="112">
        <f t="shared" ca="1" si="0"/>
        <v>5460</v>
      </c>
      <c r="J6" s="112">
        <f t="shared" ca="1" si="1"/>
        <v>14</v>
      </c>
      <c r="K6" s="117">
        <f t="shared" ca="1" si="2"/>
        <v>16</v>
      </c>
      <c r="L6" s="116">
        <v>31797</v>
      </c>
      <c r="M6" s="119">
        <f ca="1">HLOOKUP(K6-1,特休對照表!$D$2:$AC$14,MONTH(VLOOKUP!H6)+1)</f>
        <v>19</v>
      </c>
      <c r="N6" s="1"/>
      <c r="O6" s="1"/>
      <c r="P6" s="1"/>
      <c r="Q6" s="1"/>
      <c r="R6" s="1"/>
      <c r="S6" s="1"/>
      <c r="T6" s="1"/>
      <c r="U6" s="1"/>
      <c r="V6" s="1"/>
      <c r="W6" s="1"/>
      <c r="X6" s="1"/>
      <c r="Y6" s="1"/>
      <c r="Z6" s="1"/>
      <c r="AA6" s="1"/>
      <c r="AB6" s="1"/>
      <c r="AC6" s="1"/>
      <c r="AD6" s="1"/>
      <c r="AE6" s="1"/>
      <c r="AF6" s="1"/>
      <c r="AG6" s="1"/>
      <c r="AH6" s="1"/>
      <c r="AI6" s="1"/>
      <c r="AJ6" s="1"/>
      <c r="AK6" s="1"/>
      <c r="AL6" s="1"/>
      <c r="AM6" s="1"/>
      <c r="AN6" s="1"/>
    </row>
    <row r="7" spans="1:40">
      <c r="A7" s="111">
        <v>1529</v>
      </c>
      <c r="B7" s="113" t="s">
        <v>14</v>
      </c>
      <c r="C7" s="120" t="s">
        <v>24</v>
      </c>
      <c r="D7" s="118">
        <f ca="1">IF(K7&gt;=26,30,VLOOKUP(MONTH(H7),特休對照表!$C$3:$AC$14,K7,0))</f>
        <v>21</v>
      </c>
      <c r="E7" s="113" t="s">
        <v>25</v>
      </c>
      <c r="F7" s="114" t="s">
        <v>15</v>
      </c>
      <c r="G7" s="115">
        <v>25146.68</v>
      </c>
      <c r="H7" s="116">
        <v>38170</v>
      </c>
      <c r="I7" s="112">
        <f t="shared" ca="1" si="0"/>
        <v>6226</v>
      </c>
      <c r="J7" s="112">
        <f t="shared" ca="1" si="1"/>
        <v>17</v>
      </c>
      <c r="K7" s="117">
        <f t="shared" ca="1" si="2"/>
        <v>18</v>
      </c>
      <c r="L7" s="116">
        <v>30841</v>
      </c>
      <c r="M7" s="119">
        <f ca="1">HLOOKUP(K7-1,特休對照表!$D$2:$AC$14,MONTH(VLOOKUP!H7)+1)</f>
        <v>21</v>
      </c>
      <c r="N7" s="1"/>
      <c r="O7" s="1"/>
      <c r="P7" s="1"/>
      <c r="Q7" s="1"/>
      <c r="R7" s="1"/>
      <c r="S7" s="1"/>
      <c r="T7" s="1"/>
      <c r="U7" s="1"/>
      <c r="V7" s="1"/>
      <c r="W7" s="1"/>
      <c r="X7" s="1"/>
      <c r="Y7" s="1"/>
      <c r="Z7" s="1"/>
      <c r="AA7" s="1"/>
      <c r="AB7" s="1"/>
      <c r="AC7" s="1"/>
      <c r="AD7" s="1"/>
      <c r="AE7" s="1"/>
      <c r="AF7" s="1"/>
      <c r="AG7" s="1"/>
      <c r="AH7" s="1"/>
      <c r="AI7" s="1"/>
      <c r="AJ7" s="1"/>
      <c r="AK7" s="1"/>
      <c r="AL7" s="1"/>
      <c r="AM7" s="1"/>
      <c r="AN7" s="1"/>
    </row>
    <row r="8" spans="1:40">
      <c r="A8" s="111">
        <v>1978</v>
      </c>
      <c r="B8" s="113" t="s">
        <v>14</v>
      </c>
      <c r="C8" s="120" t="s">
        <v>26</v>
      </c>
      <c r="D8" s="118">
        <f ca="1">IF(K8&gt;=26,30,VLOOKUP(MONTH(H8),特休對照表!$C$3:$AC$14,K8,0))</f>
        <v>14</v>
      </c>
      <c r="E8" s="113" t="s">
        <v>27</v>
      </c>
      <c r="F8" s="114" t="s">
        <v>17</v>
      </c>
      <c r="G8" s="115">
        <v>51878.84</v>
      </c>
      <c r="H8" s="116">
        <v>41096</v>
      </c>
      <c r="I8" s="112">
        <f t="shared" ca="1" si="0"/>
        <v>3300</v>
      </c>
      <c r="J8" s="112">
        <f t="shared" ca="1" si="1"/>
        <v>9</v>
      </c>
      <c r="K8" s="117">
        <f t="shared" ca="1" si="2"/>
        <v>10</v>
      </c>
      <c r="L8" s="116">
        <v>31106</v>
      </c>
      <c r="M8" s="119">
        <f ca="1">HLOOKUP(K8-1,特休對照表!$D$2:$AC$14,MONTH(VLOOKUP!H8)+1)</f>
        <v>14</v>
      </c>
      <c r="N8" s="1"/>
      <c r="O8" s="1"/>
      <c r="P8" s="1"/>
      <c r="Q8" s="1"/>
      <c r="R8" s="1"/>
      <c r="S8" s="1"/>
      <c r="T8" s="1"/>
      <c r="U8" s="1"/>
      <c r="V8" s="1"/>
      <c r="W8" s="1"/>
      <c r="X8" s="1"/>
      <c r="Y8" s="1"/>
      <c r="Z8" s="1"/>
      <c r="AA8" s="1"/>
      <c r="AB8" s="1"/>
      <c r="AC8" s="1"/>
      <c r="AD8" s="1"/>
      <c r="AE8" s="1"/>
      <c r="AF8" s="1"/>
      <c r="AG8" s="1"/>
      <c r="AH8" s="1"/>
      <c r="AI8" s="1"/>
      <c r="AJ8" s="1"/>
      <c r="AK8" s="1"/>
      <c r="AL8" s="1"/>
      <c r="AM8" s="1"/>
      <c r="AN8" s="1"/>
    </row>
    <row r="9" spans="1:40">
      <c r="A9" s="111">
        <v>1723</v>
      </c>
      <c r="B9" s="113" t="s">
        <v>14</v>
      </c>
      <c r="C9" s="111" t="s">
        <v>28</v>
      </c>
      <c r="D9" s="118">
        <f ca="1">IF(K9&gt;=26,30,VLOOKUP(MONTH(H9),特休對照表!$C$3:$AC$14,K9,0))</f>
        <v>18</v>
      </c>
      <c r="E9" s="113" t="s">
        <v>29</v>
      </c>
      <c r="F9" s="114" t="s">
        <v>17</v>
      </c>
      <c r="G9" s="115">
        <v>29362.2</v>
      </c>
      <c r="H9" s="116">
        <v>39456</v>
      </c>
      <c r="I9" s="112">
        <f t="shared" ca="1" si="0"/>
        <v>4940</v>
      </c>
      <c r="J9" s="112">
        <f t="shared" ca="1" si="1"/>
        <v>13</v>
      </c>
      <c r="K9" s="117">
        <f t="shared" ca="1" si="2"/>
        <v>14</v>
      </c>
      <c r="L9" s="116">
        <v>30237</v>
      </c>
      <c r="M9" s="119">
        <f ca="1">HLOOKUP(K9-1,特休對照表!$D$2:$AC$14,MONTH(VLOOKUP!H9)+1)</f>
        <v>18</v>
      </c>
      <c r="N9" s="1"/>
      <c r="O9" s="1"/>
      <c r="P9" s="1"/>
      <c r="Q9" s="1"/>
      <c r="R9" s="1"/>
      <c r="S9" s="1"/>
      <c r="T9" s="1"/>
      <c r="U9" s="1"/>
      <c r="V9" s="1"/>
      <c r="W9" s="1"/>
      <c r="X9" s="1"/>
      <c r="Y9" s="1"/>
      <c r="Z9" s="1"/>
      <c r="AA9" s="1"/>
      <c r="AB9" s="1"/>
      <c r="AC9" s="1"/>
      <c r="AD9" s="1"/>
      <c r="AE9" s="1"/>
      <c r="AF9" s="1"/>
      <c r="AG9" s="1"/>
      <c r="AH9" s="1"/>
      <c r="AI9" s="1"/>
      <c r="AJ9" s="1"/>
      <c r="AK9" s="1"/>
      <c r="AL9" s="1"/>
      <c r="AM9" s="1"/>
      <c r="AN9" s="1"/>
    </row>
    <row r="10" spans="1:40">
      <c r="A10" s="111">
        <v>1556</v>
      </c>
      <c r="B10" s="113" t="s">
        <v>14</v>
      </c>
      <c r="C10" s="120" t="s">
        <v>30</v>
      </c>
      <c r="D10" s="118">
        <f ca="1">IF(K10&gt;=26,30,VLOOKUP(MONTH(H10),特休對照表!$C$3:$AC$14,K10,0))</f>
        <v>14</v>
      </c>
      <c r="E10" s="113" t="s">
        <v>29</v>
      </c>
      <c r="F10" s="114" t="s">
        <v>15</v>
      </c>
      <c r="G10" s="115">
        <v>29362.2</v>
      </c>
      <c r="H10" s="116">
        <v>42125</v>
      </c>
      <c r="I10" s="112">
        <f t="shared" ca="1" si="0"/>
        <v>2271</v>
      </c>
      <c r="J10" s="112">
        <f t="shared" ca="1" si="1"/>
        <v>6</v>
      </c>
      <c r="K10" s="117">
        <f t="shared" ca="1" si="2"/>
        <v>7</v>
      </c>
      <c r="L10" s="116">
        <v>30361</v>
      </c>
      <c r="M10" s="119">
        <f ca="1">HLOOKUP(K10-1,特休對照表!$D$2:$AC$14,MONTH(VLOOKUP!H10)+1)</f>
        <v>14</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c r="A11" s="111">
        <v>1333</v>
      </c>
      <c r="B11" s="113" t="s">
        <v>14</v>
      </c>
      <c r="C11" s="120" t="s">
        <v>31</v>
      </c>
      <c r="D11" s="118">
        <f ca="1">IF(K11&gt;=26,30,VLOOKUP(MONTH(H11),特休對照表!$C$3:$AC$14,K11,0))</f>
        <v>18</v>
      </c>
      <c r="E11" s="113" t="s">
        <v>29</v>
      </c>
      <c r="F11" s="121" t="s">
        <v>20</v>
      </c>
      <c r="G11" s="115">
        <v>29362.2</v>
      </c>
      <c r="H11" s="116">
        <v>39344</v>
      </c>
      <c r="I11" s="112">
        <f t="shared" ca="1" si="0"/>
        <v>5052</v>
      </c>
      <c r="J11" s="112">
        <f t="shared" ca="1" si="1"/>
        <v>13</v>
      </c>
      <c r="K11" s="117">
        <f t="shared" ca="1" si="2"/>
        <v>15</v>
      </c>
      <c r="L11" s="116">
        <v>30387</v>
      </c>
      <c r="M11" s="119">
        <f ca="1">HLOOKUP(K11-1,特休對照表!$D$2:$AC$14,MONTH(VLOOKUP!H11)+1)</f>
        <v>18</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spans="1:40">
      <c r="A12" s="111">
        <v>1299</v>
      </c>
      <c r="B12" s="113" t="s">
        <v>14</v>
      </c>
      <c r="C12" s="120" t="s">
        <v>32</v>
      </c>
      <c r="D12" s="118">
        <f ca="1">IF(K12&gt;=26,30,VLOOKUP(MONTH(H12),特休對照表!$C$3:$AC$14,K12,0))</f>
        <v>18</v>
      </c>
      <c r="E12" s="113" t="s">
        <v>23</v>
      </c>
      <c r="F12" s="121" t="s">
        <v>20</v>
      </c>
      <c r="G12" s="115">
        <v>24854.2</v>
      </c>
      <c r="H12" s="116">
        <v>39228</v>
      </c>
      <c r="I12" s="112">
        <f t="shared" ca="1" si="0"/>
        <v>5168</v>
      </c>
      <c r="J12" s="112">
        <f t="shared" ca="1" si="1"/>
        <v>14</v>
      </c>
      <c r="K12" s="117">
        <f t="shared" ca="1" si="2"/>
        <v>15</v>
      </c>
      <c r="L12" s="116">
        <v>30363</v>
      </c>
      <c r="M12" s="119">
        <f ca="1">HLOOKUP(K12-1,特休對照表!$D$2:$AC$14,MONTH(VLOOKUP!H12)+1)</f>
        <v>18</v>
      </c>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row>
    <row r="13" spans="1:40">
      <c r="A13" s="111">
        <v>1012</v>
      </c>
      <c r="B13" s="113" t="s">
        <v>14</v>
      </c>
      <c r="C13" s="120" t="s">
        <v>33</v>
      </c>
      <c r="D13" s="118">
        <f ca="1">IF(K13&gt;=26,30,VLOOKUP(MONTH(H13),特休對照表!$C$3:$AC$14,K13,0))</f>
        <v>14</v>
      </c>
      <c r="E13" s="113" t="s">
        <v>34</v>
      </c>
      <c r="F13" s="114" t="s">
        <v>15</v>
      </c>
      <c r="G13" s="115">
        <v>43394.15</v>
      </c>
      <c r="H13" s="116">
        <v>41456</v>
      </c>
      <c r="I13" s="112">
        <f t="shared" ca="1" si="0"/>
        <v>2940</v>
      </c>
      <c r="J13" s="112">
        <f t="shared" ca="1" si="1"/>
        <v>8</v>
      </c>
      <c r="K13" s="117">
        <f t="shared" ca="1" si="2"/>
        <v>9</v>
      </c>
      <c r="L13" s="116">
        <v>30078</v>
      </c>
      <c r="M13" s="119">
        <f ca="1">HLOOKUP(K13-1,特休對照表!$D$2:$AC$14,MONTH(VLOOKUP!H13)+1)</f>
        <v>14</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c r="A14" s="111">
        <v>1331</v>
      </c>
      <c r="B14" s="113" t="s">
        <v>14</v>
      </c>
      <c r="C14" s="120" t="s">
        <v>35</v>
      </c>
      <c r="D14" s="118">
        <f ca="1">IF(K14&gt;=26,30,VLOOKUP(MONTH(H14),特休對照表!$C$3:$AC$14,K14,0))</f>
        <v>19</v>
      </c>
      <c r="E14" s="113" t="s">
        <v>19</v>
      </c>
      <c r="F14" s="114" t="s">
        <v>15</v>
      </c>
      <c r="G14" s="115">
        <v>42872.15</v>
      </c>
      <c r="H14" s="116">
        <v>39004</v>
      </c>
      <c r="I14" s="112">
        <f t="shared" ca="1" si="0"/>
        <v>5392</v>
      </c>
      <c r="J14" s="112">
        <f t="shared" ca="1" si="1"/>
        <v>14</v>
      </c>
      <c r="K14" s="117">
        <f t="shared" ca="1" si="2"/>
        <v>16</v>
      </c>
      <c r="L14" s="116">
        <v>29883</v>
      </c>
      <c r="M14" s="119">
        <f ca="1">HLOOKUP(K14-1,特休對照表!$D$2:$AC$14,MONTH(VLOOKUP!H14)+1)</f>
        <v>19</v>
      </c>
      <c r="N14" s="1"/>
    </row>
    <row r="15" spans="1:40">
      <c r="A15" s="111">
        <v>1310</v>
      </c>
      <c r="B15" s="113" t="s">
        <v>14</v>
      </c>
      <c r="C15" s="111" t="s">
        <v>36</v>
      </c>
      <c r="D15" s="118">
        <f ca="1">IF(K15&gt;=26,30,VLOOKUP(MONTH(H15),特休對照表!$C$3:$AC$14,K15,0))</f>
        <v>13</v>
      </c>
      <c r="E15" s="113" t="s">
        <v>29</v>
      </c>
      <c r="F15" s="121" t="s">
        <v>17</v>
      </c>
      <c r="G15" s="115">
        <v>30410.85</v>
      </c>
      <c r="H15" s="116">
        <v>42437</v>
      </c>
      <c r="I15" s="112">
        <f t="shared" ca="1" si="0"/>
        <v>1959</v>
      </c>
      <c r="J15" s="112">
        <f t="shared" ca="1" si="1"/>
        <v>5</v>
      </c>
      <c r="K15" s="117">
        <f t="shared" ca="1" si="2"/>
        <v>6</v>
      </c>
      <c r="L15" s="116">
        <v>30048</v>
      </c>
      <c r="M15" s="119">
        <f ca="1">HLOOKUP(K15-1,特休對照表!$D$2:$AC$14,MONTH(VLOOKUP!H15)+1)</f>
        <v>13</v>
      </c>
      <c r="N15" s="1"/>
    </row>
    <row r="16" spans="1:40">
      <c r="A16" s="209">
        <v>1329</v>
      </c>
      <c r="B16" s="211" t="s">
        <v>14</v>
      </c>
      <c r="C16" s="210" t="s">
        <v>37</v>
      </c>
      <c r="D16" s="217">
        <f ca="1">IF(K16&gt;=26,30,VLOOKUP(MONTH(H16),特休對照表!$C$3:$AC$14,K16,0))</f>
        <v>19</v>
      </c>
      <c r="E16" s="211" t="s">
        <v>29</v>
      </c>
      <c r="F16" s="212" t="s">
        <v>15</v>
      </c>
      <c r="G16" s="213">
        <v>30410.85</v>
      </c>
      <c r="H16" s="214">
        <v>38895</v>
      </c>
      <c r="I16" s="215">
        <f t="shared" ca="1" si="0"/>
        <v>5501</v>
      </c>
      <c r="J16" s="215">
        <f t="shared" ca="1" si="1"/>
        <v>15</v>
      </c>
      <c r="K16" s="216">
        <f t="shared" ca="1" si="2"/>
        <v>16</v>
      </c>
      <c r="L16" s="214">
        <v>29868</v>
      </c>
      <c r="M16" s="218">
        <f ca="1">HLOOKUP(K16-1,特休對照表!$D$2:$AC$14,MONTH(VLOOKUP!H16)+1)</f>
        <v>19</v>
      </c>
      <c r="N16" s="1"/>
    </row>
    <row r="17" spans="1:3" s="16" customFormat="1"/>
    <row r="18" spans="1:3" s="16" customFormat="1" ht="17.25" thickBot="1"/>
    <row r="19" spans="1:3" s="16" customFormat="1" ht="17.25" thickBot="1">
      <c r="A19" s="219" t="s">
        <v>2</v>
      </c>
      <c r="B19" s="220" t="s">
        <v>3</v>
      </c>
      <c r="C19" s="220" t="s">
        <v>5</v>
      </c>
    </row>
    <row r="20" spans="1:3" s="16" customFormat="1" ht="17.25" thickTop="1">
      <c r="A20" s="16">
        <v>1169</v>
      </c>
      <c r="B20" s="18" t="str">
        <f>IF(ISBLANK(A20),"",VLOOKUP(A20,員工到職特休[[員工代號]:[姓名]],2,FALSE))</f>
        <v>工程部</v>
      </c>
      <c r="C20" s="16">
        <f>_xlfn.IFNA(VLOOKUP(A20,員工到職特休[],12,0),"")</f>
        <v>32126</v>
      </c>
    </row>
    <row r="21" spans="1:3" s="16" customFormat="1">
      <c r="A21" s="16">
        <v>1169</v>
      </c>
      <c r="B21" s="18" t="str">
        <f>VLOOKUP(A21,員工到職特休[],MATCH(B19,員工到職特休[#Headers],0),0)</f>
        <v>陳宏輝</v>
      </c>
      <c r="C21" s="16" t="str">
        <f>VLOOKUP(A21,員工到職特休[],MATCH(C19,員工到職特休[#Headers],0),0)</f>
        <v>工程部</v>
      </c>
    </row>
    <row r="22" spans="1:3" s="16" customFormat="1"/>
    <row r="23" spans="1:3" s="16" customFormat="1"/>
    <row r="24" spans="1:3" s="16" customFormat="1"/>
    <row r="25" spans="1:3" s="16" customFormat="1"/>
    <row r="26" spans="1:3" s="16" customFormat="1"/>
    <row r="27" spans="1:3" s="16" customFormat="1"/>
    <row r="28" spans="1:3" s="16" customFormat="1"/>
    <row r="29" spans="1:3" s="16" customFormat="1"/>
    <row r="30" spans="1:3" s="16" customFormat="1"/>
    <row r="31" spans="1:3" s="16" customFormat="1"/>
    <row r="32" spans="1:3" s="16" customFormat="1"/>
    <row r="33" s="16" customFormat="1"/>
    <row r="34" s="16" customFormat="1"/>
    <row r="35" s="16" customFormat="1"/>
    <row r="36" s="16" customFormat="1"/>
    <row r="37" s="16" customFormat="1"/>
    <row r="38" s="16" customFormat="1"/>
    <row r="39" s="16" customFormat="1"/>
    <row r="40" s="16" customFormat="1"/>
    <row r="41" s="16" customFormat="1"/>
    <row r="42" s="16" customFormat="1"/>
    <row r="43" s="16" customFormat="1"/>
    <row r="44" s="16" customFormat="1"/>
    <row r="45" s="16" customFormat="1"/>
    <row r="46" s="16" customFormat="1"/>
    <row r="47" s="16" customFormat="1"/>
    <row r="48" s="16" customFormat="1"/>
    <row r="49" s="16" customFormat="1"/>
    <row r="50" s="16" customFormat="1"/>
    <row r="51" s="16" customFormat="1"/>
    <row r="52" s="16" customFormat="1"/>
    <row r="53" s="16" customFormat="1"/>
    <row r="54" s="16" customFormat="1"/>
    <row r="55" s="16" customFormat="1"/>
    <row r="56" s="16" customFormat="1"/>
    <row r="57" s="16" customFormat="1"/>
    <row r="58" s="16" customFormat="1"/>
    <row r="59" s="16" customFormat="1"/>
    <row r="60" s="16" customFormat="1"/>
    <row r="61" s="16" customFormat="1"/>
    <row r="62" s="16" customFormat="1"/>
    <row r="63" s="16" customFormat="1"/>
    <row r="64" s="16" customFormat="1"/>
    <row r="65" s="16" customFormat="1"/>
    <row r="66" s="16" customFormat="1"/>
    <row r="67" s="16" customFormat="1"/>
    <row r="68" s="16" customFormat="1"/>
    <row r="69" s="16" customFormat="1"/>
    <row r="70" s="16" customFormat="1"/>
    <row r="71" s="16" customFormat="1"/>
    <row r="72" s="16" customFormat="1"/>
    <row r="73" s="16" customFormat="1"/>
    <row r="74" s="16" customFormat="1"/>
    <row r="75" s="16" customFormat="1"/>
    <row r="76" s="16" customFormat="1"/>
    <row r="77" s="16" customFormat="1"/>
    <row r="78" s="16" customFormat="1"/>
    <row r="79" s="16" customFormat="1"/>
    <row r="80" s="16" customFormat="1"/>
    <row r="81" spans="1:7">
      <c r="A81" s="16"/>
      <c r="B81" s="16"/>
      <c r="E81" s="16"/>
      <c r="F81" s="16"/>
      <c r="G81" s="16"/>
    </row>
    <row r="82" spans="1:7">
      <c r="A82" s="16"/>
      <c r="B82" s="16"/>
      <c r="E82" s="16"/>
      <c r="F82" s="16"/>
      <c r="G82" s="16"/>
    </row>
    <row r="83" spans="1:7">
      <c r="A83" s="16"/>
      <c r="B83" s="16"/>
      <c r="E83" s="16"/>
      <c r="F83" s="16"/>
      <c r="G83" s="16"/>
    </row>
    <row r="84" spans="1:7">
      <c r="A84" s="16"/>
      <c r="B84" s="16"/>
      <c r="E84" s="16"/>
      <c r="F84" s="16"/>
      <c r="G84" s="16"/>
    </row>
    <row r="85" spans="1:7">
      <c r="A85" s="16"/>
      <c r="B85" s="16"/>
      <c r="E85" s="16"/>
      <c r="F85" s="16"/>
      <c r="G85" s="16"/>
    </row>
    <row r="86" spans="1:7">
      <c r="A86" s="16"/>
      <c r="B86" s="16"/>
      <c r="E86" s="16"/>
      <c r="F86" s="16"/>
      <c r="G86" s="16"/>
    </row>
    <row r="87" spans="1:7">
      <c r="A87" s="16"/>
      <c r="B87" s="16"/>
      <c r="E87" s="16"/>
      <c r="F87" s="16"/>
      <c r="G87" s="16"/>
    </row>
    <row r="88" spans="1:7">
      <c r="A88" s="17"/>
      <c r="B88" s="16"/>
      <c r="E88" s="16"/>
      <c r="F88" s="16"/>
      <c r="G88" s="16"/>
    </row>
    <row r="89" spans="1:7">
      <c r="A89" s="17"/>
      <c r="B89" s="16"/>
      <c r="E89" s="16"/>
      <c r="F89" s="16"/>
      <c r="G89" s="16"/>
    </row>
    <row r="90" spans="1:7">
      <c r="A90" s="17"/>
      <c r="B90" s="16"/>
      <c r="E90" s="16"/>
      <c r="F90" s="16"/>
      <c r="G90" s="16"/>
    </row>
    <row r="91" spans="1:7">
      <c r="A91" s="17"/>
      <c r="B91" s="16"/>
      <c r="E91" s="16"/>
      <c r="F91" s="16"/>
      <c r="G91" s="16"/>
    </row>
    <row r="92" spans="1:7">
      <c r="A92" s="17"/>
      <c r="B92" s="16"/>
      <c r="E92" s="16"/>
      <c r="F92" s="16"/>
      <c r="G92" s="16"/>
    </row>
    <row r="93" spans="1:7">
      <c r="A93" s="17"/>
      <c r="B93" s="16"/>
      <c r="E93" s="16"/>
      <c r="F93" s="16"/>
      <c r="G93" s="16"/>
    </row>
    <row r="94" spans="1:7">
      <c r="A94" s="17"/>
      <c r="B94" s="16"/>
      <c r="E94" s="16"/>
      <c r="F94" s="16"/>
      <c r="G94" s="16"/>
    </row>
    <row r="95" spans="1:7">
      <c r="A95" s="17"/>
      <c r="B95" s="16"/>
      <c r="E95" s="16"/>
      <c r="F95" s="16"/>
      <c r="G95" s="16"/>
    </row>
    <row r="96" spans="1:7">
      <c r="A96" s="17"/>
      <c r="B96" s="16"/>
      <c r="E96" s="16"/>
      <c r="F96" s="16"/>
      <c r="G96" s="16"/>
    </row>
    <row r="97" spans="1:7">
      <c r="A97" s="17"/>
      <c r="B97" s="16"/>
      <c r="E97" s="16"/>
      <c r="F97" s="16"/>
      <c r="G97" s="16"/>
    </row>
    <row r="98" spans="1:7">
      <c r="A98" s="17"/>
      <c r="B98" s="16"/>
      <c r="E98" s="16"/>
      <c r="F98" s="16"/>
      <c r="G98" s="16"/>
    </row>
    <row r="99" spans="1:7">
      <c r="A99" s="17"/>
      <c r="B99" s="16"/>
      <c r="E99" s="16"/>
      <c r="F99" s="16"/>
      <c r="G99" s="16"/>
    </row>
    <row r="100" spans="1:7">
      <c r="A100" s="17"/>
      <c r="B100" s="16"/>
      <c r="E100" s="16"/>
      <c r="F100" s="16"/>
      <c r="G100" s="16"/>
    </row>
    <row r="101" spans="1:7">
      <c r="A101" s="17"/>
      <c r="B101" s="16"/>
      <c r="E101" s="16"/>
      <c r="F101" s="16"/>
      <c r="G101" s="16"/>
    </row>
    <row r="102" spans="1:7">
      <c r="A102" s="17"/>
      <c r="B102" s="16"/>
      <c r="E102" s="16"/>
      <c r="F102" s="16"/>
      <c r="G102" s="16"/>
    </row>
    <row r="103" spans="1:7">
      <c r="A103" s="17"/>
      <c r="B103" s="16"/>
      <c r="E103" s="16"/>
      <c r="F103" s="16"/>
      <c r="G103" s="16"/>
    </row>
    <row r="104" spans="1:7">
      <c r="A104" s="17"/>
      <c r="B104" s="16"/>
      <c r="E104" s="16"/>
      <c r="F104" s="16"/>
      <c r="G104" s="16"/>
    </row>
    <row r="105" spans="1:7">
      <c r="A105" s="17"/>
      <c r="B105" s="16"/>
      <c r="E105" s="16"/>
      <c r="F105" s="16"/>
      <c r="G105" s="16"/>
    </row>
    <row r="106" spans="1:7">
      <c r="A106" s="17"/>
      <c r="B106" s="16"/>
      <c r="E106" s="16"/>
      <c r="F106" s="16"/>
      <c r="G106" s="16"/>
    </row>
    <row r="107" spans="1:7">
      <c r="A107" s="17"/>
      <c r="B107" s="16"/>
      <c r="E107" s="16"/>
      <c r="F107" s="16"/>
      <c r="G107" s="16"/>
    </row>
    <row r="108" spans="1:7">
      <c r="A108" s="17"/>
      <c r="B108" s="16"/>
      <c r="E108" s="16"/>
      <c r="F108" s="16"/>
      <c r="G108" s="16"/>
    </row>
    <row r="109" spans="1:7">
      <c r="A109" s="17"/>
      <c r="B109" s="16"/>
      <c r="E109" s="16"/>
      <c r="F109" s="16"/>
      <c r="G109" s="16"/>
    </row>
    <row r="110" spans="1:7">
      <c r="A110" s="17"/>
      <c r="B110" s="16"/>
      <c r="E110" s="16"/>
      <c r="F110" s="16"/>
      <c r="G110" s="16"/>
    </row>
    <row r="111" spans="1:7">
      <c r="A111" s="17"/>
      <c r="B111" s="16"/>
      <c r="E111" s="16"/>
      <c r="F111" s="16"/>
      <c r="G111" s="16"/>
    </row>
    <row r="112" spans="1:7">
      <c r="A112" s="17"/>
      <c r="B112" s="16"/>
      <c r="E112" s="16"/>
      <c r="F112" s="16"/>
      <c r="G112" s="16"/>
    </row>
    <row r="113" spans="1:12">
      <c r="A113" s="17"/>
      <c r="B113" s="16"/>
      <c r="E113" s="16"/>
      <c r="F113" s="16"/>
      <c r="G113" s="16"/>
    </row>
    <row r="114" spans="1:12">
      <c r="A114" s="16"/>
      <c r="B114" s="16"/>
      <c r="E114" s="16"/>
      <c r="F114" s="16"/>
      <c r="G114" s="16"/>
    </row>
    <row r="115" spans="1:12">
      <c r="A115" s="16"/>
      <c r="B115" s="16"/>
      <c r="E115" s="16"/>
      <c r="F115" s="16"/>
      <c r="G115" s="16"/>
    </row>
    <row r="116" spans="1:12">
      <c r="L116" s="17"/>
    </row>
  </sheetData>
  <phoneticPr fontId="6" type="noConversion"/>
  <dataValidations count="2">
    <dataValidation type="list" allowBlank="1" showInputMessage="1" showErrorMessage="1" sqref="A20:A21" xr:uid="{6994DFE9-B92A-4C37-A919-A6F42EB4FC1E}">
      <formula1>$A$2:$A$16</formula1>
    </dataValidation>
    <dataValidation type="list" allowBlank="1" showInputMessage="1" showErrorMessage="1" sqref="C19" xr:uid="{BFF81D64-3D40-4A9B-905B-C9CBC8BDE3CB}">
      <formula1>"部門,職稱,特休"</formula1>
    </dataValidation>
  </dataValidations>
  <printOptions gridLines="1" gridLinesSet="0"/>
  <pageMargins left="0.75" right="0.75" top="1" bottom="1" header="0.5" footer="0.5"/>
  <pageSetup orientation="portrait" horizontalDpi="300" verticalDpi="360" copies="0"/>
  <headerFooter alignWithMargins="0">
    <oddHeader>&amp;A</oddHeader>
    <oddFooter>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C16"/>
  <sheetViews>
    <sheetView topLeftCell="B1" zoomScale="130" zoomScaleNormal="130" workbookViewId="0">
      <selection activeCell="AC3" sqref="AC3"/>
    </sheetView>
  </sheetViews>
  <sheetFormatPr defaultColWidth="8" defaultRowHeight="12.75"/>
  <cols>
    <col min="1" max="1" width="8" style="1"/>
    <col min="2" max="2" width="7.125" style="1" customWidth="1"/>
    <col min="3" max="3" width="5.5" style="1" customWidth="1"/>
    <col min="4" max="5" width="2.875" style="1" bestFit="1" customWidth="1"/>
    <col min="6" max="12" width="3.5" style="1" bestFit="1" customWidth="1"/>
    <col min="13" max="29" width="4" style="1" bestFit="1" customWidth="1"/>
    <col min="30" max="16384" width="8" style="1"/>
  </cols>
  <sheetData>
    <row r="1" spans="2:29" ht="13.5" thickBot="1"/>
    <row r="2" spans="2:29" ht="22.9" customHeight="1">
      <c r="B2" s="2" t="s">
        <v>0</v>
      </c>
      <c r="C2" s="3" t="s">
        <v>1</v>
      </c>
      <c r="D2" s="4">
        <v>1</v>
      </c>
      <c r="E2" s="4">
        <v>2</v>
      </c>
      <c r="F2" s="4">
        <v>3</v>
      </c>
      <c r="G2" s="4">
        <v>4</v>
      </c>
      <c r="H2" s="4">
        <v>5</v>
      </c>
      <c r="I2" s="4">
        <v>6</v>
      </c>
      <c r="J2" s="4">
        <v>7</v>
      </c>
      <c r="K2" s="4">
        <v>8</v>
      </c>
      <c r="L2" s="4">
        <v>9</v>
      </c>
      <c r="M2" s="4">
        <v>10</v>
      </c>
      <c r="N2" s="4">
        <v>11</v>
      </c>
      <c r="O2" s="4">
        <v>12</v>
      </c>
      <c r="P2" s="4">
        <v>13</v>
      </c>
      <c r="Q2" s="4">
        <v>14</v>
      </c>
      <c r="R2" s="4">
        <v>15</v>
      </c>
      <c r="S2" s="4">
        <v>16</v>
      </c>
      <c r="T2" s="4">
        <v>17</v>
      </c>
      <c r="U2" s="4">
        <v>18</v>
      </c>
      <c r="V2" s="4">
        <v>19</v>
      </c>
      <c r="W2" s="4">
        <v>20</v>
      </c>
      <c r="X2" s="4">
        <v>21</v>
      </c>
      <c r="Y2" s="4">
        <v>22</v>
      </c>
      <c r="Z2" s="4">
        <v>23</v>
      </c>
      <c r="AA2" s="4">
        <v>24</v>
      </c>
      <c r="AB2" s="4">
        <v>25</v>
      </c>
      <c r="AC2" s="5">
        <v>26</v>
      </c>
    </row>
    <row r="3" spans="2:29" ht="16.5">
      <c r="B3" s="6">
        <v>35065</v>
      </c>
      <c r="C3" s="7">
        <v>1</v>
      </c>
      <c r="D3" s="8">
        <v>7</v>
      </c>
      <c r="E3" s="8">
        <v>7</v>
      </c>
      <c r="F3" s="8">
        <v>10</v>
      </c>
      <c r="G3" s="8">
        <v>10</v>
      </c>
      <c r="H3" s="8">
        <v>14</v>
      </c>
      <c r="I3" s="8">
        <v>14</v>
      </c>
      <c r="J3" s="8">
        <v>14</v>
      </c>
      <c r="K3" s="8">
        <v>14</v>
      </c>
      <c r="L3" s="8">
        <v>14</v>
      </c>
      <c r="M3" s="8">
        <v>15</v>
      </c>
      <c r="N3" s="8">
        <v>16</v>
      </c>
      <c r="O3" s="8">
        <v>17</v>
      </c>
      <c r="P3" s="8">
        <v>18</v>
      </c>
      <c r="Q3" s="8">
        <v>19</v>
      </c>
      <c r="R3" s="8">
        <v>20</v>
      </c>
      <c r="S3" s="8">
        <v>21</v>
      </c>
      <c r="T3" s="8">
        <v>22</v>
      </c>
      <c r="U3" s="8">
        <v>23</v>
      </c>
      <c r="V3" s="8">
        <v>24</v>
      </c>
      <c r="W3" s="8">
        <v>25</v>
      </c>
      <c r="X3" s="8">
        <v>26</v>
      </c>
      <c r="Y3" s="8">
        <v>27</v>
      </c>
      <c r="Z3" s="8">
        <v>28</v>
      </c>
      <c r="AA3" s="8">
        <v>29</v>
      </c>
      <c r="AB3" s="8">
        <v>30</v>
      </c>
      <c r="AC3" s="9">
        <v>30</v>
      </c>
    </row>
    <row r="4" spans="2:29" ht="16.5">
      <c r="B4" s="6">
        <v>35096</v>
      </c>
      <c r="C4" s="7">
        <v>2</v>
      </c>
      <c r="D4" s="8">
        <v>6</v>
      </c>
      <c r="E4" s="8">
        <v>7</v>
      </c>
      <c r="F4" s="8">
        <v>9</v>
      </c>
      <c r="G4" s="8">
        <v>10</v>
      </c>
      <c r="H4" s="8">
        <v>13</v>
      </c>
      <c r="I4" s="8">
        <v>14</v>
      </c>
      <c r="J4" s="8">
        <v>14</v>
      </c>
      <c r="K4" s="8">
        <v>14</v>
      </c>
      <c r="L4" s="8">
        <v>14</v>
      </c>
      <c r="M4" s="8">
        <v>14</v>
      </c>
      <c r="N4" s="8">
        <v>15</v>
      </c>
      <c r="O4" s="8">
        <v>16</v>
      </c>
      <c r="P4" s="8">
        <v>17</v>
      </c>
      <c r="Q4" s="8">
        <v>18</v>
      </c>
      <c r="R4" s="8">
        <v>19</v>
      </c>
      <c r="S4" s="8">
        <v>20</v>
      </c>
      <c r="T4" s="8">
        <v>21</v>
      </c>
      <c r="U4" s="8">
        <v>22</v>
      </c>
      <c r="V4" s="8">
        <v>23</v>
      </c>
      <c r="W4" s="8">
        <v>24</v>
      </c>
      <c r="X4" s="8">
        <v>25</v>
      </c>
      <c r="Y4" s="8">
        <v>26</v>
      </c>
      <c r="Z4" s="8">
        <v>27</v>
      </c>
      <c r="AA4" s="8">
        <v>28</v>
      </c>
      <c r="AB4" s="8">
        <v>29</v>
      </c>
      <c r="AC4" s="9">
        <v>30</v>
      </c>
    </row>
    <row r="5" spans="2:29" ht="16.5">
      <c r="B5" s="6">
        <v>35125</v>
      </c>
      <c r="C5" s="7">
        <v>3</v>
      </c>
      <c r="D5" s="8">
        <v>5</v>
      </c>
      <c r="E5" s="8">
        <v>7</v>
      </c>
      <c r="F5" s="8">
        <v>9</v>
      </c>
      <c r="G5" s="8">
        <v>10</v>
      </c>
      <c r="H5" s="8">
        <v>13</v>
      </c>
      <c r="I5" s="8">
        <v>14</v>
      </c>
      <c r="J5" s="8">
        <v>14</v>
      </c>
      <c r="K5" s="8">
        <v>14</v>
      </c>
      <c r="L5" s="8">
        <v>14</v>
      </c>
      <c r="M5" s="8">
        <v>14</v>
      </c>
      <c r="N5" s="8">
        <v>15</v>
      </c>
      <c r="O5" s="8">
        <v>16</v>
      </c>
      <c r="P5" s="8">
        <v>17</v>
      </c>
      <c r="Q5" s="8">
        <v>18</v>
      </c>
      <c r="R5" s="8">
        <v>19</v>
      </c>
      <c r="S5" s="8">
        <v>20</v>
      </c>
      <c r="T5" s="8">
        <v>21</v>
      </c>
      <c r="U5" s="8">
        <v>22</v>
      </c>
      <c r="V5" s="8">
        <v>23</v>
      </c>
      <c r="W5" s="8">
        <v>24</v>
      </c>
      <c r="X5" s="8">
        <v>25</v>
      </c>
      <c r="Y5" s="8">
        <v>26</v>
      </c>
      <c r="Z5" s="8">
        <v>27</v>
      </c>
      <c r="AA5" s="8">
        <v>28</v>
      </c>
      <c r="AB5" s="8">
        <v>29</v>
      </c>
      <c r="AC5" s="9">
        <v>30</v>
      </c>
    </row>
    <row r="6" spans="2:29" ht="16.5">
      <c r="B6" s="6">
        <v>35156</v>
      </c>
      <c r="C6" s="7">
        <v>4</v>
      </c>
      <c r="D6" s="8">
        <v>5</v>
      </c>
      <c r="E6" s="8">
        <v>7</v>
      </c>
      <c r="F6" s="8">
        <v>9</v>
      </c>
      <c r="G6" s="8">
        <v>10</v>
      </c>
      <c r="H6" s="8">
        <v>13</v>
      </c>
      <c r="I6" s="8">
        <v>14</v>
      </c>
      <c r="J6" s="8">
        <v>14</v>
      </c>
      <c r="K6" s="8">
        <v>14</v>
      </c>
      <c r="L6" s="8">
        <v>14</v>
      </c>
      <c r="M6" s="8">
        <v>14</v>
      </c>
      <c r="N6" s="8">
        <v>15</v>
      </c>
      <c r="O6" s="8">
        <v>16</v>
      </c>
      <c r="P6" s="8">
        <v>17</v>
      </c>
      <c r="Q6" s="8">
        <v>18</v>
      </c>
      <c r="R6" s="8">
        <v>19</v>
      </c>
      <c r="S6" s="8">
        <v>20</v>
      </c>
      <c r="T6" s="8">
        <v>21</v>
      </c>
      <c r="U6" s="8">
        <v>22</v>
      </c>
      <c r="V6" s="8">
        <v>23</v>
      </c>
      <c r="W6" s="8">
        <v>24</v>
      </c>
      <c r="X6" s="8">
        <v>25</v>
      </c>
      <c r="Y6" s="8">
        <v>26</v>
      </c>
      <c r="Z6" s="8">
        <v>27</v>
      </c>
      <c r="AA6" s="8">
        <v>28</v>
      </c>
      <c r="AB6" s="8">
        <v>29</v>
      </c>
      <c r="AC6" s="9">
        <v>30</v>
      </c>
    </row>
    <row r="7" spans="2:29" ht="16.5">
      <c r="B7" s="6">
        <v>35186</v>
      </c>
      <c r="C7" s="7">
        <v>5</v>
      </c>
      <c r="D7" s="8">
        <v>4</v>
      </c>
      <c r="E7" s="8">
        <v>7</v>
      </c>
      <c r="F7" s="8">
        <v>9</v>
      </c>
      <c r="G7" s="8">
        <v>10</v>
      </c>
      <c r="H7" s="8">
        <v>12</v>
      </c>
      <c r="I7" s="8">
        <v>14</v>
      </c>
      <c r="J7" s="8">
        <v>14</v>
      </c>
      <c r="K7" s="8">
        <v>14</v>
      </c>
      <c r="L7" s="8">
        <v>14</v>
      </c>
      <c r="M7" s="8">
        <v>14</v>
      </c>
      <c r="N7" s="8">
        <v>15</v>
      </c>
      <c r="O7" s="8">
        <v>16</v>
      </c>
      <c r="P7" s="8">
        <v>17</v>
      </c>
      <c r="Q7" s="8">
        <v>18</v>
      </c>
      <c r="R7" s="8">
        <v>19</v>
      </c>
      <c r="S7" s="8">
        <v>20</v>
      </c>
      <c r="T7" s="8">
        <v>21</v>
      </c>
      <c r="U7" s="8">
        <v>22</v>
      </c>
      <c r="V7" s="8">
        <v>23</v>
      </c>
      <c r="W7" s="8">
        <v>24</v>
      </c>
      <c r="X7" s="8">
        <v>25</v>
      </c>
      <c r="Y7" s="8">
        <v>26</v>
      </c>
      <c r="Z7" s="8">
        <v>27</v>
      </c>
      <c r="AA7" s="8">
        <v>28</v>
      </c>
      <c r="AB7" s="8">
        <v>29</v>
      </c>
      <c r="AC7" s="9">
        <v>30</v>
      </c>
    </row>
    <row r="8" spans="2:29" ht="16.5">
      <c r="B8" s="6">
        <v>35217</v>
      </c>
      <c r="C8" s="7">
        <v>6</v>
      </c>
      <c r="D8" s="8">
        <v>4</v>
      </c>
      <c r="E8" s="8">
        <v>7</v>
      </c>
      <c r="F8" s="8">
        <v>8</v>
      </c>
      <c r="G8" s="8">
        <v>10</v>
      </c>
      <c r="H8" s="8">
        <v>12</v>
      </c>
      <c r="I8" s="8">
        <v>14</v>
      </c>
      <c r="J8" s="8">
        <v>14</v>
      </c>
      <c r="K8" s="8">
        <v>14</v>
      </c>
      <c r="L8" s="8">
        <v>14</v>
      </c>
      <c r="M8" s="8">
        <v>14</v>
      </c>
      <c r="N8" s="8">
        <v>15</v>
      </c>
      <c r="O8" s="8">
        <v>16</v>
      </c>
      <c r="P8" s="8">
        <v>17</v>
      </c>
      <c r="Q8" s="8">
        <v>18</v>
      </c>
      <c r="R8" s="8">
        <v>19</v>
      </c>
      <c r="S8" s="8">
        <v>20</v>
      </c>
      <c r="T8" s="8">
        <v>21</v>
      </c>
      <c r="U8" s="8">
        <v>22</v>
      </c>
      <c r="V8" s="8">
        <v>23</v>
      </c>
      <c r="W8" s="8">
        <v>24</v>
      </c>
      <c r="X8" s="8">
        <v>25</v>
      </c>
      <c r="Y8" s="8">
        <v>26</v>
      </c>
      <c r="Z8" s="8">
        <v>27</v>
      </c>
      <c r="AA8" s="8">
        <v>28</v>
      </c>
      <c r="AB8" s="8">
        <v>29</v>
      </c>
      <c r="AC8" s="9">
        <v>30</v>
      </c>
    </row>
    <row r="9" spans="2:29" ht="16.5">
      <c r="B9" s="6">
        <v>35247</v>
      </c>
      <c r="C9" s="7">
        <v>7</v>
      </c>
      <c r="D9" s="8">
        <v>3</v>
      </c>
      <c r="E9" s="8">
        <v>7</v>
      </c>
      <c r="F9" s="8">
        <v>8</v>
      </c>
      <c r="G9" s="8">
        <v>10</v>
      </c>
      <c r="H9" s="8">
        <v>12</v>
      </c>
      <c r="I9" s="8">
        <v>14</v>
      </c>
      <c r="J9" s="8">
        <v>14</v>
      </c>
      <c r="K9" s="8">
        <v>14</v>
      </c>
      <c r="L9" s="8">
        <v>14</v>
      </c>
      <c r="M9" s="8">
        <v>14</v>
      </c>
      <c r="N9" s="8">
        <v>15</v>
      </c>
      <c r="O9" s="8">
        <v>16</v>
      </c>
      <c r="P9" s="8">
        <v>17</v>
      </c>
      <c r="Q9" s="8">
        <v>18</v>
      </c>
      <c r="R9" s="8">
        <v>19</v>
      </c>
      <c r="S9" s="8">
        <v>20</v>
      </c>
      <c r="T9" s="8">
        <v>21</v>
      </c>
      <c r="U9" s="8">
        <v>22</v>
      </c>
      <c r="V9" s="8">
        <v>23</v>
      </c>
      <c r="W9" s="8">
        <v>24</v>
      </c>
      <c r="X9" s="8">
        <v>25</v>
      </c>
      <c r="Y9" s="8">
        <v>26</v>
      </c>
      <c r="Z9" s="8">
        <v>27</v>
      </c>
      <c r="AA9" s="8">
        <v>28</v>
      </c>
      <c r="AB9" s="8">
        <v>29</v>
      </c>
      <c r="AC9" s="9">
        <v>30</v>
      </c>
    </row>
    <row r="10" spans="2:29" ht="16.5">
      <c r="B10" s="6">
        <v>35278</v>
      </c>
      <c r="C10" s="7">
        <v>8</v>
      </c>
      <c r="D10" s="8">
        <v>2</v>
      </c>
      <c r="E10" s="8">
        <v>7</v>
      </c>
      <c r="F10" s="8">
        <v>8</v>
      </c>
      <c r="G10" s="8">
        <v>10</v>
      </c>
      <c r="H10" s="8">
        <v>11</v>
      </c>
      <c r="I10" s="8">
        <v>14</v>
      </c>
      <c r="J10" s="8">
        <v>14</v>
      </c>
      <c r="K10" s="8">
        <v>14</v>
      </c>
      <c r="L10" s="8">
        <v>14</v>
      </c>
      <c r="M10" s="8">
        <v>14</v>
      </c>
      <c r="N10" s="8">
        <v>15</v>
      </c>
      <c r="O10" s="8">
        <v>16</v>
      </c>
      <c r="P10" s="8">
        <v>17</v>
      </c>
      <c r="Q10" s="8">
        <v>18</v>
      </c>
      <c r="R10" s="8">
        <v>19</v>
      </c>
      <c r="S10" s="8">
        <v>20</v>
      </c>
      <c r="T10" s="8">
        <v>21</v>
      </c>
      <c r="U10" s="8">
        <v>22</v>
      </c>
      <c r="V10" s="8">
        <v>23</v>
      </c>
      <c r="W10" s="8">
        <v>24</v>
      </c>
      <c r="X10" s="8">
        <v>25</v>
      </c>
      <c r="Y10" s="8">
        <v>26</v>
      </c>
      <c r="Z10" s="8">
        <v>27</v>
      </c>
      <c r="AA10" s="8">
        <v>28</v>
      </c>
      <c r="AB10" s="8">
        <v>29</v>
      </c>
      <c r="AC10" s="9">
        <v>30</v>
      </c>
    </row>
    <row r="11" spans="2:29" ht="16.5">
      <c r="B11" s="6">
        <v>35309</v>
      </c>
      <c r="C11" s="7">
        <v>9</v>
      </c>
      <c r="D11" s="8">
        <v>2</v>
      </c>
      <c r="E11" s="8">
        <v>7</v>
      </c>
      <c r="F11" s="8">
        <v>8</v>
      </c>
      <c r="G11" s="8">
        <v>10</v>
      </c>
      <c r="H11" s="8">
        <v>11</v>
      </c>
      <c r="I11" s="8">
        <v>14</v>
      </c>
      <c r="J11" s="8">
        <v>14</v>
      </c>
      <c r="K11" s="8">
        <v>14</v>
      </c>
      <c r="L11" s="8">
        <v>14</v>
      </c>
      <c r="M11" s="8">
        <v>14</v>
      </c>
      <c r="N11" s="8">
        <v>15</v>
      </c>
      <c r="O11" s="8">
        <v>16</v>
      </c>
      <c r="P11" s="8">
        <v>17</v>
      </c>
      <c r="Q11" s="8">
        <v>18</v>
      </c>
      <c r="R11" s="8">
        <v>19</v>
      </c>
      <c r="S11" s="8">
        <v>20</v>
      </c>
      <c r="T11" s="8">
        <v>21</v>
      </c>
      <c r="U11" s="8">
        <v>22</v>
      </c>
      <c r="V11" s="8">
        <v>23</v>
      </c>
      <c r="W11" s="8">
        <v>24</v>
      </c>
      <c r="X11" s="8">
        <v>25</v>
      </c>
      <c r="Y11" s="8">
        <v>26</v>
      </c>
      <c r="Z11" s="8">
        <v>27</v>
      </c>
      <c r="AA11" s="8">
        <v>28</v>
      </c>
      <c r="AB11" s="8">
        <v>29</v>
      </c>
      <c r="AC11" s="9">
        <v>30</v>
      </c>
    </row>
    <row r="12" spans="2:29" ht="16.5">
      <c r="B12" s="6">
        <v>35339</v>
      </c>
      <c r="C12" s="7">
        <v>10</v>
      </c>
      <c r="D12" s="8">
        <v>1</v>
      </c>
      <c r="E12" s="8">
        <v>7</v>
      </c>
      <c r="F12" s="8">
        <v>7</v>
      </c>
      <c r="G12" s="8">
        <v>10</v>
      </c>
      <c r="H12" s="8">
        <v>11</v>
      </c>
      <c r="I12" s="8">
        <v>14</v>
      </c>
      <c r="J12" s="8">
        <v>14</v>
      </c>
      <c r="K12" s="8">
        <v>14</v>
      </c>
      <c r="L12" s="8">
        <v>14</v>
      </c>
      <c r="M12" s="8">
        <v>14</v>
      </c>
      <c r="N12" s="8">
        <v>15</v>
      </c>
      <c r="O12" s="8">
        <v>16</v>
      </c>
      <c r="P12" s="8">
        <v>17</v>
      </c>
      <c r="Q12" s="8">
        <v>18</v>
      </c>
      <c r="R12" s="8">
        <v>19</v>
      </c>
      <c r="S12" s="8">
        <v>20</v>
      </c>
      <c r="T12" s="8">
        <v>21</v>
      </c>
      <c r="U12" s="8">
        <v>22</v>
      </c>
      <c r="V12" s="8">
        <v>23</v>
      </c>
      <c r="W12" s="8">
        <v>24</v>
      </c>
      <c r="X12" s="8">
        <v>25</v>
      </c>
      <c r="Y12" s="8">
        <v>26</v>
      </c>
      <c r="Z12" s="8">
        <v>27</v>
      </c>
      <c r="AA12" s="8">
        <v>28</v>
      </c>
      <c r="AB12" s="8">
        <v>29</v>
      </c>
      <c r="AC12" s="9">
        <v>30</v>
      </c>
    </row>
    <row r="13" spans="2:29" ht="16.5">
      <c r="B13" s="6">
        <v>35370</v>
      </c>
      <c r="C13" s="7">
        <v>11</v>
      </c>
      <c r="D13" s="8">
        <v>1</v>
      </c>
      <c r="E13" s="8">
        <v>7</v>
      </c>
      <c r="F13" s="8">
        <v>7</v>
      </c>
      <c r="G13" s="8">
        <v>10</v>
      </c>
      <c r="H13" s="8">
        <v>10</v>
      </c>
      <c r="I13" s="8">
        <v>14</v>
      </c>
      <c r="J13" s="8">
        <v>14</v>
      </c>
      <c r="K13" s="8">
        <v>14</v>
      </c>
      <c r="L13" s="8">
        <v>14</v>
      </c>
      <c r="M13" s="8">
        <v>14</v>
      </c>
      <c r="N13" s="8">
        <v>15</v>
      </c>
      <c r="O13" s="8">
        <v>16</v>
      </c>
      <c r="P13" s="8">
        <v>17</v>
      </c>
      <c r="Q13" s="8">
        <v>18</v>
      </c>
      <c r="R13" s="8">
        <v>19</v>
      </c>
      <c r="S13" s="8">
        <v>20</v>
      </c>
      <c r="T13" s="8">
        <v>21</v>
      </c>
      <c r="U13" s="8">
        <v>22</v>
      </c>
      <c r="V13" s="8">
        <v>23</v>
      </c>
      <c r="W13" s="8">
        <v>24</v>
      </c>
      <c r="X13" s="8">
        <v>25</v>
      </c>
      <c r="Y13" s="8">
        <v>26</v>
      </c>
      <c r="Z13" s="8">
        <v>27</v>
      </c>
      <c r="AA13" s="8">
        <v>28</v>
      </c>
      <c r="AB13" s="8">
        <v>29</v>
      </c>
      <c r="AC13" s="9">
        <v>30</v>
      </c>
    </row>
    <row r="14" spans="2:29" ht="17.25" thickBot="1">
      <c r="B14" s="10">
        <v>35400</v>
      </c>
      <c r="C14" s="7">
        <v>12</v>
      </c>
      <c r="D14" s="11">
        <v>0</v>
      </c>
      <c r="E14" s="11">
        <v>7</v>
      </c>
      <c r="F14" s="11">
        <v>7</v>
      </c>
      <c r="G14" s="11">
        <v>10</v>
      </c>
      <c r="H14" s="11">
        <v>10</v>
      </c>
      <c r="I14" s="11">
        <v>14</v>
      </c>
      <c r="J14" s="11">
        <v>14</v>
      </c>
      <c r="K14" s="11">
        <v>14</v>
      </c>
      <c r="L14" s="11">
        <v>14</v>
      </c>
      <c r="M14" s="11">
        <v>14</v>
      </c>
      <c r="N14" s="11">
        <v>15</v>
      </c>
      <c r="O14" s="11">
        <v>16</v>
      </c>
      <c r="P14" s="11">
        <v>17</v>
      </c>
      <c r="Q14" s="11">
        <v>18</v>
      </c>
      <c r="R14" s="11">
        <v>19</v>
      </c>
      <c r="S14" s="11">
        <v>20</v>
      </c>
      <c r="T14" s="11">
        <v>21</v>
      </c>
      <c r="U14" s="11">
        <v>22</v>
      </c>
      <c r="V14" s="11">
        <v>23</v>
      </c>
      <c r="W14" s="11">
        <v>24</v>
      </c>
      <c r="X14" s="11">
        <v>25</v>
      </c>
      <c r="Y14" s="11">
        <v>26</v>
      </c>
      <c r="Z14" s="11">
        <v>27</v>
      </c>
      <c r="AA14" s="11">
        <v>28</v>
      </c>
      <c r="AB14" s="11">
        <v>29</v>
      </c>
      <c r="AC14" s="12">
        <v>30</v>
      </c>
    </row>
    <row r="16" spans="2:29" ht="16.5">
      <c r="F16" s="13"/>
      <c r="G16" s="14"/>
    </row>
  </sheetData>
  <phoneticPr fontId="6" type="noConversion"/>
  <pageMargins left="0.75" right="0.75" top="1" bottom="1" header="0.5" footer="0.5"/>
  <pageSetup paperSize="9" orientation="portrait" horizontalDpi="180" verticalDpi="180" copies="0" r:id="rId1"/>
  <headerFooter alignWithMargins="0">
    <oddHeader>&amp;A</oddHeader>
    <oddFooter>第 &amp;P 頁</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F5304-8571-404C-B2FD-3C6DF1A6B17E}">
  <dimension ref="A1:D5"/>
  <sheetViews>
    <sheetView zoomScale="190" zoomScaleNormal="190" workbookViewId="0">
      <selection activeCell="D2" sqref="D2"/>
    </sheetView>
  </sheetViews>
  <sheetFormatPr defaultRowHeight="16.5"/>
  <cols>
    <col min="1" max="1" width="6" bestFit="1" customWidth="1"/>
    <col min="4" max="4" width="9.5" bestFit="1" customWidth="1"/>
    <col min="257" max="257" width="6" bestFit="1" customWidth="1"/>
    <col min="260" max="260" width="9.5" bestFit="1" customWidth="1"/>
    <col min="513" max="513" width="6" bestFit="1" customWidth="1"/>
    <col min="516" max="516" width="9.5" bestFit="1" customWidth="1"/>
    <col min="769" max="769" width="6" bestFit="1" customWidth="1"/>
    <col min="772" max="772" width="9.5" bestFit="1" customWidth="1"/>
    <col min="1025" max="1025" width="6" bestFit="1" customWidth="1"/>
    <col min="1028" max="1028" width="9.5" bestFit="1" customWidth="1"/>
    <col min="1281" max="1281" width="6" bestFit="1" customWidth="1"/>
    <col min="1284" max="1284" width="9.5" bestFit="1" customWidth="1"/>
    <col min="1537" max="1537" width="6" bestFit="1" customWidth="1"/>
    <col min="1540" max="1540" width="9.5" bestFit="1" customWidth="1"/>
    <col min="1793" max="1793" width="6" bestFit="1" customWidth="1"/>
    <col min="1796" max="1796" width="9.5" bestFit="1" customWidth="1"/>
    <col min="2049" max="2049" width="6" bestFit="1" customWidth="1"/>
    <col min="2052" max="2052" width="9.5" bestFit="1" customWidth="1"/>
    <col min="2305" max="2305" width="6" bestFit="1" customWidth="1"/>
    <col min="2308" max="2308" width="9.5" bestFit="1" customWidth="1"/>
    <col min="2561" max="2561" width="6" bestFit="1" customWidth="1"/>
    <col min="2564" max="2564" width="9.5" bestFit="1" customWidth="1"/>
    <col min="2817" max="2817" width="6" bestFit="1" customWidth="1"/>
    <col min="2820" max="2820" width="9.5" bestFit="1" customWidth="1"/>
    <col min="3073" max="3073" width="6" bestFit="1" customWidth="1"/>
    <col min="3076" max="3076" width="9.5" bestFit="1" customWidth="1"/>
    <col min="3329" max="3329" width="6" bestFit="1" customWidth="1"/>
    <col min="3332" max="3332" width="9.5" bestFit="1" customWidth="1"/>
    <col min="3585" max="3585" width="6" bestFit="1" customWidth="1"/>
    <col min="3588" max="3588" width="9.5" bestFit="1" customWidth="1"/>
    <col min="3841" max="3841" width="6" bestFit="1" customWidth="1"/>
    <col min="3844" max="3844" width="9.5" bestFit="1" customWidth="1"/>
    <col min="4097" max="4097" width="6" bestFit="1" customWidth="1"/>
    <col min="4100" max="4100" width="9.5" bestFit="1" customWidth="1"/>
    <col min="4353" max="4353" width="6" bestFit="1" customWidth="1"/>
    <col min="4356" max="4356" width="9.5" bestFit="1" customWidth="1"/>
    <col min="4609" max="4609" width="6" bestFit="1" customWidth="1"/>
    <col min="4612" max="4612" width="9.5" bestFit="1" customWidth="1"/>
    <col min="4865" max="4865" width="6" bestFit="1" customWidth="1"/>
    <col min="4868" max="4868" width="9.5" bestFit="1" customWidth="1"/>
    <col min="5121" max="5121" width="6" bestFit="1" customWidth="1"/>
    <col min="5124" max="5124" width="9.5" bestFit="1" customWidth="1"/>
    <col min="5377" max="5377" width="6" bestFit="1" customWidth="1"/>
    <col min="5380" max="5380" width="9.5" bestFit="1" customWidth="1"/>
    <col min="5633" max="5633" width="6" bestFit="1" customWidth="1"/>
    <col min="5636" max="5636" width="9.5" bestFit="1" customWidth="1"/>
    <col min="5889" max="5889" width="6" bestFit="1" customWidth="1"/>
    <col min="5892" max="5892" width="9.5" bestFit="1" customWidth="1"/>
    <col min="6145" max="6145" width="6" bestFit="1" customWidth="1"/>
    <col min="6148" max="6148" width="9.5" bestFit="1" customWidth="1"/>
    <col min="6401" max="6401" width="6" bestFit="1" customWidth="1"/>
    <col min="6404" max="6404" width="9.5" bestFit="1" customWidth="1"/>
    <col min="6657" max="6657" width="6" bestFit="1" customWidth="1"/>
    <col min="6660" max="6660" width="9.5" bestFit="1" customWidth="1"/>
    <col min="6913" max="6913" width="6" bestFit="1" customWidth="1"/>
    <col min="6916" max="6916" width="9.5" bestFit="1" customWidth="1"/>
    <col min="7169" max="7169" width="6" bestFit="1" customWidth="1"/>
    <col min="7172" max="7172" width="9.5" bestFit="1" customWidth="1"/>
    <col min="7425" max="7425" width="6" bestFit="1" customWidth="1"/>
    <col min="7428" max="7428" width="9.5" bestFit="1" customWidth="1"/>
    <col min="7681" max="7681" width="6" bestFit="1" customWidth="1"/>
    <col min="7684" max="7684" width="9.5" bestFit="1" customWidth="1"/>
    <col min="7937" max="7937" width="6" bestFit="1" customWidth="1"/>
    <col min="7940" max="7940" width="9.5" bestFit="1" customWidth="1"/>
    <col min="8193" max="8193" width="6" bestFit="1" customWidth="1"/>
    <col min="8196" max="8196" width="9.5" bestFit="1" customWidth="1"/>
    <col min="8449" max="8449" width="6" bestFit="1" customWidth="1"/>
    <col min="8452" max="8452" width="9.5" bestFit="1" customWidth="1"/>
    <col min="8705" max="8705" width="6" bestFit="1" customWidth="1"/>
    <col min="8708" max="8708" width="9.5" bestFit="1" customWidth="1"/>
    <col min="8961" max="8961" width="6" bestFit="1" customWidth="1"/>
    <col min="8964" max="8964" width="9.5" bestFit="1" customWidth="1"/>
    <col min="9217" max="9217" width="6" bestFit="1" customWidth="1"/>
    <col min="9220" max="9220" width="9.5" bestFit="1" customWidth="1"/>
    <col min="9473" max="9473" width="6" bestFit="1" customWidth="1"/>
    <col min="9476" max="9476" width="9.5" bestFit="1" customWidth="1"/>
    <col min="9729" max="9729" width="6" bestFit="1" customWidth="1"/>
    <col min="9732" max="9732" width="9.5" bestFit="1" customWidth="1"/>
    <col min="9985" max="9985" width="6" bestFit="1" customWidth="1"/>
    <col min="9988" max="9988" width="9.5" bestFit="1" customWidth="1"/>
    <col min="10241" max="10241" width="6" bestFit="1" customWidth="1"/>
    <col min="10244" max="10244" width="9.5" bestFit="1" customWidth="1"/>
    <col min="10497" max="10497" width="6" bestFit="1" customWidth="1"/>
    <col min="10500" max="10500" width="9.5" bestFit="1" customWidth="1"/>
    <col min="10753" max="10753" width="6" bestFit="1" customWidth="1"/>
    <col min="10756" max="10756" width="9.5" bestFit="1" customWidth="1"/>
    <col min="11009" max="11009" width="6" bestFit="1" customWidth="1"/>
    <col min="11012" max="11012" width="9.5" bestFit="1" customWidth="1"/>
    <col min="11265" max="11265" width="6" bestFit="1" customWidth="1"/>
    <col min="11268" max="11268" width="9.5" bestFit="1" customWidth="1"/>
    <col min="11521" max="11521" width="6" bestFit="1" customWidth="1"/>
    <col min="11524" max="11524" width="9.5" bestFit="1" customWidth="1"/>
    <col min="11777" max="11777" width="6" bestFit="1" customWidth="1"/>
    <col min="11780" max="11780" width="9.5" bestFit="1" customWidth="1"/>
    <col min="12033" max="12033" width="6" bestFit="1" customWidth="1"/>
    <col min="12036" max="12036" width="9.5" bestFit="1" customWidth="1"/>
    <col min="12289" max="12289" width="6" bestFit="1" customWidth="1"/>
    <col min="12292" max="12292" width="9.5" bestFit="1" customWidth="1"/>
    <col min="12545" max="12545" width="6" bestFit="1" customWidth="1"/>
    <col min="12548" max="12548" width="9.5" bestFit="1" customWidth="1"/>
    <col min="12801" max="12801" width="6" bestFit="1" customWidth="1"/>
    <col min="12804" max="12804" width="9.5" bestFit="1" customWidth="1"/>
    <col min="13057" max="13057" width="6" bestFit="1" customWidth="1"/>
    <col min="13060" max="13060" width="9.5" bestFit="1" customWidth="1"/>
    <col min="13313" max="13313" width="6" bestFit="1" customWidth="1"/>
    <col min="13316" max="13316" width="9.5" bestFit="1" customWidth="1"/>
    <col min="13569" max="13569" width="6" bestFit="1" customWidth="1"/>
    <col min="13572" max="13572" width="9.5" bestFit="1" customWidth="1"/>
    <col min="13825" max="13825" width="6" bestFit="1" customWidth="1"/>
    <col min="13828" max="13828" width="9.5" bestFit="1" customWidth="1"/>
    <col min="14081" max="14081" width="6" bestFit="1" customWidth="1"/>
    <col min="14084" max="14084" width="9.5" bestFit="1" customWidth="1"/>
    <col min="14337" max="14337" width="6" bestFit="1" customWidth="1"/>
    <col min="14340" max="14340" width="9.5" bestFit="1" customWidth="1"/>
    <col min="14593" max="14593" width="6" bestFit="1" customWidth="1"/>
    <col min="14596" max="14596" width="9.5" bestFit="1" customWidth="1"/>
    <col min="14849" max="14849" width="6" bestFit="1" customWidth="1"/>
    <col min="14852" max="14852" width="9.5" bestFit="1" customWidth="1"/>
    <col min="15105" max="15105" width="6" bestFit="1" customWidth="1"/>
    <col min="15108" max="15108" width="9.5" bestFit="1" customWidth="1"/>
    <col min="15361" max="15361" width="6" bestFit="1" customWidth="1"/>
    <col min="15364" max="15364" width="9.5" bestFit="1" customWidth="1"/>
    <col min="15617" max="15617" width="6" bestFit="1" customWidth="1"/>
    <col min="15620" max="15620" width="9.5" bestFit="1" customWidth="1"/>
    <col min="15873" max="15873" width="6" bestFit="1" customWidth="1"/>
    <col min="15876" max="15876" width="9.5" bestFit="1" customWidth="1"/>
    <col min="16129" max="16129" width="6" bestFit="1" customWidth="1"/>
    <col min="16132" max="16132" width="9.5" bestFit="1" customWidth="1"/>
  </cols>
  <sheetData>
    <row r="1" spans="1:4">
      <c r="A1" s="122" t="s">
        <v>45</v>
      </c>
      <c r="B1" s="122" t="s">
        <v>231</v>
      </c>
    </row>
    <row r="2" spans="1:4">
      <c r="A2" s="123">
        <v>1</v>
      </c>
      <c r="B2" s="123" t="s">
        <v>232</v>
      </c>
      <c r="C2" s="124">
        <v>1</v>
      </c>
      <c r="D2" t="str">
        <f>CHOOSE(C2,B2,B3,B4,B5)</f>
        <v>釘子</v>
      </c>
    </row>
    <row r="3" spans="1:4">
      <c r="A3" s="123">
        <v>2</v>
      </c>
      <c r="B3" s="123" t="s">
        <v>233</v>
      </c>
    </row>
    <row r="4" spans="1:4">
      <c r="A4" s="123">
        <v>3</v>
      </c>
      <c r="B4" s="123" t="s">
        <v>234</v>
      </c>
    </row>
    <row r="5" spans="1:4">
      <c r="A5" s="123">
        <v>4</v>
      </c>
      <c r="B5" s="123" t="s">
        <v>235</v>
      </c>
    </row>
  </sheetData>
  <phoneticPr fontId="2" type="noConversion"/>
  <pageMargins left="0.75" right="0.75" top="1" bottom="1" header="0.5" footer="0.5"/>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3073" r:id="rId3" name="Spinner 1">
              <controlPr defaultSize="0" autoPict="0">
                <anchor moveWithCells="1" sizeWithCells="1">
                  <from>
                    <xdr:col>2</xdr:col>
                    <xdr:colOff>533400</xdr:colOff>
                    <xdr:row>1</xdr:row>
                    <xdr:rowOff>9525</xdr:rowOff>
                  </from>
                  <to>
                    <xdr:col>3</xdr:col>
                    <xdr:colOff>9525</xdr:colOff>
                    <xdr:row>2</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E9CEA-7417-4FC6-BD19-8B22215FF22A}">
  <dimension ref="A1:F8"/>
  <sheetViews>
    <sheetView zoomScale="160" zoomScaleNormal="160" workbookViewId="0">
      <selection activeCell="B2" sqref="B2"/>
    </sheetView>
  </sheetViews>
  <sheetFormatPr defaultRowHeight="16.5"/>
  <cols>
    <col min="1" max="1" width="9" style="58"/>
    <col min="2" max="2" width="9.5" style="58" bestFit="1" customWidth="1"/>
    <col min="3" max="3" width="9" style="58"/>
    <col min="4" max="4" width="12.75" style="58" bestFit="1" customWidth="1"/>
    <col min="5" max="16384" width="9" style="58"/>
  </cols>
  <sheetData>
    <row r="1" spans="1:6">
      <c r="A1" s="58" t="s">
        <v>288</v>
      </c>
      <c r="B1" s="138">
        <v>36560</v>
      </c>
      <c r="D1" s="58" t="s">
        <v>289</v>
      </c>
      <c r="E1" s="139">
        <f>MOD(B1,7)</f>
        <v>6</v>
      </c>
      <c r="F1" s="140" t="s">
        <v>290</v>
      </c>
    </row>
    <row r="2" spans="1:6">
      <c r="A2" s="58" t="s">
        <v>228</v>
      </c>
      <c r="B2" s="139" t="str">
        <f>CHOOSE(MOD(B1,7)+1,"六","日","一","二","三","四","五")</f>
        <v>五</v>
      </c>
    </row>
    <row r="4" spans="1:6">
      <c r="B4" s="141">
        <f>B1</f>
        <v>36560</v>
      </c>
      <c r="C4" s="140" t="s">
        <v>291</v>
      </c>
    </row>
    <row r="6" spans="1:6">
      <c r="A6" s="142" t="s">
        <v>292</v>
      </c>
    </row>
    <row r="7" spans="1:6">
      <c r="A7" s="58" t="s">
        <v>288</v>
      </c>
      <c r="B7" s="138">
        <v>36560</v>
      </c>
      <c r="D7" s="58" t="s">
        <v>289</v>
      </c>
    </row>
    <row r="8" spans="1:6">
      <c r="A8" s="58" t="s">
        <v>228</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BF104-7520-4824-990B-479944E3DE46}">
  <dimension ref="A1:J10"/>
  <sheetViews>
    <sheetView zoomScale="130" zoomScaleNormal="130" workbookViewId="0">
      <selection activeCell="F2" sqref="F2"/>
    </sheetView>
  </sheetViews>
  <sheetFormatPr defaultRowHeight="16.5"/>
  <cols>
    <col min="1" max="16384" width="9" style="58"/>
  </cols>
  <sheetData>
    <row r="1" spans="1:10">
      <c r="A1" s="143" t="s">
        <v>293</v>
      </c>
      <c r="B1" s="143" t="s">
        <v>3</v>
      </c>
      <c r="C1" s="144" t="s">
        <v>294</v>
      </c>
      <c r="D1" s="144" t="s">
        <v>295</v>
      </c>
      <c r="E1" s="143" t="s">
        <v>296</v>
      </c>
      <c r="F1" s="58" t="s">
        <v>464</v>
      </c>
    </row>
    <row r="2" spans="1:10">
      <c r="A2" s="145">
        <v>1201</v>
      </c>
      <c r="B2" s="58" t="s">
        <v>297</v>
      </c>
      <c r="C2" s="146">
        <v>1362580</v>
      </c>
      <c r="D2" s="146">
        <f>CHOOSE(MATCH(C2,{0,1000000,2000000},1),1%,1.5%,3%)*C2</f>
        <v>20438.7</v>
      </c>
      <c r="E2" s="58" t="str">
        <f>CHOOSE(MATCH(C2,{0,1000000,2000000},1),"待加強","尚可","優等")</f>
        <v>尚可</v>
      </c>
      <c r="F2" s="58" t="str">
        <f>VLOOKUP(C2,$H$3:$I$5,2,1)</f>
        <v>尚可</v>
      </c>
      <c r="H2" s="221" t="s">
        <v>463</v>
      </c>
      <c r="I2" s="221" t="s">
        <v>459</v>
      </c>
    </row>
    <row r="3" spans="1:10">
      <c r="A3" s="145">
        <v>1203</v>
      </c>
      <c r="B3" s="58" t="s">
        <v>298</v>
      </c>
      <c r="C3" s="146">
        <v>687200</v>
      </c>
      <c r="D3" s="146">
        <f>CHOOSE(MATCH(C3,{0,1000000,2000000},1),1%,1.5%,3%)*C3</f>
        <v>6872</v>
      </c>
      <c r="E3" s="58" t="str">
        <f>CHOOSE(MATCH(C3,{0,1000000,2000000},1),"待加強","尚可","優等")</f>
        <v>待加強</v>
      </c>
      <c r="F3" s="58" t="str">
        <f>VLOOKUP(C3,$H$3:$I$5,2,1)</f>
        <v>待加強</v>
      </c>
      <c r="H3" s="221">
        <v>0</v>
      </c>
      <c r="I3" s="221" t="s">
        <v>461</v>
      </c>
    </row>
    <row r="4" spans="1:10">
      <c r="A4" s="145">
        <v>1208</v>
      </c>
      <c r="B4" s="58" t="s">
        <v>299</v>
      </c>
      <c r="C4" s="146">
        <v>2586950</v>
      </c>
      <c r="D4" s="146">
        <f>CHOOSE(MATCH(C4,{0,1000000,2000000},1),1%,1.5%,3%)*C4</f>
        <v>77608.5</v>
      </c>
      <c r="E4" s="58" t="str">
        <f>CHOOSE(MATCH(C4,{0,1000000,2000000},1),"待加強","尚可","優等")</f>
        <v>優等</v>
      </c>
      <c r="F4" s="58" t="str">
        <f>VLOOKUP(C4,$H$3:$I$5,2,1)</f>
        <v>優等</v>
      </c>
      <c r="H4" s="221">
        <v>1000000</v>
      </c>
      <c r="I4" s="221" t="s">
        <v>460</v>
      </c>
    </row>
    <row r="5" spans="1:10">
      <c r="A5" s="145">
        <v>1218</v>
      </c>
      <c r="B5" s="58" t="s">
        <v>300</v>
      </c>
      <c r="C5" s="146">
        <v>747000</v>
      </c>
      <c r="D5" s="146">
        <f>CHOOSE(MATCH(C5,{0,1000000,2000000},1),1%,1.5%,3%)*C5</f>
        <v>7470</v>
      </c>
      <c r="E5" s="58" t="str">
        <f>CHOOSE(MATCH(C5,{0,1000000,2000000},1),"待加強","尚可","優等")</f>
        <v>待加強</v>
      </c>
      <c r="F5" s="58" t="str">
        <f>VLOOKUP(C5,$H$3:$I$5,2,1)</f>
        <v>待加強</v>
      </c>
      <c r="H5" s="221">
        <v>2000000</v>
      </c>
      <c r="I5" s="221" t="s">
        <v>462</v>
      </c>
      <c r="J5"/>
    </row>
    <row r="6" spans="1:10">
      <c r="A6" s="145">
        <v>1220</v>
      </c>
      <c r="B6" s="58" t="s">
        <v>301</v>
      </c>
      <c r="C6" s="146">
        <v>4389750</v>
      </c>
      <c r="D6" s="146">
        <f>CHOOSE(MATCH(C6,{0,1000000,2000000},1),1%,1.5%,3%)*C6</f>
        <v>131692.5</v>
      </c>
      <c r="E6" s="58" t="str">
        <f>CHOOSE(MATCH(C6,{0,1000000,2000000},1),"待加強","尚可","優等")</f>
        <v>優等</v>
      </c>
      <c r="F6" s="58" t="str">
        <f>VLOOKUP(C6,$H$3:$I$5,2,1)</f>
        <v>優等</v>
      </c>
      <c r="J6"/>
    </row>
    <row r="7" spans="1:10">
      <c r="A7" s="145">
        <v>1316</v>
      </c>
      <c r="B7" s="58" t="s">
        <v>302</v>
      </c>
      <c r="C7" s="146">
        <v>2556000</v>
      </c>
      <c r="D7" s="146">
        <f>CHOOSE(MATCH(C7,{0,1000000,2000000},1),1%,1.5%,3%)*C7</f>
        <v>76680</v>
      </c>
      <c r="E7" s="58" t="str">
        <f>CHOOSE(MATCH(C7,{0,1000000,2000000},1),"待加強","尚可","優等")</f>
        <v>優等</v>
      </c>
      <c r="F7" s="58" t="str">
        <f>VLOOKUP(C7,$H$3:$I$5,2,1)</f>
        <v>優等</v>
      </c>
      <c r="J7"/>
    </row>
    <row r="8" spans="1:10">
      <c r="A8" s="145">
        <v>1318</v>
      </c>
      <c r="B8" s="58" t="s">
        <v>303</v>
      </c>
      <c r="C8" s="146">
        <v>648000</v>
      </c>
      <c r="D8" s="146">
        <f>CHOOSE(MATCH(C8,{0,1000000,2000000},1),1%,1.5%,3%)*C8</f>
        <v>6480</v>
      </c>
      <c r="E8" s="58" t="str">
        <f>CHOOSE(MATCH(C8,{0,1000000,2000000},1),"待加強","尚可","優等")</f>
        <v>待加強</v>
      </c>
      <c r="F8" s="58" t="str">
        <f>VLOOKUP(C8,$H$3:$I$5,2,1)</f>
        <v>待加強</v>
      </c>
      <c r="J8"/>
    </row>
    <row r="9" spans="1:10">
      <c r="A9" s="145">
        <v>1440</v>
      </c>
      <c r="B9" s="58" t="s">
        <v>304</v>
      </c>
      <c r="C9" s="146">
        <v>125000</v>
      </c>
      <c r="D9" s="146">
        <f>CHOOSE(MATCH(C9,{0,1000000,2000000},1),1%,1.5%,3%)*C9</f>
        <v>1250</v>
      </c>
      <c r="E9" s="58" t="str">
        <f>CHOOSE(MATCH(C9,{0,1000000,2000000},1),"待加強","尚可","優等")</f>
        <v>待加強</v>
      </c>
      <c r="F9" s="58" t="str">
        <f>VLOOKUP(C9,$H$3:$I$5,2,1)</f>
        <v>待加強</v>
      </c>
      <c r="J9"/>
    </row>
    <row r="10" spans="1:10" ht="17.25" thickBot="1">
      <c r="A10" s="147">
        <v>1452</v>
      </c>
      <c r="B10" s="148" t="s">
        <v>305</v>
      </c>
      <c r="C10" s="149">
        <v>6890000</v>
      </c>
      <c r="D10" s="149">
        <f>CHOOSE(MATCH(C10,{0,1000000,2000000},1),1%,1.5%,3%)*C10</f>
        <v>206700</v>
      </c>
      <c r="E10" s="148" t="str">
        <f>CHOOSE(MATCH(C10,{0,1000000,2000000},1),"待加強","尚可","優等")</f>
        <v>優等</v>
      </c>
      <c r="F10" s="58" t="str">
        <f>VLOOKUP(C10,$H$3:$I$5,2,1)</f>
        <v>優等</v>
      </c>
      <c r="J10"/>
    </row>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9C1FF-D3F9-4AFC-9C56-4790ABD5E78A}">
  <dimension ref="A1:P15"/>
  <sheetViews>
    <sheetView topLeftCell="B1" zoomScale="130" zoomScaleNormal="130" workbookViewId="0">
      <selection activeCell="M10" sqref="M10"/>
    </sheetView>
  </sheetViews>
  <sheetFormatPr defaultRowHeight="16.5"/>
  <cols>
    <col min="1" max="1" width="10.5" style="58" bestFit="1" customWidth="1"/>
    <col min="2" max="2" width="7" style="58" bestFit="1" customWidth="1"/>
    <col min="3" max="3" width="6.25" style="58" bestFit="1" customWidth="1"/>
    <col min="4" max="4" width="7.5" style="58" bestFit="1" customWidth="1"/>
    <col min="5" max="7" width="6.25" style="58" bestFit="1" customWidth="1"/>
    <col min="8" max="16384" width="9" style="58"/>
  </cols>
  <sheetData>
    <row r="1" spans="1:16">
      <c r="B1" s="150" t="s">
        <v>306</v>
      </c>
      <c r="C1" s="150" t="s">
        <v>307</v>
      </c>
      <c r="D1" s="150" t="s">
        <v>308</v>
      </c>
      <c r="E1" s="150" t="s">
        <v>309</v>
      </c>
      <c r="F1" s="150" t="s">
        <v>310</v>
      </c>
      <c r="G1" s="150" t="s">
        <v>311</v>
      </c>
      <c r="K1" s="150" t="s">
        <v>306</v>
      </c>
      <c r="L1" s="150" t="s">
        <v>307</v>
      </c>
      <c r="M1" s="150" t="s">
        <v>308</v>
      </c>
      <c r="N1" s="150" t="s">
        <v>309</v>
      </c>
      <c r="O1" s="150" t="s">
        <v>310</v>
      </c>
      <c r="P1" s="150" t="s">
        <v>311</v>
      </c>
    </row>
    <row r="2" spans="1:16">
      <c r="A2" s="151" t="s">
        <v>312</v>
      </c>
      <c r="B2" s="146">
        <v>3600</v>
      </c>
      <c r="C2" s="146">
        <v>4200</v>
      </c>
      <c r="D2" s="146">
        <v>5500</v>
      </c>
      <c r="E2" s="146">
        <v>4800</v>
      </c>
      <c r="F2" s="146">
        <v>4500</v>
      </c>
      <c r="G2" s="146">
        <v>3800</v>
      </c>
      <c r="J2" s="151" t="s">
        <v>312</v>
      </c>
      <c r="K2" s="146">
        <v>3600</v>
      </c>
      <c r="L2" s="146">
        <v>4200</v>
      </c>
      <c r="M2" s="146">
        <v>5500</v>
      </c>
      <c r="N2" s="146">
        <v>4800</v>
      </c>
      <c r="O2" s="146">
        <v>4500</v>
      </c>
      <c r="P2" s="146">
        <v>3800</v>
      </c>
    </row>
    <row r="3" spans="1:16">
      <c r="A3" s="151" t="s">
        <v>313</v>
      </c>
      <c r="B3" s="146">
        <v>2400</v>
      </c>
      <c r="C3" s="146">
        <v>2600</v>
      </c>
      <c r="D3" s="146">
        <v>2550</v>
      </c>
      <c r="E3" s="146">
        <v>3000</v>
      </c>
      <c r="F3" s="146">
        <v>3800</v>
      </c>
      <c r="G3" s="146">
        <v>4000</v>
      </c>
      <c r="J3" s="151" t="s">
        <v>313</v>
      </c>
      <c r="K3" s="146">
        <v>2400</v>
      </c>
      <c r="L3" s="146">
        <v>2600</v>
      </c>
      <c r="M3" s="146">
        <v>2550</v>
      </c>
      <c r="N3" s="146">
        <v>3000</v>
      </c>
      <c r="O3" s="146">
        <v>3800</v>
      </c>
      <c r="P3" s="146">
        <v>4000</v>
      </c>
    </row>
    <row r="4" spans="1:16">
      <c r="A4" s="151" t="s">
        <v>314</v>
      </c>
      <c r="B4" s="146">
        <v>2500</v>
      </c>
      <c r="C4" s="146">
        <v>2000</v>
      </c>
      <c r="D4" s="146">
        <v>3650</v>
      </c>
      <c r="E4" s="146">
        <v>4200</v>
      </c>
      <c r="F4" s="146">
        <v>6400</v>
      </c>
      <c r="G4" s="146">
        <v>8000</v>
      </c>
      <c r="J4" s="151" t="s">
        <v>314</v>
      </c>
      <c r="K4" s="146">
        <v>2500</v>
      </c>
      <c r="L4" s="146">
        <v>2000</v>
      </c>
      <c r="M4" s="146">
        <v>3650</v>
      </c>
      <c r="N4" s="146">
        <v>4200</v>
      </c>
      <c r="O4" s="146">
        <v>6400</v>
      </c>
      <c r="P4" s="146">
        <v>8000</v>
      </c>
    </row>
    <row r="5" spans="1:16">
      <c r="B5" s="146"/>
      <c r="C5" s="146"/>
      <c r="D5" s="146"/>
      <c r="E5" s="146"/>
      <c r="F5" s="146"/>
      <c r="G5" s="146"/>
      <c r="K5" s="146"/>
      <c r="L5" s="146"/>
      <c r="M5" s="146"/>
      <c r="N5" s="146"/>
      <c r="O5" s="146"/>
      <c r="P5" s="146"/>
    </row>
    <row r="6" spans="1:16">
      <c r="A6" s="151" t="s">
        <v>315</v>
      </c>
      <c r="B6" s="91" t="s">
        <v>307</v>
      </c>
      <c r="J6" s="151" t="s">
        <v>315</v>
      </c>
      <c r="K6" s="91" t="s">
        <v>307</v>
      </c>
    </row>
    <row r="7" spans="1:16">
      <c r="A7" s="151" t="s">
        <v>316</v>
      </c>
      <c r="B7" s="152">
        <f>SUM(CHOOSE(MATCH(B6,B1:G1,0),B2:B4,C2:C4,D2:D4,E2:E4,F2:F4,G2:G4))</f>
        <v>8800</v>
      </c>
      <c r="J7" s="151" t="s">
        <v>316</v>
      </c>
      <c r="K7" s="152">
        <f ca="1">SUM(INDIRECT(K6))</f>
        <v>8800</v>
      </c>
    </row>
    <row r="9" spans="1:16">
      <c r="A9" s="151" t="s">
        <v>317</v>
      </c>
      <c r="B9" s="152">
        <f>MAX(CHOOSE(MATCH(B6,B1:G1,0),B2:B4,C2:C4,D2:D4,E2:E4,F2:F4,G2:G4))</f>
        <v>4200</v>
      </c>
      <c r="C9" s="151" t="s">
        <v>268</v>
      </c>
      <c r="D9" s="139" t="str">
        <f>INDEX(A2:A4,MATCH(B9,CHOOSE(MATCH(B6,B1:G1,0),B2:B4,C2:C4,D2:D4,E2:E4,F2:F4,G2:G4),0))</f>
        <v>電視</v>
      </c>
      <c r="J9" s="151" t="s">
        <v>317</v>
      </c>
      <c r="K9" s="152">
        <f ca="1">MAX(INDIRECT(K6))</f>
        <v>4200</v>
      </c>
      <c r="L9" s="151" t="s">
        <v>268</v>
      </c>
      <c r="M9" s="139" t="str">
        <f ca="1">INDEX(J2:J4,MATCH(K9,INDIRECT($K$6),0),1)</f>
        <v>電視</v>
      </c>
    </row>
    <row r="10" spans="1:16">
      <c r="A10" s="151" t="s">
        <v>318</v>
      </c>
      <c r="B10" s="152">
        <f>MIN(CHOOSE(MATCH(B6,B1:G1,0),B2:B4,C2:C4,D2:D4,E2:E4,F2:F4,G2:G4))</f>
        <v>2000</v>
      </c>
      <c r="C10" s="151" t="s">
        <v>268</v>
      </c>
      <c r="D10" s="139" t="str">
        <f>CHOOSE(MATCH(B10,CHOOSE(MATCH(B6,B1:G1,0),B2:B4,C2:C4,D2:D4,E2:E4,F2:F4,G2:G4),0),"電視","電冰箱","冷氣機")</f>
        <v>冷氣機</v>
      </c>
      <c r="J10" s="151" t="s">
        <v>318</v>
      </c>
      <c r="K10" s="152">
        <f ca="1">MIN(INDIRECT(K6))</f>
        <v>2000</v>
      </c>
      <c r="L10" s="151" t="s">
        <v>268</v>
      </c>
      <c r="M10" s="139" t="str">
        <f ca="1">INDEX($J$2:$J$4,MATCH(K10,INDIRECT($K$6),0),1)</f>
        <v>冷氣機</v>
      </c>
    </row>
    <row r="13" spans="1:16">
      <c r="K13" s="58" t="s">
        <v>311</v>
      </c>
    </row>
    <row r="14" spans="1:16">
      <c r="K14" s="58" t="s">
        <v>313</v>
      </c>
    </row>
    <row r="15" spans="1:16">
      <c r="K15" s="58">
        <f>INDEX(K2:P4,MATCH(K14,J2:J4,0),MATCH(K13,K1:P1,0))</f>
        <v>4000</v>
      </c>
    </row>
  </sheetData>
  <phoneticPr fontId="2" type="noConversion"/>
  <dataValidations count="3">
    <dataValidation type="list" allowBlank="1" showInputMessage="1" showErrorMessage="1" sqref="B6 K6" xr:uid="{C54F2536-CCB0-4AC9-ADA8-4A8FEE060D8B}">
      <formula1>$B$1:$G$1</formula1>
    </dataValidation>
    <dataValidation type="list" allowBlank="1" showInputMessage="1" showErrorMessage="1" sqref="K13" xr:uid="{5758815C-8E60-4CDC-8CB8-4F2759D46B26}">
      <formula1>$K$1:$P$1</formula1>
    </dataValidation>
    <dataValidation type="list" allowBlank="1" showInputMessage="1" showErrorMessage="1" sqref="K14" xr:uid="{7BE5D8C3-90C0-49D8-A3C5-1A3B117BE225}">
      <formula1>$J$2:$J$4</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54A9F-0668-4CE1-BA86-975793230231}">
  <dimension ref="A1:O118"/>
  <sheetViews>
    <sheetView zoomScale="160" zoomScaleNormal="160" workbookViewId="0">
      <selection activeCell="E2" sqref="E2"/>
    </sheetView>
  </sheetViews>
  <sheetFormatPr defaultRowHeight="16.5"/>
  <cols>
    <col min="1" max="1" width="4.875" style="153" customWidth="1"/>
    <col min="2" max="2" width="4.875" style="154" customWidth="1"/>
    <col min="3" max="3" width="11.25" style="156" customWidth="1"/>
    <col min="4" max="4" width="10" style="156" bestFit="1" customWidth="1"/>
    <col min="5" max="5" width="14.625" style="154" customWidth="1"/>
    <col min="6" max="6" width="14.375" style="154" bestFit="1" customWidth="1"/>
    <col min="7" max="7" width="9.125" style="156" customWidth="1"/>
    <col min="8" max="8" width="9.875" style="157" customWidth="1"/>
    <col min="9" max="9" width="9.625" style="158" bestFit="1" customWidth="1"/>
    <col min="10" max="10" width="10" style="154" bestFit="1" customWidth="1"/>
    <col min="11" max="11" width="9" style="154"/>
    <col min="12" max="12" width="9.125" style="154" customWidth="1"/>
    <col min="13" max="16384" width="9" style="154"/>
  </cols>
  <sheetData>
    <row r="1" spans="1:15">
      <c r="C1" s="155" t="s">
        <v>319</v>
      </c>
      <c r="D1" s="155" t="s">
        <v>320</v>
      </c>
      <c r="E1" s="155" t="s">
        <v>457</v>
      </c>
    </row>
    <row r="2" spans="1:15" ht="17.25" customHeight="1">
      <c r="A2" s="154"/>
      <c r="C2" s="159">
        <v>1011</v>
      </c>
      <c r="D2" s="160" t="str">
        <f>VLOOKUP(C2,CHOOSE({1,2,3,4,5},工號,部門,職稱,姓名,學歷),4,FALSE)</f>
        <v>黃宗鑫</v>
      </c>
      <c r="E2" s="156" t="str">
        <f>_xlfn.XLOOKUP(C2,工號,姓名)</f>
        <v>黃宗鑫</v>
      </c>
      <c r="F2" s="161" t="s">
        <v>321</v>
      </c>
      <c r="H2" s="162"/>
      <c r="I2" s="154"/>
      <c r="J2" s="163"/>
      <c r="N2" s="191"/>
    </row>
    <row r="3" spans="1:15" ht="17.25" customHeight="1">
      <c r="A3" s="164"/>
      <c r="C3" s="163"/>
      <c r="H3" s="162"/>
      <c r="I3" s="154"/>
      <c r="L3" s="165"/>
    </row>
    <row r="4" spans="1:15" s="156" customFormat="1" ht="17.25" customHeight="1">
      <c r="A4" s="165"/>
      <c r="C4" s="166" t="s">
        <v>5</v>
      </c>
      <c r="D4" s="166" t="s">
        <v>4</v>
      </c>
      <c r="E4" s="166" t="s">
        <v>3</v>
      </c>
      <c r="F4" s="166" t="s">
        <v>6</v>
      </c>
      <c r="G4" s="168" t="s">
        <v>7</v>
      </c>
      <c r="H4" s="169" t="s">
        <v>0</v>
      </c>
      <c r="I4" s="167" t="s">
        <v>319</v>
      </c>
      <c r="J4" s="166" t="s">
        <v>8</v>
      </c>
      <c r="K4" s="166" t="s">
        <v>322</v>
      </c>
      <c r="L4" s="170" t="s">
        <v>323</v>
      </c>
      <c r="M4" s="163"/>
      <c r="O4" s="192"/>
    </row>
    <row r="5" spans="1:15" ht="17.25" customHeight="1">
      <c r="C5" s="171" t="s">
        <v>387</v>
      </c>
      <c r="D5" s="171" t="s">
        <v>432</v>
      </c>
      <c r="E5" s="181" t="s">
        <v>439</v>
      </c>
      <c r="F5" s="175" t="s">
        <v>20</v>
      </c>
      <c r="G5" s="176">
        <v>27597.85</v>
      </c>
      <c r="H5" s="177">
        <v>31811</v>
      </c>
      <c r="I5" s="174">
        <v>1011</v>
      </c>
      <c r="J5" s="177">
        <v>24067</v>
      </c>
      <c r="K5" s="172" t="s">
        <v>337</v>
      </c>
      <c r="L5" s="178" t="s">
        <v>350</v>
      </c>
    </row>
    <row r="6" spans="1:15" ht="18.75">
      <c r="A6" s="179"/>
      <c r="C6" s="171" t="s">
        <v>14</v>
      </c>
      <c r="D6" s="171" t="s">
        <v>34</v>
      </c>
      <c r="E6" s="181" t="s">
        <v>33</v>
      </c>
      <c r="F6" s="180" t="s">
        <v>15</v>
      </c>
      <c r="G6" s="176">
        <v>43394.15</v>
      </c>
      <c r="H6" s="177">
        <v>31803</v>
      </c>
      <c r="I6" s="174">
        <v>1012</v>
      </c>
      <c r="J6" s="177">
        <v>24078</v>
      </c>
      <c r="K6" s="172" t="s">
        <v>358</v>
      </c>
      <c r="L6" s="178" t="s">
        <v>335</v>
      </c>
      <c r="O6" s="192"/>
    </row>
    <row r="7" spans="1:15">
      <c r="C7" s="171" t="s">
        <v>360</v>
      </c>
      <c r="D7" s="173" t="s">
        <v>13</v>
      </c>
      <c r="E7" s="172" t="s">
        <v>434</v>
      </c>
      <c r="F7" s="180" t="s">
        <v>15</v>
      </c>
      <c r="G7" s="176">
        <v>28043.68</v>
      </c>
      <c r="H7" s="177">
        <v>34075</v>
      </c>
      <c r="I7" s="174">
        <v>1013</v>
      </c>
      <c r="J7" s="177">
        <v>24132</v>
      </c>
      <c r="K7" s="172" t="s">
        <v>330</v>
      </c>
      <c r="L7" s="178" t="s">
        <v>335</v>
      </c>
    </row>
    <row r="8" spans="1:15">
      <c r="C8" s="171" t="s">
        <v>398</v>
      </c>
      <c r="D8" s="171" t="s">
        <v>449</v>
      </c>
      <c r="E8" s="172" t="s">
        <v>448</v>
      </c>
      <c r="F8" s="175" t="s">
        <v>20</v>
      </c>
      <c r="G8" s="176">
        <v>25176.06</v>
      </c>
      <c r="H8" s="177">
        <v>33709</v>
      </c>
      <c r="I8" s="174">
        <v>1014</v>
      </c>
      <c r="J8" s="177">
        <v>25058</v>
      </c>
      <c r="K8" s="172" t="s">
        <v>343</v>
      </c>
      <c r="L8" s="178" t="s">
        <v>350</v>
      </c>
    </row>
    <row r="9" spans="1:15">
      <c r="C9" s="171" t="s">
        <v>332</v>
      </c>
      <c r="D9" s="173" t="s">
        <v>13</v>
      </c>
      <c r="E9" s="181" t="s">
        <v>447</v>
      </c>
      <c r="F9" s="175" t="s">
        <v>20</v>
      </c>
      <c r="G9" s="176">
        <v>26040.560000000001</v>
      </c>
      <c r="H9" s="177">
        <v>33701</v>
      </c>
      <c r="I9" s="174">
        <v>1015</v>
      </c>
      <c r="J9" s="177">
        <v>25069</v>
      </c>
      <c r="K9" s="172" t="s">
        <v>337</v>
      </c>
      <c r="L9" s="178" t="s">
        <v>331</v>
      </c>
    </row>
    <row r="10" spans="1:15">
      <c r="A10" s="179"/>
      <c r="C10" s="171" t="s">
        <v>324</v>
      </c>
      <c r="D10" s="173" t="s">
        <v>326</v>
      </c>
      <c r="E10" s="172" t="s">
        <v>325</v>
      </c>
      <c r="F10" s="175" t="s">
        <v>20</v>
      </c>
      <c r="G10" s="176">
        <v>116511.36</v>
      </c>
      <c r="H10" s="177">
        <v>29518</v>
      </c>
      <c r="I10" s="174">
        <v>1016</v>
      </c>
      <c r="J10" s="177">
        <v>14116</v>
      </c>
      <c r="K10" s="172" t="s">
        <v>327</v>
      </c>
      <c r="L10" s="178" t="s">
        <v>328</v>
      </c>
    </row>
    <row r="11" spans="1:15">
      <c r="C11" s="171" t="s">
        <v>398</v>
      </c>
      <c r="D11" s="171" t="s">
        <v>400</v>
      </c>
      <c r="E11" s="172" t="s">
        <v>403</v>
      </c>
      <c r="F11" s="180" t="s">
        <v>17</v>
      </c>
      <c r="G11" s="176">
        <v>36939.839999999997</v>
      </c>
      <c r="H11" s="177">
        <v>32405</v>
      </c>
      <c r="I11" s="174">
        <v>1017</v>
      </c>
      <c r="J11" s="177">
        <v>22919</v>
      </c>
      <c r="K11" s="172" t="s">
        <v>337</v>
      </c>
      <c r="L11" s="178" t="s">
        <v>359</v>
      </c>
    </row>
    <row r="12" spans="1:15">
      <c r="C12" s="171" t="s">
        <v>14</v>
      </c>
      <c r="D12" s="171" t="s">
        <v>34</v>
      </c>
      <c r="E12" s="172" t="s">
        <v>386</v>
      </c>
      <c r="F12" s="180" t="s">
        <v>15</v>
      </c>
      <c r="G12" s="176">
        <v>47883.199999999997</v>
      </c>
      <c r="H12" s="177">
        <v>32397</v>
      </c>
      <c r="I12" s="174">
        <v>1018</v>
      </c>
      <c r="J12" s="177">
        <v>22930</v>
      </c>
      <c r="K12" s="172" t="s">
        <v>337</v>
      </c>
      <c r="L12" s="178" t="s">
        <v>350</v>
      </c>
    </row>
    <row r="13" spans="1:15">
      <c r="C13" s="171" t="s">
        <v>398</v>
      </c>
      <c r="D13" s="171" t="s">
        <v>449</v>
      </c>
      <c r="E13" s="172" t="s">
        <v>452</v>
      </c>
      <c r="F13" s="175" t="s">
        <v>15</v>
      </c>
      <c r="G13" s="176">
        <v>23239.439999999999</v>
      </c>
      <c r="H13" s="177">
        <v>34188</v>
      </c>
      <c r="I13" s="174">
        <v>1019</v>
      </c>
      <c r="J13" s="177">
        <v>25808</v>
      </c>
      <c r="K13" s="172" t="s">
        <v>358</v>
      </c>
      <c r="L13" s="178" t="s">
        <v>335</v>
      </c>
    </row>
    <row r="14" spans="1:15">
      <c r="C14" s="171" t="s">
        <v>14</v>
      </c>
      <c r="D14" s="171" t="s">
        <v>27</v>
      </c>
      <c r="E14" s="172" t="s">
        <v>329</v>
      </c>
      <c r="F14" s="180" t="s">
        <v>20</v>
      </c>
      <c r="G14" s="176">
        <v>105753.02</v>
      </c>
      <c r="H14" s="177">
        <v>29431</v>
      </c>
      <c r="I14" s="174">
        <v>1020</v>
      </c>
      <c r="J14" s="177">
        <v>15227</v>
      </c>
      <c r="K14" s="172" t="s">
        <v>330</v>
      </c>
      <c r="L14" s="178" t="s">
        <v>331</v>
      </c>
    </row>
    <row r="15" spans="1:15">
      <c r="C15" s="171" t="s">
        <v>332</v>
      </c>
      <c r="D15" s="171" t="s">
        <v>25</v>
      </c>
      <c r="E15" s="172" t="s">
        <v>424</v>
      </c>
      <c r="F15" s="180" t="s">
        <v>15</v>
      </c>
      <c r="G15" s="176">
        <v>29982.58</v>
      </c>
      <c r="H15" s="177">
        <v>31868</v>
      </c>
      <c r="I15" s="174">
        <v>1021</v>
      </c>
      <c r="J15" s="177">
        <v>23336</v>
      </c>
      <c r="K15" s="172" t="s">
        <v>358</v>
      </c>
      <c r="L15" s="178" t="s">
        <v>350</v>
      </c>
    </row>
    <row r="16" spans="1:15">
      <c r="C16" s="171" t="s">
        <v>324</v>
      </c>
      <c r="D16" s="171" t="s">
        <v>25</v>
      </c>
      <c r="E16" s="172" t="s">
        <v>425</v>
      </c>
      <c r="F16" s="180" t="s">
        <v>15</v>
      </c>
      <c r="G16" s="176">
        <v>29982.58</v>
      </c>
      <c r="H16" s="177">
        <v>31860</v>
      </c>
      <c r="I16" s="174">
        <v>1022</v>
      </c>
      <c r="J16" s="177">
        <v>23347</v>
      </c>
      <c r="K16" s="172" t="s">
        <v>337</v>
      </c>
      <c r="L16" s="178" t="s">
        <v>338</v>
      </c>
    </row>
    <row r="17" spans="1:12">
      <c r="C17" s="171" t="s">
        <v>360</v>
      </c>
      <c r="D17" s="171" t="s">
        <v>362</v>
      </c>
      <c r="E17" s="172" t="s">
        <v>361</v>
      </c>
      <c r="F17" s="180" t="s">
        <v>15</v>
      </c>
      <c r="G17" s="176">
        <v>64738.18</v>
      </c>
      <c r="H17" s="177">
        <v>32810</v>
      </c>
      <c r="I17" s="174">
        <v>1023</v>
      </c>
      <c r="J17" s="177">
        <v>19699</v>
      </c>
      <c r="K17" s="172" t="s">
        <v>337</v>
      </c>
      <c r="L17" s="178" t="s">
        <v>350</v>
      </c>
    </row>
    <row r="18" spans="1:12">
      <c r="C18" s="171" t="s">
        <v>387</v>
      </c>
      <c r="D18" s="182" t="s">
        <v>432</v>
      </c>
      <c r="E18" s="172" t="s">
        <v>444</v>
      </c>
      <c r="F18" s="180" t="s">
        <v>15</v>
      </c>
      <c r="G18" s="176">
        <v>26646.2</v>
      </c>
      <c r="H18" s="177">
        <v>33259</v>
      </c>
      <c r="I18" s="174">
        <v>1024</v>
      </c>
      <c r="J18" s="177">
        <v>24403</v>
      </c>
      <c r="K18" s="172" t="s">
        <v>337</v>
      </c>
      <c r="L18" s="178" t="s">
        <v>350</v>
      </c>
    </row>
    <row r="19" spans="1:12">
      <c r="C19" s="171" t="s">
        <v>387</v>
      </c>
      <c r="D19" s="173" t="s">
        <v>13</v>
      </c>
      <c r="E19" s="181" t="s">
        <v>435</v>
      </c>
      <c r="F19" s="180" t="s">
        <v>15</v>
      </c>
      <c r="G19" s="176">
        <v>28043.68</v>
      </c>
      <c r="H19" s="177">
        <v>33251</v>
      </c>
      <c r="I19" s="174">
        <v>1025</v>
      </c>
      <c r="J19" s="177">
        <v>24414</v>
      </c>
      <c r="K19" s="172" t="s">
        <v>337</v>
      </c>
      <c r="L19" s="178" t="s">
        <v>345</v>
      </c>
    </row>
    <row r="20" spans="1:12">
      <c r="C20" s="171" t="s">
        <v>14</v>
      </c>
      <c r="D20" s="171" t="s">
        <v>19</v>
      </c>
      <c r="E20" s="172" t="s">
        <v>376</v>
      </c>
      <c r="F20" s="175" t="s">
        <v>20</v>
      </c>
      <c r="G20" s="176">
        <v>56177.3</v>
      </c>
      <c r="H20" s="177">
        <v>32330</v>
      </c>
      <c r="I20" s="174">
        <v>1026</v>
      </c>
      <c r="J20" s="177">
        <v>20765</v>
      </c>
      <c r="K20" s="172" t="s">
        <v>337</v>
      </c>
      <c r="L20" s="178" t="s">
        <v>335</v>
      </c>
    </row>
    <row r="21" spans="1:12">
      <c r="C21" s="171" t="s">
        <v>332</v>
      </c>
      <c r="D21" s="171" t="s">
        <v>355</v>
      </c>
      <c r="E21" s="172" t="s">
        <v>418</v>
      </c>
      <c r="F21" s="175" t="s">
        <v>20</v>
      </c>
      <c r="G21" s="176">
        <v>31913.88</v>
      </c>
      <c r="H21" s="177">
        <v>33711</v>
      </c>
      <c r="I21" s="174">
        <v>1027</v>
      </c>
      <c r="J21" s="177">
        <v>26111</v>
      </c>
      <c r="K21" s="172" t="s">
        <v>337</v>
      </c>
      <c r="L21" s="178" t="s">
        <v>335</v>
      </c>
    </row>
    <row r="22" spans="1:12">
      <c r="C22" s="171" t="s">
        <v>14</v>
      </c>
      <c r="D22" s="173" t="s">
        <v>13</v>
      </c>
      <c r="E22" s="181" t="s">
        <v>16</v>
      </c>
      <c r="F22" s="180" t="s">
        <v>17</v>
      </c>
      <c r="G22" s="176">
        <v>23035.88</v>
      </c>
      <c r="H22" s="177">
        <v>33703</v>
      </c>
      <c r="I22" s="174">
        <v>1028</v>
      </c>
      <c r="J22" s="177">
        <v>26122</v>
      </c>
      <c r="K22" s="172" t="s">
        <v>337</v>
      </c>
      <c r="L22" s="178" t="s">
        <v>345</v>
      </c>
    </row>
    <row r="23" spans="1:12">
      <c r="C23" s="171" t="s">
        <v>14</v>
      </c>
      <c r="D23" s="171" t="s">
        <v>19</v>
      </c>
      <c r="E23" s="172" t="s">
        <v>18</v>
      </c>
      <c r="F23" s="180" t="s">
        <v>20</v>
      </c>
      <c r="G23" s="176">
        <v>34002.050000000003</v>
      </c>
      <c r="H23" s="177">
        <v>34255</v>
      </c>
      <c r="I23" s="174">
        <v>1029</v>
      </c>
      <c r="J23" s="177">
        <v>26126</v>
      </c>
      <c r="K23" s="172" t="s">
        <v>337</v>
      </c>
      <c r="L23" s="178" t="s">
        <v>350</v>
      </c>
    </row>
    <row r="24" spans="1:12">
      <c r="C24" s="171" t="s">
        <v>332</v>
      </c>
      <c r="D24" s="173" t="s">
        <v>364</v>
      </c>
      <c r="E24" s="172" t="s">
        <v>390</v>
      </c>
      <c r="F24" s="180" t="s">
        <v>17</v>
      </c>
      <c r="G24" s="176">
        <v>46486.05</v>
      </c>
      <c r="H24" s="177">
        <v>31416</v>
      </c>
      <c r="I24" s="174">
        <v>1030</v>
      </c>
      <c r="J24" s="177">
        <v>23356</v>
      </c>
      <c r="K24" s="172" t="s">
        <v>337</v>
      </c>
      <c r="L24" s="178" t="s">
        <v>350</v>
      </c>
    </row>
    <row r="25" spans="1:12">
      <c r="C25" s="171" t="s">
        <v>332</v>
      </c>
      <c r="D25" s="171" t="s">
        <v>334</v>
      </c>
      <c r="E25" s="172" t="s">
        <v>346</v>
      </c>
      <c r="F25" s="180" t="s">
        <v>15</v>
      </c>
      <c r="G25" s="176">
        <v>77179.149999999994</v>
      </c>
      <c r="H25" s="177">
        <v>31408</v>
      </c>
      <c r="I25" s="174">
        <v>1031</v>
      </c>
      <c r="J25" s="177">
        <v>23367</v>
      </c>
      <c r="K25" s="172" t="s">
        <v>330</v>
      </c>
      <c r="L25" s="178" t="s">
        <v>335</v>
      </c>
    </row>
    <row r="26" spans="1:12">
      <c r="C26" s="171" t="s">
        <v>324</v>
      </c>
      <c r="D26" s="171" t="s">
        <v>25</v>
      </c>
      <c r="E26" s="172" t="s">
        <v>445</v>
      </c>
      <c r="F26" s="175" t="s">
        <v>17</v>
      </c>
      <c r="G26" s="176">
        <v>26113.86</v>
      </c>
      <c r="H26" s="177">
        <v>31415</v>
      </c>
      <c r="I26" s="174">
        <v>1032</v>
      </c>
      <c r="J26" s="177">
        <v>24565</v>
      </c>
      <c r="K26" s="172" t="s">
        <v>337</v>
      </c>
      <c r="L26" s="178" t="s">
        <v>338</v>
      </c>
    </row>
    <row r="27" spans="1:12">
      <c r="C27" s="171" t="s">
        <v>324</v>
      </c>
      <c r="D27" s="171" t="s">
        <v>25</v>
      </c>
      <c r="E27" s="172" t="s">
        <v>407</v>
      </c>
      <c r="F27" s="180" t="s">
        <v>15</v>
      </c>
      <c r="G27" s="176">
        <v>35785.660000000003</v>
      </c>
      <c r="H27" s="177">
        <v>31407</v>
      </c>
      <c r="I27" s="174">
        <v>1033</v>
      </c>
      <c r="J27" s="177">
        <v>20924</v>
      </c>
      <c r="K27" s="172" t="s">
        <v>337</v>
      </c>
      <c r="L27" s="178" t="s">
        <v>338</v>
      </c>
    </row>
    <row r="28" spans="1:12">
      <c r="C28" s="171" t="s">
        <v>332</v>
      </c>
      <c r="D28" s="171" t="s">
        <v>355</v>
      </c>
      <c r="E28" s="172" t="s">
        <v>381</v>
      </c>
      <c r="F28" s="180" t="s">
        <v>15</v>
      </c>
      <c r="G28" s="176">
        <v>51339.72</v>
      </c>
      <c r="H28" s="177">
        <v>32466</v>
      </c>
      <c r="I28" s="174">
        <v>1034</v>
      </c>
      <c r="J28" s="177">
        <v>20928</v>
      </c>
      <c r="K28" s="172" t="s">
        <v>337</v>
      </c>
      <c r="L28" s="178" t="s">
        <v>350</v>
      </c>
    </row>
    <row r="29" spans="1:12">
      <c r="C29" s="171" t="s">
        <v>14</v>
      </c>
      <c r="D29" s="171" t="s">
        <v>29</v>
      </c>
      <c r="E29" s="172" t="s">
        <v>397</v>
      </c>
      <c r="F29" s="180" t="s">
        <v>15</v>
      </c>
      <c r="G29" s="176">
        <v>40897.35</v>
      </c>
      <c r="H29" s="177">
        <v>31304</v>
      </c>
      <c r="I29" s="174">
        <v>1035</v>
      </c>
      <c r="J29" s="177">
        <v>20326</v>
      </c>
      <c r="K29" s="172" t="s">
        <v>337</v>
      </c>
      <c r="L29" s="178" t="s">
        <v>350</v>
      </c>
    </row>
    <row r="30" spans="1:12">
      <c r="C30" s="171" t="s">
        <v>14</v>
      </c>
      <c r="D30" s="171" t="s">
        <v>34</v>
      </c>
      <c r="E30" s="172" t="s">
        <v>370</v>
      </c>
      <c r="F30" s="180" t="s">
        <v>17</v>
      </c>
      <c r="G30" s="176">
        <v>58357.65</v>
      </c>
      <c r="H30" s="177">
        <v>31296</v>
      </c>
      <c r="I30" s="174">
        <v>1036</v>
      </c>
      <c r="J30" s="177">
        <v>20337</v>
      </c>
      <c r="K30" s="172" t="s">
        <v>337</v>
      </c>
      <c r="L30" s="178" t="s">
        <v>335</v>
      </c>
    </row>
    <row r="31" spans="1:12">
      <c r="A31" s="179"/>
      <c r="C31" s="171" t="s">
        <v>14</v>
      </c>
      <c r="D31" s="171" t="s">
        <v>23</v>
      </c>
      <c r="E31" s="181" t="s">
        <v>32</v>
      </c>
      <c r="F31" s="175" t="s">
        <v>20</v>
      </c>
      <c r="G31" s="176">
        <v>24854.2</v>
      </c>
      <c r="H31" s="177">
        <v>33228</v>
      </c>
      <c r="I31" s="174">
        <v>1037</v>
      </c>
      <c r="J31" s="177">
        <v>24363</v>
      </c>
      <c r="K31" s="172" t="s">
        <v>358</v>
      </c>
      <c r="L31" s="178" t="s">
        <v>350</v>
      </c>
    </row>
    <row r="32" spans="1:12">
      <c r="C32" s="171" t="s">
        <v>387</v>
      </c>
      <c r="D32" s="171" t="s">
        <v>406</v>
      </c>
      <c r="E32" s="172" t="s">
        <v>422</v>
      </c>
      <c r="F32" s="175" t="s">
        <v>15</v>
      </c>
      <c r="G32" s="176">
        <v>30451.68</v>
      </c>
      <c r="H32" s="177">
        <v>33220</v>
      </c>
      <c r="I32" s="174">
        <v>1038</v>
      </c>
      <c r="J32" s="177">
        <v>24374</v>
      </c>
      <c r="K32" s="172" t="s">
        <v>337</v>
      </c>
      <c r="L32" s="178" t="s">
        <v>350</v>
      </c>
    </row>
    <row r="33" spans="3:12">
      <c r="C33" s="171" t="s">
        <v>14</v>
      </c>
      <c r="D33" s="171" t="s">
        <v>352</v>
      </c>
      <c r="E33" s="172" t="s">
        <v>371</v>
      </c>
      <c r="F33" s="180" t="s">
        <v>15</v>
      </c>
      <c r="G33" s="176">
        <v>58325.82</v>
      </c>
      <c r="H33" s="177">
        <v>31786</v>
      </c>
      <c r="I33" s="174">
        <v>1039</v>
      </c>
      <c r="J33" s="177">
        <v>20725</v>
      </c>
      <c r="K33" s="172" t="s">
        <v>330</v>
      </c>
      <c r="L33" s="178" t="s">
        <v>338</v>
      </c>
    </row>
    <row r="34" spans="3:12">
      <c r="C34" s="171" t="s">
        <v>332</v>
      </c>
      <c r="D34" s="171" t="s">
        <v>25</v>
      </c>
      <c r="E34" s="172" t="s">
        <v>441</v>
      </c>
      <c r="F34" s="180" t="s">
        <v>17</v>
      </c>
      <c r="G34" s="176">
        <v>27081.040000000001</v>
      </c>
      <c r="H34" s="177">
        <v>31265</v>
      </c>
      <c r="I34" s="174">
        <v>1040</v>
      </c>
      <c r="J34" s="177">
        <v>24283</v>
      </c>
      <c r="K34" s="172" t="s">
        <v>337</v>
      </c>
      <c r="L34" s="178" t="s">
        <v>350</v>
      </c>
    </row>
    <row r="35" spans="3:12">
      <c r="C35" s="171" t="s">
        <v>14</v>
      </c>
      <c r="D35" s="171" t="s">
        <v>342</v>
      </c>
      <c r="E35" s="172" t="s">
        <v>341</v>
      </c>
      <c r="F35" s="180" t="s">
        <v>17</v>
      </c>
      <c r="G35" s="176">
        <v>79280.160000000003</v>
      </c>
      <c r="H35" s="177">
        <v>31257</v>
      </c>
      <c r="I35" s="174">
        <v>1041</v>
      </c>
      <c r="J35" s="177">
        <v>20641</v>
      </c>
      <c r="K35" s="172" t="s">
        <v>343</v>
      </c>
      <c r="L35" s="178" t="s">
        <v>335</v>
      </c>
    </row>
    <row r="36" spans="3:12">
      <c r="C36" s="171" t="s">
        <v>14</v>
      </c>
      <c r="D36" s="171" t="s">
        <v>19</v>
      </c>
      <c r="E36" s="172" t="s">
        <v>377</v>
      </c>
      <c r="F36" s="180" t="s">
        <v>15</v>
      </c>
      <c r="G36" s="176">
        <v>56177.3</v>
      </c>
      <c r="H36" s="177">
        <v>32570</v>
      </c>
      <c r="I36" s="174">
        <v>1042</v>
      </c>
      <c r="J36" s="177">
        <v>20645</v>
      </c>
      <c r="K36" s="172" t="s">
        <v>337</v>
      </c>
      <c r="L36" s="178" t="s">
        <v>348</v>
      </c>
    </row>
    <row r="37" spans="3:12">
      <c r="C37" s="171" t="s">
        <v>14</v>
      </c>
      <c r="D37" s="171" t="s">
        <v>29</v>
      </c>
      <c r="E37" s="172" t="s">
        <v>36</v>
      </c>
      <c r="F37" s="175" t="s">
        <v>17</v>
      </c>
      <c r="G37" s="176">
        <v>30410.85</v>
      </c>
      <c r="H37" s="177">
        <v>32054</v>
      </c>
      <c r="I37" s="174">
        <v>1043</v>
      </c>
      <c r="J37" s="177">
        <v>24048</v>
      </c>
      <c r="K37" s="172" t="s">
        <v>337</v>
      </c>
      <c r="L37" s="178" t="s">
        <v>350</v>
      </c>
    </row>
    <row r="38" spans="3:12">
      <c r="C38" s="171" t="s">
        <v>332</v>
      </c>
      <c r="D38" s="173" t="s">
        <v>364</v>
      </c>
      <c r="E38" s="181" t="s">
        <v>394</v>
      </c>
      <c r="F38" s="180" t="s">
        <v>15</v>
      </c>
      <c r="G38" s="176">
        <v>43486.95</v>
      </c>
      <c r="H38" s="177">
        <v>32046</v>
      </c>
      <c r="I38" s="174">
        <v>1044</v>
      </c>
      <c r="J38" s="177">
        <v>24059</v>
      </c>
      <c r="K38" s="172" t="s">
        <v>337</v>
      </c>
      <c r="L38" s="178" t="s">
        <v>340</v>
      </c>
    </row>
    <row r="39" spans="3:12">
      <c r="C39" s="171" t="s">
        <v>14</v>
      </c>
      <c r="D39" s="171" t="s">
        <v>29</v>
      </c>
      <c r="E39" s="181" t="s">
        <v>37</v>
      </c>
      <c r="F39" s="180" t="s">
        <v>15</v>
      </c>
      <c r="G39" s="176">
        <v>30410.85</v>
      </c>
      <c r="H39" s="177">
        <v>32926</v>
      </c>
      <c r="I39" s="174">
        <v>1045</v>
      </c>
      <c r="J39" s="177">
        <v>23868</v>
      </c>
      <c r="K39" s="172" t="s">
        <v>337</v>
      </c>
      <c r="L39" s="178" t="s">
        <v>359</v>
      </c>
    </row>
    <row r="40" spans="3:12">
      <c r="C40" s="171" t="s">
        <v>387</v>
      </c>
      <c r="D40" s="171" t="s">
        <v>406</v>
      </c>
      <c r="E40" s="172" t="s">
        <v>419</v>
      </c>
      <c r="F40" s="175" t="s">
        <v>20</v>
      </c>
      <c r="G40" s="176">
        <v>31539.24</v>
      </c>
      <c r="H40" s="177">
        <v>32918</v>
      </c>
      <c r="I40" s="174">
        <v>1046</v>
      </c>
      <c r="J40" s="177">
        <v>23879</v>
      </c>
      <c r="K40" s="172" t="s">
        <v>337</v>
      </c>
      <c r="L40" s="178" t="s">
        <v>348</v>
      </c>
    </row>
    <row r="41" spans="3:12">
      <c r="C41" s="171" t="s">
        <v>14</v>
      </c>
      <c r="D41" s="171" t="s">
        <v>19</v>
      </c>
      <c r="E41" s="181" t="s">
        <v>35</v>
      </c>
      <c r="F41" s="180" t="s">
        <v>15</v>
      </c>
      <c r="G41" s="176">
        <v>42872.15</v>
      </c>
      <c r="H41" s="177">
        <v>33004</v>
      </c>
      <c r="I41" s="174">
        <v>1047</v>
      </c>
      <c r="J41" s="177">
        <v>23883</v>
      </c>
      <c r="K41" s="172" t="s">
        <v>337</v>
      </c>
      <c r="L41" s="178" t="s">
        <v>345</v>
      </c>
    </row>
    <row r="42" spans="3:12">
      <c r="C42" s="171" t="s">
        <v>14</v>
      </c>
      <c r="D42" s="171" t="s">
        <v>29</v>
      </c>
      <c r="E42" s="181" t="s">
        <v>31</v>
      </c>
      <c r="F42" s="175" t="s">
        <v>20</v>
      </c>
      <c r="G42" s="176">
        <v>29362.2</v>
      </c>
      <c r="H42" s="177">
        <v>33344</v>
      </c>
      <c r="I42" s="174">
        <v>1048</v>
      </c>
      <c r="J42" s="177">
        <v>24387</v>
      </c>
      <c r="K42" s="172" t="s">
        <v>337</v>
      </c>
      <c r="L42" s="178" t="s">
        <v>350</v>
      </c>
    </row>
    <row r="43" spans="3:12">
      <c r="C43" s="171" t="s">
        <v>360</v>
      </c>
      <c r="D43" s="173" t="s">
        <v>13</v>
      </c>
      <c r="E43" s="172" t="s">
        <v>436</v>
      </c>
      <c r="F43" s="175" t="s">
        <v>17</v>
      </c>
      <c r="G43" s="176">
        <v>28043.68</v>
      </c>
      <c r="H43" s="177">
        <v>33336</v>
      </c>
      <c r="I43" s="174">
        <v>1049</v>
      </c>
      <c r="J43" s="177">
        <v>24398</v>
      </c>
      <c r="K43" s="172" t="s">
        <v>337</v>
      </c>
      <c r="L43" s="178" t="s">
        <v>335</v>
      </c>
    </row>
    <row r="44" spans="3:12">
      <c r="C44" s="171" t="s">
        <v>14</v>
      </c>
      <c r="D44" s="171" t="s">
        <v>23</v>
      </c>
      <c r="E44" s="175" t="s">
        <v>420</v>
      </c>
      <c r="F44" s="180" t="s">
        <v>15</v>
      </c>
      <c r="G44" s="176">
        <v>31067.75</v>
      </c>
      <c r="H44" s="177">
        <v>30577</v>
      </c>
      <c r="I44" s="174">
        <v>1050</v>
      </c>
      <c r="J44" s="177">
        <v>21753</v>
      </c>
      <c r="K44" s="172" t="s">
        <v>358</v>
      </c>
      <c r="L44" s="178" t="s">
        <v>350</v>
      </c>
    </row>
    <row r="45" spans="3:12">
      <c r="C45" s="171" t="s">
        <v>360</v>
      </c>
      <c r="D45" s="173" t="s">
        <v>362</v>
      </c>
      <c r="E45" s="172" t="s">
        <v>367</v>
      </c>
      <c r="F45" s="180" t="s">
        <v>15</v>
      </c>
      <c r="G45" s="176">
        <v>59455.199999999997</v>
      </c>
      <c r="H45" s="177">
        <v>30569</v>
      </c>
      <c r="I45" s="174">
        <v>1051</v>
      </c>
      <c r="J45" s="177">
        <v>21764</v>
      </c>
      <c r="K45" s="172" t="s">
        <v>337</v>
      </c>
      <c r="L45" s="178" t="s">
        <v>331</v>
      </c>
    </row>
    <row r="46" spans="3:12">
      <c r="C46" s="171" t="s">
        <v>14</v>
      </c>
      <c r="D46" s="171" t="s">
        <v>352</v>
      </c>
      <c r="E46" s="175" t="s">
        <v>351</v>
      </c>
      <c r="F46" s="175" t="s">
        <v>20</v>
      </c>
      <c r="G46" s="176">
        <v>69070.05</v>
      </c>
      <c r="H46" s="177">
        <v>31903</v>
      </c>
      <c r="I46" s="174">
        <v>1052</v>
      </c>
      <c r="J46" s="177">
        <v>18116</v>
      </c>
      <c r="K46" s="172" t="s">
        <v>343</v>
      </c>
      <c r="L46" s="178" t="s">
        <v>350</v>
      </c>
    </row>
    <row r="47" spans="3:12">
      <c r="C47" s="171" t="s">
        <v>332</v>
      </c>
      <c r="D47" s="173" t="s">
        <v>364</v>
      </c>
      <c r="E47" s="172" t="s">
        <v>383</v>
      </c>
      <c r="F47" s="180" t="s">
        <v>15</v>
      </c>
      <c r="G47" s="176">
        <v>49485.15</v>
      </c>
      <c r="H47" s="177">
        <v>33459</v>
      </c>
      <c r="I47" s="174">
        <v>1053</v>
      </c>
      <c r="J47" s="177">
        <v>22439</v>
      </c>
      <c r="K47" s="172" t="s">
        <v>337</v>
      </c>
      <c r="L47" s="178" t="s">
        <v>350</v>
      </c>
    </row>
    <row r="48" spans="3:12">
      <c r="C48" s="171" t="s">
        <v>14</v>
      </c>
      <c r="D48" s="173" t="s">
        <v>13</v>
      </c>
      <c r="E48" s="172" t="s">
        <v>413</v>
      </c>
      <c r="F48" s="175" t="s">
        <v>20</v>
      </c>
      <c r="G48" s="176">
        <v>33051.480000000003</v>
      </c>
      <c r="H48" s="177">
        <v>32721</v>
      </c>
      <c r="I48" s="174">
        <v>1054</v>
      </c>
      <c r="J48" s="177">
        <v>22450</v>
      </c>
      <c r="K48" s="172" t="s">
        <v>337</v>
      </c>
      <c r="L48" s="178" t="s">
        <v>335</v>
      </c>
    </row>
    <row r="49" spans="1:12">
      <c r="C49" s="171" t="s">
        <v>360</v>
      </c>
      <c r="D49" s="171" t="s">
        <v>29</v>
      </c>
      <c r="E49" s="172" t="s">
        <v>410</v>
      </c>
      <c r="F49" s="180" t="s">
        <v>15</v>
      </c>
      <c r="G49" s="176">
        <v>34605.449999999997</v>
      </c>
      <c r="H49" s="177">
        <v>32711</v>
      </c>
      <c r="I49" s="174">
        <v>1055</v>
      </c>
      <c r="J49" s="177">
        <v>22454</v>
      </c>
      <c r="K49" s="172" t="s">
        <v>337</v>
      </c>
      <c r="L49" s="178" t="s">
        <v>331</v>
      </c>
    </row>
    <row r="50" spans="1:12">
      <c r="C50" s="171" t="s">
        <v>324</v>
      </c>
      <c r="D50" s="171" t="s">
        <v>25</v>
      </c>
      <c r="E50" s="172" t="s">
        <v>415</v>
      </c>
      <c r="F50" s="180" t="s">
        <v>17</v>
      </c>
      <c r="G50" s="176">
        <v>32884.120000000003</v>
      </c>
      <c r="H50" s="177">
        <v>30751</v>
      </c>
      <c r="I50" s="174">
        <v>1056</v>
      </c>
      <c r="J50" s="177">
        <v>22043</v>
      </c>
      <c r="K50" s="172" t="s">
        <v>337</v>
      </c>
      <c r="L50" s="178" t="s">
        <v>340</v>
      </c>
    </row>
    <row r="51" spans="1:12">
      <c r="C51" s="171" t="s">
        <v>360</v>
      </c>
      <c r="D51" s="173" t="s">
        <v>375</v>
      </c>
      <c r="E51" s="172" t="s">
        <v>374</v>
      </c>
      <c r="F51" s="180" t="s">
        <v>17</v>
      </c>
      <c r="G51" s="176">
        <v>57756.480000000003</v>
      </c>
      <c r="H51" s="177">
        <v>30743</v>
      </c>
      <c r="I51" s="174">
        <v>1057</v>
      </c>
      <c r="J51" s="177">
        <v>22054</v>
      </c>
      <c r="K51" s="172" t="s">
        <v>337</v>
      </c>
      <c r="L51" s="178" t="s">
        <v>345</v>
      </c>
    </row>
    <row r="52" spans="1:12">
      <c r="C52" s="171" t="s">
        <v>360</v>
      </c>
      <c r="D52" s="171" t="s">
        <v>380</v>
      </c>
      <c r="E52" s="172" t="s">
        <v>379</v>
      </c>
      <c r="F52" s="180" t="s">
        <v>15</v>
      </c>
      <c r="G52" s="176">
        <v>53685.32</v>
      </c>
      <c r="H52" s="177">
        <v>32473</v>
      </c>
      <c r="I52" s="174">
        <v>1058</v>
      </c>
      <c r="J52" s="177">
        <v>22058</v>
      </c>
      <c r="K52" s="172" t="s">
        <v>337</v>
      </c>
      <c r="L52" s="178" t="s">
        <v>350</v>
      </c>
    </row>
    <row r="53" spans="1:12">
      <c r="C53" s="171" t="s">
        <v>332</v>
      </c>
      <c r="D53" s="171" t="s">
        <v>355</v>
      </c>
      <c r="E53" s="172" t="s">
        <v>409</v>
      </c>
      <c r="F53" s="175" t="s">
        <v>17</v>
      </c>
      <c r="G53" s="176">
        <v>34689</v>
      </c>
      <c r="H53" s="177">
        <v>28741</v>
      </c>
      <c r="I53" s="174">
        <v>1059</v>
      </c>
      <c r="J53" s="177">
        <v>25271</v>
      </c>
      <c r="K53" s="172" t="s">
        <v>337</v>
      </c>
      <c r="L53" s="178" t="s">
        <v>350</v>
      </c>
    </row>
    <row r="54" spans="1:12">
      <c r="C54" s="171" t="s">
        <v>360</v>
      </c>
      <c r="D54" s="173" t="s">
        <v>362</v>
      </c>
      <c r="E54" s="172" t="s">
        <v>368</v>
      </c>
      <c r="F54" s="175" t="s">
        <v>20</v>
      </c>
      <c r="G54" s="176">
        <v>59455.199999999997</v>
      </c>
      <c r="H54" s="177">
        <v>28733</v>
      </c>
      <c r="I54" s="174">
        <v>1060</v>
      </c>
      <c r="J54" s="177">
        <v>21628</v>
      </c>
      <c r="K54" s="172" t="s">
        <v>337</v>
      </c>
      <c r="L54" s="178" t="s">
        <v>350</v>
      </c>
    </row>
    <row r="55" spans="1:12">
      <c r="C55" s="171" t="s">
        <v>14</v>
      </c>
      <c r="D55" s="171" t="s">
        <v>352</v>
      </c>
      <c r="E55" s="172" t="s">
        <v>378</v>
      </c>
      <c r="F55" s="180" t="s">
        <v>15</v>
      </c>
      <c r="G55" s="176">
        <v>53721.15</v>
      </c>
      <c r="H55" s="177">
        <v>32093</v>
      </c>
      <c r="I55" s="174">
        <v>1061</v>
      </c>
      <c r="J55" s="177">
        <v>21632</v>
      </c>
      <c r="K55" s="172" t="s">
        <v>330</v>
      </c>
      <c r="L55" s="178" t="s">
        <v>350</v>
      </c>
    </row>
    <row r="56" spans="1:12">
      <c r="C56" s="171" t="s">
        <v>14</v>
      </c>
      <c r="D56" s="171" t="s">
        <v>25</v>
      </c>
      <c r="E56" s="172" t="s">
        <v>426</v>
      </c>
      <c r="F56" s="180" t="s">
        <v>17</v>
      </c>
      <c r="G56" s="176">
        <v>29982.58</v>
      </c>
      <c r="H56" s="177">
        <v>31582</v>
      </c>
      <c r="I56" s="174">
        <v>1062</v>
      </c>
      <c r="J56" s="177">
        <v>23308</v>
      </c>
      <c r="K56" s="172" t="s">
        <v>337</v>
      </c>
      <c r="L56" s="178" t="s">
        <v>350</v>
      </c>
    </row>
    <row r="57" spans="1:12">
      <c r="A57" s="179"/>
      <c r="C57" s="171" t="s">
        <v>14</v>
      </c>
      <c r="D57" s="171" t="s">
        <v>34</v>
      </c>
      <c r="E57" s="172" t="s">
        <v>391</v>
      </c>
      <c r="F57" s="175" t="s">
        <v>20</v>
      </c>
      <c r="G57" s="176">
        <v>46386.85</v>
      </c>
      <c r="H57" s="177">
        <v>31574</v>
      </c>
      <c r="I57" s="174">
        <v>1063</v>
      </c>
      <c r="J57" s="177">
        <v>23319</v>
      </c>
      <c r="K57" s="172" t="s">
        <v>358</v>
      </c>
      <c r="L57" s="178" t="s">
        <v>331</v>
      </c>
    </row>
    <row r="58" spans="1:12">
      <c r="C58" s="171" t="s">
        <v>387</v>
      </c>
      <c r="D58" s="171" t="s">
        <v>432</v>
      </c>
      <c r="E58" s="181" t="s">
        <v>431</v>
      </c>
      <c r="F58" s="175" t="s">
        <v>15</v>
      </c>
      <c r="G58" s="176">
        <v>28549.5</v>
      </c>
      <c r="H58" s="177">
        <v>31477</v>
      </c>
      <c r="I58" s="174">
        <v>1064</v>
      </c>
      <c r="J58" s="177">
        <v>23553</v>
      </c>
      <c r="K58" s="172" t="s">
        <v>337</v>
      </c>
      <c r="L58" s="178" t="s">
        <v>338</v>
      </c>
    </row>
    <row r="59" spans="1:12">
      <c r="C59" s="171" t="s">
        <v>14</v>
      </c>
      <c r="D59" s="171" t="s">
        <v>342</v>
      </c>
      <c r="E59" s="172" t="s">
        <v>365</v>
      </c>
      <c r="F59" s="180" t="s">
        <v>15</v>
      </c>
      <c r="G59" s="176">
        <v>62589.599999999999</v>
      </c>
      <c r="H59" s="177">
        <v>31469</v>
      </c>
      <c r="I59" s="174">
        <v>1065</v>
      </c>
      <c r="J59" s="177">
        <v>23564</v>
      </c>
      <c r="K59" s="172" t="s">
        <v>337</v>
      </c>
      <c r="L59" s="178" t="s">
        <v>338</v>
      </c>
    </row>
    <row r="60" spans="1:12">
      <c r="C60" s="171" t="s">
        <v>14</v>
      </c>
      <c r="D60" s="171" t="s">
        <v>19</v>
      </c>
      <c r="E60" s="181" t="s">
        <v>392</v>
      </c>
      <c r="F60" s="180" t="s">
        <v>15</v>
      </c>
      <c r="G60" s="176">
        <v>44350.5</v>
      </c>
      <c r="H60" s="177">
        <v>33407</v>
      </c>
      <c r="I60" s="174">
        <v>1066</v>
      </c>
      <c r="J60" s="177">
        <v>23568</v>
      </c>
      <c r="K60" s="172" t="s">
        <v>337</v>
      </c>
      <c r="L60" s="178" t="s">
        <v>335</v>
      </c>
    </row>
    <row r="61" spans="1:12">
      <c r="C61" s="171" t="s">
        <v>14</v>
      </c>
      <c r="D61" s="171" t="s">
        <v>25</v>
      </c>
      <c r="E61" s="181" t="s">
        <v>24</v>
      </c>
      <c r="F61" s="180" t="s">
        <v>15</v>
      </c>
      <c r="G61" s="176">
        <v>25146.68</v>
      </c>
      <c r="H61" s="177">
        <v>32170</v>
      </c>
      <c r="I61" s="174">
        <v>1067</v>
      </c>
      <c r="J61" s="177">
        <v>24841</v>
      </c>
      <c r="K61" s="172" t="s">
        <v>337</v>
      </c>
      <c r="L61" s="178" t="s">
        <v>331</v>
      </c>
    </row>
    <row r="62" spans="1:12">
      <c r="C62" s="171" t="s">
        <v>324</v>
      </c>
      <c r="D62" s="171" t="s">
        <v>25</v>
      </c>
      <c r="E62" s="181" t="s">
        <v>450</v>
      </c>
      <c r="F62" s="175" t="s">
        <v>15</v>
      </c>
      <c r="G62" s="176">
        <v>25146.68</v>
      </c>
      <c r="H62" s="177">
        <v>33623</v>
      </c>
      <c r="I62" s="174">
        <v>1068</v>
      </c>
      <c r="J62" s="177">
        <v>24852</v>
      </c>
      <c r="K62" s="172" t="s">
        <v>358</v>
      </c>
      <c r="L62" s="178" t="s">
        <v>335</v>
      </c>
    </row>
    <row r="63" spans="1:12">
      <c r="C63" s="171" t="s">
        <v>360</v>
      </c>
      <c r="D63" s="173" t="s">
        <v>380</v>
      </c>
      <c r="E63" s="181" t="s">
        <v>396</v>
      </c>
      <c r="F63" s="175" t="s">
        <v>20</v>
      </c>
      <c r="G63" s="176">
        <v>41053.480000000003</v>
      </c>
      <c r="H63" s="177">
        <v>31908</v>
      </c>
      <c r="I63" s="174">
        <v>1069</v>
      </c>
      <c r="J63" s="177">
        <v>24856</v>
      </c>
      <c r="K63" s="172" t="s">
        <v>337</v>
      </c>
      <c r="L63" s="178" t="s">
        <v>348</v>
      </c>
    </row>
    <row r="64" spans="1:12">
      <c r="C64" s="171" t="s">
        <v>14</v>
      </c>
      <c r="D64" s="171" t="s">
        <v>29</v>
      </c>
      <c r="E64" s="181" t="s">
        <v>30</v>
      </c>
      <c r="F64" s="180" t="s">
        <v>15</v>
      </c>
      <c r="G64" s="176">
        <v>29362.2</v>
      </c>
      <c r="H64" s="177">
        <v>30281</v>
      </c>
      <c r="I64" s="174">
        <v>1070</v>
      </c>
      <c r="J64" s="177">
        <v>24361</v>
      </c>
      <c r="K64" s="172" t="s">
        <v>337</v>
      </c>
      <c r="L64" s="178" t="s">
        <v>331</v>
      </c>
    </row>
    <row r="65" spans="3:12">
      <c r="C65" s="171" t="s">
        <v>324</v>
      </c>
      <c r="D65" s="171" t="s">
        <v>25</v>
      </c>
      <c r="E65" s="181" t="s">
        <v>442</v>
      </c>
      <c r="F65" s="175" t="s">
        <v>20</v>
      </c>
      <c r="G65" s="176">
        <v>27081.040000000001</v>
      </c>
      <c r="H65" s="177">
        <v>30273</v>
      </c>
      <c r="I65" s="174">
        <v>1071</v>
      </c>
      <c r="J65" s="177">
        <v>24372</v>
      </c>
      <c r="K65" s="172" t="s">
        <v>358</v>
      </c>
      <c r="L65" s="178" t="s">
        <v>359</v>
      </c>
    </row>
    <row r="66" spans="3:12">
      <c r="C66" s="171" t="s">
        <v>332</v>
      </c>
      <c r="D66" s="173" t="s">
        <v>364</v>
      </c>
      <c r="E66" s="181" t="s">
        <v>395</v>
      </c>
      <c r="F66" s="175" t="s">
        <v>20</v>
      </c>
      <c r="G66" s="176">
        <v>41987.4</v>
      </c>
      <c r="H66" s="177">
        <v>30605</v>
      </c>
      <c r="I66" s="174">
        <v>1072</v>
      </c>
      <c r="J66" s="177">
        <v>24376</v>
      </c>
      <c r="K66" s="172" t="s">
        <v>337</v>
      </c>
      <c r="L66" s="178" t="s">
        <v>335</v>
      </c>
    </row>
    <row r="67" spans="3:12">
      <c r="C67" s="171" t="s">
        <v>14</v>
      </c>
      <c r="D67" s="171" t="s">
        <v>29</v>
      </c>
      <c r="E67" s="172" t="s">
        <v>411</v>
      </c>
      <c r="F67" s="180" t="s">
        <v>15</v>
      </c>
      <c r="G67" s="176">
        <v>34605.449999999997</v>
      </c>
      <c r="H67" s="177">
        <v>32704</v>
      </c>
      <c r="I67" s="174">
        <v>1073</v>
      </c>
      <c r="J67" s="177">
        <v>22421</v>
      </c>
      <c r="K67" s="172" t="s">
        <v>337</v>
      </c>
      <c r="L67" s="178" t="s">
        <v>335</v>
      </c>
    </row>
    <row r="68" spans="3:12">
      <c r="C68" s="171" t="s">
        <v>387</v>
      </c>
      <c r="D68" s="171" t="s">
        <v>406</v>
      </c>
      <c r="E68" s="172" t="s">
        <v>405</v>
      </c>
      <c r="F68" s="175" t="s">
        <v>17</v>
      </c>
      <c r="G68" s="176">
        <v>35889.480000000003</v>
      </c>
      <c r="H68" s="177">
        <v>32696</v>
      </c>
      <c r="I68" s="174">
        <v>1074</v>
      </c>
      <c r="J68" s="177">
        <v>22432</v>
      </c>
      <c r="K68" s="172" t="s">
        <v>337</v>
      </c>
      <c r="L68" s="178" t="s">
        <v>350</v>
      </c>
    </row>
    <row r="69" spans="3:12">
      <c r="C69" s="171" t="s">
        <v>14</v>
      </c>
      <c r="D69" s="171" t="s">
        <v>352</v>
      </c>
      <c r="E69" s="172" t="s">
        <v>382</v>
      </c>
      <c r="F69" s="180" t="s">
        <v>17</v>
      </c>
      <c r="G69" s="176">
        <v>50651.37</v>
      </c>
      <c r="H69" s="177">
        <v>31817</v>
      </c>
      <c r="I69" s="174">
        <v>1075</v>
      </c>
      <c r="J69" s="177">
        <v>22436</v>
      </c>
      <c r="K69" s="172" t="s">
        <v>330</v>
      </c>
      <c r="L69" s="178" t="s">
        <v>359</v>
      </c>
    </row>
    <row r="70" spans="3:12">
      <c r="C70" s="171" t="s">
        <v>332</v>
      </c>
      <c r="D70" s="171" t="s">
        <v>25</v>
      </c>
      <c r="E70" s="172" t="s">
        <v>429</v>
      </c>
      <c r="F70" s="175" t="s">
        <v>20</v>
      </c>
      <c r="G70" s="176">
        <v>29015.4</v>
      </c>
      <c r="H70" s="177">
        <v>32490</v>
      </c>
      <c r="I70" s="174">
        <v>1076</v>
      </c>
      <c r="J70" s="177">
        <v>23648</v>
      </c>
      <c r="K70" s="172" t="s">
        <v>337</v>
      </c>
      <c r="L70" s="178" t="s">
        <v>331</v>
      </c>
    </row>
    <row r="71" spans="3:12">
      <c r="C71" s="171" t="s">
        <v>387</v>
      </c>
      <c r="D71" s="171" t="s">
        <v>406</v>
      </c>
      <c r="E71" s="181" t="s">
        <v>416</v>
      </c>
      <c r="F71" s="180" t="s">
        <v>15</v>
      </c>
      <c r="G71" s="176">
        <v>32626.799999999999</v>
      </c>
      <c r="H71" s="177">
        <v>32482</v>
      </c>
      <c r="I71" s="174">
        <v>1077</v>
      </c>
      <c r="J71" s="177">
        <v>23659</v>
      </c>
      <c r="K71" s="172" t="s">
        <v>337</v>
      </c>
      <c r="L71" s="178" t="s">
        <v>335</v>
      </c>
    </row>
    <row r="72" spans="3:12">
      <c r="C72" s="171" t="s">
        <v>14</v>
      </c>
      <c r="D72" s="171" t="s">
        <v>19</v>
      </c>
      <c r="E72" s="181" t="s">
        <v>393</v>
      </c>
      <c r="F72" s="175" t="s">
        <v>20</v>
      </c>
      <c r="G72" s="176">
        <v>44350.5</v>
      </c>
      <c r="H72" s="177">
        <v>32665</v>
      </c>
      <c r="I72" s="174">
        <v>1078</v>
      </c>
      <c r="J72" s="177">
        <v>23663</v>
      </c>
      <c r="K72" s="172" t="s">
        <v>337</v>
      </c>
      <c r="L72" s="178" t="s">
        <v>338</v>
      </c>
    </row>
    <row r="73" spans="3:12">
      <c r="C73" s="171" t="s">
        <v>14</v>
      </c>
      <c r="D73" s="171" t="s">
        <v>25</v>
      </c>
      <c r="E73" s="172" t="s">
        <v>427</v>
      </c>
      <c r="F73" s="175" t="s">
        <v>20</v>
      </c>
      <c r="G73" s="176">
        <v>29982.58</v>
      </c>
      <c r="H73" s="177">
        <v>33344</v>
      </c>
      <c r="I73" s="174">
        <v>1079</v>
      </c>
      <c r="J73" s="177">
        <v>23255</v>
      </c>
      <c r="K73" s="172" t="s">
        <v>337</v>
      </c>
      <c r="L73" s="178" t="s">
        <v>331</v>
      </c>
    </row>
    <row r="74" spans="3:12">
      <c r="C74" s="171" t="s">
        <v>360</v>
      </c>
      <c r="D74" s="173" t="s">
        <v>13</v>
      </c>
      <c r="E74" s="172" t="s">
        <v>421</v>
      </c>
      <c r="F74" s="175" t="s">
        <v>20</v>
      </c>
      <c r="G74" s="176">
        <v>31048.36</v>
      </c>
      <c r="H74" s="177">
        <v>33336</v>
      </c>
      <c r="I74" s="174">
        <v>1080</v>
      </c>
      <c r="J74" s="177">
        <v>23266</v>
      </c>
      <c r="K74" s="172" t="s">
        <v>337</v>
      </c>
      <c r="L74" s="178" t="s">
        <v>350</v>
      </c>
    </row>
    <row r="75" spans="3:12">
      <c r="C75" s="171" t="s">
        <v>387</v>
      </c>
      <c r="D75" s="171" t="s">
        <v>432</v>
      </c>
      <c r="E75" s="181" t="s">
        <v>440</v>
      </c>
      <c r="F75" s="175" t="s">
        <v>17</v>
      </c>
      <c r="G75" s="176">
        <v>27597.85</v>
      </c>
      <c r="H75" s="177">
        <v>34053</v>
      </c>
      <c r="I75" s="174">
        <v>1081</v>
      </c>
      <c r="J75" s="177">
        <v>23758</v>
      </c>
      <c r="K75" s="172" t="s">
        <v>337</v>
      </c>
      <c r="L75" s="178" t="s">
        <v>350</v>
      </c>
    </row>
    <row r="76" spans="3:12">
      <c r="C76" s="171" t="s">
        <v>332</v>
      </c>
      <c r="D76" s="171" t="s">
        <v>355</v>
      </c>
      <c r="E76" s="172" t="s">
        <v>412</v>
      </c>
      <c r="F76" s="175" t="s">
        <v>20</v>
      </c>
      <c r="G76" s="176">
        <v>33301.440000000002</v>
      </c>
      <c r="H76" s="177">
        <v>30250</v>
      </c>
      <c r="I76" s="174">
        <v>1082</v>
      </c>
      <c r="J76" s="177">
        <v>25812</v>
      </c>
      <c r="K76" s="172" t="s">
        <v>337</v>
      </c>
      <c r="L76" s="178" t="s">
        <v>331</v>
      </c>
    </row>
    <row r="77" spans="3:12">
      <c r="C77" s="171" t="s">
        <v>387</v>
      </c>
      <c r="D77" s="173" t="s">
        <v>13</v>
      </c>
      <c r="E77" s="172" t="s">
        <v>428</v>
      </c>
      <c r="F77" s="175" t="s">
        <v>17</v>
      </c>
      <c r="G77" s="176">
        <v>29045.24</v>
      </c>
      <c r="H77" s="177">
        <v>34045</v>
      </c>
      <c r="I77" s="174">
        <v>1083</v>
      </c>
      <c r="J77" s="177">
        <v>23769</v>
      </c>
      <c r="K77" s="172" t="s">
        <v>337</v>
      </c>
      <c r="L77" s="178" t="s">
        <v>350</v>
      </c>
    </row>
    <row r="78" spans="3:12">
      <c r="C78" s="171" t="s">
        <v>324</v>
      </c>
      <c r="D78" s="171" t="s">
        <v>25</v>
      </c>
      <c r="E78" s="172" t="s">
        <v>454</v>
      </c>
      <c r="F78" s="175" t="s">
        <v>20</v>
      </c>
      <c r="G78" s="176">
        <v>23212.32</v>
      </c>
      <c r="H78" s="177">
        <v>30242</v>
      </c>
      <c r="I78" s="174">
        <v>1084</v>
      </c>
      <c r="J78" s="177">
        <v>25823</v>
      </c>
      <c r="K78" s="172" t="s">
        <v>337</v>
      </c>
      <c r="L78" s="178" t="s">
        <v>340</v>
      </c>
    </row>
    <row r="79" spans="3:12">
      <c r="C79" s="171" t="s">
        <v>360</v>
      </c>
      <c r="D79" s="171" t="s">
        <v>380</v>
      </c>
      <c r="E79" s="172" t="s">
        <v>401</v>
      </c>
      <c r="F79" s="180" t="s">
        <v>17</v>
      </c>
      <c r="G79" s="176">
        <v>37895.519999999997</v>
      </c>
      <c r="H79" s="177">
        <v>32452</v>
      </c>
      <c r="I79" s="174">
        <v>1085</v>
      </c>
      <c r="J79" s="177">
        <v>25827</v>
      </c>
      <c r="K79" s="172" t="s">
        <v>337</v>
      </c>
      <c r="L79" s="178" t="s">
        <v>350</v>
      </c>
    </row>
    <row r="80" spans="3:12">
      <c r="C80" s="171" t="s">
        <v>398</v>
      </c>
      <c r="D80" s="171" t="s">
        <v>400</v>
      </c>
      <c r="E80" s="172" t="s">
        <v>399</v>
      </c>
      <c r="F80" s="175" t="s">
        <v>17</v>
      </c>
      <c r="G80" s="176">
        <v>38094.21</v>
      </c>
      <c r="H80" s="177">
        <v>31340</v>
      </c>
      <c r="I80" s="174">
        <v>1086</v>
      </c>
      <c r="J80" s="177">
        <v>22285</v>
      </c>
      <c r="K80" s="172" t="s">
        <v>337</v>
      </c>
      <c r="L80" s="178" t="s">
        <v>350</v>
      </c>
    </row>
    <row r="81" spans="3:12">
      <c r="C81" s="171" t="s">
        <v>14</v>
      </c>
      <c r="D81" s="173" t="s">
        <v>34</v>
      </c>
      <c r="E81" s="172" t="s">
        <v>339</v>
      </c>
      <c r="F81" s="175" t="s">
        <v>20</v>
      </c>
      <c r="G81" s="176">
        <v>79306.55</v>
      </c>
      <c r="H81" s="177">
        <v>31332</v>
      </c>
      <c r="I81" s="174">
        <v>1087</v>
      </c>
      <c r="J81" s="177">
        <v>14991</v>
      </c>
      <c r="K81" s="172" t="s">
        <v>337</v>
      </c>
      <c r="L81" s="178" t="s">
        <v>340</v>
      </c>
    </row>
    <row r="82" spans="3:12">
      <c r="C82" s="171" t="s">
        <v>14</v>
      </c>
      <c r="D82" s="171" t="s">
        <v>29</v>
      </c>
      <c r="E82" s="172" t="s">
        <v>28</v>
      </c>
      <c r="F82" s="180" t="s">
        <v>17</v>
      </c>
      <c r="G82" s="176">
        <v>29362.2</v>
      </c>
      <c r="H82" s="177">
        <v>33456</v>
      </c>
      <c r="I82" s="174">
        <v>1088</v>
      </c>
      <c r="J82" s="177">
        <v>24237</v>
      </c>
      <c r="K82" s="172" t="s">
        <v>337</v>
      </c>
      <c r="L82" s="178" t="s">
        <v>335</v>
      </c>
    </row>
    <row r="83" spans="3:12">
      <c r="C83" s="171" t="s">
        <v>332</v>
      </c>
      <c r="D83" s="173" t="s">
        <v>13</v>
      </c>
      <c r="E83" s="181" t="s">
        <v>437</v>
      </c>
      <c r="F83" s="180" t="s">
        <v>15</v>
      </c>
      <c r="G83" s="176">
        <v>28043.68</v>
      </c>
      <c r="H83" s="177">
        <v>33448</v>
      </c>
      <c r="I83" s="174">
        <v>1089</v>
      </c>
      <c r="J83" s="177">
        <v>24248</v>
      </c>
      <c r="K83" s="172" t="s">
        <v>337</v>
      </c>
      <c r="L83" s="178" t="s">
        <v>348</v>
      </c>
    </row>
    <row r="84" spans="3:12">
      <c r="C84" s="171" t="s">
        <v>332</v>
      </c>
      <c r="D84" s="173" t="s">
        <v>364</v>
      </c>
      <c r="E84" s="172" t="s">
        <v>369</v>
      </c>
      <c r="F84" s="180" t="s">
        <v>15</v>
      </c>
      <c r="G84" s="176">
        <v>58482.45</v>
      </c>
      <c r="H84" s="177">
        <v>28896</v>
      </c>
      <c r="I84" s="174">
        <v>1090</v>
      </c>
      <c r="J84" s="177">
        <v>20231</v>
      </c>
      <c r="K84" s="172" t="s">
        <v>330</v>
      </c>
      <c r="L84" s="178" t="s">
        <v>331</v>
      </c>
    </row>
    <row r="85" spans="3:12">
      <c r="C85" s="171" t="s">
        <v>332</v>
      </c>
      <c r="D85" s="171" t="s">
        <v>334</v>
      </c>
      <c r="E85" s="172" t="s">
        <v>336</v>
      </c>
      <c r="F85" s="175" t="s">
        <v>20</v>
      </c>
      <c r="G85" s="176">
        <v>97096.35</v>
      </c>
      <c r="H85" s="177">
        <v>28888</v>
      </c>
      <c r="I85" s="174">
        <v>1091</v>
      </c>
      <c r="J85" s="177">
        <v>20242</v>
      </c>
      <c r="K85" s="172" t="s">
        <v>337</v>
      </c>
      <c r="L85" s="178" t="s">
        <v>338</v>
      </c>
    </row>
    <row r="86" spans="3:12">
      <c r="C86" s="171" t="s">
        <v>324</v>
      </c>
      <c r="D86" s="173" t="s">
        <v>326</v>
      </c>
      <c r="E86" s="175" t="s">
        <v>344</v>
      </c>
      <c r="F86" s="180" t="s">
        <v>15</v>
      </c>
      <c r="G86" s="176">
        <v>79061.279999999999</v>
      </c>
      <c r="H86" s="177">
        <v>28898</v>
      </c>
      <c r="I86" s="174">
        <v>1092</v>
      </c>
      <c r="J86" s="177">
        <v>20600</v>
      </c>
      <c r="K86" s="172" t="s">
        <v>337</v>
      </c>
      <c r="L86" s="178" t="s">
        <v>345</v>
      </c>
    </row>
    <row r="87" spans="3:12">
      <c r="C87" s="171" t="s">
        <v>398</v>
      </c>
      <c r="D87" s="171" t="s">
        <v>400</v>
      </c>
      <c r="E87" s="181" t="s">
        <v>408</v>
      </c>
      <c r="F87" s="180" t="s">
        <v>15</v>
      </c>
      <c r="G87" s="176">
        <v>35785.47</v>
      </c>
      <c r="H87" s="177">
        <v>30393</v>
      </c>
      <c r="I87" s="174">
        <v>1093</v>
      </c>
      <c r="J87" s="177">
        <v>23307</v>
      </c>
      <c r="K87" s="172" t="s">
        <v>337</v>
      </c>
      <c r="L87" s="178" t="s">
        <v>350</v>
      </c>
    </row>
    <row r="88" spans="3:12">
      <c r="C88" s="171" t="s">
        <v>14</v>
      </c>
      <c r="D88" s="171" t="s">
        <v>27</v>
      </c>
      <c r="E88" s="172" t="s">
        <v>366</v>
      </c>
      <c r="F88" s="180" t="s">
        <v>15</v>
      </c>
      <c r="G88" s="176">
        <v>61855.54</v>
      </c>
      <c r="H88" s="177">
        <v>30385</v>
      </c>
      <c r="I88" s="174">
        <v>1094</v>
      </c>
      <c r="J88" s="177">
        <v>23318</v>
      </c>
      <c r="K88" s="172" t="s">
        <v>337</v>
      </c>
      <c r="L88" s="178" t="s">
        <v>350</v>
      </c>
    </row>
    <row r="89" spans="3:12">
      <c r="C89" s="171" t="s">
        <v>398</v>
      </c>
      <c r="D89" s="171" t="s">
        <v>400</v>
      </c>
      <c r="E89" s="172" t="s">
        <v>430</v>
      </c>
      <c r="F89" s="175" t="s">
        <v>20</v>
      </c>
      <c r="G89" s="176">
        <v>28859.25</v>
      </c>
      <c r="H89" s="177">
        <v>33596</v>
      </c>
      <c r="I89" s="174">
        <v>1095</v>
      </c>
      <c r="J89" s="177">
        <v>25479</v>
      </c>
      <c r="K89" s="172" t="s">
        <v>337</v>
      </c>
      <c r="L89" s="178" t="s">
        <v>335</v>
      </c>
    </row>
    <row r="90" spans="3:12">
      <c r="C90" s="171" t="s">
        <v>324</v>
      </c>
      <c r="D90" s="171" t="s">
        <v>25</v>
      </c>
      <c r="E90" s="181" t="s">
        <v>451</v>
      </c>
      <c r="F90" s="180" t="s">
        <v>17</v>
      </c>
      <c r="G90" s="176">
        <v>24179.5</v>
      </c>
      <c r="H90" s="177">
        <v>33588</v>
      </c>
      <c r="I90" s="174">
        <v>1096</v>
      </c>
      <c r="J90" s="177">
        <v>25490</v>
      </c>
      <c r="K90" s="172" t="s">
        <v>337</v>
      </c>
      <c r="L90" s="178" t="s">
        <v>331</v>
      </c>
    </row>
    <row r="91" spans="3:12">
      <c r="C91" s="171" t="s">
        <v>332</v>
      </c>
      <c r="D91" s="173" t="s">
        <v>364</v>
      </c>
      <c r="E91" s="181" t="s">
        <v>402</v>
      </c>
      <c r="F91" s="175" t="s">
        <v>17</v>
      </c>
      <c r="G91" s="176">
        <v>37488.75</v>
      </c>
      <c r="H91" s="177">
        <v>31399</v>
      </c>
      <c r="I91" s="174">
        <v>1097</v>
      </c>
      <c r="J91" s="177">
        <v>25494</v>
      </c>
      <c r="K91" s="172" t="s">
        <v>337</v>
      </c>
      <c r="L91" s="178" t="s">
        <v>350</v>
      </c>
    </row>
    <row r="92" spans="3:12">
      <c r="C92" s="171" t="s">
        <v>14</v>
      </c>
      <c r="D92" s="171" t="s">
        <v>23</v>
      </c>
      <c r="E92" s="181" t="s">
        <v>22</v>
      </c>
      <c r="F92" s="180" t="s">
        <v>17</v>
      </c>
      <c r="G92" s="176">
        <v>21303.599999999999</v>
      </c>
      <c r="H92" s="177">
        <v>32936</v>
      </c>
      <c r="I92" s="174">
        <v>1098</v>
      </c>
      <c r="J92" s="177">
        <v>25797</v>
      </c>
      <c r="K92" s="172" t="s">
        <v>358</v>
      </c>
      <c r="L92" s="178" t="s">
        <v>350</v>
      </c>
    </row>
    <row r="93" spans="3:12">
      <c r="C93" s="171" t="s">
        <v>14</v>
      </c>
      <c r="D93" s="171" t="s">
        <v>342</v>
      </c>
      <c r="E93" s="172" t="s">
        <v>349</v>
      </c>
      <c r="F93" s="175" t="s">
        <v>20</v>
      </c>
      <c r="G93" s="176">
        <v>70934.880000000005</v>
      </c>
      <c r="H93" s="177">
        <v>29641</v>
      </c>
      <c r="I93" s="174">
        <v>1099</v>
      </c>
      <c r="J93" s="177">
        <v>22155</v>
      </c>
      <c r="K93" s="172" t="s">
        <v>337</v>
      </c>
      <c r="L93" s="178" t="s">
        <v>350</v>
      </c>
    </row>
    <row r="94" spans="3:12">
      <c r="C94" s="171" t="s">
        <v>14</v>
      </c>
      <c r="D94" s="171" t="s">
        <v>19</v>
      </c>
      <c r="E94" s="181" t="s">
        <v>21</v>
      </c>
      <c r="F94" s="180" t="s">
        <v>17</v>
      </c>
      <c r="G94" s="176">
        <v>35480.400000000001</v>
      </c>
      <c r="H94" s="177">
        <v>33427</v>
      </c>
      <c r="I94" s="174">
        <v>1100</v>
      </c>
      <c r="J94" s="177">
        <v>25812</v>
      </c>
      <c r="K94" s="172" t="s">
        <v>337</v>
      </c>
      <c r="L94" s="178" t="s">
        <v>331</v>
      </c>
    </row>
    <row r="95" spans="3:12">
      <c r="C95" s="171" t="s">
        <v>332</v>
      </c>
      <c r="D95" s="171" t="s">
        <v>25</v>
      </c>
      <c r="E95" s="172" t="s">
        <v>417</v>
      </c>
      <c r="F95" s="180" t="s">
        <v>15</v>
      </c>
      <c r="G95" s="176">
        <v>31916.94</v>
      </c>
      <c r="H95" s="177">
        <v>33144</v>
      </c>
      <c r="I95" s="174">
        <v>1101</v>
      </c>
      <c r="J95" s="177">
        <v>22526</v>
      </c>
      <c r="K95" s="172" t="s">
        <v>337</v>
      </c>
      <c r="L95" s="178" t="s">
        <v>345</v>
      </c>
    </row>
    <row r="96" spans="3:12">
      <c r="C96" s="171" t="s">
        <v>332</v>
      </c>
      <c r="D96" s="173" t="s">
        <v>13</v>
      </c>
      <c r="E96" s="172" t="s">
        <v>414</v>
      </c>
      <c r="F96" s="180" t="s">
        <v>15</v>
      </c>
      <c r="G96" s="176">
        <v>33051.480000000003</v>
      </c>
      <c r="H96" s="177">
        <v>33136</v>
      </c>
      <c r="I96" s="174">
        <v>1102</v>
      </c>
      <c r="J96" s="177">
        <v>22537</v>
      </c>
      <c r="K96" s="172" t="s">
        <v>337</v>
      </c>
      <c r="L96" s="178" t="s">
        <v>338</v>
      </c>
    </row>
    <row r="97" spans="3:12">
      <c r="C97" s="171" t="s">
        <v>324</v>
      </c>
      <c r="D97" s="173" t="s">
        <v>326</v>
      </c>
      <c r="E97" s="172" t="s">
        <v>347</v>
      </c>
      <c r="F97" s="180" t="s">
        <v>17</v>
      </c>
      <c r="G97" s="176">
        <v>72819.600000000006</v>
      </c>
      <c r="H97" s="177">
        <v>31182</v>
      </c>
      <c r="I97" s="174">
        <v>1103</v>
      </c>
      <c r="J97" s="177">
        <v>21814</v>
      </c>
      <c r="K97" s="172" t="s">
        <v>337</v>
      </c>
      <c r="L97" s="178" t="s">
        <v>348</v>
      </c>
    </row>
    <row r="98" spans="3:12">
      <c r="C98" s="171" t="s">
        <v>14</v>
      </c>
      <c r="D98" s="171" t="s">
        <v>23</v>
      </c>
      <c r="E98" s="172" t="s">
        <v>433</v>
      </c>
      <c r="F98" s="180" t="s">
        <v>15</v>
      </c>
      <c r="G98" s="176">
        <v>28404.799999999999</v>
      </c>
      <c r="H98" s="177">
        <v>32116</v>
      </c>
      <c r="I98" s="174">
        <v>1104</v>
      </c>
      <c r="J98" s="177">
        <v>22701</v>
      </c>
      <c r="K98" s="172" t="s">
        <v>358</v>
      </c>
      <c r="L98" s="178" t="s">
        <v>340</v>
      </c>
    </row>
    <row r="99" spans="3:12">
      <c r="C99" s="171" t="s">
        <v>332</v>
      </c>
      <c r="D99" s="173" t="s">
        <v>364</v>
      </c>
      <c r="E99" s="172" t="s">
        <v>385</v>
      </c>
      <c r="F99" s="180" t="s">
        <v>17</v>
      </c>
      <c r="G99" s="176">
        <v>47985.599999999999</v>
      </c>
      <c r="H99" s="177">
        <v>32108</v>
      </c>
      <c r="I99" s="174">
        <v>1105</v>
      </c>
      <c r="J99" s="177">
        <v>22712</v>
      </c>
      <c r="K99" s="172" t="s">
        <v>337</v>
      </c>
      <c r="L99" s="178" t="s">
        <v>338</v>
      </c>
    </row>
    <row r="100" spans="3:12">
      <c r="C100" s="171" t="s">
        <v>387</v>
      </c>
      <c r="D100" s="171" t="s">
        <v>406</v>
      </c>
      <c r="E100" s="172" t="s">
        <v>446</v>
      </c>
      <c r="F100" s="175" t="s">
        <v>20</v>
      </c>
      <c r="G100" s="176">
        <v>26101.439999999999</v>
      </c>
      <c r="H100" s="177">
        <v>33044</v>
      </c>
      <c r="I100" s="174">
        <v>1106</v>
      </c>
      <c r="J100" s="177">
        <v>25716</v>
      </c>
      <c r="K100" s="172" t="s">
        <v>337</v>
      </c>
      <c r="L100" s="178" t="s">
        <v>350</v>
      </c>
    </row>
    <row r="101" spans="3:12">
      <c r="C101" s="171" t="s">
        <v>387</v>
      </c>
      <c r="D101" s="171" t="s">
        <v>389</v>
      </c>
      <c r="E101" s="172" t="s">
        <v>388</v>
      </c>
      <c r="F101" s="180" t="s">
        <v>17</v>
      </c>
      <c r="G101" s="176">
        <v>47852.639999999999</v>
      </c>
      <c r="H101" s="177">
        <v>33036</v>
      </c>
      <c r="I101" s="174">
        <v>1107</v>
      </c>
      <c r="J101" s="177">
        <v>18422</v>
      </c>
      <c r="K101" s="172" t="s">
        <v>337</v>
      </c>
      <c r="L101" s="178" t="s">
        <v>331</v>
      </c>
    </row>
    <row r="102" spans="3:12">
      <c r="C102" s="171" t="s">
        <v>14</v>
      </c>
      <c r="D102" s="171" t="s">
        <v>352</v>
      </c>
      <c r="E102" s="172" t="s">
        <v>353</v>
      </c>
      <c r="F102" s="175" t="s">
        <v>17</v>
      </c>
      <c r="G102" s="176">
        <v>67535.16</v>
      </c>
      <c r="H102" s="177">
        <v>31054</v>
      </c>
      <c r="I102" s="174">
        <v>1108</v>
      </c>
      <c r="J102" s="177">
        <v>18426</v>
      </c>
      <c r="K102" s="172" t="s">
        <v>343</v>
      </c>
      <c r="L102" s="178" t="s">
        <v>350</v>
      </c>
    </row>
    <row r="103" spans="3:12">
      <c r="C103" s="171" t="s">
        <v>332</v>
      </c>
      <c r="D103" s="173" t="s">
        <v>364</v>
      </c>
      <c r="E103" s="172" t="s">
        <v>363</v>
      </c>
      <c r="F103" s="175" t="s">
        <v>20</v>
      </c>
      <c r="G103" s="176">
        <v>62981.1</v>
      </c>
      <c r="H103" s="177">
        <v>30236</v>
      </c>
      <c r="I103" s="174">
        <v>1109</v>
      </c>
      <c r="J103" s="177">
        <v>19050</v>
      </c>
      <c r="K103" s="172" t="s">
        <v>337</v>
      </c>
      <c r="L103" s="178" t="s">
        <v>350</v>
      </c>
    </row>
    <row r="104" spans="3:12">
      <c r="C104" s="171" t="s">
        <v>332</v>
      </c>
      <c r="D104" s="171" t="s">
        <v>334</v>
      </c>
      <c r="E104" s="172" t="s">
        <v>333</v>
      </c>
      <c r="F104" s="180" t="s">
        <v>17</v>
      </c>
      <c r="G104" s="176">
        <v>104565.3</v>
      </c>
      <c r="H104" s="177">
        <v>30228</v>
      </c>
      <c r="I104" s="174">
        <v>1110</v>
      </c>
      <c r="J104" s="177">
        <v>19061</v>
      </c>
      <c r="K104" s="172" t="s">
        <v>330</v>
      </c>
      <c r="L104" s="178" t="s">
        <v>335</v>
      </c>
    </row>
    <row r="105" spans="3:12">
      <c r="C105" s="171" t="s">
        <v>387</v>
      </c>
      <c r="D105" s="173" t="s">
        <v>13</v>
      </c>
      <c r="E105" s="172" t="s">
        <v>438</v>
      </c>
      <c r="F105" s="175" t="s">
        <v>20</v>
      </c>
      <c r="G105" s="176">
        <v>28043.68</v>
      </c>
      <c r="H105" s="177">
        <v>32094</v>
      </c>
      <c r="I105" s="174">
        <v>1111</v>
      </c>
      <c r="J105" s="177">
        <v>24188</v>
      </c>
      <c r="K105" s="172" t="s">
        <v>337</v>
      </c>
      <c r="L105" s="178" t="s">
        <v>350</v>
      </c>
    </row>
    <row r="106" spans="3:12">
      <c r="C106" s="171" t="s">
        <v>324</v>
      </c>
      <c r="D106" s="171" t="s">
        <v>25</v>
      </c>
      <c r="E106" s="172" t="s">
        <v>443</v>
      </c>
      <c r="F106" s="175" t="s">
        <v>17</v>
      </c>
      <c r="G106" s="176">
        <v>27081.040000000001</v>
      </c>
      <c r="H106" s="177">
        <v>32086</v>
      </c>
      <c r="I106" s="174">
        <v>1112</v>
      </c>
      <c r="J106" s="177">
        <v>24199</v>
      </c>
      <c r="K106" s="172" t="s">
        <v>337</v>
      </c>
      <c r="L106" s="178" t="s">
        <v>350</v>
      </c>
    </row>
    <row r="107" spans="3:12">
      <c r="C107" s="171" t="s">
        <v>332</v>
      </c>
      <c r="D107" s="171" t="s">
        <v>355</v>
      </c>
      <c r="E107" s="172" t="s">
        <v>354</v>
      </c>
      <c r="F107" s="180" t="s">
        <v>15</v>
      </c>
      <c r="G107" s="176">
        <v>66602.880000000005</v>
      </c>
      <c r="H107" s="177">
        <v>32437</v>
      </c>
      <c r="I107" s="174">
        <v>1113</v>
      </c>
      <c r="J107" s="177">
        <v>16898</v>
      </c>
      <c r="K107" s="172" t="s">
        <v>337</v>
      </c>
      <c r="L107" s="178" t="s">
        <v>350</v>
      </c>
    </row>
    <row r="108" spans="3:12">
      <c r="C108" s="171" t="s">
        <v>398</v>
      </c>
      <c r="D108" s="171" t="s">
        <v>449</v>
      </c>
      <c r="E108" s="172" t="s">
        <v>453</v>
      </c>
      <c r="F108" s="180" t="s">
        <v>17</v>
      </c>
      <c r="G108" s="176">
        <v>23239.439999999999</v>
      </c>
      <c r="H108" s="177">
        <v>33924</v>
      </c>
      <c r="I108" s="174">
        <v>1114</v>
      </c>
      <c r="J108" s="177">
        <v>25692</v>
      </c>
      <c r="K108" s="172" t="s">
        <v>358</v>
      </c>
      <c r="L108" s="178" t="s">
        <v>338</v>
      </c>
    </row>
    <row r="109" spans="3:12">
      <c r="C109" s="171" t="s">
        <v>332</v>
      </c>
      <c r="D109" s="171" t="s">
        <v>355</v>
      </c>
      <c r="E109" s="172" t="s">
        <v>372</v>
      </c>
      <c r="F109" s="175" t="s">
        <v>20</v>
      </c>
      <c r="G109" s="176">
        <v>58277.52</v>
      </c>
      <c r="H109" s="177">
        <v>30419</v>
      </c>
      <c r="I109" s="174">
        <v>1115</v>
      </c>
      <c r="J109" s="177">
        <v>19253</v>
      </c>
      <c r="K109" s="172" t="s">
        <v>337</v>
      </c>
      <c r="L109" s="178" t="s">
        <v>340</v>
      </c>
    </row>
    <row r="110" spans="3:12">
      <c r="C110" s="171" t="s">
        <v>324</v>
      </c>
      <c r="D110" s="171" t="s">
        <v>25</v>
      </c>
      <c r="E110" s="172" t="s">
        <v>455</v>
      </c>
      <c r="F110" s="175" t="s">
        <v>20</v>
      </c>
      <c r="G110" s="176">
        <v>23212.32</v>
      </c>
      <c r="H110" s="177">
        <v>33916</v>
      </c>
      <c r="I110" s="174">
        <v>1116</v>
      </c>
      <c r="J110" s="177">
        <v>25703</v>
      </c>
      <c r="K110" s="172" t="s">
        <v>337</v>
      </c>
      <c r="L110" s="178" t="s">
        <v>335</v>
      </c>
    </row>
    <row r="111" spans="3:12">
      <c r="C111" s="171" t="s">
        <v>332</v>
      </c>
      <c r="D111" s="173" t="s">
        <v>364</v>
      </c>
      <c r="E111" s="181" t="s">
        <v>404</v>
      </c>
      <c r="F111" s="175" t="s">
        <v>20</v>
      </c>
      <c r="G111" s="176">
        <v>35989.199999999997</v>
      </c>
      <c r="H111" s="177">
        <v>34335</v>
      </c>
      <c r="I111" s="174">
        <v>1117</v>
      </c>
      <c r="J111" s="177">
        <v>25707</v>
      </c>
      <c r="K111" s="172" t="s">
        <v>337</v>
      </c>
      <c r="L111" s="178" t="s">
        <v>350</v>
      </c>
    </row>
    <row r="112" spans="3:12">
      <c r="C112" s="171" t="s">
        <v>324</v>
      </c>
      <c r="D112" s="173" t="s">
        <v>357</v>
      </c>
      <c r="E112" s="172" t="s">
        <v>356</v>
      </c>
      <c r="F112" s="175" t="s">
        <v>15</v>
      </c>
      <c r="G112" s="176">
        <v>65821.56</v>
      </c>
      <c r="H112" s="177">
        <v>30411</v>
      </c>
      <c r="I112" s="174">
        <v>1118</v>
      </c>
      <c r="J112" s="177">
        <v>19264</v>
      </c>
      <c r="K112" s="172" t="s">
        <v>358</v>
      </c>
      <c r="L112" s="178" t="s">
        <v>359</v>
      </c>
    </row>
    <row r="113" spans="3:12">
      <c r="C113" s="171" t="s">
        <v>332</v>
      </c>
      <c r="D113" s="171" t="s">
        <v>355</v>
      </c>
      <c r="E113" s="172" t="s">
        <v>373</v>
      </c>
      <c r="F113" s="180" t="s">
        <v>15</v>
      </c>
      <c r="G113" s="176">
        <v>58277.52</v>
      </c>
      <c r="H113" s="177">
        <v>32977</v>
      </c>
      <c r="I113" s="174">
        <v>1119</v>
      </c>
      <c r="J113" s="177">
        <v>19268</v>
      </c>
      <c r="K113" s="172" t="s">
        <v>337</v>
      </c>
      <c r="L113" s="178" t="s">
        <v>335</v>
      </c>
    </row>
    <row r="114" spans="3:12">
      <c r="C114" s="171" t="s">
        <v>387</v>
      </c>
      <c r="D114" s="171" t="s">
        <v>432</v>
      </c>
      <c r="E114" s="172" t="s">
        <v>456</v>
      </c>
      <c r="F114" s="175" t="s">
        <v>20</v>
      </c>
      <c r="G114" s="176">
        <v>21887.95</v>
      </c>
      <c r="H114" s="177">
        <v>33730</v>
      </c>
      <c r="I114" s="174">
        <v>1120</v>
      </c>
      <c r="J114" s="177">
        <v>26204</v>
      </c>
      <c r="K114" s="172" t="s">
        <v>337</v>
      </c>
      <c r="L114" s="178" t="s">
        <v>348</v>
      </c>
    </row>
    <row r="115" spans="3:12">
      <c r="C115" s="171" t="s">
        <v>14</v>
      </c>
      <c r="D115" s="173" t="s">
        <v>13</v>
      </c>
      <c r="E115" s="172" t="s">
        <v>12</v>
      </c>
      <c r="F115" s="180" t="s">
        <v>15</v>
      </c>
      <c r="G115" s="176">
        <v>23035.88</v>
      </c>
      <c r="H115" s="177">
        <v>33722</v>
      </c>
      <c r="I115" s="174">
        <v>1121</v>
      </c>
      <c r="J115" s="177">
        <v>26215</v>
      </c>
      <c r="K115" s="172" t="s">
        <v>337</v>
      </c>
      <c r="L115" s="178" t="s">
        <v>335</v>
      </c>
    </row>
    <row r="116" spans="3:12">
      <c r="C116" s="171" t="s">
        <v>14</v>
      </c>
      <c r="D116" s="171" t="s">
        <v>19</v>
      </c>
      <c r="E116" s="172" t="s">
        <v>384</v>
      </c>
      <c r="F116" s="180" t="s">
        <v>17</v>
      </c>
      <c r="G116" s="176">
        <v>48785.55</v>
      </c>
      <c r="H116" s="177">
        <v>33855</v>
      </c>
      <c r="I116" s="174">
        <v>1122</v>
      </c>
      <c r="J116" s="177">
        <v>22567</v>
      </c>
      <c r="K116" s="172" t="s">
        <v>337</v>
      </c>
      <c r="L116" s="178" t="s">
        <v>350</v>
      </c>
    </row>
    <row r="117" spans="3:12">
      <c r="C117" s="171" t="s">
        <v>398</v>
      </c>
      <c r="D117" s="171" t="s">
        <v>400</v>
      </c>
      <c r="E117" s="172" t="s">
        <v>423</v>
      </c>
      <c r="F117" s="175" t="s">
        <v>20</v>
      </c>
      <c r="G117" s="176">
        <v>30013.62</v>
      </c>
      <c r="H117" s="177">
        <v>29750</v>
      </c>
      <c r="I117" s="174">
        <v>1123</v>
      </c>
      <c r="J117" s="177">
        <v>25095</v>
      </c>
      <c r="K117" s="172" t="s">
        <v>337</v>
      </c>
      <c r="L117" s="178" t="s">
        <v>350</v>
      </c>
    </row>
    <row r="118" spans="3:12">
      <c r="C118" s="183" t="s">
        <v>14</v>
      </c>
      <c r="D118" s="183" t="s">
        <v>27</v>
      </c>
      <c r="E118" s="184" t="s">
        <v>26</v>
      </c>
      <c r="F118" s="186" t="s">
        <v>17</v>
      </c>
      <c r="G118" s="187">
        <v>51878.84</v>
      </c>
      <c r="H118" s="188">
        <v>29742</v>
      </c>
      <c r="I118" s="185">
        <v>1124</v>
      </c>
      <c r="J118" s="188">
        <v>25106</v>
      </c>
      <c r="K118" s="189" t="s">
        <v>337</v>
      </c>
      <c r="L118" s="190" t="s">
        <v>350</v>
      </c>
    </row>
  </sheetData>
  <phoneticPr fontId="2" type="noConversion"/>
  <dataValidations count="1">
    <dataValidation type="list" allowBlank="1" showInputMessage="1" showErrorMessage="1" sqref="C2" xr:uid="{DF54ED7D-95FD-4DCC-9CCF-9E8A425CB4F3}">
      <formula1>工號</formula1>
    </dataValidation>
  </dataValidations>
  <hyperlinks>
    <hyperlink ref="F2" r:id="rId1" xr:uid="{9CC1C874-36BA-4CA4-B81D-CD0BE820CAD5}"/>
  </hyperlinks>
  <pageMargins left="0.7" right="0.7" top="0.75" bottom="0.75" header="0.3" footer="0.3"/>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3D04-8662-401C-87F6-1B1721217773}">
  <dimension ref="A1:G12"/>
  <sheetViews>
    <sheetView zoomScale="130" zoomScaleNormal="130" workbookViewId="0">
      <selection activeCell="G9" sqref="G9"/>
    </sheetView>
  </sheetViews>
  <sheetFormatPr defaultRowHeight="16.5"/>
  <cols>
    <col min="3" max="3" width="10.375" customWidth="1"/>
    <col min="259" max="259" width="10.375" customWidth="1"/>
    <col min="515" max="515" width="10.375" customWidth="1"/>
    <col min="771" max="771" width="10.375" customWidth="1"/>
    <col min="1027" max="1027" width="10.375" customWidth="1"/>
    <col min="1283" max="1283" width="10.375" customWidth="1"/>
    <col min="1539" max="1539" width="10.375" customWidth="1"/>
    <col min="1795" max="1795" width="10.375" customWidth="1"/>
    <col min="2051" max="2051" width="10.375" customWidth="1"/>
    <col min="2307" max="2307" width="10.375" customWidth="1"/>
    <col min="2563" max="2563" width="10.375" customWidth="1"/>
    <col min="2819" max="2819" width="10.375" customWidth="1"/>
    <col min="3075" max="3075" width="10.375" customWidth="1"/>
    <col min="3331" max="3331" width="10.375" customWidth="1"/>
    <col min="3587" max="3587" width="10.375" customWidth="1"/>
    <col min="3843" max="3843" width="10.375" customWidth="1"/>
    <col min="4099" max="4099" width="10.375" customWidth="1"/>
    <col min="4355" max="4355" width="10.375" customWidth="1"/>
    <col min="4611" max="4611" width="10.375" customWidth="1"/>
    <col min="4867" max="4867" width="10.375" customWidth="1"/>
    <col min="5123" max="5123" width="10.375" customWidth="1"/>
    <col min="5379" max="5379" width="10.375" customWidth="1"/>
    <col min="5635" max="5635" width="10.375" customWidth="1"/>
    <col min="5891" max="5891" width="10.375" customWidth="1"/>
    <col min="6147" max="6147" width="10.375" customWidth="1"/>
    <col min="6403" max="6403" width="10.375" customWidth="1"/>
    <col min="6659" max="6659" width="10.375" customWidth="1"/>
    <col min="6915" max="6915" width="10.375" customWidth="1"/>
    <col min="7171" max="7171" width="10.375" customWidth="1"/>
    <col min="7427" max="7427" width="10.375" customWidth="1"/>
    <col min="7683" max="7683" width="10.375" customWidth="1"/>
    <col min="7939" max="7939" width="10.375" customWidth="1"/>
    <col min="8195" max="8195" width="10.375" customWidth="1"/>
    <col min="8451" max="8451" width="10.375" customWidth="1"/>
    <col min="8707" max="8707" width="10.375" customWidth="1"/>
    <col min="8963" max="8963" width="10.375" customWidth="1"/>
    <col min="9219" max="9219" width="10.375" customWidth="1"/>
    <col min="9475" max="9475" width="10.375" customWidth="1"/>
    <col min="9731" max="9731" width="10.375" customWidth="1"/>
    <col min="9987" max="9987" width="10.375" customWidth="1"/>
    <col min="10243" max="10243" width="10.375" customWidth="1"/>
    <col min="10499" max="10499" width="10.375" customWidth="1"/>
    <col min="10755" max="10755" width="10.375" customWidth="1"/>
    <col min="11011" max="11011" width="10.375" customWidth="1"/>
    <col min="11267" max="11267" width="10.375" customWidth="1"/>
    <col min="11523" max="11523" width="10.375" customWidth="1"/>
    <col min="11779" max="11779" width="10.375" customWidth="1"/>
    <col min="12035" max="12035" width="10.375" customWidth="1"/>
    <col min="12291" max="12291" width="10.375" customWidth="1"/>
    <col min="12547" max="12547" width="10.375" customWidth="1"/>
    <col min="12803" max="12803" width="10.375" customWidth="1"/>
    <col min="13059" max="13059" width="10.375" customWidth="1"/>
    <col min="13315" max="13315" width="10.375" customWidth="1"/>
    <col min="13571" max="13571" width="10.375" customWidth="1"/>
    <col min="13827" max="13827" width="10.375" customWidth="1"/>
    <col min="14083" max="14083" width="10.375" customWidth="1"/>
    <col min="14339" max="14339" width="10.375" customWidth="1"/>
    <col min="14595" max="14595" width="10.375" customWidth="1"/>
    <col min="14851" max="14851" width="10.375" customWidth="1"/>
    <col min="15107" max="15107" width="10.375" customWidth="1"/>
    <col min="15363" max="15363" width="10.375" customWidth="1"/>
    <col min="15619" max="15619" width="10.375" customWidth="1"/>
    <col min="15875" max="15875" width="10.375" customWidth="1"/>
    <col min="16131" max="16131" width="10.375" customWidth="1"/>
  </cols>
  <sheetData>
    <row r="1" spans="1:7" ht="21">
      <c r="A1" s="193" t="s">
        <v>236</v>
      </c>
      <c r="B1" s="193"/>
      <c r="C1" s="193"/>
      <c r="D1" s="193"/>
      <c r="E1" s="193"/>
      <c r="F1" s="193"/>
      <c r="G1" s="193"/>
    </row>
    <row r="3" spans="1:7">
      <c r="A3" s="125" t="s">
        <v>237</v>
      </c>
      <c r="B3" s="125" t="s">
        <v>238</v>
      </c>
      <c r="C3" s="125" t="s">
        <v>239</v>
      </c>
    </row>
    <row r="4" spans="1:7">
      <c r="A4" s="126" t="s">
        <v>240</v>
      </c>
      <c r="B4" s="126">
        <v>0.69</v>
      </c>
      <c r="C4" s="126">
        <v>40</v>
      </c>
    </row>
    <row r="5" spans="1:7">
      <c r="A5" s="126" t="s">
        <v>241</v>
      </c>
      <c r="B5" s="126">
        <v>0.34</v>
      </c>
      <c r="C5" s="126">
        <v>38</v>
      </c>
    </row>
    <row r="6" spans="1:7">
      <c r="A6" s="126" t="s">
        <v>242</v>
      </c>
      <c r="B6" s="126">
        <v>0.55000000000000004</v>
      </c>
      <c r="C6" s="126">
        <v>15</v>
      </c>
    </row>
    <row r="7" spans="1:7">
      <c r="A7" s="126" t="s">
        <v>243</v>
      </c>
      <c r="B7" s="126">
        <v>0.25</v>
      </c>
      <c r="C7" s="126">
        <v>25</v>
      </c>
      <c r="F7" s="127" t="s">
        <v>244</v>
      </c>
      <c r="G7" s="127">
        <v>9</v>
      </c>
    </row>
    <row r="8" spans="1:7">
      <c r="A8" s="126" t="s">
        <v>245</v>
      </c>
      <c r="B8" s="126">
        <v>0.59</v>
      </c>
      <c r="C8" s="126">
        <v>40</v>
      </c>
      <c r="F8" s="128" t="s">
        <v>246</v>
      </c>
      <c r="G8" s="128">
        <v>3</v>
      </c>
    </row>
    <row r="9" spans="1:7">
      <c r="A9" s="129" t="s">
        <v>247</v>
      </c>
      <c r="B9" s="129">
        <v>2.8</v>
      </c>
      <c r="C9" s="129">
        <v>10</v>
      </c>
      <c r="F9" s="128" t="s">
        <v>248</v>
      </c>
      <c r="G9" s="128" cm="1">
        <f t="array" ref="G9">INDEX(A4:C12,G7,G8)</f>
        <v>12</v>
      </c>
    </row>
    <row r="10" spans="1:7">
      <c r="A10" s="129" t="s">
        <v>249</v>
      </c>
      <c r="B10" s="129">
        <v>3.55</v>
      </c>
      <c r="C10" s="129">
        <v>16</v>
      </c>
    </row>
    <row r="11" spans="1:7">
      <c r="A11" s="129" t="s">
        <v>250</v>
      </c>
      <c r="B11" s="129">
        <v>1.25</v>
      </c>
      <c r="C11" s="129">
        <v>20</v>
      </c>
    </row>
    <row r="12" spans="1:7">
      <c r="A12" s="129" t="s">
        <v>251</v>
      </c>
      <c r="B12" s="129">
        <v>1.75</v>
      </c>
      <c r="C12" s="129">
        <v>12</v>
      </c>
    </row>
  </sheetData>
  <mergeCells count="1">
    <mergeCell ref="A1:G1"/>
  </mergeCells>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55A5-E35E-4FDE-9EE4-F1EDCE0285A7}">
  <dimension ref="A1:H15"/>
  <sheetViews>
    <sheetView topLeftCell="A2" zoomScale="130" zoomScaleNormal="130" workbookViewId="0">
      <selection activeCell="G10" sqref="G10"/>
    </sheetView>
  </sheetViews>
  <sheetFormatPr defaultRowHeight="16.5"/>
  <cols>
    <col min="3" max="3" width="10.375" customWidth="1"/>
    <col min="7" max="7" width="9.5" bestFit="1" customWidth="1"/>
    <col min="259" max="259" width="10.375" customWidth="1"/>
    <col min="263" max="263" width="9.5" bestFit="1" customWidth="1"/>
    <col min="515" max="515" width="10.375" customWidth="1"/>
    <col min="519" max="519" width="9.5" bestFit="1" customWidth="1"/>
    <col min="771" max="771" width="10.375" customWidth="1"/>
    <col min="775" max="775" width="9.5" bestFit="1" customWidth="1"/>
    <col min="1027" max="1027" width="10.375" customWidth="1"/>
    <col min="1031" max="1031" width="9.5" bestFit="1" customWidth="1"/>
    <col min="1283" max="1283" width="10.375" customWidth="1"/>
    <col min="1287" max="1287" width="9.5" bestFit="1" customWidth="1"/>
    <col min="1539" max="1539" width="10.375" customWidth="1"/>
    <col min="1543" max="1543" width="9.5" bestFit="1" customWidth="1"/>
    <col min="1795" max="1795" width="10.375" customWidth="1"/>
    <col min="1799" max="1799" width="9.5" bestFit="1" customWidth="1"/>
    <col min="2051" max="2051" width="10.375" customWidth="1"/>
    <col min="2055" max="2055" width="9.5" bestFit="1" customWidth="1"/>
    <col min="2307" max="2307" width="10.375" customWidth="1"/>
    <col min="2311" max="2311" width="9.5" bestFit="1" customWidth="1"/>
    <col min="2563" max="2563" width="10.375" customWidth="1"/>
    <col min="2567" max="2567" width="9.5" bestFit="1" customWidth="1"/>
    <col min="2819" max="2819" width="10.375" customWidth="1"/>
    <col min="2823" max="2823" width="9.5" bestFit="1" customWidth="1"/>
    <col min="3075" max="3075" width="10.375" customWidth="1"/>
    <col min="3079" max="3079" width="9.5" bestFit="1" customWidth="1"/>
    <col min="3331" max="3331" width="10.375" customWidth="1"/>
    <col min="3335" max="3335" width="9.5" bestFit="1" customWidth="1"/>
    <col min="3587" max="3587" width="10.375" customWidth="1"/>
    <col min="3591" max="3591" width="9.5" bestFit="1" customWidth="1"/>
    <col min="3843" max="3843" width="10.375" customWidth="1"/>
    <col min="3847" max="3847" width="9.5" bestFit="1" customWidth="1"/>
    <col min="4099" max="4099" width="10.375" customWidth="1"/>
    <col min="4103" max="4103" width="9.5" bestFit="1" customWidth="1"/>
    <col min="4355" max="4355" width="10.375" customWidth="1"/>
    <col min="4359" max="4359" width="9.5" bestFit="1" customWidth="1"/>
    <col min="4611" max="4611" width="10.375" customWidth="1"/>
    <col min="4615" max="4615" width="9.5" bestFit="1" customWidth="1"/>
    <col min="4867" max="4867" width="10.375" customWidth="1"/>
    <col min="4871" max="4871" width="9.5" bestFit="1" customWidth="1"/>
    <col min="5123" max="5123" width="10.375" customWidth="1"/>
    <col min="5127" max="5127" width="9.5" bestFit="1" customWidth="1"/>
    <col min="5379" max="5379" width="10.375" customWidth="1"/>
    <col min="5383" max="5383" width="9.5" bestFit="1" customWidth="1"/>
    <col min="5635" max="5635" width="10.375" customWidth="1"/>
    <col min="5639" max="5639" width="9.5" bestFit="1" customWidth="1"/>
    <col min="5891" max="5891" width="10.375" customWidth="1"/>
    <col min="5895" max="5895" width="9.5" bestFit="1" customWidth="1"/>
    <col min="6147" max="6147" width="10.375" customWidth="1"/>
    <col min="6151" max="6151" width="9.5" bestFit="1" customWidth="1"/>
    <col min="6403" max="6403" width="10.375" customWidth="1"/>
    <col min="6407" max="6407" width="9.5" bestFit="1" customWidth="1"/>
    <col min="6659" max="6659" width="10.375" customWidth="1"/>
    <col min="6663" max="6663" width="9.5" bestFit="1" customWidth="1"/>
    <col min="6915" max="6915" width="10.375" customWidth="1"/>
    <col min="6919" max="6919" width="9.5" bestFit="1" customWidth="1"/>
    <col min="7171" max="7171" width="10.375" customWidth="1"/>
    <col min="7175" max="7175" width="9.5" bestFit="1" customWidth="1"/>
    <col min="7427" max="7427" width="10.375" customWidth="1"/>
    <col min="7431" max="7431" width="9.5" bestFit="1" customWidth="1"/>
    <col min="7683" max="7683" width="10.375" customWidth="1"/>
    <col min="7687" max="7687" width="9.5" bestFit="1" customWidth="1"/>
    <col min="7939" max="7939" width="10.375" customWidth="1"/>
    <col min="7943" max="7943" width="9.5" bestFit="1" customWidth="1"/>
    <col min="8195" max="8195" width="10.375" customWidth="1"/>
    <col min="8199" max="8199" width="9.5" bestFit="1" customWidth="1"/>
    <col min="8451" max="8451" width="10.375" customWidth="1"/>
    <col min="8455" max="8455" width="9.5" bestFit="1" customWidth="1"/>
    <col min="8707" max="8707" width="10.375" customWidth="1"/>
    <col min="8711" max="8711" width="9.5" bestFit="1" customWidth="1"/>
    <col min="8963" max="8963" width="10.375" customWidth="1"/>
    <col min="8967" max="8967" width="9.5" bestFit="1" customWidth="1"/>
    <col min="9219" max="9219" width="10.375" customWidth="1"/>
    <col min="9223" max="9223" width="9.5" bestFit="1" customWidth="1"/>
    <col min="9475" max="9475" width="10.375" customWidth="1"/>
    <col min="9479" max="9479" width="9.5" bestFit="1" customWidth="1"/>
    <col min="9731" max="9731" width="10.375" customWidth="1"/>
    <col min="9735" max="9735" width="9.5" bestFit="1" customWidth="1"/>
    <col min="9987" max="9987" width="10.375" customWidth="1"/>
    <col min="9991" max="9991" width="9.5" bestFit="1" customWidth="1"/>
    <col min="10243" max="10243" width="10.375" customWidth="1"/>
    <col min="10247" max="10247" width="9.5" bestFit="1" customWidth="1"/>
    <col min="10499" max="10499" width="10.375" customWidth="1"/>
    <col min="10503" max="10503" width="9.5" bestFit="1" customWidth="1"/>
    <col min="10755" max="10755" width="10.375" customWidth="1"/>
    <col min="10759" max="10759" width="9.5" bestFit="1" customWidth="1"/>
    <col min="11011" max="11011" width="10.375" customWidth="1"/>
    <col min="11015" max="11015" width="9.5" bestFit="1" customWidth="1"/>
    <col min="11267" max="11267" width="10.375" customWidth="1"/>
    <col min="11271" max="11271" width="9.5" bestFit="1" customWidth="1"/>
    <col min="11523" max="11523" width="10.375" customWidth="1"/>
    <col min="11527" max="11527" width="9.5" bestFit="1" customWidth="1"/>
    <col min="11779" max="11779" width="10.375" customWidth="1"/>
    <col min="11783" max="11783" width="9.5" bestFit="1" customWidth="1"/>
    <col min="12035" max="12035" width="10.375" customWidth="1"/>
    <col min="12039" max="12039" width="9.5" bestFit="1" customWidth="1"/>
    <col min="12291" max="12291" width="10.375" customWidth="1"/>
    <col min="12295" max="12295" width="9.5" bestFit="1" customWidth="1"/>
    <col min="12547" max="12547" width="10.375" customWidth="1"/>
    <col min="12551" max="12551" width="9.5" bestFit="1" customWidth="1"/>
    <col min="12803" max="12803" width="10.375" customWidth="1"/>
    <col min="12807" max="12807" width="9.5" bestFit="1" customWidth="1"/>
    <col min="13059" max="13059" width="10.375" customWidth="1"/>
    <col min="13063" max="13063" width="9.5" bestFit="1" customWidth="1"/>
    <col min="13315" max="13315" width="10.375" customWidth="1"/>
    <col min="13319" max="13319" width="9.5" bestFit="1" customWidth="1"/>
    <col min="13571" max="13571" width="10.375" customWidth="1"/>
    <col min="13575" max="13575" width="9.5" bestFit="1" customWidth="1"/>
    <col min="13827" max="13827" width="10.375" customWidth="1"/>
    <col min="13831" max="13831" width="9.5" bestFit="1" customWidth="1"/>
    <col min="14083" max="14083" width="10.375" customWidth="1"/>
    <col min="14087" max="14087" width="9.5" bestFit="1" customWidth="1"/>
    <col min="14339" max="14339" width="10.375" customWidth="1"/>
    <col min="14343" max="14343" width="9.5" bestFit="1" customWidth="1"/>
    <col min="14595" max="14595" width="10.375" customWidth="1"/>
    <col min="14599" max="14599" width="9.5" bestFit="1" customWidth="1"/>
    <col min="14851" max="14851" width="10.375" customWidth="1"/>
    <col min="14855" max="14855" width="9.5" bestFit="1" customWidth="1"/>
    <col min="15107" max="15107" width="10.375" customWidth="1"/>
    <col min="15111" max="15111" width="9.5" bestFit="1" customWidth="1"/>
    <col min="15363" max="15363" width="10.375" customWidth="1"/>
    <col min="15367" max="15367" width="9.5" bestFit="1" customWidth="1"/>
    <col min="15619" max="15619" width="10.375" customWidth="1"/>
    <col min="15623" max="15623" width="9.5" bestFit="1" customWidth="1"/>
    <col min="15875" max="15875" width="10.375" customWidth="1"/>
    <col min="15879" max="15879" width="9.5" bestFit="1" customWidth="1"/>
    <col min="16131" max="16131" width="10.375" customWidth="1"/>
    <col min="16135" max="16135" width="9.5" bestFit="1" customWidth="1"/>
  </cols>
  <sheetData>
    <row r="1" spans="1:8" ht="21">
      <c r="A1" s="193" t="s">
        <v>252</v>
      </c>
      <c r="B1" s="193"/>
      <c r="C1" s="193"/>
      <c r="D1" s="193"/>
      <c r="E1" s="193"/>
      <c r="F1" s="193"/>
      <c r="G1" s="193"/>
    </row>
    <row r="3" spans="1:8">
      <c r="A3" s="125" t="s">
        <v>237</v>
      </c>
      <c r="B3" s="125" t="s">
        <v>238</v>
      </c>
      <c r="C3" s="125" t="s">
        <v>239</v>
      </c>
    </row>
    <row r="4" spans="1:8">
      <c r="A4" s="126" t="s">
        <v>240</v>
      </c>
      <c r="B4" s="126">
        <v>0.69</v>
      </c>
      <c r="C4" s="126">
        <v>40</v>
      </c>
    </row>
    <row r="5" spans="1:8">
      <c r="A5" s="126" t="s">
        <v>241</v>
      </c>
      <c r="B5" s="126">
        <v>0.34</v>
      </c>
      <c r="C5" s="126">
        <v>38</v>
      </c>
    </row>
    <row r="6" spans="1:8">
      <c r="A6" s="126" t="s">
        <v>242</v>
      </c>
      <c r="B6" s="126">
        <v>0.55000000000000004</v>
      </c>
      <c r="C6" s="126">
        <v>15</v>
      </c>
    </row>
    <row r="7" spans="1:8">
      <c r="A7" s="126" t="s">
        <v>243</v>
      </c>
      <c r="B7" s="126">
        <v>0.25</v>
      </c>
      <c r="C7" s="126">
        <v>25</v>
      </c>
      <c r="F7" s="127" t="s">
        <v>244</v>
      </c>
      <c r="G7" s="127">
        <v>2</v>
      </c>
    </row>
    <row r="8" spans="1:8">
      <c r="A8" s="126" t="s">
        <v>245</v>
      </c>
      <c r="B8" s="126">
        <v>0.59</v>
      </c>
      <c r="C8" s="126">
        <v>40</v>
      </c>
      <c r="F8" s="128" t="s">
        <v>246</v>
      </c>
      <c r="G8" s="128">
        <v>3</v>
      </c>
    </row>
    <row r="9" spans="1:8">
      <c r="F9" s="130" t="s">
        <v>253</v>
      </c>
      <c r="G9" s="130">
        <v>2</v>
      </c>
    </row>
    <row r="10" spans="1:8">
      <c r="F10" s="128" t="s">
        <v>248</v>
      </c>
      <c r="G10" s="128">
        <f>INDEX((A4:C8,A11:C14,E12:H15),G7,G8,G9)</f>
        <v>16</v>
      </c>
    </row>
    <row r="11" spans="1:8">
      <c r="A11" s="129" t="s">
        <v>247</v>
      </c>
      <c r="B11" s="129">
        <v>2.8</v>
      </c>
      <c r="C11" s="129">
        <v>10</v>
      </c>
    </row>
    <row r="12" spans="1:8">
      <c r="A12" s="129" t="s">
        <v>249</v>
      </c>
      <c r="B12" s="129">
        <v>3.55</v>
      </c>
      <c r="C12" s="129">
        <v>16</v>
      </c>
      <c r="E12" s="131" t="s">
        <v>254</v>
      </c>
      <c r="F12" s="131"/>
      <c r="G12" s="131"/>
      <c r="H12" s="131"/>
    </row>
    <row r="13" spans="1:8">
      <c r="A13" s="129" t="s">
        <v>250</v>
      </c>
      <c r="B13" s="129">
        <v>1.25</v>
      </c>
      <c r="C13" s="129">
        <v>20</v>
      </c>
      <c r="E13" s="131"/>
      <c r="F13" s="131"/>
      <c r="G13" s="131"/>
      <c r="H13" s="131"/>
    </row>
    <row r="14" spans="1:8">
      <c r="A14" s="129" t="s">
        <v>251</v>
      </c>
      <c r="B14" s="129">
        <v>1.75</v>
      </c>
      <c r="C14" s="129">
        <v>12</v>
      </c>
      <c r="E14" s="131"/>
      <c r="F14" s="131"/>
      <c r="G14" s="131"/>
      <c r="H14" s="131"/>
    </row>
    <row r="15" spans="1:8">
      <c r="E15" s="131"/>
      <c r="F15" s="131"/>
      <c r="G15" s="131"/>
      <c r="H15" s="131"/>
    </row>
  </sheetData>
  <mergeCells count="1">
    <mergeCell ref="A1:G1"/>
  </mergeCells>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5537-E5AF-48F4-B649-45ED2738FF26}">
  <dimension ref="A1:H15"/>
  <sheetViews>
    <sheetView topLeftCell="A6" zoomScale="145" zoomScaleNormal="145" workbookViewId="0">
      <selection activeCell="G11" sqref="G11"/>
    </sheetView>
  </sheetViews>
  <sheetFormatPr defaultRowHeight="16.5"/>
  <cols>
    <col min="3" max="3" width="10.375" customWidth="1"/>
    <col min="6" max="6" width="13.875" bestFit="1" customWidth="1"/>
    <col min="7" max="7" width="9.5" bestFit="1" customWidth="1"/>
    <col min="8" max="8" width="16.125" bestFit="1" customWidth="1"/>
    <col min="259" max="259" width="10.375" customWidth="1"/>
    <col min="262" max="262" width="13.875" bestFit="1" customWidth="1"/>
    <col min="263" max="263" width="9.5" bestFit="1" customWidth="1"/>
    <col min="264" max="264" width="16.125" bestFit="1" customWidth="1"/>
    <col min="515" max="515" width="10.375" customWidth="1"/>
    <col min="518" max="518" width="13.875" bestFit="1" customWidth="1"/>
    <col min="519" max="519" width="9.5" bestFit="1" customWidth="1"/>
    <col min="520" max="520" width="16.125" bestFit="1" customWidth="1"/>
    <col min="771" max="771" width="10.375" customWidth="1"/>
    <col min="774" max="774" width="13.875" bestFit="1" customWidth="1"/>
    <col min="775" max="775" width="9.5" bestFit="1" customWidth="1"/>
    <col min="776" max="776" width="16.125" bestFit="1" customWidth="1"/>
    <col min="1027" max="1027" width="10.375" customWidth="1"/>
    <col min="1030" max="1030" width="13.875" bestFit="1" customWidth="1"/>
    <col min="1031" max="1031" width="9.5" bestFit="1" customWidth="1"/>
    <col min="1032" max="1032" width="16.125" bestFit="1" customWidth="1"/>
    <col min="1283" max="1283" width="10.375" customWidth="1"/>
    <col min="1286" max="1286" width="13.875" bestFit="1" customWidth="1"/>
    <col min="1287" max="1287" width="9.5" bestFit="1" customWidth="1"/>
    <col min="1288" max="1288" width="16.125" bestFit="1" customWidth="1"/>
    <col min="1539" max="1539" width="10.375" customWidth="1"/>
    <col min="1542" max="1542" width="13.875" bestFit="1" customWidth="1"/>
    <col min="1543" max="1543" width="9.5" bestFit="1" customWidth="1"/>
    <col min="1544" max="1544" width="16.125" bestFit="1" customWidth="1"/>
    <col min="1795" max="1795" width="10.375" customWidth="1"/>
    <col min="1798" max="1798" width="13.875" bestFit="1" customWidth="1"/>
    <col min="1799" max="1799" width="9.5" bestFit="1" customWidth="1"/>
    <col min="1800" max="1800" width="16.125" bestFit="1" customWidth="1"/>
    <col min="2051" max="2051" width="10.375" customWidth="1"/>
    <col min="2054" max="2054" width="13.875" bestFit="1" customWidth="1"/>
    <col min="2055" max="2055" width="9.5" bestFit="1" customWidth="1"/>
    <col min="2056" max="2056" width="16.125" bestFit="1" customWidth="1"/>
    <col min="2307" max="2307" width="10.375" customWidth="1"/>
    <col min="2310" max="2310" width="13.875" bestFit="1" customWidth="1"/>
    <col min="2311" max="2311" width="9.5" bestFit="1" customWidth="1"/>
    <col min="2312" max="2312" width="16.125" bestFit="1" customWidth="1"/>
    <col min="2563" max="2563" width="10.375" customWidth="1"/>
    <col min="2566" max="2566" width="13.875" bestFit="1" customWidth="1"/>
    <col min="2567" max="2567" width="9.5" bestFit="1" customWidth="1"/>
    <col min="2568" max="2568" width="16.125" bestFit="1" customWidth="1"/>
    <col min="2819" max="2819" width="10.375" customWidth="1"/>
    <col min="2822" max="2822" width="13.875" bestFit="1" customWidth="1"/>
    <col min="2823" max="2823" width="9.5" bestFit="1" customWidth="1"/>
    <col min="2824" max="2824" width="16.125" bestFit="1" customWidth="1"/>
    <col min="3075" max="3075" width="10.375" customWidth="1"/>
    <col min="3078" max="3078" width="13.875" bestFit="1" customWidth="1"/>
    <col min="3079" max="3079" width="9.5" bestFit="1" customWidth="1"/>
    <col min="3080" max="3080" width="16.125" bestFit="1" customWidth="1"/>
    <col min="3331" max="3331" width="10.375" customWidth="1"/>
    <col min="3334" max="3334" width="13.875" bestFit="1" customWidth="1"/>
    <col min="3335" max="3335" width="9.5" bestFit="1" customWidth="1"/>
    <col min="3336" max="3336" width="16.125" bestFit="1" customWidth="1"/>
    <col min="3587" max="3587" width="10.375" customWidth="1"/>
    <col min="3590" max="3590" width="13.875" bestFit="1" customWidth="1"/>
    <col min="3591" max="3591" width="9.5" bestFit="1" customWidth="1"/>
    <col min="3592" max="3592" width="16.125" bestFit="1" customWidth="1"/>
    <col min="3843" max="3843" width="10.375" customWidth="1"/>
    <col min="3846" max="3846" width="13.875" bestFit="1" customWidth="1"/>
    <col min="3847" max="3847" width="9.5" bestFit="1" customWidth="1"/>
    <col min="3848" max="3848" width="16.125" bestFit="1" customWidth="1"/>
    <col min="4099" max="4099" width="10.375" customWidth="1"/>
    <col min="4102" max="4102" width="13.875" bestFit="1" customWidth="1"/>
    <col min="4103" max="4103" width="9.5" bestFit="1" customWidth="1"/>
    <col min="4104" max="4104" width="16.125" bestFit="1" customWidth="1"/>
    <col min="4355" max="4355" width="10.375" customWidth="1"/>
    <col min="4358" max="4358" width="13.875" bestFit="1" customWidth="1"/>
    <col min="4359" max="4359" width="9.5" bestFit="1" customWidth="1"/>
    <col min="4360" max="4360" width="16.125" bestFit="1" customWidth="1"/>
    <col min="4611" max="4611" width="10.375" customWidth="1"/>
    <col min="4614" max="4614" width="13.875" bestFit="1" customWidth="1"/>
    <col min="4615" max="4615" width="9.5" bestFit="1" customWidth="1"/>
    <col min="4616" max="4616" width="16.125" bestFit="1" customWidth="1"/>
    <col min="4867" max="4867" width="10.375" customWidth="1"/>
    <col min="4870" max="4870" width="13.875" bestFit="1" customWidth="1"/>
    <col min="4871" max="4871" width="9.5" bestFit="1" customWidth="1"/>
    <col min="4872" max="4872" width="16.125" bestFit="1" customWidth="1"/>
    <col min="5123" max="5123" width="10.375" customWidth="1"/>
    <col min="5126" max="5126" width="13.875" bestFit="1" customWidth="1"/>
    <col min="5127" max="5127" width="9.5" bestFit="1" customWidth="1"/>
    <col min="5128" max="5128" width="16.125" bestFit="1" customWidth="1"/>
    <col min="5379" max="5379" width="10.375" customWidth="1"/>
    <col min="5382" max="5382" width="13.875" bestFit="1" customWidth="1"/>
    <col min="5383" max="5383" width="9.5" bestFit="1" customWidth="1"/>
    <col min="5384" max="5384" width="16.125" bestFit="1" customWidth="1"/>
    <col min="5635" max="5635" width="10.375" customWidth="1"/>
    <col min="5638" max="5638" width="13.875" bestFit="1" customWidth="1"/>
    <col min="5639" max="5639" width="9.5" bestFit="1" customWidth="1"/>
    <col min="5640" max="5640" width="16.125" bestFit="1" customWidth="1"/>
    <col min="5891" max="5891" width="10.375" customWidth="1"/>
    <col min="5894" max="5894" width="13.875" bestFit="1" customWidth="1"/>
    <col min="5895" max="5895" width="9.5" bestFit="1" customWidth="1"/>
    <col min="5896" max="5896" width="16.125" bestFit="1" customWidth="1"/>
    <col min="6147" max="6147" width="10.375" customWidth="1"/>
    <col min="6150" max="6150" width="13.875" bestFit="1" customWidth="1"/>
    <col min="6151" max="6151" width="9.5" bestFit="1" customWidth="1"/>
    <col min="6152" max="6152" width="16.125" bestFit="1" customWidth="1"/>
    <col min="6403" max="6403" width="10.375" customWidth="1"/>
    <col min="6406" max="6406" width="13.875" bestFit="1" customWidth="1"/>
    <col min="6407" max="6407" width="9.5" bestFit="1" customWidth="1"/>
    <col min="6408" max="6408" width="16.125" bestFit="1" customWidth="1"/>
    <col min="6659" max="6659" width="10.375" customWidth="1"/>
    <col min="6662" max="6662" width="13.875" bestFit="1" customWidth="1"/>
    <col min="6663" max="6663" width="9.5" bestFit="1" customWidth="1"/>
    <col min="6664" max="6664" width="16.125" bestFit="1" customWidth="1"/>
    <col min="6915" max="6915" width="10.375" customWidth="1"/>
    <col min="6918" max="6918" width="13.875" bestFit="1" customWidth="1"/>
    <col min="6919" max="6919" width="9.5" bestFit="1" customWidth="1"/>
    <col min="6920" max="6920" width="16.125" bestFit="1" customWidth="1"/>
    <col min="7171" max="7171" width="10.375" customWidth="1"/>
    <col min="7174" max="7174" width="13.875" bestFit="1" customWidth="1"/>
    <col min="7175" max="7175" width="9.5" bestFit="1" customWidth="1"/>
    <col min="7176" max="7176" width="16.125" bestFit="1" customWidth="1"/>
    <col min="7427" max="7427" width="10.375" customWidth="1"/>
    <col min="7430" max="7430" width="13.875" bestFit="1" customWidth="1"/>
    <col min="7431" max="7431" width="9.5" bestFit="1" customWidth="1"/>
    <col min="7432" max="7432" width="16.125" bestFit="1" customWidth="1"/>
    <col min="7683" max="7683" width="10.375" customWidth="1"/>
    <col min="7686" max="7686" width="13.875" bestFit="1" customWidth="1"/>
    <col min="7687" max="7687" width="9.5" bestFit="1" customWidth="1"/>
    <col min="7688" max="7688" width="16.125" bestFit="1" customWidth="1"/>
    <col min="7939" max="7939" width="10.375" customWidth="1"/>
    <col min="7942" max="7942" width="13.875" bestFit="1" customWidth="1"/>
    <col min="7943" max="7943" width="9.5" bestFit="1" customWidth="1"/>
    <col min="7944" max="7944" width="16.125" bestFit="1" customWidth="1"/>
    <col min="8195" max="8195" width="10.375" customWidth="1"/>
    <col min="8198" max="8198" width="13.875" bestFit="1" customWidth="1"/>
    <col min="8199" max="8199" width="9.5" bestFit="1" customWidth="1"/>
    <col min="8200" max="8200" width="16.125" bestFit="1" customWidth="1"/>
    <col min="8451" max="8451" width="10.375" customWidth="1"/>
    <col min="8454" max="8454" width="13.875" bestFit="1" customWidth="1"/>
    <col min="8455" max="8455" width="9.5" bestFit="1" customWidth="1"/>
    <col min="8456" max="8456" width="16.125" bestFit="1" customWidth="1"/>
    <col min="8707" max="8707" width="10.375" customWidth="1"/>
    <col min="8710" max="8710" width="13.875" bestFit="1" customWidth="1"/>
    <col min="8711" max="8711" width="9.5" bestFit="1" customWidth="1"/>
    <col min="8712" max="8712" width="16.125" bestFit="1" customWidth="1"/>
    <col min="8963" max="8963" width="10.375" customWidth="1"/>
    <col min="8966" max="8966" width="13.875" bestFit="1" customWidth="1"/>
    <col min="8967" max="8967" width="9.5" bestFit="1" customWidth="1"/>
    <col min="8968" max="8968" width="16.125" bestFit="1" customWidth="1"/>
    <col min="9219" max="9219" width="10.375" customWidth="1"/>
    <col min="9222" max="9222" width="13.875" bestFit="1" customWidth="1"/>
    <col min="9223" max="9223" width="9.5" bestFit="1" customWidth="1"/>
    <col min="9224" max="9224" width="16.125" bestFit="1" customWidth="1"/>
    <col min="9475" max="9475" width="10.375" customWidth="1"/>
    <col min="9478" max="9478" width="13.875" bestFit="1" customWidth="1"/>
    <col min="9479" max="9479" width="9.5" bestFit="1" customWidth="1"/>
    <col min="9480" max="9480" width="16.125" bestFit="1" customWidth="1"/>
    <col min="9731" max="9731" width="10.375" customWidth="1"/>
    <col min="9734" max="9734" width="13.875" bestFit="1" customWidth="1"/>
    <col min="9735" max="9735" width="9.5" bestFit="1" customWidth="1"/>
    <col min="9736" max="9736" width="16.125" bestFit="1" customWidth="1"/>
    <col min="9987" max="9987" width="10.375" customWidth="1"/>
    <col min="9990" max="9990" width="13.875" bestFit="1" customWidth="1"/>
    <col min="9991" max="9991" width="9.5" bestFit="1" customWidth="1"/>
    <col min="9992" max="9992" width="16.125" bestFit="1" customWidth="1"/>
    <col min="10243" max="10243" width="10.375" customWidth="1"/>
    <col min="10246" max="10246" width="13.875" bestFit="1" customWidth="1"/>
    <col min="10247" max="10247" width="9.5" bestFit="1" customWidth="1"/>
    <col min="10248" max="10248" width="16.125" bestFit="1" customWidth="1"/>
    <col min="10499" max="10499" width="10.375" customWidth="1"/>
    <col min="10502" max="10502" width="13.875" bestFit="1" customWidth="1"/>
    <col min="10503" max="10503" width="9.5" bestFit="1" customWidth="1"/>
    <col min="10504" max="10504" width="16.125" bestFit="1" customWidth="1"/>
    <col min="10755" max="10755" width="10.375" customWidth="1"/>
    <col min="10758" max="10758" width="13.875" bestFit="1" customWidth="1"/>
    <col min="10759" max="10759" width="9.5" bestFit="1" customWidth="1"/>
    <col min="10760" max="10760" width="16.125" bestFit="1" customWidth="1"/>
    <col min="11011" max="11011" width="10.375" customWidth="1"/>
    <col min="11014" max="11014" width="13.875" bestFit="1" customWidth="1"/>
    <col min="11015" max="11015" width="9.5" bestFit="1" customWidth="1"/>
    <col min="11016" max="11016" width="16.125" bestFit="1" customWidth="1"/>
    <col min="11267" max="11267" width="10.375" customWidth="1"/>
    <col min="11270" max="11270" width="13.875" bestFit="1" customWidth="1"/>
    <col min="11271" max="11271" width="9.5" bestFit="1" customWidth="1"/>
    <col min="11272" max="11272" width="16.125" bestFit="1" customWidth="1"/>
    <col min="11523" max="11523" width="10.375" customWidth="1"/>
    <col min="11526" max="11526" width="13.875" bestFit="1" customWidth="1"/>
    <col min="11527" max="11527" width="9.5" bestFit="1" customWidth="1"/>
    <col min="11528" max="11528" width="16.125" bestFit="1" customWidth="1"/>
    <col min="11779" max="11779" width="10.375" customWidth="1"/>
    <col min="11782" max="11782" width="13.875" bestFit="1" customWidth="1"/>
    <col min="11783" max="11783" width="9.5" bestFit="1" customWidth="1"/>
    <col min="11784" max="11784" width="16.125" bestFit="1" customWidth="1"/>
    <col min="12035" max="12035" width="10.375" customWidth="1"/>
    <col min="12038" max="12038" width="13.875" bestFit="1" customWidth="1"/>
    <col min="12039" max="12039" width="9.5" bestFit="1" customWidth="1"/>
    <col min="12040" max="12040" width="16.125" bestFit="1" customWidth="1"/>
    <col min="12291" max="12291" width="10.375" customWidth="1"/>
    <col min="12294" max="12294" width="13.875" bestFit="1" customWidth="1"/>
    <col min="12295" max="12295" width="9.5" bestFit="1" customWidth="1"/>
    <col min="12296" max="12296" width="16.125" bestFit="1" customWidth="1"/>
    <col min="12547" max="12547" width="10.375" customWidth="1"/>
    <col min="12550" max="12550" width="13.875" bestFit="1" customWidth="1"/>
    <col min="12551" max="12551" width="9.5" bestFit="1" customWidth="1"/>
    <col min="12552" max="12552" width="16.125" bestFit="1" customWidth="1"/>
    <col min="12803" max="12803" width="10.375" customWidth="1"/>
    <col min="12806" max="12806" width="13.875" bestFit="1" customWidth="1"/>
    <col min="12807" max="12807" width="9.5" bestFit="1" customWidth="1"/>
    <col min="12808" max="12808" width="16.125" bestFit="1" customWidth="1"/>
    <col min="13059" max="13059" width="10.375" customWidth="1"/>
    <col min="13062" max="13062" width="13.875" bestFit="1" customWidth="1"/>
    <col min="13063" max="13063" width="9.5" bestFit="1" customWidth="1"/>
    <col min="13064" max="13064" width="16.125" bestFit="1" customWidth="1"/>
    <col min="13315" max="13315" width="10.375" customWidth="1"/>
    <col min="13318" max="13318" width="13.875" bestFit="1" customWidth="1"/>
    <col min="13319" max="13319" width="9.5" bestFit="1" customWidth="1"/>
    <col min="13320" max="13320" width="16.125" bestFit="1" customWidth="1"/>
    <col min="13571" max="13571" width="10.375" customWidth="1"/>
    <col min="13574" max="13574" width="13.875" bestFit="1" customWidth="1"/>
    <col min="13575" max="13575" width="9.5" bestFit="1" customWidth="1"/>
    <col min="13576" max="13576" width="16.125" bestFit="1" customWidth="1"/>
    <col min="13827" max="13827" width="10.375" customWidth="1"/>
    <col min="13830" max="13830" width="13.875" bestFit="1" customWidth="1"/>
    <col min="13831" max="13831" width="9.5" bestFit="1" customWidth="1"/>
    <col min="13832" max="13832" width="16.125" bestFit="1" customWidth="1"/>
    <col min="14083" max="14083" width="10.375" customWidth="1"/>
    <col min="14086" max="14086" width="13.875" bestFit="1" customWidth="1"/>
    <col min="14087" max="14087" width="9.5" bestFit="1" customWidth="1"/>
    <col min="14088" max="14088" width="16.125" bestFit="1" customWidth="1"/>
    <col min="14339" max="14339" width="10.375" customWidth="1"/>
    <col min="14342" max="14342" width="13.875" bestFit="1" customWidth="1"/>
    <col min="14343" max="14343" width="9.5" bestFit="1" customWidth="1"/>
    <col min="14344" max="14344" width="16.125" bestFit="1" customWidth="1"/>
    <col min="14595" max="14595" width="10.375" customWidth="1"/>
    <col min="14598" max="14598" width="13.875" bestFit="1" customWidth="1"/>
    <col min="14599" max="14599" width="9.5" bestFit="1" customWidth="1"/>
    <col min="14600" max="14600" width="16.125" bestFit="1" customWidth="1"/>
    <col min="14851" max="14851" width="10.375" customWidth="1"/>
    <col min="14854" max="14854" width="13.875" bestFit="1" customWidth="1"/>
    <col min="14855" max="14855" width="9.5" bestFit="1" customWidth="1"/>
    <col min="14856" max="14856" width="16.125" bestFit="1" customWidth="1"/>
    <col min="15107" max="15107" width="10.375" customWidth="1"/>
    <col min="15110" max="15110" width="13.875" bestFit="1" customWidth="1"/>
    <col min="15111" max="15111" width="9.5" bestFit="1" customWidth="1"/>
    <col min="15112" max="15112" width="16.125" bestFit="1" customWidth="1"/>
    <col min="15363" max="15363" width="10.375" customWidth="1"/>
    <col min="15366" max="15366" width="13.875" bestFit="1" customWidth="1"/>
    <col min="15367" max="15367" width="9.5" bestFit="1" customWidth="1"/>
    <col min="15368" max="15368" width="16.125" bestFit="1" customWidth="1"/>
    <col min="15619" max="15619" width="10.375" customWidth="1"/>
    <col min="15622" max="15622" width="13.875" bestFit="1" customWidth="1"/>
    <col min="15623" max="15623" width="9.5" bestFit="1" customWidth="1"/>
    <col min="15624" max="15624" width="16.125" bestFit="1" customWidth="1"/>
    <col min="15875" max="15875" width="10.375" customWidth="1"/>
    <col min="15878" max="15878" width="13.875" bestFit="1" customWidth="1"/>
    <col min="15879" max="15879" width="9.5" bestFit="1" customWidth="1"/>
    <col min="15880" max="15880" width="16.125" bestFit="1" customWidth="1"/>
    <col min="16131" max="16131" width="10.375" customWidth="1"/>
    <col min="16134" max="16134" width="13.875" bestFit="1" customWidth="1"/>
    <col min="16135" max="16135" width="9.5" bestFit="1" customWidth="1"/>
    <col min="16136" max="16136" width="16.125" bestFit="1" customWidth="1"/>
  </cols>
  <sheetData>
    <row r="1" spans="1:8" ht="21">
      <c r="A1" s="193" t="s">
        <v>255</v>
      </c>
      <c r="B1" s="193"/>
      <c r="C1" s="193"/>
      <c r="D1" s="193"/>
      <c r="E1" s="193"/>
      <c r="F1" s="193"/>
      <c r="G1" s="193"/>
    </row>
    <row r="3" spans="1:8">
      <c r="A3" s="125" t="s">
        <v>237</v>
      </c>
      <c r="B3" s="125" t="s">
        <v>238</v>
      </c>
      <c r="C3" s="125" t="s">
        <v>239</v>
      </c>
    </row>
    <row r="4" spans="1:8">
      <c r="A4" s="126" t="s">
        <v>240</v>
      </c>
      <c r="B4" s="126">
        <v>0.69</v>
      </c>
      <c r="C4" s="126">
        <v>40</v>
      </c>
    </row>
    <row r="5" spans="1:8">
      <c r="A5" s="126" t="s">
        <v>241</v>
      </c>
      <c r="B5" s="126">
        <v>0.34</v>
      </c>
      <c r="C5" s="126">
        <v>38</v>
      </c>
    </row>
    <row r="6" spans="1:8">
      <c r="A6" s="126" t="s">
        <v>242</v>
      </c>
      <c r="B6" s="126">
        <v>0.55000000000000004</v>
      </c>
      <c r="C6" s="126">
        <v>15</v>
      </c>
    </row>
    <row r="7" spans="1:8">
      <c r="A7" s="126" t="s">
        <v>243</v>
      </c>
      <c r="B7" s="126">
        <v>0.25</v>
      </c>
      <c r="C7" s="126">
        <v>25</v>
      </c>
      <c r="F7" s="127" t="s">
        <v>256</v>
      </c>
      <c r="G7" s="127"/>
    </row>
    <row r="8" spans="1:8">
      <c r="A8" s="126" t="s">
        <v>245</v>
      </c>
      <c r="B8" s="126">
        <v>0.59</v>
      </c>
      <c r="C8" s="126">
        <v>40</v>
      </c>
      <c r="F8" s="128" t="s">
        <v>257</v>
      </c>
      <c r="G8" s="128">
        <v>2</v>
      </c>
    </row>
    <row r="9" spans="1:8">
      <c r="F9" s="130" t="s">
        <v>253</v>
      </c>
      <c r="G9" s="130">
        <v>2</v>
      </c>
    </row>
    <row r="10" spans="1:8">
      <c r="F10" s="128" t="s">
        <v>258</v>
      </c>
      <c r="G10" s="128">
        <f>SUM(INDEX((A4:C8,A11:C14),G7,G8,G9))</f>
        <v>9.35</v>
      </c>
    </row>
    <row r="11" spans="1:8">
      <c r="A11" s="129" t="s">
        <v>247</v>
      </c>
      <c r="B11" s="129">
        <v>2.8</v>
      </c>
      <c r="C11" s="129">
        <v>10</v>
      </c>
      <c r="F11" s="132" t="s">
        <v>259</v>
      </c>
      <c r="G11" s="132">
        <f>AVERAGE(INDEX((A4:C8,A11:C14),G7,G8,G9))</f>
        <v>2.3374999999999999</v>
      </c>
    </row>
    <row r="12" spans="1:8">
      <c r="A12" s="129" t="s">
        <v>249</v>
      </c>
      <c r="B12" s="129">
        <v>3.55</v>
      </c>
      <c r="C12" s="129">
        <v>16</v>
      </c>
      <c r="E12" s="131"/>
      <c r="F12" s="131"/>
      <c r="G12" s="131"/>
      <c r="H12" s="131"/>
    </row>
    <row r="13" spans="1:8">
      <c r="A13" s="129" t="s">
        <v>250</v>
      </c>
      <c r="B13" s="129">
        <v>1.25</v>
      </c>
      <c r="C13" s="129">
        <v>20</v>
      </c>
      <c r="E13" s="131"/>
      <c r="F13" s="131"/>
      <c r="G13" s="131"/>
      <c r="H13" s="131"/>
    </row>
    <row r="14" spans="1:8">
      <c r="A14" s="129" t="s">
        <v>251</v>
      </c>
      <c r="B14" s="129">
        <v>1.75</v>
      </c>
      <c r="C14" s="129">
        <v>12</v>
      </c>
      <c r="E14" s="131"/>
      <c r="F14" s="131"/>
      <c r="G14" s="131"/>
      <c r="H14" s="131"/>
    </row>
    <row r="15" spans="1:8">
      <c r="B15">
        <f>SUM(B11:B14)</f>
        <v>9.35</v>
      </c>
      <c r="E15" s="131"/>
      <c r="F15" s="131"/>
      <c r="G15" s="131"/>
      <c r="H15" s="131"/>
    </row>
  </sheetData>
  <mergeCells count="1">
    <mergeCell ref="A1:G1"/>
  </mergeCells>
  <phoneticPr fontId="2"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3AEEA-BCDA-42B9-B80F-1E330916B7C0}">
  <dimension ref="A1:G18"/>
  <sheetViews>
    <sheetView zoomScale="130" zoomScaleNormal="130" workbookViewId="0">
      <selection activeCell="B13" sqref="B13"/>
    </sheetView>
  </sheetViews>
  <sheetFormatPr defaultRowHeight="16.5"/>
  <cols>
    <col min="2" max="2" width="9.5" bestFit="1" customWidth="1"/>
    <col min="6" max="6" width="9.5" bestFit="1" customWidth="1"/>
    <col min="258" max="258" width="9.5" bestFit="1" customWidth="1"/>
    <col min="262" max="262" width="9.5" bestFit="1" customWidth="1"/>
    <col min="514" max="514" width="9.5" bestFit="1" customWidth="1"/>
    <col min="518" max="518" width="9.5" bestFit="1" customWidth="1"/>
    <col min="770" max="770" width="9.5" bestFit="1" customWidth="1"/>
    <col min="774" max="774" width="9.5" bestFit="1" customWidth="1"/>
    <col min="1026" max="1026" width="9.5" bestFit="1" customWidth="1"/>
    <col min="1030" max="1030" width="9.5" bestFit="1" customWidth="1"/>
    <col min="1282" max="1282" width="9.5" bestFit="1" customWidth="1"/>
    <col min="1286" max="1286" width="9.5" bestFit="1" customWidth="1"/>
    <col min="1538" max="1538" width="9.5" bestFit="1" customWidth="1"/>
    <col min="1542" max="1542" width="9.5" bestFit="1" customWidth="1"/>
    <col min="1794" max="1794" width="9.5" bestFit="1" customWidth="1"/>
    <col min="1798" max="1798" width="9.5" bestFit="1" customWidth="1"/>
    <col min="2050" max="2050" width="9.5" bestFit="1" customWidth="1"/>
    <col min="2054" max="2054" width="9.5" bestFit="1" customWidth="1"/>
    <col min="2306" max="2306" width="9.5" bestFit="1" customWidth="1"/>
    <col min="2310" max="2310" width="9.5" bestFit="1" customWidth="1"/>
    <col min="2562" max="2562" width="9.5" bestFit="1" customWidth="1"/>
    <col min="2566" max="2566" width="9.5" bestFit="1" customWidth="1"/>
    <col min="2818" max="2818" width="9.5" bestFit="1" customWidth="1"/>
    <col min="2822" max="2822" width="9.5" bestFit="1" customWidth="1"/>
    <col min="3074" max="3074" width="9.5" bestFit="1" customWidth="1"/>
    <col min="3078" max="3078" width="9.5" bestFit="1" customWidth="1"/>
    <col min="3330" max="3330" width="9.5" bestFit="1" customWidth="1"/>
    <col min="3334" max="3334" width="9.5" bestFit="1" customWidth="1"/>
    <col min="3586" max="3586" width="9.5" bestFit="1" customWidth="1"/>
    <col min="3590" max="3590" width="9.5" bestFit="1" customWidth="1"/>
    <col min="3842" max="3842" width="9.5" bestFit="1" customWidth="1"/>
    <col min="3846" max="3846" width="9.5" bestFit="1" customWidth="1"/>
    <col min="4098" max="4098" width="9.5" bestFit="1" customWidth="1"/>
    <col min="4102" max="4102" width="9.5" bestFit="1" customWidth="1"/>
    <col min="4354" max="4354" width="9.5" bestFit="1" customWidth="1"/>
    <col min="4358" max="4358" width="9.5" bestFit="1" customWidth="1"/>
    <col min="4610" max="4610" width="9.5" bestFit="1" customWidth="1"/>
    <col min="4614" max="4614" width="9.5" bestFit="1" customWidth="1"/>
    <col min="4866" max="4866" width="9.5" bestFit="1" customWidth="1"/>
    <col min="4870" max="4870" width="9.5" bestFit="1" customWidth="1"/>
    <col min="5122" max="5122" width="9.5" bestFit="1" customWidth="1"/>
    <col min="5126" max="5126" width="9.5" bestFit="1" customWidth="1"/>
    <col min="5378" max="5378" width="9.5" bestFit="1" customWidth="1"/>
    <col min="5382" max="5382" width="9.5" bestFit="1" customWidth="1"/>
    <col min="5634" max="5634" width="9.5" bestFit="1" customWidth="1"/>
    <col min="5638" max="5638" width="9.5" bestFit="1" customWidth="1"/>
    <col min="5890" max="5890" width="9.5" bestFit="1" customWidth="1"/>
    <col min="5894" max="5894" width="9.5" bestFit="1" customWidth="1"/>
    <col min="6146" max="6146" width="9.5" bestFit="1" customWidth="1"/>
    <col min="6150" max="6150" width="9.5" bestFit="1" customWidth="1"/>
    <col min="6402" max="6402" width="9.5" bestFit="1" customWidth="1"/>
    <col min="6406" max="6406" width="9.5" bestFit="1" customWidth="1"/>
    <col min="6658" max="6658" width="9.5" bestFit="1" customWidth="1"/>
    <col min="6662" max="6662" width="9.5" bestFit="1" customWidth="1"/>
    <col min="6914" max="6914" width="9.5" bestFit="1" customWidth="1"/>
    <col min="6918" max="6918" width="9.5" bestFit="1" customWidth="1"/>
    <col min="7170" max="7170" width="9.5" bestFit="1" customWidth="1"/>
    <col min="7174" max="7174" width="9.5" bestFit="1" customWidth="1"/>
    <col min="7426" max="7426" width="9.5" bestFit="1" customWidth="1"/>
    <col min="7430" max="7430" width="9.5" bestFit="1" customWidth="1"/>
    <col min="7682" max="7682" width="9.5" bestFit="1" customWidth="1"/>
    <col min="7686" max="7686" width="9.5" bestFit="1" customWidth="1"/>
    <col min="7938" max="7938" width="9.5" bestFit="1" customWidth="1"/>
    <col min="7942" max="7942" width="9.5" bestFit="1" customWidth="1"/>
    <col min="8194" max="8194" width="9.5" bestFit="1" customWidth="1"/>
    <col min="8198" max="8198" width="9.5" bestFit="1" customWidth="1"/>
    <col min="8450" max="8450" width="9.5" bestFit="1" customWidth="1"/>
    <col min="8454" max="8454" width="9.5" bestFit="1" customWidth="1"/>
    <col min="8706" max="8706" width="9.5" bestFit="1" customWidth="1"/>
    <col min="8710" max="8710" width="9.5" bestFit="1" customWidth="1"/>
    <col min="8962" max="8962" width="9.5" bestFit="1" customWidth="1"/>
    <col min="8966" max="8966" width="9.5" bestFit="1" customWidth="1"/>
    <col min="9218" max="9218" width="9.5" bestFit="1" customWidth="1"/>
    <col min="9222" max="9222" width="9.5" bestFit="1" customWidth="1"/>
    <col min="9474" max="9474" width="9.5" bestFit="1" customWidth="1"/>
    <col min="9478" max="9478" width="9.5" bestFit="1" customWidth="1"/>
    <col min="9730" max="9730" width="9.5" bestFit="1" customWidth="1"/>
    <col min="9734" max="9734" width="9.5" bestFit="1" customWidth="1"/>
    <col min="9986" max="9986" width="9.5" bestFit="1" customWidth="1"/>
    <col min="9990" max="9990" width="9.5" bestFit="1" customWidth="1"/>
    <col min="10242" max="10242" width="9.5" bestFit="1" customWidth="1"/>
    <col min="10246" max="10246" width="9.5" bestFit="1" customWidth="1"/>
    <col min="10498" max="10498" width="9.5" bestFit="1" customWidth="1"/>
    <col min="10502" max="10502" width="9.5" bestFit="1" customWidth="1"/>
    <col min="10754" max="10754" width="9.5" bestFit="1" customWidth="1"/>
    <col min="10758" max="10758" width="9.5" bestFit="1" customWidth="1"/>
    <col min="11010" max="11010" width="9.5" bestFit="1" customWidth="1"/>
    <col min="11014" max="11014" width="9.5" bestFit="1" customWidth="1"/>
    <col min="11266" max="11266" width="9.5" bestFit="1" customWidth="1"/>
    <col min="11270" max="11270" width="9.5" bestFit="1" customWidth="1"/>
    <col min="11522" max="11522" width="9.5" bestFit="1" customWidth="1"/>
    <col min="11526" max="11526" width="9.5" bestFit="1" customWidth="1"/>
    <col min="11778" max="11778" width="9.5" bestFit="1" customWidth="1"/>
    <col min="11782" max="11782" width="9.5" bestFit="1" customWidth="1"/>
    <col min="12034" max="12034" width="9.5" bestFit="1" customWidth="1"/>
    <col min="12038" max="12038" width="9.5" bestFit="1" customWidth="1"/>
    <col min="12290" max="12290" width="9.5" bestFit="1" customWidth="1"/>
    <col min="12294" max="12294" width="9.5" bestFit="1" customWidth="1"/>
    <col min="12546" max="12546" width="9.5" bestFit="1" customWidth="1"/>
    <col min="12550" max="12550" width="9.5" bestFit="1" customWidth="1"/>
    <col min="12802" max="12802" width="9.5" bestFit="1" customWidth="1"/>
    <col min="12806" max="12806" width="9.5" bestFit="1" customWidth="1"/>
    <col min="13058" max="13058" width="9.5" bestFit="1" customWidth="1"/>
    <col min="13062" max="13062" width="9.5" bestFit="1" customWidth="1"/>
    <col min="13314" max="13314" width="9.5" bestFit="1" customWidth="1"/>
    <col min="13318" max="13318" width="9.5" bestFit="1" customWidth="1"/>
    <col min="13570" max="13570" width="9.5" bestFit="1" customWidth="1"/>
    <col min="13574" max="13574" width="9.5" bestFit="1" customWidth="1"/>
    <col min="13826" max="13826" width="9.5" bestFit="1" customWidth="1"/>
    <col min="13830" max="13830" width="9.5" bestFit="1" customWidth="1"/>
    <col min="14082" max="14082" width="9.5" bestFit="1" customWidth="1"/>
    <col min="14086" max="14086" width="9.5" bestFit="1" customWidth="1"/>
    <col min="14338" max="14338" width="9.5" bestFit="1" customWidth="1"/>
    <col min="14342" max="14342" width="9.5" bestFit="1" customWidth="1"/>
    <col min="14594" max="14594" width="9.5" bestFit="1" customWidth="1"/>
    <col min="14598" max="14598" width="9.5" bestFit="1" customWidth="1"/>
    <col min="14850" max="14850" width="9.5" bestFit="1" customWidth="1"/>
    <col min="14854" max="14854" width="9.5" bestFit="1" customWidth="1"/>
    <col min="15106" max="15106" width="9.5" bestFit="1" customWidth="1"/>
    <col min="15110" max="15110" width="9.5" bestFit="1" customWidth="1"/>
    <col min="15362" max="15362" width="9.5" bestFit="1" customWidth="1"/>
    <col min="15366" max="15366" width="9.5" bestFit="1" customWidth="1"/>
    <col min="15618" max="15618" width="9.5" bestFit="1" customWidth="1"/>
    <col min="15622" max="15622" width="9.5" bestFit="1" customWidth="1"/>
    <col min="15874" max="15874" width="9.5" bestFit="1" customWidth="1"/>
    <col min="15878" max="15878" width="9.5" bestFit="1" customWidth="1"/>
    <col min="16130" max="16130" width="9.5" bestFit="1" customWidth="1"/>
    <col min="16134" max="16134" width="9.5" bestFit="1" customWidth="1"/>
  </cols>
  <sheetData>
    <row r="1" spans="1:7" ht="21">
      <c r="A1" s="193" t="s">
        <v>260</v>
      </c>
      <c r="B1" s="193"/>
      <c r="C1" s="193"/>
      <c r="D1" s="193"/>
      <c r="E1" s="193"/>
      <c r="F1" s="193"/>
      <c r="G1" s="193"/>
    </row>
    <row r="2" spans="1:7" ht="21">
      <c r="A2" s="194" t="s">
        <v>220</v>
      </c>
      <c r="B2" s="194"/>
      <c r="C2" s="194"/>
      <c r="D2" s="194"/>
      <c r="E2" s="194"/>
      <c r="F2" s="194"/>
      <c r="G2" s="194"/>
    </row>
    <row r="3" spans="1:7">
      <c r="A3" s="133"/>
      <c r="B3" s="133" t="s">
        <v>166</v>
      </c>
      <c r="C3" s="133" t="s">
        <v>167</v>
      </c>
      <c r="D3" s="133" t="s">
        <v>168</v>
      </c>
      <c r="E3" s="133" t="s">
        <v>169</v>
      </c>
      <c r="F3" s="133" t="s">
        <v>170</v>
      </c>
    </row>
    <row r="4" spans="1:7">
      <c r="A4" t="s">
        <v>221</v>
      </c>
      <c r="B4" t="s">
        <v>171</v>
      </c>
      <c r="C4" s="134" t="s">
        <v>172</v>
      </c>
      <c r="D4" t="s">
        <v>173</v>
      </c>
      <c r="E4" s="134" t="s">
        <v>174</v>
      </c>
      <c r="F4" t="s">
        <v>175</v>
      </c>
    </row>
    <row r="5" spans="1:7">
      <c r="A5" t="s">
        <v>176</v>
      </c>
      <c r="B5" t="s">
        <v>174</v>
      </c>
      <c r="C5" s="134" t="s">
        <v>177</v>
      </c>
      <c r="D5" t="s">
        <v>173</v>
      </c>
      <c r="E5" s="134" t="s">
        <v>174</v>
      </c>
      <c r="F5" t="s">
        <v>178</v>
      </c>
    </row>
    <row r="6" spans="1:7">
      <c r="A6" t="s">
        <v>261</v>
      </c>
      <c r="B6" t="s">
        <v>174</v>
      </c>
      <c r="C6" s="134" t="s">
        <v>179</v>
      </c>
      <c r="D6" t="s">
        <v>173</v>
      </c>
      <c r="E6" s="134" t="s">
        <v>180</v>
      </c>
      <c r="F6" t="s">
        <v>181</v>
      </c>
    </row>
    <row r="7" spans="1:7">
      <c r="A7" t="s">
        <v>262</v>
      </c>
      <c r="B7" t="s">
        <v>180</v>
      </c>
      <c r="C7" s="134" t="s">
        <v>179</v>
      </c>
      <c r="D7" t="s">
        <v>173</v>
      </c>
      <c r="E7" s="134" t="s">
        <v>180</v>
      </c>
      <c r="F7" t="s">
        <v>182</v>
      </c>
    </row>
    <row r="8" spans="1:7">
      <c r="A8" t="s">
        <v>263</v>
      </c>
      <c r="B8" t="s">
        <v>172</v>
      </c>
      <c r="C8" s="134" t="s">
        <v>183</v>
      </c>
      <c r="D8" t="s">
        <v>184</v>
      </c>
      <c r="E8" s="134" t="s">
        <v>185</v>
      </c>
      <c r="F8" t="s">
        <v>182</v>
      </c>
    </row>
    <row r="9" spans="1:7">
      <c r="A9" t="s">
        <v>264</v>
      </c>
      <c r="B9" t="s">
        <v>186</v>
      </c>
      <c r="C9" s="134" t="s">
        <v>183</v>
      </c>
      <c r="D9" t="s">
        <v>184</v>
      </c>
      <c r="E9" s="134" t="s">
        <v>185</v>
      </c>
      <c r="F9" t="s">
        <v>184</v>
      </c>
    </row>
    <row r="10" spans="1:7">
      <c r="A10" t="s">
        <v>265</v>
      </c>
      <c r="B10" t="s">
        <v>186</v>
      </c>
      <c r="C10" s="134" t="s">
        <v>187</v>
      </c>
      <c r="D10" t="s">
        <v>188</v>
      </c>
      <c r="E10" s="134" t="s">
        <v>189</v>
      </c>
      <c r="F10" t="s">
        <v>184</v>
      </c>
    </row>
    <row r="12" spans="1:7">
      <c r="A12" s="135" t="s">
        <v>228</v>
      </c>
      <c r="B12" s="135">
        <v>5</v>
      </c>
      <c r="C12" s="135">
        <v>3</v>
      </c>
      <c r="D12">
        <v>1</v>
      </c>
      <c r="E12" s="135">
        <v>3</v>
      </c>
      <c r="F12" s="135">
        <v>4</v>
      </c>
    </row>
    <row r="13" spans="1:7">
      <c r="A13" s="132" t="s">
        <v>229</v>
      </c>
      <c r="B13" s="132">
        <v>4</v>
      </c>
      <c r="C13" s="132">
        <v>4</v>
      </c>
      <c r="D13">
        <v>2</v>
      </c>
      <c r="E13" s="132">
        <v>2</v>
      </c>
      <c r="F13" s="132">
        <v>3</v>
      </c>
    </row>
    <row r="14" spans="1:7">
      <c r="A14" s="136" t="s">
        <v>266</v>
      </c>
      <c r="B14" s="136" t="str">
        <f>INDEX($B$4:$F$10,B13,B12)</f>
        <v>美勞</v>
      </c>
      <c r="C14" s="136" t="str">
        <f>INDEX($B$4:$F$10,C13,C12)</f>
        <v>專題製作</v>
      </c>
      <c r="D14" s="136" t="str">
        <f>INDEX($B$4:$F$10,D13,D12)</f>
        <v>國文</v>
      </c>
      <c r="E14" s="136" t="str">
        <f>INDEX($B$4:$F$10,E13,E12)</f>
        <v>專題製作</v>
      </c>
      <c r="F14" s="136" t="str">
        <f>INDEX($B$4:$F$10,F13,F12)</f>
        <v>英文</v>
      </c>
    </row>
    <row r="18" spans="7:7">
      <c r="G18" s="34"/>
    </row>
  </sheetData>
  <mergeCells count="2">
    <mergeCell ref="A1:G1"/>
    <mergeCell ref="A2:G2"/>
  </mergeCells>
  <phoneticPr fontId="2" type="noConversion"/>
  <pageMargins left="0.75" right="0.75" top="1" bottom="1" header="0.5" footer="0.5"/>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EF1D8-12ED-4A91-AA4E-5F5B811AE362}">
  <dimension ref="A1:G17"/>
  <sheetViews>
    <sheetView zoomScale="130" zoomScaleNormal="130" workbookViewId="0">
      <selection activeCell="E10" sqref="E10"/>
    </sheetView>
  </sheetViews>
  <sheetFormatPr defaultRowHeight="16.5"/>
  <sheetData>
    <row r="1" spans="1:7" ht="19.5">
      <c r="A1" s="195" t="s">
        <v>267</v>
      </c>
      <c r="B1" s="195"/>
      <c r="C1" s="195"/>
      <c r="D1" s="195"/>
      <c r="E1" s="195"/>
      <c r="F1" s="195"/>
      <c r="G1" s="195"/>
    </row>
    <row r="2" spans="1:7">
      <c r="A2" t="s">
        <v>268</v>
      </c>
      <c r="B2" t="s">
        <v>269</v>
      </c>
      <c r="C2" t="s">
        <v>270</v>
      </c>
    </row>
    <row r="3" spans="1:7">
      <c r="A3" t="s">
        <v>271</v>
      </c>
      <c r="B3">
        <v>100</v>
      </c>
      <c r="C3">
        <v>500</v>
      </c>
    </row>
    <row r="4" spans="1:7">
      <c r="A4" t="s">
        <v>272</v>
      </c>
      <c r="B4">
        <v>200</v>
      </c>
      <c r="C4">
        <v>400</v>
      </c>
    </row>
    <row r="5" spans="1:7">
      <c r="A5" t="s">
        <v>273</v>
      </c>
      <c r="B5">
        <v>300</v>
      </c>
      <c r="C5">
        <v>300</v>
      </c>
    </row>
    <row r="6" spans="1:7">
      <c r="A6" t="s">
        <v>274</v>
      </c>
      <c r="B6">
        <v>400</v>
      </c>
      <c r="C6">
        <v>200</v>
      </c>
    </row>
    <row r="7" spans="1:7">
      <c r="A7" t="s">
        <v>275</v>
      </c>
      <c r="B7">
        <v>500</v>
      </c>
      <c r="C7">
        <v>100</v>
      </c>
    </row>
    <row r="8" spans="1:7">
      <c r="A8" t="s">
        <v>276</v>
      </c>
    </row>
    <row r="10" spans="1:7">
      <c r="D10" s="132" t="s">
        <v>277</v>
      </c>
      <c r="E10" s="132">
        <f>MATCH(D10,A3:A10,0)</f>
        <v>1</v>
      </c>
    </row>
    <row r="11" spans="1:7">
      <c r="D11" t="s">
        <v>270</v>
      </c>
      <c r="E11">
        <f>MATCH(D11,A2:C2,0)</f>
        <v>3</v>
      </c>
    </row>
    <row r="17" spans="7:7">
      <c r="G17" s="34"/>
    </row>
  </sheetData>
  <mergeCells count="1">
    <mergeCell ref="A1:G1"/>
  </mergeCells>
  <phoneticPr fontId="2"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2BA7B-4CF3-4498-85E2-7A1E0D941CA0}">
  <dimension ref="A1:G17"/>
  <sheetViews>
    <sheetView workbookViewId="0">
      <selection activeCell="F11" sqref="F11"/>
    </sheetView>
  </sheetViews>
  <sheetFormatPr defaultRowHeight="16.5"/>
  <sheetData>
    <row r="1" spans="1:7" ht="19.5">
      <c r="A1" s="195" t="s">
        <v>278</v>
      </c>
      <c r="B1" s="195"/>
      <c r="C1" s="195"/>
      <c r="D1" s="195"/>
      <c r="E1" s="195"/>
      <c r="F1" s="195"/>
      <c r="G1" s="195"/>
    </row>
    <row r="2" spans="1:7">
      <c r="A2" t="s">
        <v>268</v>
      </c>
      <c r="B2" t="s">
        <v>269</v>
      </c>
      <c r="C2" t="s">
        <v>270</v>
      </c>
    </row>
    <row r="3" spans="1:7">
      <c r="A3" t="s">
        <v>271</v>
      </c>
      <c r="B3">
        <v>100</v>
      </c>
      <c r="C3">
        <v>500</v>
      </c>
    </row>
    <row r="4" spans="1:7">
      <c r="A4" t="s">
        <v>272</v>
      </c>
      <c r="B4">
        <v>200</v>
      </c>
      <c r="C4">
        <v>400</v>
      </c>
    </row>
    <row r="5" spans="1:7">
      <c r="A5" t="s">
        <v>273</v>
      </c>
      <c r="B5">
        <v>300</v>
      </c>
      <c r="C5">
        <v>300</v>
      </c>
    </row>
    <row r="6" spans="1:7">
      <c r="A6" t="s">
        <v>274</v>
      </c>
      <c r="B6">
        <v>400</v>
      </c>
      <c r="C6">
        <v>200</v>
      </c>
    </row>
    <row r="7" spans="1:7">
      <c r="A7" t="s">
        <v>275</v>
      </c>
      <c r="B7">
        <v>500</v>
      </c>
      <c r="C7">
        <v>100</v>
      </c>
    </row>
    <row r="8" spans="1:7">
      <c r="A8" t="s">
        <v>276</v>
      </c>
    </row>
    <row r="9" spans="1:7">
      <c r="F9" t="s">
        <v>279</v>
      </c>
    </row>
    <row r="10" spans="1:7">
      <c r="D10" s="132" t="s">
        <v>269</v>
      </c>
      <c r="E10" s="132">
        <v>201</v>
      </c>
      <c r="F10" s="137">
        <f>MATCH(E10,B3:B7,1)</f>
        <v>2</v>
      </c>
    </row>
    <row r="11" spans="1:7">
      <c r="D11" t="s">
        <v>270</v>
      </c>
      <c r="E11">
        <v>99</v>
      </c>
      <c r="F11" s="137">
        <f>MATCH(E11,C3:C7,-1)</f>
        <v>5</v>
      </c>
    </row>
    <row r="17" spans="7:7">
      <c r="G17" s="34"/>
    </row>
  </sheetData>
  <mergeCells count="1">
    <mergeCell ref="A1:G1"/>
  </mergeCells>
  <phoneticPr fontId="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71BF4-4022-4F03-BDB1-2DE239D2558C}">
  <sheetPr>
    <tabColor indexed="14"/>
  </sheetPr>
  <dimension ref="A1:G17"/>
  <sheetViews>
    <sheetView zoomScale="130" zoomScaleNormal="130" workbookViewId="0">
      <selection activeCell="E9" sqref="E9"/>
    </sheetView>
  </sheetViews>
  <sheetFormatPr defaultRowHeight="16.5"/>
  <sheetData>
    <row r="1" spans="1:7" ht="35.25" customHeight="1">
      <c r="A1" s="196" t="s">
        <v>280</v>
      </c>
      <c r="B1" s="195"/>
      <c r="C1" s="195"/>
      <c r="D1" s="195"/>
      <c r="E1" s="195"/>
      <c r="F1" s="195"/>
      <c r="G1" s="195"/>
    </row>
    <row r="2" spans="1:7">
      <c r="A2" t="s">
        <v>268</v>
      </c>
      <c r="B2" t="s">
        <v>269</v>
      </c>
      <c r="C2" t="s">
        <v>281</v>
      </c>
    </row>
    <row r="3" spans="1:7">
      <c r="A3" t="s">
        <v>271</v>
      </c>
      <c r="B3">
        <v>100</v>
      </c>
      <c r="C3" t="s">
        <v>282</v>
      </c>
    </row>
    <row r="4" spans="1:7">
      <c r="A4" t="s">
        <v>272</v>
      </c>
      <c r="B4">
        <v>200</v>
      </c>
      <c r="C4" t="s">
        <v>283</v>
      </c>
    </row>
    <row r="5" spans="1:7">
      <c r="A5" t="s">
        <v>273</v>
      </c>
      <c r="B5">
        <v>300</v>
      </c>
      <c r="C5" t="s">
        <v>284</v>
      </c>
    </row>
    <row r="6" spans="1:7">
      <c r="A6" t="s">
        <v>274</v>
      </c>
      <c r="B6">
        <v>400</v>
      </c>
      <c r="C6" t="s">
        <v>285</v>
      </c>
    </row>
    <row r="7" spans="1:7">
      <c r="A7" t="s">
        <v>275</v>
      </c>
      <c r="B7">
        <v>500</v>
      </c>
      <c r="C7" t="s">
        <v>286</v>
      </c>
    </row>
    <row r="8" spans="1:7">
      <c r="A8" t="s">
        <v>276</v>
      </c>
      <c r="B8">
        <v>80</v>
      </c>
      <c r="C8" t="s">
        <v>287</v>
      </c>
      <c r="E8">
        <v>100</v>
      </c>
    </row>
    <row r="9" spans="1:7">
      <c r="E9" t="str">
        <f>INDEX(A3:C8,MATCH(E8,B3:B8,-1),1)</f>
        <v>CD</v>
      </c>
    </row>
    <row r="10" spans="1:7">
      <c r="E10">
        <f>MATCH(E8,B3:B8,0)</f>
        <v>1</v>
      </c>
    </row>
    <row r="17" spans="7:7">
      <c r="G17" s="34"/>
    </row>
  </sheetData>
  <mergeCells count="1">
    <mergeCell ref="A1:G1"/>
  </mergeCells>
  <phoneticPr fontId="2"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election activeCell="A7" sqref="A7:C7"/>
    </sheetView>
  </sheetViews>
  <sheetFormatPr defaultRowHeight="16.5"/>
  <sheetData>
    <row r="1" spans="1:8" ht="21.75" thickBot="1">
      <c r="A1" s="193" t="s">
        <v>39</v>
      </c>
      <c r="B1" s="193"/>
      <c r="C1" s="193"/>
      <c r="D1" s="193"/>
      <c r="E1" s="193"/>
      <c r="F1" s="193"/>
      <c r="G1" s="193"/>
    </row>
    <row r="2" spans="1:8">
      <c r="A2" s="20" t="s">
        <v>40</v>
      </c>
      <c r="B2" s="21" t="s">
        <v>41</v>
      </c>
      <c r="C2" s="22" t="s">
        <v>42</v>
      </c>
      <c r="E2" s="23" t="s">
        <v>43</v>
      </c>
      <c r="G2" t="s">
        <v>44</v>
      </c>
      <c r="H2" t="s">
        <v>42</v>
      </c>
    </row>
    <row r="3" spans="1:8">
      <c r="A3" s="24">
        <v>0</v>
      </c>
      <c r="B3" s="25">
        <v>0.06</v>
      </c>
      <c r="C3" s="26">
        <v>0</v>
      </c>
      <c r="F3">
        <v>368900</v>
      </c>
      <c r="G3" s="27">
        <f>VLOOKUP(F3,$A$3:$C$15,2,1)</f>
        <v>0.15</v>
      </c>
      <c r="H3">
        <f>VLOOKUP(F3,$A$3:$C$15,3)</f>
        <v>21400</v>
      </c>
    </row>
    <row r="4" spans="1:8">
      <c r="A4" s="24">
        <v>100000</v>
      </c>
      <c r="B4" s="25">
        <v>0.08</v>
      </c>
      <c r="C4" s="26">
        <v>1600</v>
      </c>
      <c r="F4">
        <v>889650</v>
      </c>
      <c r="G4" s="27">
        <f t="shared" ref="G4:G10" si="0">VLOOKUP(F4,$A$3:$C$15,2)</f>
        <v>0.22</v>
      </c>
      <c r="H4">
        <f t="shared" ref="H4:H10" si="1">VLOOKUP(F4,$A$3:$C$15,3)</f>
        <v>67100</v>
      </c>
    </row>
    <row r="5" spans="1:8">
      <c r="A5" s="28">
        <v>180000</v>
      </c>
      <c r="B5" s="29">
        <v>0.1</v>
      </c>
      <c r="C5" s="30">
        <v>4800</v>
      </c>
      <c r="F5">
        <v>789652</v>
      </c>
      <c r="G5" s="27">
        <f t="shared" si="0"/>
        <v>0.22</v>
      </c>
      <c r="H5">
        <f t="shared" si="1"/>
        <v>67100</v>
      </c>
    </row>
    <row r="6" spans="1:8">
      <c r="A6" s="28">
        <v>260000</v>
      </c>
      <c r="B6" s="29">
        <v>0.12</v>
      </c>
      <c r="C6" s="30">
        <v>10000</v>
      </c>
      <c r="F6">
        <v>1568900</v>
      </c>
      <c r="G6" s="27">
        <f t="shared" si="0"/>
        <v>0.3</v>
      </c>
      <c r="H6">
        <f t="shared" si="1"/>
        <v>163100</v>
      </c>
    </row>
    <row r="7" spans="1:8">
      <c r="A7" s="24">
        <v>350000</v>
      </c>
      <c r="B7" s="25">
        <v>0.15</v>
      </c>
      <c r="C7" s="26">
        <v>21400</v>
      </c>
      <c r="F7">
        <v>459200</v>
      </c>
      <c r="G7" s="27">
        <f t="shared" si="0"/>
        <v>0.15</v>
      </c>
      <c r="H7">
        <f t="shared" si="1"/>
        <v>21400</v>
      </c>
    </row>
    <row r="8" spans="1:8">
      <c r="A8" s="24">
        <v>560000</v>
      </c>
      <c r="B8" s="25">
        <v>0.18</v>
      </c>
      <c r="C8" s="26">
        <v>27900</v>
      </c>
      <c r="F8">
        <v>1983250</v>
      </c>
      <c r="G8" s="27">
        <f t="shared" si="0"/>
        <v>0.34</v>
      </c>
      <c r="H8">
        <f t="shared" si="1"/>
        <v>235100</v>
      </c>
    </row>
    <row r="9" spans="1:8">
      <c r="A9" s="28">
        <v>730000</v>
      </c>
      <c r="B9" s="29">
        <v>0.22</v>
      </c>
      <c r="C9" s="30">
        <v>67100</v>
      </c>
      <c r="F9">
        <v>5879215</v>
      </c>
      <c r="G9" s="27">
        <f t="shared" si="0"/>
        <v>0.5</v>
      </c>
      <c r="H9">
        <f t="shared" si="1"/>
        <v>700100</v>
      </c>
    </row>
    <row r="10" spans="1:8">
      <c r="A10" s="28">
        <v>1000000</v>
      </c>
      <c r="B10" s="29">
        <v>0.26</v>
      </c>
      <c r="C10" s="30">
        <v>107000</v>
      </c>
      <c r="F10">
        <v>8900</v>
      </c>
      <c r="G10" s="27">
        <f t="shared" si="0"/>
        <v>0.06</v>
      </c>
      <c r="H10">
        <f t="shared" si="1"/>
        <v>0</v>
      </c>
    </row>
    <row r="11" spans="1:8">
      <c r="A11" s="24">
        <v>1500000</v>
      </c>
      <c r="B11" s="25">
        <v>0.3</v>
      </c>
      <c r="C11" s="26">
        <v>163100</v>
      </c>
      <c r="G11" s="27"/>
    </row>
    <row r="12" spans="1:8">
      <c r="A12" s="24">
        <v>1800000</v>
      </c>
      <c r="B12" s="25">
        <v>0.34</v>
      </c>
      <c r="C12" s="26">
        <v>235100</v>
      </c>
      <c r="G12" s="27"/>
    </row>
    <row r="13" spans="1:8">
      <c r="A13" s="28">
        <v>2500000</v>
      </c>
      <c r="B13" s="29">
        <v>0.39</v>
      </c>
      <c r="C13" s="30">
        <v>350100</v>
      </c>
      <c r="G13" s="27"/>
    </row>
    <row r="14" spans="1:8">
      <c r="A14" s="28">
        <v>2880000</v>
      </c>
      <c r="B14" s="29">
        <v>0.44</v>
      </c>
      <c r="C14" s="30">
        <v>490100</v>
      </c>
    </row>
    <row r="15" spans="1:8" ht="17.25" thickBot="1">
      <c r="A15" s="31">
        <v>4000000</v>
      </c>
      <c r="B15" s="32">
        <v>0.5</v>
      </c>
      <c r="C15" s="33">
        <v>700100</v>
      </c>
    </row>
    <row r="17" spans="7:7">
      <c r="G17" s="34"/>
    </row>
  </sheetData>
  <mergeCells count="1">
    <mergeCell ref="A1:G1"/>
  </mergeCells>
  <phoneticPr fontId="2"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workbookViewId="0">
      <pane xSplit="2" ySplit="1" topLeftCell="C14" activePane="bottomRight" state="frozen"/>
      <selection pane="topRight" activeCell="C1" sqref="C1"/>
      <selection pane="bottomLeft" activeCell="A2" sqref="A2"/>
      <selection pane="bottomRight" activeCell="F22" sqref="F22"/>
    </sheetView>
  </sheetViews>
  <sheetFormatPr defaultColWidth="9" defaultRowHeight="16.5"/>
  <cols>
    <col min="1" max="1" width="7.125" style="54" customWidth="1"/>
    <col min="2" max="2" width="10.5" style="40" bestFit="1" customWidth="1"/>
    <col min="3" max="3" width="11.125" style="40" customWidth="1"/>
    <col min="4" max="7" width="10.75" style="40" customWidth="1"/>
    <col min="8" max="16384" width="9" style="40"/>
  </cols>
  <sheetData>
    <row r="1" spans="1:8" ht="24" customHeight="1">
      <c r="A1" s="35" t="s">
        <v>45</v>
      </c>
      <c r="B1" s="36" t="s">
        <v>3</v>
      </c>
      <c r="C1" s="37" t="s">
        <v>46</v>
      </c>
      <c r="D1" s="38" t="s">
        <v>47</v>
      </c>
      <c r="E1" s="38" t="s">
        <v>48</v>
      </c>
      <c r="F1" s="38" t="s">
        <v>49</v>
      </c>
      <c r="G1" s="38" t="s">
        <v>50</v>
      </c>
      <c r="H1" s="39" t="s">
        <v>51</v>
      </c>
    </row>
    <row r="2" spans="1:8" ht="24" customHeight="1">
      <c r="A2" s="41">
        <v>1</v>
      </c>
      <c r="B2" s="42" t="s">
        <v>52</v>
      </c>
      <c r="C2" s="43">
        <v>30</v>
      </c>
      <c r="D2" s="44">
        <v>81</v>
      </c>
      <c r="E2" s="44">
        <v>51</v>
      </c>
      <c r="F2" s="44">
        <v>40</v>
      </c>
      <c r="G2" s="44">
        <f t="shared" ref="G2:G21" si="0">SUM(C2:F2)</f>
        <v>202</v>
      </c>
      <c r="H2" s="45">
        <f>RANK(G2,$G$2:$G$21)</f>
        <v>6</v>
      </c>
    </row>
    <row r="3" spans="1:8" ht="24" customHeight="1">
      <c r="A3" s="41">
        <v>2</v>
      </c>
      <c r="B3" s="42" t="s">
        <v>53</v>
      </c>
      <c r="C3" s="43">
        <v>46</v>
      </c>
      <c r="D3" s="44">
        <v>16</v>
      </c>
      <c r="E3" s="44">
        <v>2</v>
      </c>
      <c r="F3" s="44">
        <v>47</v>
      </c>
      <c r="G3" s="44">
        <f t="shared" si="0"/>
        <v>111</v>
      </c>
      <c r="H3" s="45">
        <f t="shared" ref="H3:H21" si="1">RANK(G3,$G$2:$G$21)</f>
        <v>18</v>
      </c>
    </row>
    <row r="4" spans="1:8" ht="24" customHeight="1">
      <c r="A4" s="41">
        <v>3</v>
      </c>
      <c r="B4" s="42" t="s">
        <v>54</v>
      </c>
      <c r="C4" s="43">
        <v>23</v>
      </c>
      <c r="D4" s="44">
        <v>51</v>
      </c>
      <c r="E4" s="44">
        <v>14</v>
      </c>
      <c r="F4" s="44">
        <v>39</v>
      </c>
      <c r="G4" s="44">
        <f t="shared" si="0"/>
        <v>127</v>
      </c>
      <c r="H4" s="45">
        <f t="shared" si="1"/>
        <v>16</v>
      </c>
    </row>
    <row r="5" spans="1:8" ht="24" customHeight="1">
      <c r="A5" s="41">
        <v>4</v>
      </c>
      <c r="B5" s="42" t="s">
        <v>55</v>
      </c>
      <c r="C5" s="43">
        <v>22</v>
      </c>
      <c r="D5" s="44">
        <v>46</v>
      </c>
      <c r="E5" s="44">
        <v>97</v>
      </c>
      <c r="F5" s="44">
        <v>89</v>
      </c>
      <c r="G5" s="44">
        <f t="shared" si="0"/>
        <v>254</v>
      </c>
      <c r="H5" s="45">
        <f t="shared" si="1"/>
        <v>2</v>
      </c>
    </row>
    <row r="6" spans="1:8" ht="24" customHeight="1">
      <c r="A6" s="41">
        <v>5</v>
      </c>
      <c r="B6" s="42" t="s">
        <v>56</v>
      </c>
      <c r="C6" s="43">
        <v>40</v>
      </c>
      <c r="D6" s="44">
        <v>51</v>
      </c>
      <c r="E6" s="44">
        <v>41</v>
      </c>
      <c r="F6" s="44">
        <v>58</v>
      </c>
      <c r="G6" s="44">
        <f t="shared" si="0"/>
        <v>190</v>
      </c>
      <c r="H6" s="45">
        <f t="shared" si="1"/>
        <v>10</v>
      </c>
    </row>
    <row r="7" spans="1:8" ht="24" customHeight="1">
      <c r="A7" s="41">
        <v>6</v>
      </c>
      <c r="B7" s="42" t="s">
        <v>57</v>
      </c>
      <c r="C7" s="43">
        <v>61</v>
      </c>
      <c r="D7" s="44">
        <v>44</v>
      </c>
      <c r="E7" s="44">
        <v>6</v>
      </c>
      <c r="F7" s="44">
        <v>22</v>
      </c>
      <c r="G7" s="44">
        <f t="shared" si="0"/>
        <v>133</v>
      </c>
      <c r="H7" s="45">
        <f t="shared" si="1"/>
        <v>15</v>
      </c>
    </row>
    <row r="8" spans="1:8" ht="24" customHeight="1">
      <c r="A8" s="41">
        <v>7</v>
      </c>
      <c r="B8" s="42" t="s">
        <v>58</v>
      </c>
      <c r="C8" s="43">
        <v>4</v>
      </c>
      <c r="D8" s="44">
        <v>38</v>
      </c>
      <c r="E8" s="44">
        <v>34</v>
      </c>
      <c r="F8" s="44">
        <v>4</v>
      </c>
      <c r="G8" s="44">
        <f t="shared" si="0"/>
        <v>80</v>
      </c>
      <c r="H8" s="45">
        <f t="shared" si="1"/>
        <v>20</v>
      </c>
    </row>
    <row r="9" spans="1:8" ht="24" customHeight="1">
      <c r="A9" s="41">
        <v>8</v>
      </c>
      <c r="B9" s="42" t="s">
        <v>59</v>
      </c>
      <c r="C9" s="43">
        <v>47</v>
      </c>
      <c r="D9" s="44">
        <v>69</v>
      </c>
      <c r="E9" s="44">
        <v>69</v>
      </c>
      <c r="F9" s="44">
        <v>78</v>
      </c>
      <c r="G9" s="44">
        <f t="shared" si="0"/>
        <v>263</v>
      </c>
      <c r="H9" s="45">
        <f t="shared" si="1"/>
        <v>1</v>
      </c>
    </row>
    <row r="10" spans="1:8" ht="24" customHeight="1">
      <c r="A10" s="41">
        <v>9</v>
      </c>
      <c r="B10" s="42" t="s">
        <v>60</v>
      </c>
      <c r="C10" s="43">
        <v>23</v>
      </c>
      <c r="D10" s="44">
        <v>31</v>
      </c>
      <c r="E10" s="44">
        <v>31</v>
      </c>
      <c r="F10" s="44">
        <v>81</v>
      </c>
      <c r="G10" s="44">
        <f t="shared" si="0"/>
        <v>166</v>
      </c>
      <c r="H10" s="45">
        <f t="shared" si="1"/>
        <v>12</v>
      </c>
    </row>
    <row r="11" spans="1:8" ht="24" customHeight="1">
      <c r="A11" s="41">
        <v>10</v>
      </c>
      <c r="B11" s="42" t="s">
        <v>61</v>
      </c>
      <c r="C11" s="43">
        <v>85</v>
      </c>
      <c r="D11" s="44">
        <v>33</v>
      </c>
      <c r="E11" s="44">
        <v>58</v>
      </c>
      <c r="F11" s="44">
        <v>18</v>
      </c>
      <c r="G11" s="44">
        <f t="shared" si="0"/>
        <v>194</v>
      </c>
      <c r="H11" s="45">
        <f t="shared" si="1"/>
        <v>7</v>
      </c>
    </row>
    <row r="12" spans="1:8" ht="24" customHeight="1">
      <c r="A12" s="41">
        <v>11</v>
      </c>
      <c r="B12" s="42" t="s">
        <v>62</v>
      </c>
      <c r="C12" s="43">
        <v>18</v>
      </c>
      <c r="D12" s="44">
        <v>86</v>
      </c>
      <c r="E12" s="44">
        <v>14</v>
      </c>
      <c r="F12" s="44">
        <v>7</v>
      </c>
      <c r="G12" s="44">
        <f t="shared" si="0"/>
        <v>125</v>
      </c>
      <c r="H12" s="45">
        <f t="shared" si="1"/>
        <v>17</v>
      </c>
    </row>
    <row r="13" spans="1:8" ht="24" customHeight="1">
      <c r="A13" s="41">
        <v>12</v>
      </c>
      <c r="B13" s="42" t="s">
        <v>63</v>
      </c>
      <c r="C13" s="43">
        <v>44</v>
      </c>
      <c r="D13" s="44">
        <v>53</v>
      </c>
      <c r="E13" s="44">
        <v>64</v>
      </c>
      <c r="F13" s="44">
        <v>53</v>
      </c>
      <c r="G13" s="44">
        <f t="shared" si="0"/>
        <v>214</v>
      </c>
      <c r="H13" s="45">
        <f t="shared" si="1"/>
        <v>4</v>
      </c>
    </row>
    <row r="14" spans="1:8" ht="24" customHeight="1">
      <c r="A14" s="41">
        <v>13</v>
      </c>
      <c r="B14" s="42" t="s">
        <v>64</v>
      </c>
      <c r="C14" s="43">
        <v>17</v>
      </c>
      <c r="D14" s="44">
        <v>24</v>
      </c>
      <c r="E14" s="44">
        <v>67</v>
      </c>
      <c r="F14" s="44">
        <v>95</v>
      </c>
      <c r="G14" s="44">
        <f t="shared" si="0"/>
        <v>203</v>
      </c>
      <c r="H14" s="45">
        <f t="shared" si="1"/>
        <v>5</v>
      </c>
    </row>
    <row r="15" spans="1:8" ht="24" customHeight="1">
      <c r="A15" s="41">
        <v>14</v>
      </c>
      <c r="B15" s="42" t="s">
        <v>65</v>
      </c>
      <c r="C15" s="43">
        <v>65</v>
      </c>
      <c r="D15" s="44">
        <v>74</v>
      </c>
      <c r="E15" s="44">
        <v>2</v>
      </c>
      <c r="F15" s="44">
        <v>14</v>
      </c>
      <c r="G15" s="44">
        <f t="shared" si="0"/>
        <v>155</v>
      </c>
      <c r="H15" s="45">
        <f t="shared" si="1"/>
        <v>13</v>
      </c>
    </row>
    <row r="16" spans="1:8" ht="24" customHeight="1">
      <c r="A16" s="41">
        <v>15</v>
      </c>
      <c r="B16" s="42" t="s">
        <v>66</v>
      </c>
      <c r="C16" s="43">
        <v>37</v>
      </c>
      <c r="D16" s="44">
        <v>81</v>
      </c>
      <c r="E16" s="44">
        <v>58</v>
      </c>
      <c r="F16" s="44">
        <v>63</v>
      </c>
      <c r="G16" s="44">
        <f t="shared" si="0"/>
        <v>239</v>
      </c>
      <c r="H16" s="45">
        <f t="shared" si="1"/>
        <v>3</v>
      </c>
    </row>
    <row r="17" spans="1:8" ht="24" customHeight="1">
      <c r="A17" s="41">
        <v>16</v>
      </c>
      <c r="B17" s="42" t="s">
        <v>67</v>
      </c>
      <c r="C17" s="43">
        <v>35</v>
      </c>
      <c r="D17" s="44">
        <v>3</v>
      </c>
      <c r="E17" s="44">
        <v>5</v>
      </c>
      <c r="F17" s="44">
        <v>60</v>
      </c>
      <c r="G17" s="44">
        <f t="shared" si="0"/>
        <v>103</v>
      </c>
      <c r="H17" s="45">
        <f t="shared" si="1"/>
        <v>19</v>
      </c>
    </row>
    <row r="18" spans="1:8" ht="24" customHeight="1">
      <c r="A18" s="41">
        <v>17</v>
      </c>
      <c r="B18" s="42" t="s">
        <v>68</v>
      </c>
      <c r="C18" s="43">
        <v>26</v>
      </c>
      <c r="D18" s="44">
        <v>91</v>
      </c>
      <c r="E18" s="44">
        <v>21</v>
      </c>
      <c r="F18" s="44">
        <v>49</v>
      </c>
      <c r="G18" s="44">
        <f t="shared" si="0"/>
        <v>187</v>
      </c>
      <c r="H18" s="45">
        <f t="shared" si="1"/>
        <v>11</v>
      </c>
    </row>
    <row r="19" spans="1:8" ht="24" customHeight="1">
      <c r="A19" s="41">
        <v>18</v>
      </c>
      <c r="B19" s="42" t="s">
        <v>69</v>
      </c>
      <c r="C19" s="43">
        <v>3</v>
      </c>
      <c r="D19" s="44">
        <v>80</v>
      </c>
      <c r="E19" s="44">
        <v>38</v>
      </c>
      <c r="F19" s="44">
        <v>32</v>
      </c>
      <c r="G19" s="44">
        <f t="shared" si="0"/>
        <v>153</v>
      </c>
      <c r="H19" s="45">
        <f t="shared" si="1"/>
        <v>14</v>
      </c>
    </row>
    <row r="20" spans="1:8" ht="24" customHeight="1">
      <c r="A20" s="41">
        <v>19</v>
      </c>
      <c r="B20" s="42" t="s">
        <v>70</v>
      </c>
      <c r="C20" s="43">
        <v>40</v>
      </c>
      <c r="D20" s="44">
        <v>81</v>
      </c>
      <c r="E20" s="44">
        <v>58</v>
      </c>
      <c r="F20" s="44">
        <v>12</v>
      </c>
      <c r="G20" s="44">
        <f t="shared" si="0"/>
        <v>191</v>
      </c>
      <c r="H20" s="45">
        <f t="shared" si="1"/>
        <v>8</v>
      </c>
    </row>
    <row r="21" spans="1:8" ht="24" customHeight="1" thickBot="1">
      <c r="A21" s="46">
        <v>20</v>
      </c>
      <c r="B21" s="47" t="s">
        <v>71</v>
      </c>
      <c r="C21" s="48">
        <v>74</v>
      </c>
      <c r="D21" s="49">
        <v>6</v>
      </c>
      <c r="E21" s="49">
        <v>76</v>
      </c>
      <c r="F21" s="49">
        <v>35</v>
      </c>
      <c r="G21" s="44">
        <f t="shared" si="0"/>
        <v>191</v>
      </c>
      <c r="H21" s="45">
        <f t="shared" si="1"/>
        <v>8</v>
      </c>
    </row>
    <row r="22" spans="1:8" ht="30.6" customHeight="1" thickBot="1">
      <c r="A22" s="197" t="s">
        <v>72</v>
      </c>
      <c r="B22" s="198"/>
      <c r="C22" s="50" t="str">
        <f>INDEX(姓名,MATCH(MAX(第一季),第一季,0),1)</f>
        <v>楊雅婷</v>
      </c>
      <c r="D22" s="51" t="str">
        <f>INDEX(姓名,MATCH(MAX(第二季),第二季,0),1)</f>
        <v>林展如</v>
      </c>
      <c r="E22" s="51" t="str">
        <f>INDEX(姓名,MATCH(MAX(第三季),第三季,0),1)</f>
        <v>王玉崙</v>
      </c>
      <c r="F22" s="51" t="str">
        <f>INDEX(姓名,MATCH(MAX(第四季),第四季,0),1)</f>
        <v>陳怡蓁</v>
      </c>
      <c r="G22" s="52"/>
      <c r="H22" s="53"/>
    </row>
  </sheetData>
  <mergeCells count="1">
    <mergeCell ref="A22:B22"/>
  </mergeCells>
  <phoneticPr fontId="2" type="noConversion"/>
  <conditionalFormatting sqref="D2:F21">
    <cfRule type="cellIs" dxfId="7" priority="3" stopIfTrue="1" operator="lessThan">
      <formula>AVERAGE(D$2:D$21)</formula>
    </cfRule>
  </conditionalFormatting>
  <conditionalFormatting sqref="G2:G21">
    <cfRule type="expression" dxfId="6" priority="4" stopIfTrue="1">
      <formula>G2=MAX(G$2:G$21)</formula>
    </cfRule>
    <cfRule type="expression" dxfId="5" priority="5" stopIfTrue="1">
      <formula>G2=MIN(G$2:G$21)</formula>
    </cfRule>
  </conditionalFormatting>
  <conditionalFormatting sqref="H2:H21">
    <cfRule type="expression" dxfId="4" priority="6" stopIfTrue="1">
      <formula>H2=MAX(H$2:H$21)</formula>
    </cfRule>
    <cfRule type="expression" dxfId="3" priority="7" stopIfTrue="1">
      <formula>H2=MIN(H$2:H$21)</formula>
    </cfRule>
  </conditionalFormatting>
  <conditionalFormatting sqref="C2:C21">
    <cfRule type="top10" dxfId="2" priority="1" rank="1"/>
    <cfRule type="aboveAverage" dxfId="1" priority="2" aboveAverage="0"/>
  </conditionalFormatting>
  <printOptions horizontalCentered="1"/>
  <pageMargins left="0.74803149606299213" right="0.74803149606299213" top="0.98425196850393704" bottom="0.98425196850393704" header="0.51181102362204722" footer="0.51181102362204722"/>
  <pageSetup paperSize="9" orientation="portrait" horizontalDpi="0"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8"/>
  <sheetViews>
    <sheetView workbookViewId="0">
      <selection activeCell="G4" sqref="G4"/>
    </sheetView>
  </sheetViews>
  <sheetFormatPr defaultRowHeight="16.5"/>
  <cols>
    <col min="1" max="1" width="12.25" style="91" customWidth="1"/>
    <col min="2" max="2" width="12.875" style="91" customWidth="1"/>
    <col min="3" max="3" width="8.875" style="91" customWidth="1"/>
    <col min="4" max="4" width="11.25" style="91" customWidth="1"/>
    <col min="5" max="6" width="7.5" style="91" customWidth="1"/>
    <col min="7" max="7" width="27" style="58" customWidth="1"/>
    <col min="8" max="16384" width="9" style="58"/>
  </cols>
  <sheetData>
    <row r="1" spans="1:9" ht="54" customHeight="1">
      <c r="A1" s="199" t="s">
        <v>75</v>
      </c>
      <c r="B1" s="200"/>
      <c r="C1" s="200"/>
      <c r="D1" s="200"/>
      <c r="E1" s="200"/>
      <c r="F1" s="200"/>
      <c r="G1" s="200"/>
    </row>
    <row r="2" spans="1:9" ht="30" customHeight="1">
      <c r="A2" s="74"/>
      <c r="B2" s="75"/>
      <c r="C2" s="75"/>
      <c r="D2" s="75"/>
      <c r="E2" s="75"/>
      <c r="F2" s="75"/>
      <c r="G2" s="75"/>
    </row>
    <row r="3" spans="1:9" s="40" customFormat="1" ht="25.15" customHeight="1" thickBot="1">
      <c r="A3" s="76" t="s">
        <v>76</v>
      </c>
      <c r="B3" s="77" t="s">
        <v>3</v>
      </c>
      <c r="C3" s="77" t="s">
        <v>77</v>
      </c>
      <c r="D3" s="77" t="s">
        <v>78</v>
      </c>
      <c r="E3" s="77" t="s">
        <v>79</v>
      </c>
      <c r="F3" s="77" t="s">
        <v>80</v>
      </c>
      <c r="G3" s="77" t="s">
        <v>81</v>
      </c>
    </row>
    <row r="4" spans="1:9" s="40" customFormat="1" ht="18" customHeight="1" thickTop="1">
      <c r="A4" s="78" t="s">
        <v>82</v>
      </c>
      <c r="B4" s="79" t="s">
        <v>83</v>
      </c>
      <c r="C4" s="79" t="s">
        <v>84</v>
      </c>
      <c r="D4" s="80">
        <v>20265</v>
      </c>
      <c r="E4" s="79">
        <v>8</v>
      </c>
      <c r="F4" s="79">
        <v>4</v>
      </c>
      <c r="G4" s="222">
        <f>INDEX(薪資對照表,MATCH(EMP_SS_List[[#This Row],[職級]],職級,0),MATCH(EMP_SS_List[[#This Row],[職等]],職等,0))</f>
        <v>62500</v>
      </c>
      <c r="I4" s="40">
        <f>INDEX(薪資結構!$B$5:$F$14,MATCH(EMP_SS_List[[#This Row],[職級]],薪資結構!$A$5:$A$14,0),MATCH(EMP_SS_List[[#This Row],[職等]],薪資結構!$B$4:$F$4,0))</f>
        <v>62500</v>
      </c>
    </row>
    <row r="5" spans="1:9" s="40" customFormat="1" ht="18" customHeight="1">
      <c r="A5" s="81" t="s">
        <v>85</v>
      </c>
      <c r="B5" s="82" t="s">
        <v>86</v>
      </c>
      <c r="C5" s="82" t="s">
        <v>87</v>
      </c>
      <c r="D5" s="83">
        <v>23062</v>
      </c>
      <c r="E5" s="82">
        <v>7</v>
      </c>
      <c r="F5" s="82">
        <v>4</v>
      </c>
      <c r="G5" s="84">
        <f>INDEX(薪資對照表,MATCH(EMP_SS_List[[#This Row],[職級]],職級,0),MATCH(EMP_SS_List[[#This Row],[職等]],職等,0))</f>
        <v>41000</v>
      </c>
      <c r="I5" s="40">
        <f>INDEX(薪資結構!$B$5:$F$14,MATCH(EMP_SS_List[[#This Row],[職級]],薪資結構!$A$5:$A$14,0),MATCH(EMP_SS_List[[#This Row],[職等]],薪資結構!$B$4:$F$4,0))</f>
        <v>41000</v>
      </c>
    </row>
    <row r="6" spans="1:9" s="40" customFormat="1" ht="18" customHeight="1">
      <c r="A6" s="85" t="s">
        <v>88</v>
      </c>
      <c r="B6" s="86" t="s">
        <v>89</v>
      </c>
      <c r="C6" s="86" t="s">
        <v>90</v>
      </c>
      <c r="D6" s="87">
        <v>19282</v>
      </c>
      <c r="E6" s="86">
        <v>6</v>
      </c>
      <c r="F6" s="86">
        <v>9</v>
      </c>
      <c r="G6" s="88">
        <f>INDEX(薪資對照表,MATCH(EMP_SS_List[[#This Row],[職級]],職級,0),MATCH(EMP_SS_List[[#This Row],[職等]],職等,0))</f>
        <v>32000</v>
      </c>
      <c r="I6" s="40">
        <f>INDEX(薪資結構!$B$5:$F$14,MATCH(EMP_SS_List[[#This Row],[職級]],薪資結構!$A$5:$A$14,0),MATCH(EMP_SS_List[[#This Row],[職等]],薪資結構!$B$4:$F$4,0))</f>
        <v>32000</v>
      </c>
    </row>
    <row r="7" spans="1:9" s="40" customFormat="1" ht="18" customHeight="1">
      <c r="A7" s="81" t="s">
        <v>91</v>
      </c>
      <c r="B7" s="82" t="s">
        <v>92</v>
      </c>
      <c r="C7" s="82" t="s">
        <v>93</v>
      </c>
      <c r="D7" s="83">
        <v>15123</v>
      </c>
      <c r="E7" s="82">
        <v>6</v>
      </c>
      <c r="F7" s="82">
        <v>10</v>
      </c>
      <c r="G7" s="84">
        <f>INDEX(薪資對照表,MATCH(EMP_SS_List[[#This Row],[職級]],職級,0),MATCH(EMP_SS_List[[#This Row],[職等]],職等,0))</f>
        <v>33500</v>
      </c>
      <c r="I7" s="40">
        <f>INDEX(薪資結構!$B$5:$F$14,MATCH(EMP_SS_List[[#This Row],[職級]],薪資結構!$A$5:$A$14,0),MATCH(EMP_SS_List[[#This Row],[職等]],薪資結構!$B$4:$F$4,0))</f>
        <v>33500</v>
      </c>
    </row>
    <row r="8" spans="1:9" s="40" customFormat="1" ht="18" customHeight="1">
      <c r="A8" s="85" t="s">
        <v>94</v>
      </c>
      <c r="B8" s="86" t="s">
        <v>95</v>
      </c>
      <c r="C8" s="86" t="s">
        <v>93</v>
      </c>
      <c r="D8" s="87">
        <v>29448</v>
      </c>
      <c r="E8" s="86">
        <v>7</v>
      </c>
      <c r="F8" s="86">
        <v>5</v>
      </c>
      <c r="G8" s="88">
        <f>INDEX(薪資對照表,MATCH(EMP_SS_List[[#This Row],[職級]],職級,0),MATCH(EMP_SS_List[[#This Row],[職等]],職等,0))</f>
        <v>43000</v>
      </c>
      <c r="I8" s="40">
        <f>INDEX(薪資結構!$B$5:$F$14,MATCH(EMP_SS_List[[#This Row],[職級]],薪資結構!$A$5:$A$14,0),MATCH(EMP_SS_List[[#This Row],[職等]],薪資結構!$B$4:$F$4,0))</f>
        <v>43000</v>
      </c>
    </row>
    <row r="9" spans="1:9" s="40" customFormat="1" ht="18" customHeight="1">
      <c r="A9" s="81" t="s">
        <v>96</v>
      </c>
      <c r="B9" s="82" t="s">
        <v>97</v>
      </c>
      <c r="C9" s="82" t="s">
        <v>90</v>
      </c>
      <c r="D9" s="83">
        <v>18940</v>
      </c>
      <c r="E9" s="82">
        <v>6</v>
      </c>
      <c r="F9" s="82">
        <v>9</v>
      </c>
      <c r="G9" s="84">
        <f>INDEX(薪資對照表,MATCH(EMP_SS_List[[#This Row],[職級]],職級,0),MATCH(EMP_SS_List[[#This Row],[職等]],職等,0))</f>
        <v>32000</v>
      </c>
      <c r="I9" s="40">
        <f>INDEX(薪資結構!$B$5:$F$14,MATCH(EMP_SS_List[[#This Row],[職級]],薪資結構!$A$5:$A$14,0),MATCH(EMP_SS_List[[#This Row],[職等]],薪資結構!$B$4:$F$4,0))</f>
        <v>32000</v>
      </c>
    </row>
    <row r="10" spans="1:9" s="40" customFormat="1" ht="18" customHeight="1">
      <c r="A10" s="85" t="s">
        <v>98</v>
      </c>
      <c r="B10" s="86" t="s">
        <v>99</v>
      </c>
      <c r="C10" s="86" t="s">
        <v>100</v>
      </c>
      <c r="D10" s="87">
        <v>28355</v>
      </c>
      <c r="E10" s="86">
        <v>6</v>
      </c>
      <c r="F10" s="86">
        <v>6</v>
      </c>
      <c r="G10" s="88">
        <f>INDEX(薪資對照表,MATCH(EMP_SS_List[[#This Row],[職級]],職級,0),MATCH(EMP_SS_List[[#This Row],[職等]],職等,0))</f>
        <v>27500</v>
      </c>
      <c r="I10" s="40">
        <f>INDEX(薪資結構!$B$5:$F$14,MATCH(EMP_SS_List[[#This Row],[職級]],薪資結構!$A$5:$A$14,0),MATCH(EMP_SS_List[[#This Row],[職等]],薪資結構!$B$4:$F$4,0))</f>
        <v>27500</v>
      </c>
    </row>
    <row r="11" spans="1:9" s="40" customFormat="1" ht="18" customHeight="1">
      <c r="A11" s="81" t="s">
        <v>101</v>
      </c>
      <c r="B11" s="82" t="s">
        <v>102</v>
      </c>
      <c r="C11" s="82" t="s">
        <v>84</v>
      </c>
      <c r="D11" s="83">
        <v>19914</v>
      </c>
      <c r="E11" s="82">
        <v>6</v>
      </c>
      <c r="F11" s="82">
        <v>10</v>
      </c>
      <c r="G11" s="84">
        <f>INDEX(薪資對照表,MATCH(EMP_SS_List[[#This Row],[職級]],職級,0),MATCH(EMP_SS_List[[#This Row],[職等]],職等,0))</f>
        <v>33500</v>
      </c>
    </row>
    <row r="12" spans="1:9" s="40" customFormat="1" ht="18" customHeight="1">
      <c r="A12" s="85" t="s">
        <v>103</v>
      </c>
      <c r="B12" s="86" t="s">
        <v>104</v>
      </c>
      <c r="C12" s="86" t="s">
        <v>105</v>
      </c>
      <c r="D12" s="87">
        <v>16696</v>
      </c>
      <c r="E12" s="86">
        <v>5</v>
      </c>
      <c r="F12" s="86">
        <v>6</v>
      </c>
      <c r="G12" s="88">
        <f>INDEX(薪資對照表,MATCH(EMP_SS_List[[#This Row],[職級]],職級,0),MATCH(EMP_SS_List[[#This Row],[職等]],職等,0))</f>
        <v>15000</v>
      </c>
    </row>
    <row r="13" spans="1:9" s="40" customFormat="1" ht="18" customHeight="1">
      <c r="A13" s="81" t="s">
        <v>106</v>
      </c>
      <c r="B13" s="82" t="s">
        <v>107</v>
      </c>
      <c r="C13" s="82" t="s">
        <v>105</v>
      </c>
      <c r="D13" s="83">
        <v>16026</v>
      </c>
      <c r="E13" s="82">
        <v>6</v>
      </c>
      <c r="F13" s="82">
        <v>1</v>
      </c>
      <c r="G13" s="84">
        <f>INDEX(薪資對照表,MATCH(EMP_SS_List[[#This Row],[職級]],職級,0),MATCH(EMP_SS_List[[#This Row],[職等]],職等,0))</f>
        <v>20000</v>
      </c>
    </row>
    <row r="14" spans="1:9" s="40" customFormat="1" ht="18" customHeight="1">
      <c r="A14" s="89" t="s">
        <v>108</v>
      </c>
      <c r="B14" s="86" t="s">
        <v>109</v>
      </c>
      <c r="C14" s="86" t="s">
        <v>100</v>
      </c>
      <c r="D14" s="87">
        <v>27385</v>
      </c>
      <c r="E14" s="86">
        <v>6</v>
      </c>
      <c r="F14" s="86">
        <v>6</v>
      </c>
      <c r="G14" s="88">
        <f>INDEX(薪資對照表,MATCH(EMP_SS_List[[#This Row],[職級]],職級,0),MATCH(EMP_SS_List[[#This Row],[職等]],職等,0))</f>
        <v>27500</v>
      </c>
    </row>
    <row r="15" spans="1:9" s="40" customFormat="1" ht="18" customHeight="1">
      <c r="A15" s="90" t="s">
        <v>110</v>
      </c>
      <c r="B15" s="82" t="s">
        <v>111</v>
      </c>
      <c r="C15" s="82" t="s">
        <v>100</v>
      </c>
      <c r="D15" s="83">
        <v>25049</v>
      </c>
      <c r="E15" s="82">
        <v>9</v>
      </c>
      <c r="F15" s="82">
        <v>1</v>
      </c>
      <c r="G15" s="84">
        <f>INDEX(薪資對照表,MATCH(EMP_SS_List[[#This Row],[職級]],職級,0),MATCH(EMP_SS_List[[#This Row],[職等]],職等,0))</f>
        <v>80000</v>
      </c>
    </row>
    <row r="16" spans="1:9" s="40" customFormat="1" ht="18" customHeight="1">
      <c r="A16" s="89" t="s">
        <v>112</v>
      </c>
      <c r="B16" s="86" t="s">
        <v>113</v>
      </c>
      <c r="C16" s="86" t="s">
        <v>105</v>
      </c>
      <c r="D16" s="87">
        <v>16103</v>
      </c>
      <c r="E16" s="86">
        <v>7</v>
      </c>
      <c r="F16" s="86">
        <v>7</v>
      </c>
      <c r="G16" s="88">
        <f>INDEX(薪資對照表,MATCH(EMP_SS_List[[#This Row],[職級]],職級,0),MATCH(EMP_SS_List[[#This Row],[職等]],職等,0))</f>
        <v>47000</v>
      </c>
    </row>
    <row r="17" spans="1:7" s="40" customFormat="1" ht="18" customHeight="1">
      <c r="A17" s="90" t="s">
        <v>114</v>
      </c>
      <c r="B17" s="82" t="s">
        <v>115</v>
      </c>
      <c r="C17" s="82" t="s">
        <v>93</v>
      </c>
      <c r="D17" s="83">
        <v>23580</v>
      </c>
      <c r="E17" s="82">
        <v>8</v>
      </c>
      <c r="F17" s="82">
        <v>1</v>
      </c>
      <c r="G17" s="84">
        <f>INDEX(薪資對照表,MATCH(EMP_SS_List[[#This Row],[職級]],職級,0),MATCH(EMP_SS_List[[#This Row],[職等]],職等,0))</f>
        <v>55000</v>
      </c>
    </row>
    <row r="18" spans="1:7" s="40" customFormat="1" ht="18" customHeight="1">
      <c r="A18" s="89" t="s">
        <v>116</v>
      </c>
      <c r="B18" s="86" t="s">
        <v>117</v>
      </c>
      <c r="C18" s="86" t="s">
        <v>105</v>
      </c>
      <c r="D18" s="87">
        <v>29397</v>
      </c>
      <c r="E18" s="86">
        <v>5</v>
      </c>
      <c r="F18" s="86">
        <v>1</v>
      </c>
      <c r="G18" s="88">
        <f>INDEX(薪資對照表,MATCH(EMP_SS_List[[#This Row],[職級]],職級,0),MATCH(EMP_SS_List[[#This Row],[職等]],職等,0))</f>
        <v>10000</v>
      </c>
    </row>
    <row r="19" spans="1:7" s="40" customFormat="1" ht="18" customHeight="1">
      <c r="A19" s="90" t="s">
        <v>118</v>
      </c>
      <c r="B19" s="82" t="s">
        <v>119</v>
      </c>
      <c r="C19" s="82" t="s">
        <v>84</v>
      </c>
      <c r="D19" s="83">
        <v>21720</v>
      </c>
      <c r="E19" s="82">
        <v>8</v>
      </c>
      <c r="F19" s="82">
        <v>5</v>
      </c>
      <c r="G19" s="84">
        <f>INDEX(薪資對照表,MATCH(EMP_SS_List[[#This Row],[職級]],職級,0),MATCH(EMP_SS_List[[#This Row],[職等]],職等,0))</f>
        <v>65000</v>
      </c>
    </row>
    <row r="20" spans="1:7" s="40" customFormat="1" ht="18" customHeight="1">
      <c r="A20" s="89" t="s">
        <v>120</v>
      </c>
      <c r="B20" s="86" t="s">
        <v>121</v>
      </c>
      <c r="C20" s="86" t="s">
        <v>87</v>
      </c>
      <c r="D20" s="87">
        <v>19350</v>
      </c>
      <c r="E20" s="86">
        <v>7</v>
      </c>
      <c r="F20" s="86">
        <v>5</v>
      </c>
      <c r="G20" s="88">
        <f>INDEX(薪資對照表,MATCH(EMP_SS_List[[#This Row],[職級]],職級,0),MATCH(EMP_SS_List[[#This Row],[職等]],職等,0))</f>
        <v>43000</v>
      </c>
    </row>
    <row r="21" spans="1:7" s="40" customFormat="1" ht="18" customHeight="1">
      <c r="A21" s="90" t="s">
        <v>122</v>
      </c>
      <c r="B21" s="82" t="s">
        <v>123</v>
      </c>
      <c r="C21" s="82" t="s">
        <v>93</v>
      </c>
      <c r="D21" s="83">
        <v>28580</v>
      </c>
      <c r="E21" s="82">
        <v>6</v>
      </c>
      <c r="F21" s="82">
        <v>4</v>
      </c>
      <c r="G21" s="84">
        <f>INDEX(薪資對照表,MATCH(EMP_SS_List[[#This Row],[職級]],職級,0),MATCH(EMP_SS_List[[#This Row],[職等]],職等,0))</f>
        <v>24500</v>
      </c>
    </row>
    <row r="22" spans="1:7" s="40" customFormat="1" ht="18" customHeight="1">
      <c r="A22" s="89" t="s">
        <v>124</v>
      </c>
      <c r="B22" s="86" t="s">
        <v>125</v>
      </c>
      <c r="C22" s="86" t="s">
        <v>105</v>
      </c>
      <c r="D22" s="87">
        <v>15514</v>
      </c>
      <c r="E22" s="86">
        <v>7</v>
      </c>
      <c r="F22" s="86">
        <v>7</v>
      </c>
      <c r="G22" s="88">
        <f>INDEX(薪資對照表,MATCH(EMP_SS_List[[#This Row],[職級]],職級,0),MATCH(EMP_SS_List[[#This Row],[職等]],職等,0))</f>
        <v>47000</v>
      </c>
    </row>
    <row r="23" spans="1:7" s="40" customFormat="1" ht="18" customHeight="1">
      <c r="A23" s="90" t="s">
        <v>126</v>
      </c>
      <c r="B23" s="82" t="s">
        <v>127</v>
      </c>
      <c r="C23" s="82" t="s">
        <v>105</v>
      </c>
      <c r="D23" s="83">
        <v>29360</v>
      </c>
      <c r="E23" s="82">
        <v>5</v>
      </c>
      <c r="F23" s="82">
        <v>9</v>
      </c>
      <c r="G23" s="84">
        <f>INDEX(薪資對照表,MATCH(EMP_SS_List[[#This Row],[職級]],職級,0),MATCH(EMP_SS_List[[#This Row],[職等]],職等,0))</f>
        <v>18000</v>
      </c>
    </row>
    <row r="24" spans="1:7" s="40" customFormat="1" ht="18" customHeight="1">
      <c r="A24" s="89" t="s">
        <v>128</v>
      </c>
      <c r="B24" s="86" t="s">
        <v>129</v>
      </c>
      <c r="C24" s="86" t="s">
        <v>87</v>
      </c>
      <c r="D24" s="87">
        <v>21743</v>
      </c>
      <c r="E24" s="86">
        <v>8</v>
      </c>
      <c r="F24" s="86">
        <v>3</v>
      </c>
      <c r="G24" s="88">
        <f>INDEX(薪資對照表,MATCH(EMP_SS_List[[#This Row],[職級]],職級,0),MATCH(EMP_SS_List[[#This Row],[職等]],職等,0))</f>
        <v>60000</v>
      </c>
    </row>
    <row r="25" spans="1:7" s="40" customFormat="1" ht="18" customHeight="1">
      <c r="A25" s="90" t="s">
        <v>130</v>
      </c>
      <c r="B25" s="82" t="s">
        <v>131</v>
      </c>
      <c r="C25" s="82" t="s">
        <v>105</v>
      </c>
      <c r="D25" s="83">
        <v>17302</v>
      </c>
      <c r="E25" s="82">
        <v>5</v>
      </c>
      <c r="F25" s="82">
        <v>6</v>
      </c>
      <c r="G25" s="84">
        <f>INDEX(薪資對照表,MATCH(EMP_SS_List[[#This Row],[職級]],職級,0),MATCH(EMP_SS_List[[#This Row],[職等]],職等,0))</f>
        <v>15000</v>
      </c>
    </row>
    <row r="26" spans="1:7" s="40" customFormat="1" ht="18" customHeight="1">
      <c r="A26" s="89" t="s">
        <v>132</v>
      </c>
      <c r="B26" s="86" t="s">
        <v>133</v>
      </c>
      <c r="C26" s="86" t="s">
        <v>93</v>
      </c>
      <c r="D26" s="87">
        <v>21489</v>
      </c>
      <c r="E26" s="86">
        <v>5</v>
      </c>
      <c r="F26" s="86">
        <v>10</v>
      </c>
      <c r="G26" s="88">
        <f>INDEX(薪資對照表,MATCH(EMP_SS_List[[#This Row],[職級]],職級,0),MATCH(EMP_SS_List[[#This Row],[職等]],職等,0))</f>
        <v>19000</v>
      </c>
    </row>
    <row r="27" spans="1:7" s="40" customFormat="1" ht="18" customHeight="1">
      <c r="A27" s="90" t="s">
        <v>120</v>
      </c>
      <c r="B27" s="82" t="s">
        <v>134</v>
      </c>
      <c r="C27" s="82" t="s">
        <v>87</v>
      </c>
      <c r="D27" s="83">
        <v>28840</v>
      </c>
      <c r="E27" s="82">
        <v>6</v>
      </c>
      <c r="F27" s="82">
        <v>1</v>
      </c>
      <c r="G27" s="84">
        <f>INDEX(薪資對照表,MATCH(EMP_SS_List[[#This Row],[職級]],職級,0),MATCH(EMP_SS_List[[#This Row],[職等]],職等,0))</f>
        <v>20000</v>
      </c>
    </row>
    <row r="28" spans="1:7" s="40" customFormat="1" ht="18" customHeight="1">
      <c r="A28" s="89" t="s">
        <v>135</v>
      </c>
      <c r="B28" s="86" t="s">
        <v>136</v>
      </c>
      <c r="C28" s="86" t="s">
        <v>100</v>
      </c>
      <c r="D28" s="87">
        <v>16189</v>
      </c>
      <c r="E28" s="86">
        <v>6</v>
      </c>
      <c r="F28" s="86">
        <v>3</v>
      </c>
      <c r="G28" s="88">
        <f>INDEX(薪資對照表,MATCH(EMP_SS_List[[#This Row],[職級]],職級,0),MATCH(EMP_SS_List[[#This Row],[職等]],職等,0))</f>
        <v>23000</v>
      </c>
    </row>
    <row r="29" spans="1:7" s="40" customFormat="1" ht="18" customHeight="1">
      <c r="A29" s="90" t="s">
        <v>116</v>
      </c>
      <c r="B29" s="82" t="s">
        <v>137</v>
      </c>
      <c r="C29" s="82" t="s">
        <v>87</v>
      </c>
      <c r="D29" s="83">
        <v>26505</v>
      </c>
      <c r="E29" s="82">
        <v>9</v>
      </c>
      <c r="F29" s="82">
        <v>5</v>
      </c>
      <c r="G29" s="84">
        <f>INDEX(薪資對照表,MATCH(EMP_SS_List[[#This Row],[職級]],職級,0),MATCH(EMP_SS_List[[#This Row],[職等]],職等,0))</f>
        <v>92000</v>
      </c>
    </row>
    <row r="30" spans="1:7" s="40" customFormat="1" ht="18" customHeight="1">
      <c r="A30" s="89" t="s">
        <v>138</v>
      </c>
      <c r="B30" s="86" t="s">
        <v>139</v>
      </c>
      <c r="C30" s="86" t="s">
        <v>90</v>
      </c>
      <c r="D30" s="87">
        <v>17026</v>
      </c>
      <c r="E30" s="86">
        <v>6</v>
      </c>
      <c r="F30" s="86">
        <v>6</v>
      </c>
      <c r="G30" s="88">
        <f>INDEX(薪資對照表,MATCH(EMP_SS_List[[#This Row],[職級]],職級,0),MATCH(EMP_SS_List[[#This Row],[職等]],職等,0))</f>
        <v>27500</v>
      </c>
    </row>
    <row r="31" spans="1:7" s="40" customFormat="1" ht="18" customHeight="1">
      <c r="A31" s="90" t="s">
        <v>140</v>
      </c>
      <c r="B31" s="82" t="s">
        <v>141</v>
      </c>
      <c r="C31" s="82" t="s">
        <v>84</v>
      </c>
      <c r="D31" s="83">
        <v>18973</v>
      </c>
      <c r="E31" s="82">
        <v>5</v>
      </c>
      <c r="F31" s="82">
        <v>8</v>
      </c>
      <c r="G31" s="84">
        <f>INDEX(薪資對照表,MATCH(EMP_SS_List[[#This Row],[職級]],職級,0),MATCH(EMP_SS_List[[#This Row],[職等]],職等,0))</f>
        <v>17000</v>
      </c>
    </row>
    <row r="32" spans="1:7" s="40" customFormat="1" ht="18" customHeight="1">
      <c r="A32" s="89" t="s">
        <v>142</v>
      </c>
      <c r="B32" s="86" t="s">
        <v>143</v>
      </c>
      <c r="C32" s="86" t="s">
        <v>100</v>
      </c>
      <c r="D32" s="87">
        <v>22808</v>
      </c>
      <c r="E32" s="86">
        <v>7</v>
      </c>
      <c r="F32" s="86">
        <v>4</v>
      </c>
      <c r="G32" s="88">
        <f>INDEX(薪資對照表,MATCH(EMP_SS_List[[#This Row],[職級]],職級,0),MATCH(EMP_SS_List[[#This Row],[職等]],職等,0))</f>
        <v>41000</v>
      </c>
    </row>
    <row r="33" spans="1:7" s="40" customFormat="1" ht="18" customHeight="1">
      <c r="A33" s="90" t="s">
        <v>144</v>
      </c>
      <c r="B33" s="82" t="s">
        <v>145</v>
      </c>
      <c r="C33" s="82" t="s">
        <v>105</v>
      </c>
      <c r="D33" s="83">
        <v>23618</v>
      </c>
      <c r="E33" s="82">
        <v>9</v>
      </c>
      <c r="F33" s="82">
        <v>2</v>
      </c>
      <c r="G33" s="84">
        <f>INDEX(薪資對照表,MATCH(EMP_SS_List[[#This Row],[職級]],職級,0),MATCH(EMP_SS_List[[#This Row],[職等]],職等,0))</f>
        <v>83000</v>
      </c>
    </row>
    <row r="34" spans="1:7" s="40" customFormat="1" ht="18" customHeight="1">
      <c r="A34" s="89" t="s">
        <v>146</v>
      </c>
      <c r="B34" s="86" t="s">
        <v>147</v>
      </c>
      <c r="C34" s="86" t="s">
        <v>93</v>
      </c>
      <c r="D34" s="87">
        <v>27701</v>
      </c>
      <c r="E34" s="86">
        <v>9</v>
      </c>
      <c r="F34" s="86">
        <v>5</v>
      </c>
      <c r="G34" s="88">
        <f>INDEX(薪資對照表,MATCH(EMP_SS_List[[#This Row],[職級]],職級,0),MATCH(EMP_SS_List[[#This Row],[職等]],職等,0))</f>
        <v>92000</v>
      </c>
    </row>
    <row r="35" spans="1:7" s="40" customFormat="1" ht="18" customHeight="1">
      <c r="A35" s="90" t="s">
        <v>144</v>
      </c>
      <c r="B35" s="82" t="s">
        <v>148</v>
      </c>
      <c r="C35" s="82" t="s">
        <v>84</v>
      </c>
      <c r="D35" s="83">
        <v>23420</v>
      </c>
      <c r="E35" s="82">
        <v>7</v>
      </c>
      <c r="F35" s="82">
        <v>4</v>
      </c>
      <c r="G35" s="84">
        <f>INDEX(薪資對照表,MATCH(EMP_SS_List[[#This Row],[職級]],職級,0),MATCH(EMP_SS_List[[#This Row],[職等]],職等,0))</f>
        <v>41000</v>
      </c>
    </row>
    <row r="36" spans="1:7" s="40" customFormat="1" ht="18" customHeight="1">
      <c r="A36" s="89" t="s">
        <v>149</v>
      </c>
      <c r="B36" s="86" t="s">
        <v>150</v>
      </c>
      <c r="C36" s="86" t="s">
        <v>105</v>
      </c>
      <c r="D36" s="87">
        <v>25089</v>
      </c>
      <c r="E36" s="86">
        <v>9</v>
      </c>
      <c r="F36" s="86">
        <v>4</v>
      </c>
      <c r="G36" s="88">
        <f>INDEX(薪資對照表,MATCH(EMP_SS_List[[#This Row],[職級]],職級,0),MATCH(EMP_SS_List[[#This Row],[職等]],職等,0))</f>
        <v>89000</v>
      </c>
    </row>
    <row r="37" spans="1:7" s="40" customFormat="1" ht="18" customHeight="1">
      <c r="A37" s="90" t="s">
        <v>151</v>
      </c>
      <c r="B37" s="82" t="s">
        <v>152</v>
      </c>
      <c r="C37" s="82" t="s">
        <v>100</v>
      </c>
      <c r="D37" s="83">
        <v>19731</v>
      </c>
      <c r="E37" s="82">
        <v>6</v>
      </c>
      <c r="F37" s="82">
        <v>6</v>
      </c>
      <c r="G37" s="84">
        <f>INDEX(薪資對照表,MATCH(EMP_SS_List[[#This Row],[職級]],職級,0),MATCH(EMP_SS_List[[#This Row],[職等]],職等,0))</f>
        <v>27500</v>
      </c>
    </row>
    <row r="38" spans="1:7" s="40" customFormat="1" ht="18" customHeight="1">
      <c r="A38" s="89" t="s">
        <v>153</v>
      </c>
      <c r="B38" s="86" t="s">
        <v>154</v>
      </c>
      <c r="C38" s="86" t="s">
        <v>105</v>
      </c>
      <c r="D38" s="87">
        <v>19760</v>
      </c>
      <c r="E38" s="86">
        <v>5</v>
      </c>
      <c r="F38" s="86">
        <v>8</v>
      </c>
      <c r="G38" s="88">
        <f>INDEX(薪資對照表,MATCH(EMP_SS_List[[#This Row],[職級]],職級,0),MATCH(EMP_SS_List[[#This Row],[職等]],職等,0))</f>
        <v>17000</v>
      </c>
    </row>
    <row r="39" spans="1:7" s="40" customFormat="1" ht="18" customHeight="1">
      <c r="A39" s="90" t="s">
        <v>155</v>
      </c>
      <c r="B39" s="82" t="s">
        <v>156</v>
      </c>
      <c r="C39" s="82" t="s">
        <v>93</v>
      </c>
      <c r="D39" s="83">
        <v>16316</v>
      </c>
      <c r="E39" s="82">
        <v>7</v>
      </c>
      <c r="F39" s="82">
        <v>4</v>
      </c>
      <c r="G39" s="84">
        <f>INDEX(薪資對照表,MATCH(EMP_SS_List[[#This Row],[職級]],職級,0),MATCH(EMP_SS_List[[#This Row],[職等]],職等,0))</f>
        <v>41000</v>
      </c>
    </row>
    <row r="40" spans="1:7" s="40" customFormat="1" ht="18" customHeight="1">
      <c r="A40" s="89" t="s">
        <v>157</v>
      </c>
      <c r="B40" s="86" t="s">
        <v>158</v>
      </c>
      <c r="C40" s="86" t="s">
        <v>90</v>
      </c>
      <c r="D40" s="87">
        <v>29621</v>
      </c>
      <c r="E40" s="86">
        <v>5</v>
      </c>
      <c r="F40" s="86">
        <v>6</v>
      </c>
      <c r="G40" s="88">
        <f>INDEX(薪資對照表,MATCH(EMP_SS_List[[#This Row],[職級]],職級,0),MATCH(EMP_SS_List[[#This Row],[職等]],職等,0))</f>
        <v>15000</v>
      </c>
    </row>
    <row r="41" spans="1:7" s="40" customFormat="1" ht="18" customHeight="1">
      <c r="A41" s="90" t="s">
        <v>159</v>
      </c>
      <c r="B41" s="82" t="s">
        <v>160</v>
      </c>
      <c r="C41" s="82" t="s">
        <v>90</v>
      </c>
      <c r="D41" s="83">
        <v>16804</v>
      </c>
      <c r="E41" s="82">
        <v>7</v>
      </c>
      <c r="F41" s="82">
        <v>3</v>
      </c>
      <c r="G41" s="84">
        <f>INDEX(薪資對照表,MATCH(EMP_SS_List[[#This Row],[職級]],職級,0),MATCH(EMP_SS_List[[#This Row],[職等]],職等,0))</f>
        <v>39000</v>
      </c>
    </row>
    <row r="42" spans="1:7" s="40" customFormat="1" ht="18" customHeight="1">
      <c r="A42" s="89" t="s">
        <v>161</v>
      </c>
      <c r="B42" s="86" t="s">
        <v>162</v>
      </c>
      <c r="C42" s="86" t="s">
        <v>90</v>
      </c>
      <c r="D42" s="87">
        <v>26764</v>
      </c>
      <c r="E42" s="86">
        <v>9</v>
      </c>
      <c r="F42" s="86">
        <v>4</v>
      </c>
      <c r="G42" s="88">
        <f>INDEX(薪資對照表,MATCH(EMP_SS_List[[#This Row],[職級]],職級,0),MATCH(EMP_SS_List[[#This Row],[職等]],職等,0))</f>
        <v>89000</v>
      </c>
    </row>
    <row r="43" spans="1:7" s="40" customFormat="1" ht="18" customHeight="1">
      <c r="A43" s="90" t="s">
        <v>163</v>
      </c>
      <c r="B43" s="82" t="s">
        <v>164</v>
      </c>
      <c r="C43" s="82" t="s">
        <v>90</v>
      </c>
      <c r="D43" s="83">
        <v>24158</v>
      </c>
      <c r="E43" s="82">
        <v>8</v>
      </c>
      <c r="F43" s="82">
        <v>1</v>
      </c>
      <c r="G43" s="84">
        <f>INDEX(薪資對照表,MATCH(EMP_SS_List[[#This Row],[職級]],職級,0),MATCH(EMP_SS_List[[#This Row],[職等]],職等,0))</f>
        <v>55000</v>
      </c>
    </row>
    <row r="48" spans="1:7" ht="17.25" thickBot="1"/>
    <row r="49" spans="1:2" ht="33.75" thickBot="1">
      <c r="A49" s="92" t="s">
        <v>165</v>
      </c>
    </row>
    <row r="50" spans="1:2" ht="17.25" thickTop="1">
      <c r="A50" s="91" t="b">
        <f ca="1">MONTH(D4)=MONTH(TODAY())</f>
        <v>0</v>
      </c>
    </row>
    <row r="53" spans="1:2" ht="17.25" thickBot="1"/>
    <row r="54" spans="1:2" ht="17.25" thickBot="1">
      <c r="A54" s="93" t="s">
        <v>3</v>
      </c>
      <c r="B54" s="93" t="s">
        <v>77</v>
      </c>
    </row>
    <row r="55" spans="1:2" ht="17.25" thickTop="1">
      <c r="A55" s="94" t="s">
        <v>95</v>
      </c>
      <c r="B55" s="94" t="s">
        <v>93</v>
      </c>
    </row>
    <row r="56" spans="1:2">
      <c r="A56" s="94" t="s">
        <v>99</v>
      </c>
      <c r="B56" s="94" t="s">
        <v>100</v>
      </c>
    </row>
    <row r="57" spans="1:2">
      <c r="A57" s="94" t="s">
        <v>139</v>
      </c>
      <c r="B57" s="94" t="s">
        <v>90</v>
      </c>
    </row>
    <row r="58" spans="1:2">
      <c r="A58" s="94" t="s">
        <v>145</v>
      </c>
      <c r="B58" s="94" t="s">
        <v>105</v>
      </c>
    </row>
  </sheetData>
  <mergeCells count="1">
    <mergeCell ref="A1:G1"/>
  </mergeCells>
  <phoneticPr fontId="2" type="noConversion"/>
  <pageMargins left="0.75" right="0.75" top="1" bottom="1" header="0.5" footer="0.5"/>
  <headerFooter alignWithMargins="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workbookViewId="0">
      <selection activeCell="E8" sqref="E8"/>
    </sheetView>
  </sheetViews>
  <sheetFormatPr defaultRowHeight="16.5"/>
  <cols>
    <col min="1" max="1" width="10.25" style="58" bestFit="1" customWidth="1"/>
    <col min="2" max="6" width="10.25" style="58" customWidth="1"/>
    <col min="7" max="16384" width="9" style="58"/>
  </cols>
  <sheetData>
    <row r="1" spans="1:6" ht="38.25">
      <c r="A1" s="55" t="s">
        <v>73</v>
      </c>
      <c r="B1" s="56"/>
      <c r="C1" s="56"/>
      <c r="D1" s="56"/>
      <c r="E1" s="56"/>
      <c r="F1" s="57"/>
    </row>
    <row r="2" spans="1:6" ht="17.25" thickBot="1">
      <c r="A2" s="59"/>
    </row>
    <row r="3" spans="1:6" s="40" customFormat="1" ht="25.15" customHeight="1">
      <c r="A3" s="60" t="s">
        <v>74</v>
      </c>
      <c r="B3" s="61">
        <v>1000</v>
      </c>
      <c r="C3" s="61">
        <v>1500</v>
      </c>
      <c r="D3" s="61">
        <v>2000</v>
      </c>
      <c r="E3" s="61">
        <v>2500</v>
      </c>
      <c r="F3" s="62">
        <v>3000</v>
      </c>
    </row>
    <row r="4" spans="1:6" s="40" customFormat="1" ht="22.9" customHeight="1" thickBot="1">
      <c r="A4" s="63">
        <v>10000</v>
      </c>
      <c r="B4" s="64">
        <v>5</v>
      </c>
      <c r="C4" s="64">
        <v>6</v>
      </c>
      <c r="D4" s="64">
        <v>7</v>
      </c>
      <c r="E4" s="64">
        <v>8</v>
      </c>
      <c r="F4" s="65">
        <v>9</v>
      </c>
    </row>
    <row r="5" spans="1:6" s="40" customFormat="1" ht="22.9" customHeight="1" thickTop="1">
      <c r="A5" s="66">
        <v>1</v>
      </c>
      <c r="B5" s="67">
        <f t="shared" ref="B5:B14" si="0">$A$4+B$3*($A5-1)</f>
        <v>10000</v>
      </c>
      <c r="C5" s="67">
        <f t="shared" ref="C5:F14" si="1">B$14+B$3+C$3*($A5-1)</f>
        <v>20000</v>
      </c>
      <c r="D5" s="68">
        <f t="shared" si="1"/>
        <v>35000</v>
      </c>
      <c r="E5" s="68">
        <f t="shared" si="1"/>
        <v>55000</v>
      </c>
      <c r="F5" s="69">
        <f t="shared" si="1"/>
        <v>80000</v>
      </c>
    </row>
    <row r="6" spans="1:6" s="40" customFormat="1" ht="22.9" customHeight="1">
      <c r="A6" s="66">
        <v>2</v>
      </c>
      <c r="B6" s="68">
        <f t="shared" si="0"/>
        <v>11000</v>
      </c>
      <c r="C6" s="68">
        <f t="shared" si="1"/>
        <v>21500</v>
      </c>
      <c r="D6" s="68">
        <f t="shared" si="1"/>
        <v>37000</v>
      </c>
      <c r="E6" s="68">
        <f t="shared" si="1"/>
        <v>57500</v>
      </c>
      <c r="F6" s="69">
        <f t="shared" si="1"/>
        <v>83000</v>
      </c>
    </row>
    <row r="7" spans="1:6" s="40" customFormat="1" ht="22.9" customHeight="1">
      <c r="A7" s="66">
        <v>3</v>
      </c>
      <c r="B7" s="68">
        <f t="shared" si="0"/>
        <v>12000</v>
      </c>
      <c r="C7" s="68">
        <f t="shared" si="1"/>
        <v>23000</v>
      </c>
      <c r="D7" s="68">
        <f t="shared" si="1"/>
        <v>39000</v>
      </c>
      <c r="E7" s="68">
        <f t="shared" si="1"/>
        <v>60000</v>
      </c>
      <c r="F7" s="69">
        <f t="shared" si="1"/>
        <v>86000</v>
      </c>
    </row>
    <row r="8" spans="1:6" s="40" customFormat="1" ht="22.9" customHeight="1">
      <c r="A8" s="66">
        <v>4</v>
      </c>
      <c r="B8" s="68">
        <f t="shared" si="0"/>
        <v>13000</v>
      </c>
      <c r="C8" s="68">
        <f t="shared" si="1"/>
        <v>24500</v>
      </c>
      <c r="D8" s="68">
        <f t="shared" si="1"/>
        <v>41000</v>
      </c>
      <c r="E8" s="70">
        <f t="shared" si="1"/>
        <v>62500</v>
      </c>
      <c r="F8" s="69">
        <f t="shared" si="1"/>
        <v>89000</v>
      </c>
    </row>
    <row r="9" spans="1:6" s="40" customFormat="1" ht="22.9" customHeight="1">
      <c r="A9" s="66">
        <v>5</v>
      </c>
      <c r="B9" s="68">
        <f t="shared" si="0"/>
        <v>14000</v>
      </c>
      <c r="C9" s="68">
        <f t="shared" si="1"/>
        <v>26000</v>
      </c>
      <c r="D9" s="68">
        <f t="shared" si="1"/>
        <v>43000</v>
      </c>
      <c r="E9" s="68">
        <f t="shared" si="1"/>
        <v>65000</v>
      </c>
      <c r="F9" s="69">
        <f t="shared" si="1"/>
        <v>92000</v>
      </c>
    </row>
    <row r="10" spans="1:6" s="40" customFormat="1" ht="22.9" customHeight="1">
      <c r="A10" s="66">
        <v>6</v>
      </c>
      <c r="B10" s="68">
        <f t="shared" si="0"/>
        <v>15000</v>
      </c>
      <c r="C10" s="68">
        <f t="shared" si="1"/>
        <v>27500</v>
      </c>
      <c r="D10" s="68">
        <f t="shared" si="1"/>
        <v>45000</v>
      </c>
      <c r="E10" s="68">
        <f t="shared" si="1"/>
        <v>67500</v>
      </c>
      <c r="F10" s="69">
        <f t="shared" si="1"/>
        <v>95000</v>
      </c>
    </row>
    <row r="11" spans="1:6" s="40" customFormat="1" ht="22.9" customHeight="1">
      <c r="A11" s="66">
        <v>7</v>
      </c>
      <c r="B11" s="68">
        <f t="shared" si="0"/>
        <v>16000</v>
      </c>
      <c r="C11" s="68">
        <f t="shared" si="1"/>
        <v>29000</v>
      </c>
      <c r="D11" s="68">
        <f t="shared" si="1"/>
        <v>47000</v>
      </c>
      <c r="E11" s="68">
        <f t="shared" si="1"/>
        <v>70000</v>
      </c>
      <c r="F11" s="69">
        <f t="shared" si="1"/>
        <v>98000</v>
      </c>
    </row>
    <row r="12" spans="1:6" s="40" customFormat="1" ht="22.9" customHeight="1">
      <c r="A12" s="66">
        <v>8</v>
      </c>
      <c r="B12" s="68">
        <f t="shared" si="0"/>
        <v>17000</v>
      </c>
      <c r="C12" s="68">
        <f t="shared" si="1"/>
        <v>30500</v>
      </c>
      <c r="D12" s="68">
        <f t="shared" si="1"/>
        <v>49000</v>
      </c>
      <c r="E12" s="68">
        <f t="shared" si="1"/>
        <v>72500</v>
      </c>
      <c r="F12" s="69">
        <f t="shared" si="1"/>
        <v>101000</v>
      </c>
    </row>
    <row r="13" spans="1:6" s="40" customFormat="1" ht="22.9" customHeight="1">
      <c r="A13" s="66">
        <v>9</v>
      </c>
      <c r="B13" s="68">
        <f t="shared" si="0"/>
        <v>18000</v>
      </c>
      <c r="C13" s="68">
        <f t="shared" si="1"/>
        <v>32000</v>
      </c>
      <c r="D13" s="68">
        <f t="shared" si="1"/>
        <v>51000</v>
      </c>
      <c r="E13" s="68">
        <f t="shared" si="1"/>
        <v>75000</v>
      </c>
      <c r="F13" s="69">
        <f t="shared" si="1"/>
        <v>104000</v>
      </c>
    </row>
    <row r="14" spans="1:6" s="40" customFormat="1" ht="22.9" customHeight="1" thickBot="1">
      <c r="A14" s="71">
        <v>10</v>
      </c>
      <c r="B14" s="72">
        <f t="shared" si="0"/>
        <v>19000</v>
      </c>
      <c r="C14" s="72">
        <f t="shared" si="1"/>
        <v>33500</v>
      </c>
      <c r="D14" s="72">
        <f t="shared" si="1"/>
        <v>53000</v>
      </c>
      <c r="E14" s="72">
        <f t="shared" si="1"/>
        <v>77500</v>
      </c>
      <c r="F14" s="73">
        <f t="shared" si="1"/>
        <v>107000</v>
      </c>
    </row>
  </sheetData>
  <phoneticPr fontId="2" type="noConversion"/>
  <printOptions horizontalCentered="1"/>
  <pageMargins left="0.74803149606299213" right="0.74803149606299213" top="0.98425196850393704" bottom="0.98425196850393704" header="0.51181102362204722" footer="0.51181102362204722"/>
  <pageSetup paperSize="9" orientation="portrait" horizontalDpi="300" verticalDpi="300" r:id="rId1"/>
  <headerFooter alignWithMargins="0">
    <oddHeader>&amp;A</oddHeader>
    <oddFooter>第 &amp;P 頁</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5"/>
  <sheetViews>
    <sheetView topLeftCell="A4" zoomScale="145" zoomScaleNormal="145" workbookViewId="0">
      <selection activeCell="E9" sqref="E9"/>
    </sheetView>
  </sheetViews>
  <sheetFormatPr defaultColWidth="7.875" defaultRowHeight="16.5"/>
  <cols>
    <col min="1" max="1" width="7.875" style="95"/>
    <col min="2" max="2" width="9.25" style="95" bestFit="1" customWidth="1"/>
    <col min="3" max="4" width="10.25" style="95" bestFit="1" customWidth="1"/>
    <col min="5" max="5" width="7.875" style="95"/>
    <col min="6" max="6" width="9.25" style="95" bestFit="1" customWidth="1"/>
    <col min="7" max="257" width="7.875" style="95"/>
    <col min="258" max="258" width="9.25" style="95" bestFit="1" customWidth="1"/>
    <col min="259" max="260" width="10.25" style="95" bestFit="1" customWidth="1"/>
    <col min="261" max="261" width="7.875" style="95"/>
    <col min="262" max="262" width="9.25" style="95" bestFit="1" customWidth="1"/>
    <col min="263" max="513" width="7.875" style="95"/>
    <col min="514" max="514" width="9.25" style="95" bestFit="1" customWidth="1"/>
    <col min="515" max="516" width="10.25" style="95" bestFit="1" customWidth="1"/>
    <col min="517" max="517" width="7.875" style="95"/>
    <col min="518" max="518" width="9.25" style="95" bestFit="1" customWidth="1"/>
    <col min="519" max="769" width="7.875" style="95"/>
    <col min="770" max="770" width="9.25" style="95" bestFit="1" customWidth="1"/>
    <col min="771" max="772" width="10.25" style="95" bestFit="1" customWidth="1"/>
    <col min="773" max="773" width="7.875" style="95"/>
    <col min="774" max="774" width="9.25" style="95" bestFit="1" customWidth="1"/>
    <col min="775" max="1025" width="7.875" style="95"/>
    <col min="1026" max="1026" width="9.25" style="95" bestFit="1" customWidth="1"/>
    <col min="1027" max="1028" width="10.25" style="95" bestFit="1" customWidth="1"/>
    <col min="1029" max="1029" width="7.875" style="95"/>
    <col min="1030" max="1030" width="9.25" style="95" bestFit="1" customWidth="1"/>
    <col min="1031" max="1281" width="7.875" style="95"/>
    <col min="1282" max="1282" width="9.25" style="95" bestFit="1" customWidth="1"/>
    <col min="1283" max="1284" width="10.25" style="95" bestFit="1" customWidth="1"/>
    <col min="1285" max="1285" width="7.875" style="95"/>
    <col min="1286" max="1286" width="9.25" style="95" bestFit="1" customWidth="1"/>
    <col min="1287" max="1537" width="7.875" style="95"/>
    <col min="1538" max="1538" width="9.25" style="95" bestFit="1" customWidth="1"/>
    <col min="1539" max="1540" width="10.25" style="95" bestFit="1" customWidth="1"/>
    <col min="1541" max="1541" width="7.875" style="95"/>
    <col min="1542" max="1542" width="9.25" style="95" bestFit="1" customWidth="1"/>
    <col min="1543" max="1793" width="7.875" style="95"/>
    <col min="1794" max="1794" width="9.25" style="95" bestFit="1" customWidth="1"/>
    <col min="1795" max="1796" width="10.25" style="95" bestFit="1" customWidth="1"/>
    <col min="1797" max="1797" width="7.875" style="95"/>
    <col min="1798" max="1798" width="9.25" style="95" bestFit="1" customWidth="1"/>
    <col min="1799" max="2049" width="7.875" style="95"/>
    <col min="2050" max="2050" width="9.25" style="95" bestFit="1" customWidth="1"/>
    <col min="2051" max="2052" width="10.25" style="95" bestFit="1" customWidth="1"/>
    <col min="2053" max="2053" width="7.875" style="95"/>
    <col min="2054" max="2054" width="9.25" style="95" bestFit="1" customWidth="1"/>
    <col min="2055" max="2305" width="7.875" style="95"/>
    <col min="2306" max="2306" width="9.25" style="95" bestFit="1" customWidth="1"/>
    <col min="2307" max="2308" width="10.25" style="95" bestFit="1" customWidth="1"/>
    <col min="2309" max="2309" width="7.875" style="95"/>
    <col min="2310" max="2310" width="9.25" style="95" bestFit="1" customWidth="1"/>
    <col min="2311" max="2561" width="7.875" style="95"/>
    <col min="2562" max="2562" width="9.25" style="95" bestFit="1" customWidth="1"/>
    <col min="2563" max="2564" width="10.25" style="95" bestFit="1" customWidth="1"/>
    <col min="2565" max="2565" width="7.875" style="95"/>
    <col min="2566" max="2566" width="9.25" style="95" bestFit="1" customWidth="1"/>
    <col min="2567" max="2817" width="7.875" style="95"/>
    <col min="2818" max="2818" width="9.25" style="95" bestFit="1" customWidth="1"/>
    <col min="2819" max="2820" width="10.25" style="95" bestFit="1" customWidth="1"/>
    <col min="2821" max="2821" width="7.875" style="95"/>
    <col min="2822" max="2822" width="9.25" style="95" bestFit="1" customWidth="1"/>
    <col min="2823" max="3073" width="7.875" style="95"/>
    <col min="3074" max="3074" width="9.25" style="95" bestFit="1" customWidth="1"/>
    <col min="3075" max="3076" width="10.25" style="95" bestFit="1" customWidth="1"/>
    <col min="3077" max="3077" width="7.875" style="95"/>
    <col min="3078" max="3078" width="9.25" style="95" bestFit="1" customWidth="1"/>
    <col min="3079" max="3329" width="7.875" style="95"/>
    <col min="3330" max="3330" width="9.25" style="95" bestFit="1" customWidth="1"/>
    <col min="3331" max="3332" width="10.25" style="95" bestFit="1" customWidth="1"/>
    <col min="3333" max="3333" width="7.875" style="95"/>
    <col min="3334" max="3334" width="9.25" style="95" bestFit="1" customWidth="1"/>
    <col min="3335" max="3585" width="7.875" style="95"/>
    <col min="3586" max="3586" width="9.25" style="95" bestFit="1" customWidth="1"/>
    <col min="3587" max="3588" width="10.25" style="95" bestFit="1" customWidth="1"/>
    <col min="3589" max="3589" width="7.875" style="95"/>
    <col min="3590" max="3590" width="9.25" style="95" bestFit="1" customWidth="1"/>
    <col min="3591" max="3841" width="7.875" style="95"/>
    <col min="3842" max="3842" width="9.25" style="95" bestFit="1" customWidth="1"/>
    <col min="3843" max="3844" width="10.25" style="95" bestFit="1" customWidth="1"/>
    <col min="3845" max="3845" width="7.875" style="95"/>
    <col min="3846" max="3846" width="9.25" style="95" bestFit="1" customWidth="1"/>
    <col min="3847" max="4097" width="7.875" style="95"/>
    <col min="4098" max="4098" width="9.25" style="95" bestFit="1" customWidth="1"/>
    <col min="4099" max="4100" width="10.25" style="95" bestFit="1" customWidth="1"/>
    <col min="4101" max="4101" width="7.875" style="95"/>
    <col min="4102" max="4102" width="9.25" style="95" bestFit="1" customWidth="1"/>
    <col min="4103" max="4353" width="7.875" style="95"/>
    <col min="4354" max="4354" width="9.25" style="95" bestFit="1" customWidth="1"/>
    <col min="4355" max="4356" width="10.25" style="95" bestFit="1" customWidth="1"/>
    <col min="4357" max="4357" width="7.875" style="95"/>
    <col min="4358" max="4358" width="9.25" style="95" bestFit="1" customWidth="1"/>
    <col min="4359" max="4609" width="7.875" style="95"/>
    <col min="4610" max="4610" width="9.25" style="95" bestFit="1" customWidth="1"/>
    <col min="4611" max="4612" width="10.25" style="95" bestFit="1" customWidth="1"/>
    <col min="4613" max="4613" width="7.875" style="95"/>
    <col min="4614" max="4614" width="9.25" style="95" bestFit="1" customWidth="1"/>
    <col min="4615" max="4865" width="7.875" style="95"/>
    <col min="4866" max="4866" width="9.25" style="95" bestFit="1" customWidth="1"/>
    <col min="4867" max="4868" width="10.25" style="95" bestFit="1" customWidth="1"/>
    <col min="4869" max="4869" width="7.875" style="95"/>
    <col min="4870" max="4870" width="9.25" style="95" bestFit="1" customWidth="1"/>
    <col min="4871" max="5121" width="7.875" style="95"/>
    <col min="5122" max="5122" width="9.25" style="95" bestFit="1" customWidth="1"/>
    <col min="5123" max="5124" width="10.25" style="95" bestFit="1" customWidth="1"/>
    <col min="5125" max="5125" width="7.875" style="95"/>
    <col min="5126" max="5126" width="9.25" style="95" bestFit="1" customWidth="1"/>
    <col min="5127" max="5377" width="7.875" style="95"/>
    <col min="5378" max="5378" width="9.25" style="95" bestFit="1" customWidth="1"/>
    <col min="5379" max="5380" width="10.25" style="95" bestFit="1" customWidth="1"/>
    <col min="5381" max="5381" width="7.875" style="95"/>
    <col min="5382" max="5382" width="9.25" style="95" bestFit="1" customWidth="1"/>
    <col min="5383" max="5633" width="7.875" style="95"/>
    <col min="5634" max="5634" width="9.25" style="95" bestFit="1" customWidth="1"/>
    <col min="5635" max="5636" width="10.25" style="95" bestFit="1" customWidth="1"/>
    <col min="5637" max="5637" width="7.875" style="95"/>
    <col min="5638" max="5638" width="9.25" style="95" bestFit="1" customWidth="1"/>
    <col min="5639" max="5889" width="7.875" style="95"/>
    <col min="5890" max="5890" width="9.25" style="95" bestFit="1" customWidth="1"/>
    <col min="5891" max="5892" width="10.25" style="95" bestFit="1" customWidth="1"/>
    <col min="5893" max="5893" width="7.875" style="95"/>
    <col min="5894" max="5894" width="9.25" style="95" bestFit="1" customWidth="1"/>
    <col min="5895" max="6145" width="7.875" style="95"/>
    <col min="6146" max="6146" width="9.25" style="95" bestFit="1" customWidth="1"/>
    <col min="6147" max="6148" width="10.25" style="95" bestFit="1" customWidth="1"/>
    <col min="6149" max="6149" width="7.875" style="95"/>
    <col min="6150" max="6150" width="9.25" style="95" bestFit="1" customWidth="1"/>
    <col min="6151" max="6401" width="7.875" style="95"/>
    <col min="6402" max="6402" width="9.25" style="95" bestFit="1" customWidth="1"/>
    <col min="6403" max="6404" width="10.25" style="95" bestFit="1" customWidth="1"/>
    <col min="6405" max="6405" width="7.875" style="95"/>
    <col min="6406" max="6406" width="9.25" style="95" bestFit="1" customWidth="1"/>
    <col min="6407" max="6657" width="7.875" style="95"/>
    <col min="6658" max="6658" width="9.25" style="95" bestFit="1" customWidth="1"/>
    <col min="6659" max="6660" width="10.25" style="95" bestFit="1" customWidth="1"/>
    <col min="6661" max="6661" width="7.875" style="95"/>
    <col min="6662" max="6662" width="9.25" style="95" bestFit="1" customWidth="1"/>
    <col min="6663" max="6913" width="7.875" style="95"/>
    <col min="6914" max="6914" width="9.25" style="95" bestFit="1" customWidth="1"/>
    <col min="6915" max="6916" width="10.25" style="95" bestFit="1" customWidth="1"/>
    <col min="6917" max="6917" width="7.875" style="95"/>
    <col min="6918" max="6918" width="9.25" style="95" bestFit="1" customWidth="1"/>
    <col min="6919" max="7169" width="7.875" style="95"/>
    <col min="7170" max="7170" width="9.25" style="95" bestFit="1" customWidth="1"/>
    <col min="7171" max="7172" width="10.25" style="95" bestFit="1" customWidth="1"/>
    <col min="7173" max="7173" width="7.875" style="95"/>
    <col min="7174" max="7174" width="9.25" style="95" bestFit="1" customWidth="1"/>
    <col min="7175" max="7425" width="7.875" style="95"/>
    <col min="7426" max="7426" width="9.25" style="95" bestFit="1" customWidth="1"/>
    <col min="7427" max="7428" width="10.25" style="95" bestFit="1" customWidth="1"/>
    <col min="7429" max="7429" width="7.875" style="95"/>
    <col min="7430" max="7430" width="9.25" style="95" bestFit="1" customWidth="1"/>
    <col min="7431" max="7681" width="7.875" style="95"/>
    <col min="7682" max="7682" width="9.25" style="95" bestFit="1" customWidth="1"/>
    <col min="7683" max="7684" width="10.25" style="95" bestFit="1" customWidth="1"/>
    <col min="7685" max="7685" width="7.875" style="95"/>
    <col min="7686" max="7686" width="9.25" style="95" bestFit="1" customWidth="1"/>
    <col min="7687" max="7937" width="7.875" style="95"/>
    <col min="7938" max="7938" width="9.25" style="95" bestFit="1" customWidth="1"/>
    <col min="7939" max="7940" width="10.25" style="95" bestFit="1" customWidth="1"/>
    <col min="7941" max="7941" width="7.875" style="95"/>
    <col min="7942" max="7942" width="9.25" style="95" bestFit="1" customWidth="1"/>
    <col min="7943" max="8193" width="7.875" style="95"/>
    <col min="8194" max="8194" width="9.25" style="95" bestFit="1" customWidth="1"/>
    <col min="8195" max="8196" width="10.25" style="95" bestFit="1" customWidth="1"/>
    <col min="8197" max="8197" width="7.875" style="95"/>
    <col min="8198" max="8198" width="9.25" style="95" bestFit="1" customWidth="1"/>
    <col min="8199" max="8449" width="7.875" style="95"/>
    <col min="8450" max="8450" width="9.25" style="95" bestFit="1" customWidth="1"/>
    <col min="8451" max="8452" width="10.25" style="95" bestFit="1" customWidth="1"/>
    <col min="8453" max="8453" width="7.875" style="95"/>
    <col min="8454" max="8454" width="9.25" style="95" bestFit="1" customWidth="1"/>
    <col min="8455" max="8705" width="7.875" style="95"/>
    <col min="8706" max="8706" width="9.25" style="95" bestFit="1" customWidth="1"/>
    <col min="8707" max="8708" width="10.25" style="95" bestFit="1" customWidth="1"/>
    <col min="8709" max="8709" width="7.875" style="95"/>
    <col min="8710" max="8710" width="9.25" style="95" bestFit="1" customWidth="1"/>
    <col min="8711" max="8961" width="7.875" style="95"/>
    <col min="8962" max="8962" width="9.25" style="95" bestFit="1" customWidth="1"/>
    <col min="8963" max="8964" width="10.25" style="95" bestFit="1" customWidth="1"/>
    <col min="8965" max="8965" width="7.875" style="95"/>
    <col min="8966" max="8966" width="9.25" style="95" bestFit="1" customWidth="1"/>
    <col min="8967" max="9217" width="7.875" style="95"/>
    <col min="9218" max="9218" width="9.25" style="95" bestFit="1" customWidth="1"/>
    <col min="9219" max="9220" width="10.25" style="95" bestFit="1" customWidth="1"/>
    <col min="9221" max="9221" width="7.875" style="95"/>
    <col min="9222" max="9222" width="9.25" style="95" bestFit="1" customWidth="1"/>
    <col min="9223" max="9473" width="7.875" style="95"/>
    <col min="9474" max="9474" width="9.25" style="95" bestFit="1" customWidth="1"/>
    <col min="9475" max="9476" width="10.25" style="95" bestFit="1" customWidth="1"/>
    <col min="9477" max="9477" width="7.875" style="95"/>
    <col min="9478" max="9478" width="9.25" style="95" bestFit="1" customWidth="1"/>
    <col min="9479" max="9729" width="7.875" style="95"/>
    <col min="9730" max="9730" width="9.25" style="95" bestFit="1" customWidth="1"/>
    <col min="9731" max="9732" width="10.25" style="95" bestFit="1" customWidth="1"/>
    <col min="9733" max="9733" width="7.875" style="95"/>
    <col min="9734" max="9734" width="9.25" style="95" bestFit="1" customWidth="1"/>
    <col min="9735" max="9985" width="7.875" style="95"/>
    <col min="9986" max="9986" width="9.25" style="95" bestFit="1" customWidth="1"/>
    <col min="9987" max="9988" width="10.25" style="95" bestFit="1" customWidth="1"/>
    <col min="9989" max="9989" width="7.875" style="95"/>
    <col min="9990" max="9990" width="9.25" style="95" bestFit="1" customWidth="1"/>
    <col min="9991" max="10241" width="7.875" style="95"/>
    <col min="10242" max="10242" width="9.25" style="95" bestFit="1" customWidth="1"/>
    <col min="10243" max="10244" width="10.25" style="95" bestFit="1" customWidth="1"/>
    <col min="10245" max="10245" width="7.875" style="95"/>
    <col min="10246" max="10246" width="9.25" style="95" bestFit="1" customWidth="1"/>
    <col min="10247" max="10497" width="7.875" style="95"/>
    <col min="10498" max="10498" width="9.25" style="95" bestFit="1" customWidth="1"/>
    <col min="10499" max="10500" width="10.25" style="95" bestFit="1" customWidth="1"/>
    <col min="10501" max="10501" width="7.875" style="95"/>
    <col min="10502" max="10502" width="9.25" style="95" bestFit="1" customWidth="1"/>
    <col min="10503" max="10753" width="7.875" style="95"/>
    <col min="10754" max="10754" width="9.25" style="95" bestFit="1" customWidth="1"/>
    <col min="10755" max="10756" width="10.25" style="95" bestFit="1" customWidth="1"/>
    <col min="10757" max="10757" width="7.875" style="95"/>
    <col min="10758" max="10758" width="9.25" style="95" bestFit="1" customWidth="1"/>
    <col min="10759" max="11009" width="7.875" style="95"/>
    <col min="11010" max="11010" width="9.25" style="95" bestFit="1" customWidth="1"/>
    <col min="11011" max="11012" width="10.25" style="95" bestFit="1" customWidth="1"/>
    <col min="11013" max="11013" width="7.875" style="95"/>
    <col min="11014" max="11014" width="9.25" style="95" bestFit="1" customWidth="1"/>
    <col min="11015" max="11265" width="7.875" style="95"/>
    <col min="11266" max="11266" width="9.25" style="95" bestFit="1" customWidth="1"/>
    <col min="11267" max="11268" width="10.25" style="95" bestFit="1" customWidth="1"/>
    <col min="11269" max="11269" width="7.875" style="95"/>
    <col min="11270" max="11270" width="9.25" style="95" bestFit="1" customWidth="1"/>
    <col min="11271" max="11521" width="7.875" style="95"/>
    <col min="11522" max="11522" width="9.25" style="95" bestFit="1" customWidth="1"/>
    <col min="11523" max="11524" width="10.25" style="95" bestFit="1" customWidth="1"/>
    <col min="11525" max="11525" width="7.875" style="95"/>
    <col min="11526" max="11526" width="9.25" style="95" bestFit="1" customWidth="1"/>
    <col min="11527" max="11777" width="7.875" style="95"/>
    <col min="11778" max="11778" width="9.25" style="95" bestFit="1" customWidth="1"/>
    <col min="11779" max="11780" width="10.25" style="95" bestFit="1" customWidth="1"/>
    <col min="11781" max="11781" width="7.875" style="95"/>
    <col min="11782" max="11782" width="9.25" style="95" bestFit="1" customWidth="1"/>
    <col min="11783" max="12033" width="7.875" style="95"/>
    <col min="12034" max="12034" width="9.25" style="95" bestFit="1" customWidth="1"/>
    <col min="12035" max="12036" width="10.25" style="95" bestFit="1" customWidth="1"/>
    <col min="12037" max="12037" width="7.875" style="95"/>
    <col min="12038" max="12038" width="9.25" style="95" bestFit="1" customWidth="1"/>
    <col min="12039" max="12289" width="7.875" style="95"/>
    <col min="12290" max="12290" width="9.25" style="95" bestFit="1" customWidth="1"/>
    <col min="12291" max="12292" width="10.25" style="95" bestFit="1" customWidth="1"/>
    <col min="12293" max="12293" width="7.875" style="95"/>
    <col min="12294" max="12294" width="9.25" style="95" bestFit="1" customWidth="1"/>
    <col min="12295" max="12545" width="7.875" style="95"/>
    <col min="12546" max="12546" width="9.25" style="95" bestFit="1" customWidth="1"/>
    <col min="12547" max="12548" width="10.25" style="95" bestFit="1" customWidth="1"/>
    <col min="12549" max="12549" width="7.875" style="95"/>
    <col min="12550" max="12550" width="9.25" style="95" bestFit="1" customWidth="1"/>
    <col min="12551" max="12801" width="7.875" style="95"/>
    <col min="12802" max="12802" width="9.25" style="95" bestFit="1" customWidth="1"/>
    <col min="12803" max="12804" width="10.25" style="95" bestFit="1" customWidth="1"/>
    <col min="12805" max="12805" width="7.875" style="95"/>
    <col min="12806" max="12806" width="9.25" style="95" bestFit="1" customWidth="1"/>
    <col min="12807" max="13057" width="7.875" style="95"/>
    <col min="13058" max="13058" width="9.25" style="95" bestFit="1" customWidth="1"/>
    <col min="13059" max="13060" width="10.25" style="95" bestFit="1" customWidth="1"/>
    <col min="13061" max="13061" width="7.875" style="95"/>
    <col min="13062" max="13062" width="9.25" style="95" bestFit="1" customWidth="1"/>
    <col min="13063" max="13313" width="7.875" style="95"/>
    <col min="13314" max="13314" width="9.25" style="95" bestFit="1" customWidth="1"/>
    <col min="13315" max="13316" width="10.25" style="95" bestFit="1" customWidth="1"/>
    <col min="13317" max="13317" width="7.875" style="95"/>
    <col min="13318" max="13318" width="9.25" style="95" bestFit="1" customWidth="1"/>
    <col min="13319" max="13569" width="7.875" style="95"/>
    <col min="13570" max="13570" width="9.25" style="95" bestFit="1" customWidth="1"/>
    <col min="13571" max="13572" width="10.25" style="95" bestFit="1" customWidth="1"/>
    <col min="13573" max="13573" width="7.875" style="95"/>
    <col min="13574" max="13574" width="9.25" style="95" bestFit="1" customWidth="1"/>
    <col min="13575" max="13825" width="7.875" style="95"/>
    <col min="13826" max="13826" width="9.25" style="95" bestFit="1" customWidth="1"/>
    <col min="13827" max="13828" width="10.25" style="95" bestFit="1" customWidth="1"/>
    <col min="13829" max="13829" width="7.875" style="95"/>
    <col min="13830" max="13830" width="9.25" style="95" bestFit="1" customWidth="1"/>
    <col min="13831" max="14081" width="7.875" style="95"/>
    <col min="14082" max="14082" width="9.25" style="95" bestFit="1" customWidth="1"/>
    <col min="14083" max="14084" width="10.25" style="95" bestFit="1" customWidth="1"/>
    <col min="14085" max="14085" width="7.875" style="95"/>
    <col min="14086" max="14086" width="9.25" style="95" bestFit="1" customWidth="1"/>
    <col min="14087" max="14337" width="7.875" style="95"/>
    <col min="14338" max="14338" width="9.25" style="95" bestFit="1" customWidth="1"/>
    <col min="14339" max="14340" width="10.25" style="95" bestFit="1" customWidth="1"/>
    <col min="14341" max="14341" width="7.875" style="95"/>
    <col min="14342" max="14342" width="9.25" style="95" bestFit="1" customWidth="1"/>
    <col min="14343" max="14593" width="7.875" style="95"/>
    <col min="14594" max="14594" width="9.25" style="95" bestFit="1" customWidth="1"/>
    <col min="14595" max="14596" width="10.25" style="95" bestFit="1" customWidth="1"/>
    <col min="14597" max="14597" width="7.875" style="95"/>
    <col min="14598" max="14598" width="9.25" style="95" bestFit="1" customWidth="1"/>
    <col min="14599" max="14849" width="7.875" style="95"/>
    <col min="14850" max="14850" width="9.25" style="95" bestFit="1" customWidth="1"/>
    <col min="14851" max="14852" width="10.25" style="95" bestFit="1" customWidth="1"/>
    <col min="14853" max="14853" width="7.875" style="95"/>
    <col min="14854" max="14854" width="9.25" style="95" bestFit="1" customWidth="1"/>
    <col min="14855" max="15105" width="7.875" style="95"/>
    <col min="15106" max="15106" width="9.25" style="95" bestFit="1" customWidth="1"/>
    <col min="15107" max="15108" width="10.25" style="95" bestFit="1" customWidth="1"/>
    <col min="15109" max="15109" width="7.875" style="95"/>
    <col min="15110" max="15110" width="9.25" style="95" bestFit="1" customWidth="1"/>
    <col min="15111" max="15361" width="7.875" style="95"/>
    <col min="15362" max="15362" width="9.25" style="95" bestFit="1" customWidth="1"/>
    <col min="15363" max="15364" width="10.25" style="95" bestFit="1" customWidth="1"/>
    <col min="15365" max="15365" width="7.875" style="95"/>
    <col min="15366" max="15366" width="9.25" style="95" bestFit="1" customWidth="1"/>
    <col min="15367" max="15617" width="7.875" style="95"/>
    <col min="15618" max="15618" width="9.25" style="95" bestFit="1" customWidth="1"/>
    <col min="15619" max="15620" width="10.25" style="95" bestFit="1" customWidth="1"/>
    <col min="15621" max="15621" width="7.875" style="95"/>
    <col min="15622" max="15622" width="9.25" style="95" bestFit="1" customWidth="1"/>
    <col min="15623" max="15873" width="7.875" style="95"/>
    <col min="15874" max="15874" width="9.25" style="95" bestFit="1" customWidth="1"/>
    <col min="15875" max="15876" width="10.25" style="95" bestFit="1" customWidth="1"/>
    <col min="15877" max="15877" width="7.875" style="95"/>
    <col min="15878" max="15878" width="9.25" style="95" bestFit="1" customWidth="1"/>
    <col min="15879" max="16129" width="7.875" style="95"/>
    <col min="16130" max="16130" width="9.25" style="95" bestFit="1" customWidth="1"/>
    <col min="16131" max="16132" width="10.25" style="95" bestFit="1" customWidth="1"/>
    <col min="16133" max="16133" width="7.875" style="95"/>
    <col min="16134" max="16134" width="9.25" style="95" bestFit="1" customWidth="1"/>
    <col min="16135" max="16384" width="7.875" style="95"/>
  </cols>
  <sheetData>
    <row r="1" spans="1:6" ht="21">
      <c r="A1" s="201" t="s">
        <v>190</v>
      </c>
      <c r="B1" s="201"/>
      <c r="C1" s="201"/>
      <c r="D1" s="201"/>
      <c r="E1" s="201"/>
      <c r="F1" s="201"/>
    </row>
    <row r="2" spans="1:6">
      <c r="A2" s="202" t="s">
        <v>220</v>
      </c>
      <c r="B2" s="202"/>
      <c r="C2" s="202"/>
      <c r="D2" s="202"/>
      <c r="E2" s="202"/>
      <c r="F2" s="202"/>
    </row>
    <row r="3" spans="1:6" ht="17.25" thickBot="1"/>
    <row r="4" spans="1:6" ht="18" thickTop="1" thickBot="1">
      <c r="A4" s="100"/>
      <c r="B4" s="105" t="s">
        <v>166</v>
      </c>
      <c r="C4" s="105" t="s">
        <v>167</v>
      </c>
      <c r="D4" s="105" t="s">
        <v>168</v>
      </c>
      <c r="E4" s="105" t="s">
        <v>169</v>
      </c>
      <c r="F4" s="106" t="s">
        <v>170</v>
      </c>
    </row>
    <row r="5" spans="1:6" ht="18" thickTop="1" thickBot="1">
      <c r="A5" s="99" t="s">
        <v>221</v>
      </c>
      <c r="B5" s="101" t="s">
        <v>171</v>
      </c>
      <c r="C5" s="101" t="s">
        <v>172</v>
      </c>
      <c r="D5" s="101" t="s">
        <v>173</v>
      </c>
      <c r="E5" s="101" t="s">
        <v>174</v>
      </c>
      <c r="F5" s="102" t="s">
        <v>175</v>
      </c>
    </row>
    <row r="6" spans="1:6" ht="18" thickTop="1" thickBot="1">
      <c r="A6" s="99" t="s">
        <v>222</v>
      </c>
      <c r="B6" s="101" t="s">
        <v>174</v>
      </c>
      <c r="C6" s="101" t="s">
        <v>177</v>
      </c>
      <c r="D6" s="101" t="s">
        <v>173</v>
      </c>
      <c r="E6" s="101" t="s">
        <v>174</v>
      </c>
      <c r="F6" s="102" t="s">
        <v>178</v>
      </c>
    </row>
    <row r="7" spans="1:6" ht="18" thickTop="1" thickBot="1">
      <c r="A7" s="99" t="s">
        <v>223</v>
      </c>
      <c r="B7" s="101" t="s">
        <v>174</v>
      </c>
      <c r="C7" s="101" t="s">
        <v>179</v>
      </c>
      <c r="D7" s="101" t="s">
        <v>173</v>
      </c>
      <c r="E7" s="101" t="s">
        <v>180</v>
      </c>
      <c r="F7" s="102" t="s">
        <v>181</v>
      </c>
    </row>
    <row r="8" spans="1:6" ht="18" thickTop="1" thickBot="1">
      <c r="A8" s="99" t="s">
        <v>224</v>
      </c>
      <c r="B8" s="101" t="s">
        <v>180</v>
      </c>
      <c r="C8" s="101" t="s">
        <v>179</v>
      </c>
      <c r="D8" s="101" t="s">
        <v>173</v>
      </c>
      <c r="E8" s="101" t="s">
        <v>180</v>
      </c>
      <c r="F8" s="102" t="s">
        <v>182</v>
      </c>
    </row>
    <row r="9" spans="1:6" ht="18" thickTop="1" thickBot="1">
      <c r="A9" s="99" t="s">
        <v>225</v>
      </c>
      <c r="B9" s="101" t="s">
        <v>172</v>
      </c>
      <c r="C9" s="101" t="s">
        <v>183</v>
      </c>
      <c r="D9" s="101" t="s">
        <v>184</v>
      </c>
      <c r="E9" s="101" t="s">
        <v>185</v>
      </c>
      <c r="F9" s="102" t="s">
        <v>182</v>
      </c>
    </row>
    <row r="10" spans="1:6" ht="18" thickTop="1" thickBot="1">
      <c r="A10" s="99" t="s">
        <v>226</v>
      </c>
      <c r="B10" s="101" t="s">
        <v>186</v>
      </c>
      <c r="C10" s="101" t="s">
        <v>183</v>
      </c>
      <c r="D10" s="101" t="s">
        <v>184</v>
      </c>
      <c r="E10" s="101" t="s">
        <v>185</v>
      </c>
      <c r="F10" s="102" t="s">
        <v>184</v>
      </c>
    </row>
    <row r="11" spans="1:6" ht="18" thickTop="1" thickBot="1">
      <c r="A11" s="99" t="s">
        <v>227</v>
      </c>
      <c r="B11" s="103" t="s">
        <v>186</v>
      </c>
      <c r="C11" s="103" t="s">
        <v>187</v>
      </c>
      <c r="D11" s="103" t="s">
        <v>188</v>
      </c>
      <c r="E11" s="103" t="s">
        <v>189</v>
      </c>
      <c r="F11" s="104" t="s">
        <v>184</v>
      </c>
    </row>
    <row r="12" spans="1:6" ht="18" thickTop="1" thickBot="1"/>
    <row r="13" spans="1:6" ht="18" thickTop="1" thickBot="1">
      <c r="C13" s="107" t="s">
        <v>228</v>
      </c>
      <c r="D13" s="96" t="s">
        <v>169</v>
      </c>
    </row>
    <row r="14" spans="1:6" ht="18" thickTop="1" thickBot="1">
      <c r="C14" s="107" t="s">
        <v>229</v>
      </c>
      <c r="D14" s="109" t="s">
        <v>263</v>
      </c>
    </row>
    <row r="15" spans="1:6" ht="18" thickTop="1" thickBot="1">
      <c r="C15" s="108" t="s">
        <v>230</v>
      </c>
      <c r="D15" s="110" t="str">
        <f>INDEX($A$4:$F$11, MATCH(D14,$A$4:$A$11,), MATCH(D13,$A$4:$F$4,))</f>
        <v>物理</v>
      </c>
    </row>
  </sheetData>
  <mergeCells count="2">
    <mergeCell ref="A1:F1"/>
    <mergeCell ref="A2:F2"/>
  </mergeCells>
  <phoneticPr fontId="2" type="noConversion"/>
  <conditionalFormatting sqref="B5:F11">
    <cfRule type="expression" dxfId="0" priority="1">
      <formula>AND(B$4=$D$13,$A5=$D$14)</formula>
    </cfRule>
  </conditionalFormatting>
  <dataValidations count="2">
    <dataValidation type="list" allowBlank="1" showInputMessage="1" showErrorMessage="1" sqref="D14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D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D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D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D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D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D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D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D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D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D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D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D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D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D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D65550 WVL14 WLP14 WBT14 VRX14 VIB14 UYF14 UOJ14 UEN14 TUR14 TKV14 TAZ14 SRD14 SHH14 RXL14 RNP14 RDT14 QTX14 QKB14 QAF14 PQJ14 PGN14 OWR14 OMV14 OCZ14 NTD14 NJH14 MZL14 MPP14 MFT14 LVX14 LMB14 LCF14 KSJ14 KIN14 JYR14 JOV14 JEZ14 IVD14 ILH14 IBL14 HRP14 HHT14 GXX14 GOB14 GEF14 FUJ14 FKN14 FAR14 EQV14 EGZ14 DXD14 DNH14 DDL14 CTP14 CJT14 BZX14 BQB14 BGF14 AWJ14 AMN14 ACR14 SV14 IZ14" xr:uid="{00000000-0002-0000-0600-000000000000}">
      <formula1>$A$5:$A$11</formula1>
    </dataValidation>
    <dataValidation type="list" allowBlank="1" showInputMessage="1" showErrorMessage="1" sqref="D13 WVL983053 WLP983053 WBT983053 VRX983053 VIB983053 UYF983053 UOJ983053 UEN983053 TUR983053 TKV983053 TAZ983053 SRD983053 SHH983053 RXL983053 RNP983053 RDT983053 QTX983053 QKB983053 QAF983053 PQJ983053 PGN983053 OWR983053 OMV983053 OCZ983053 NTD983053 NJH983053 MZL983053 MPP983053 MFT983053 LVX983053 LMB983053 LCF983053 KSJ983053 KIN983053 JYR983053 JOV983053 JEZ983053 IVD983053 ILH983053 IBL983053 HRP983053 HHT983053 GXX983053 GOB983053 GEF983053 FUJ983053 FKN983053 FAR983053 EQV983053 EGZ983053 DXD983053 DNH983053 DDL983053 CTP983053 CJT983053 BZX983053 BQB983053 BGF983053 AWJ983053 AMN983053 ACR983053 SV983053 IZ983053 D983053 WVL917517 WLP917517 WBT917517 VRX917517 VIB917517 UYF917517 UOJ917517 UEN917517 TUR917517 TKV917517 TAZ917517 SRD917517 SHH917517 RXL917517 RNP917517 RDT917517 QTX917517 QKB917517 QAF917517 PQJ917517 PGN917517 OWR917517 OMV917517 OCZ917517 NTD917517 NJH917517 MZL917517 MPP917517 MFT917517 LVX917517 LMB917517 LCF917517 KSJ917517 KIN917517 JYR917517 JOV917517 JEZ917517 IVD917517 ILH917517 IBL917517 HRP917517 HHT917517 GXX917517 GOB917517 GEF917517 FUJ917517 FKN917517 FAR917517 EQV917517 EGZ917517 DXD917517 DNH917517 DDL917517 CTP917517 CJT917517 BZX917517 BQB917517 BGF917517 AWJ917517 AMN917517 ACR917517 SV917517 IZ917517 D917517 WVL851981 WLP851981 WBT851981 VRX851981 VIB851981 UYF851981 UOJ851981 UEN851981 TUR851981 TKV851981 TAZ851981 SRD851981 SHH851981 RXL851981 RNP851981 RDT851981 QTX851981 QKB851981 QAF851981 PQJ851981 PGN851981 OWR851981 OMV851981 OCZ851981 NTD851981 NJH851981 MZL851981 MPP851981 MFT851981 LVX851981 LMB851981 LCF851981 KSJ851981 KIN851981 JYR851981 JOV851981 JEZ851981 IVD851981 ILH851981 IBL851981 HRP851981 HHT851981 GXX851981 GOB851981 GEF851981 FUJ851981 FKN851981 FAR851981 EQV851981 EGZ851981 DXD851981 DNH851981 DDL851981 CTP851981 CJT851981 BZX851981 BQB851981 BGF851981 AWJ851981 AMN851981 ACR851981 SV851981 IZ851981 D851981 WVL786445 WLP786445 WBT786445 VRX786445 VIB786445 UYF786445 UOJ786445 UEN786445 TUR786445 TKV786445 TAZ786445 SRD786445 SHH786445 RXL786445 RNP786445 RDT786445 QTX786445 QKB786445 QAF786445 PQJ786445 PGN786445 OWR786445 OMV786445 OCZ786445 NTD786445 NJH786445 MZL786445 MPP786445 MFT786445 LVX786445 LMB786445 LCF786445 KSJ786445 KIN786445 JYR786445 JOV786445 JEZ786445 IVD786445 ILH786445 IBL786445 HRP786445 HHT786445 GXX786445 GOB786445 GEF786445 FUJ786445 FKN786445 FAR786445 EQV786445 EGZ786445 DXD786445 DNH786445 DDL786445 CTP786445 CJT786445 BZX786445 BQB786445 BGF786445 AWJ786445 AMN786445 ACR786445 SV786445 IZ786445 D786445 WVL720909 WLP720909 WBT720909 VRX720909 VIB720909 UYF720909 UOJ720909 UEN720909 TUR720909 TKV720909 TAZ720909 SRD720909 SHH720909 RXL720909 RNP720909 RDT720909 QTX720909 QKB720909 QAF720909 PQJ720909 PGN720909 OWR720909 OMV720909 OCZ720909 NTD720909 NJH720909 MZL720909 MPP720909 MFT720909 LVX720909 LMB720909 LCF720909 KSJ720909 KIN720909 JYR720909 JOV720909 JEZ720909 IVD720909 ILH720909 IBL720909 HRP720909 HHT720909 GXX720909 GOB720909 GEF720909 FUJ720909 FKN720909 FAR720909 EQV720909 EGZ720909 DXD720909 DNH720909 DDL720909 CTP720909 CJT720909 BZX720909 BQB720909 BGF720909 AWJ720909 AMN720909 ACR720909 SV720909 IZ720909 D720909 WVL655373 WLP655373 WBT655373 VRX655373 VIB655373 UYF655373 UOJ655373 UEN655373 TUR655373 TKV655373 TAZ655373 SRD655373 SHH655373 RXL655373 RNP655373 RDT655373 QTX655373 QKB655373 QAF655373 PQJ655373 PGN655373 OWR655373 OMV655373 OCZ655373 NTD655373 NJH655373 MZL655373 MPP655373 MFT655373 LVX655373 LMB655373 LCF655373 KSJ655373 KIN655373 JYR655373 JOV655373 JEZ655373 IVD655373 ILH655373 IBL655373 HRP655373 HHT655373 GXX655373 GOB655373 GEF655373 FUJ655373 FKN655373 FAR655373 EQV655373 EGZ655373 DXD655373 DNH655373 DDL655373 CTP655373 CJT655373 BZX655373 BQB655373 BGF655373 AWJ655373 AMN655373 ACR655373 SV655373 IZ655373 D655373 WVL589837 WLP589837 WBT589837 VRX589837 VIB589837 UYF589837 UOJ589837 UEN589837 TUR589837 TKV589837 TAZ589837 SRD589837 SHH589837 RXL589837 RNP589837 RDT589837 QTX589837 QKB589837 QAF589837 PQJ589837 PGN589837 OWR589837 OMV589837 OCZ589837 NTD589837 NJH589837 MZL589837 MPP589837 MFT589837 LVX589837 LMB589837 LCF589837 KSJ589837 KIN589837 JYR589837 JOV589837 JEZ589837 IVD589837 ILH589837 IBL589837 HRP589837 HHT589837 GXX589837 GOB589837 GEF589837 FUJ589837 FKN589837 FAR589837 EQV589837 EGZ589837 DXD589837 DNH589837 DDL589837 CTP589837 CJT589837 BZX589837 BQB589837 BGF589837 AWJ589837 AMN589837 ACR589837 SV589837 IZ589837 D589837 WVL524301 WLP524301 WBT524301 VRX524301 VIB524301 UYF524301 UOJ524301 UEN524301 TUR524301 TKV524301 TAZ524301 SRD524301 SHH524301 RXL524301 RNP524301 RDT524301 QTX524301 QKB524301 QAF524301 PQJ524301 PGN524301 OWR524301 OMV524301 OCZ524301 NTD524301 NJH524301 MZL524301 MPP524301 MFT524301 LVX524301 LMB524301 LCF524301 KSJ524301 KIN524301 JYR524301 JOV524301 JEZ524301 IVD524301 ILH524301 IBL524301 HRP524301 HHT524301 GXX524301 GOB524301 GEF524301 FUJ524301 FKN524301 FAR524301 EQV524301 EGZ524301 DXD524301 DNH524301 DDL524301 CTP524301 CJT524301 BZX524301 BQB524301 BGF524301 AWJ524301 AMN524301 ACR524301 SV524301 IZ524301 D524301 WVL458765 WLP458765 WBT458765 VRX458765 VIB458765 UYF458765 UOJ458765 UEN458765 TUR458765 TKV458765 TAZ458765 SRD458765 SHH458765 RXL458765 RNP458765 RDT458765 QTX458765 QKB458765 QAF458765 PQJ458765 PGN458765 OWR458765 OMV458765 OCZ458765 NTD458765 NJH458765 MZL458765 MPP458765 MFT458765 LVX458765 LMB458765 LCF458765 KSJ458765 KIN458765 JYR458765 JOV458765 JEZ458765 IVD458765 ILH458765 IBL458765 HRP458765 HHT458765 GXX458765 GOB458765 GEF458765 FUJ458765 FKN458765 FAR458765 EQV458765 EGZ458765 DXD458765 DNH458765 DDL458765 CTP458765 CJT458765 BZX458765 BQB458765 BGF458765 AWJ458765 AMN458765 ACR458765 SV458765 IZ458765 D458765 WVL393229 WLP393229 WBT393229 VRX393229 VIB393229 UYF393229 UOJ393229 UEN393229 TUR393229 TKV393229 TAZ393229 SRD393229 SHH393229 RXL393229 RNP393229 RDT393229 QTX393229 QKB393229 QAF393229 PQJ393229 PGN393229 OWR393229 OMV393229 OCZ393229 NTD393229 NJH393229 MZL393229 MPP393229 MFT393229 LVX393229 LMB393229 LCF393229 KSJ393229 KIN393229 JYR393229 JOV393229 JEZ393229 IVD393229 ILH393229 IBL393229 HRP393229 HHT393229 GXX393229 GOB393229 GEF393229 FUJ393229 FKN393229 FAR393229 EQV393229 EGZ393229 DXD393229 DNH393229 DDL393229 CTP393229 CJT393229 BZX393229 BQB393229 BGF393229 AWJ393229 AMN393229 ACR393229 SV393229 IZ393229 D393229 WVL327693 WLP327693 WBT327693 VRX327693 VIB327693 UYF327693 UOJ327693 UEN327693 TUR327693 TKV327693 TAZ327693 SRD327693 SHH327693 RXL327693 RNP327693 RDT327693 QTX327693 QKB327693 QAF327693 PQJ327693 PGN327693 OWR327693 OMV327693 OCZ327693 NTD327693 NJH327693 MZL327693 MPP327693 MFT327693 LVX327693 LMB327693 LCF327693 KSJ327693 KIN327693 JYR327693 JOV327693 JEZ327693 IVD327693 ILH327693 IBL327693 HRP327693 HHT327693 GXX327693 GOB327693 GEF327693 FUJ327693 FKN327693 FAR327693 EQV327693 EGZ327693 DXD327693 DNH327693 DDL327693 CTP327693 CJT327693 BZX327693 BQB327693 BGF327693 AWJ327693 AMN327693 ACR327693 SV327693 IZ327693 D327693 WVL262157 WLP262157 WBT262157 VRX262157 VIB262157 UYF262157 UOJ262157 UEN262157 TUR262157 TKV262157 TAZ262157 SRD262157 SHH262157 RXL262157 RNP262157 RDT262157 QTX262157 QKB262157 QAF262157 PQJ262157 PGN262157 OWR262157 OMV262157 OCZ262157 NTD262157 NJH262157 MZL262157 MPP262157 MFT262157 LVX262157 LMB262157 LCF262157 KSJ262157 KIN262157 JYR262157 JOV262157 JEZ262157 IVD262157 ILH262157 IBL262157 HRP262157 HHT262157 GXX262157 GOB262157 GEF262157 FUJ262157 FKN262157 FAR262157 EQV262157 EGZ262157 DXD262157 DNH262157 DDL262157 CTP262157 CJT262157 BZX262157 BQB262157 BGF262157 AWJ262157 AMN262157 ACR262157 SV262157 IZ262157 D262157 WVL196621 WLP196621 WBT196621 VRX196621 VIB196621 UYF196621 UOJ196621 UEN196621 TUR196621 TKV196621 TAZ196621 SRD196621 SHH196621 RXL196621 RNP196621 RDT196621 QTX196621 QKB196621 QAF196621 PQJ196621 PGN196621 OWR196621 OMV196621 OCZ196621 NTD196621 NJH196621 MZL196621 MPP196621 MFT196621 LVX196621 LMB196621 LCF196621 KSJ196621 KIN196621 JYR196621 JOV196621 JEZ196621 IVD196621 ILH196621 IBL196621 HRP196621 HHT196621 GXX196621 GOB196621 GEF196621 FUJ196621 FKN196621 FAR196621 EQV196621 EGZ196621 DXD196621 DNH196621 DDL196621 CTP196621 CJT196621 BZX196621 BQB196621 BGF196621 AWJ196621 AMN196621 ACR196621 SV196621 IZ196621 D196621 WVL131085 WLP131085 WBT131085 VRX131085 VIB131085 UYF131085 UOJ131085 UEN131085 TUR131085 TKV131085 TAZ131085 SRD131085 SHH131085 RXL131085 RNP131085 RDT131085 QTX131085 QKB131085 QAF131085 PQJ131085 PGN131085 OWR131085 OMV131085 OCZ131085 NTD131085 NJH131085 MZL131085 MPP131085 MFT131085 LVX131085 LMB131085 LCF131085 KSJ131085 KIN131085 JYR131085 JOV131085 JEZ131085 IVD131085 ILH131085 IBL131085 HRP131085 HHT131085 GXX131085 GOB131085 GEF131085 FUJ131085 FKN131085 FAR131085 EQV131085 EGZ131085 DXD131085 DNH131085 DDL131085 CTP131085 CJT131085 BZX131085 BQB131085 BGF131085 AWJ131085 AMN131085 ACR131085 SV131085 IZ131085 D131085 WVL65549 WLP65549 WBT65549 VRX65549 VIB65549 UYF65549 UOJ65549 UEN65549 TUR65549 TKV65549 TAZ65549 SRD65549 SHH65549 RXL65549 RNP65549 RDT65549 QTX65549 QKB65549 QAF65549 PQJ65549 PGN65549 OWR65549 OMV65549 OCZ65549 NTD65549 NJH65549 MZL65549 MPP65549 MFT65549 LVX65549 LMB65549 LCF65549 KSJ65549 KIN65549 JYR65549 JOV65549 JEZ65549 IVD65549 ILH65549 IBL65549 HRP65549 HHT65549 GXX65549 GOB65549 GEF65549 FUJ65549 FKN65549 FAR65549 EQV65549 EGZ65549 DXD65549 DNH65549 DDL65549 CTP65549 CJT65549 BZX65549 BQB65549 BGF65549 AWJ65549 AMN65549 ACR65549 SV65549 IZ65549 D65549 WVL13 WLP13 WBT13 VRX13 VIB13 UYF13 UOJ13 UEN13 TUR13 TKV13 TAZ13 SRD13 SHH13 RXL13 RNP13 RDT13 QTX13 QKB13 QAF13 PQJ13 PGN13 OWR13 OMV13 OCZ13 NTD13 NJH13 MZL13 MPP13 MFT13 LVX13 LMB13 LCF13 KSJ13 KIN13 JYR13 JOV13 JEZ13 IVD13 ILH13 IBL13 HRP13 HHT13 GXX13 GOB13 GEF13 FUJ13 FKN13 FAR13 EQV13 EGZ13 DXD13 DNH13 DDL13 CTP13 CJT13 BZX13 BQB13 BGF13 AWJ13 AMN13 ACR13 SV13 IZ13" xr:uid="{00000000-0002-0000-0600-000001000000}">
      <formula1>$B$4:$F$4</formula1>
    </dataValidation>
  </dataValidations>
  <hyperlinks>
    <hyperlink ref="A2:F2" location="小明!A1" display="小明" xr:uid="{00000000-0004-0000-0600-000000000000}"/>
  </hyperlinks>
  <pageMargins left="0.75" right="0.75" top="1" bottom="1" header="0.5" footer="0.5"/>
  <pageSetup paperSize="9"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2:D48"/>
  <sheetViews>
    <sheetView showGridLines="0" tabSelected="1" topLeftCell="A7" workbookViewId="0"/>
  </sheetViews>
  <sheetFormatPr defaultRowHeight="16.5"/>
  <cols>
    <col min="4" max="4" width="44.125" style="98" customWidth="1"/>
  </cols>
  <sheetData>
    <row r="2" spans="4:4">
      <c r="D2" s="97" t="s">
        <v>191</v>
      </c>
    </row>
    <row r="3" spans="4:4" ht="25.5">
      <c r="D3" s="97" t="s">
        <v>192</v>
      </c>
    </row>
    <row r="5" spans="4:4">
      <c r="D5" s="97" t="s">
        <v>193</v>
      </c>
    </row>
    <row r="7" spans="4:4">
      <c r="D7" s="97" t="s">
        <v>194</v>
      </c>
    </row>
    <row r="9" spans="4:4">
      <c r="D9" s="97" t="s">
        <v>195</v>
      </c>
    </row>
    <row r="11" spans="4:4">
      <c r="D11" s="97" t="s">
        <v>196</v>
      </c>
    </row>
    <row r="13" spans="4:4">
      <c r="D13" s="97" t="s">
        <v>197</v>
      </c>
    </row>
    <row r="15" spans="4:4">
      <c r="D15" s="97" t="s">
        <v>198</v>
      </c>
    </row>
    <row r="17" spans="4:4">
      <c r="D17" s="97" t="s">
        <v>199</v>
      </c>
    </row>
    <row r="19" spans="4:4">
      <c r="D19" s="97" t="s">
        <v>200</v>
      </c>
    </row>
    <row r="20" spans="4:4">
      <c r="D20" s="97" t="s">
        <v>201</v>
      </c>
    </row>
    <row r="22" spans="4:4">
      <c r="D22" s="97" t="s">
        <v>202</v>
      </c>
    </row>
    <row r="23" spans="4:4">
      <c r="D23" s="97" t="s">
        <v>203</v>
      </c>
    </row>
    <row r="24" spans="4:4">
      <c r="D24" s="97" t="s">
        <v>204</v>
      </c>
    </row>
    <row r="25" spans="4:4">
      <c r="D25" s="97" t="s">
        <v>205</v>
      </c>
    </row>
    <row r="27" spans="4:4">
      <c r="D27" s="97" t="s">
        <v>206</v>
      </c>
    </row>
    <row r="28" spans="4:4" ht="25.5">
      <c r="D28" s="97" t="s">
        <v>207</v>
      </c>
    </row>
    <row r="29" spans="4:4">
      <c r="D29" s="97" t="s">
        <v>196</v>
      </c>
    </row>
    <row r="31" spans="4:4">
      <c r="D31" s="97" t="s">
        <v>208</v>
      </c>
    </row>
    <row r="32" spans="4:4">
      <c r="D32" s="97" t="s">
        <v>209</v>
      </c>
    </row>
    <row r="33" spans="4:4">
      <c r="D33" s="97" t="s">
        <v>210</v>
      </c>
    </row>
    <row r="34" spans="4:4">
      <c r="D34" s="97" t="s">
        <v>211</v>
      </c>
    </row>
    <row r="35" spans="4:4">
      <c r="D35" s="97" t="s">
        <v>212</v>
      </c>
    </row>
    <row r="36" spans="4:4">
      <c r="D36" s="97" t="s">
        <v>213</v>
      </c>
    </row>
    <row r="37" spans="4:4">
      <c r="D37" s="97" t="s">
        <v>214</v>
      </c>
    </row>
    <row r="39" spans="4:4">
      <c r="D39" s="97" t="s">
        <v>196</v>
      </c>
    </row>
    <row r="41" spans="4:4">
      <c r="D41" s="97" t="s">
        <v>215</v>
      </c>
    </row>
    <row r="42" spans="4:4">
      <c r="D42" s="97" t="s">
        <v>216</v>
      </c>
    </row>
    <row r="43" spans="4:4" ht="25.5">
      <c r="D43" s="97" t="s">
        <v>217</v>
      </c>
    </row>
    <row r="45" spans="4:4">
      <c r="D45" s="97" t="s">
        <v>218</v>
      </c>
    </row>
    <row r="46" spans="4:4">
      <c r="D46" s="97" t="s">
        <v>219</v>
      </c>
    </row>
    <row r="48" spans="4:4">
      <c r="D48" s="97" t="s">
        <v>196</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具名範圍</vt:lpstr>
      </vt:variant>
      <vt:variant>
        <vt:i4>19</vt:i4>
      </vt:variant>
    </vt:vector>
  </HeadingPairs>
  <TitlesOfParts>
    <vt:vector size="39" baseType="lpstr">
      <vt:lpstr>VLOOKUP</vt:lpstr>
      <vt:lpstr>特休對照表</vt:lpstr>
      <vt:lpstr>CHOOSE(1)</vt:lpstr>
      <vt:lpstr>CHOOSE(2)</vt:lpstr>
      <vt:lpstr>應用範例1</vt:lpstr>
      <vt:lpstr>應用範例2</vt:lpstr>
      <vt:lpstr>工作表13</vt:lpstr>
      <vt:lpstr>INDEX</vt:lpstr>
      <vt:lpstr>INDEX (2)</vt:lpstr>
      <vt:lpstr>INDEX (3)</vt:lpstr>
      <vt:lpstr>INDEX(4)</vt:lpstr>
      <vt:lpstr>MATCH</vt:lpstr>
      <vt:lpstr>MATCH (2)</vt:lpstr>
      <vt:lpstr>MATCH (3)</vt:lpstr>
      <vt:lpstr>累進稅率</vt:lpstr>
      <vt:lpstr>業績</vt:lpstr>
      <vt:lpstr>薪資系統</vt:lpstr>
      <vt:lpstr>薪資結構</vt:lpstr>
      <vt:lpstr>課表查詢</vt:lpstr>
      <vt:lpstr>小明</vt:lpstr>
      <vt:lpstr>一月</vt:lpstr>
      <vt:lpstr>二月</vt:lpstr>
      <vt:lpstr>三月</vt:lpstr>
      <vt:lpstr>工號</vt:lpstr>
      <vt:lpstr>五月</vt:lpstr>
      <vt:lpstr>六月</vt:lpstr>
      <vt:lpstr>四月</vt:lpstr>
      <vt:lpstr>工作表13!姓名</vt:lpstr>
      <vt:lpstr>姓名</vt:lpstr>
      <vt:lpstr>第一季</vt:lpstr>
      <vt:lpstr>第二季</vt:lpstr>
      <vt:lpstr>第三季</vt:lpstr>
      <vt:lpstr>第四季</vt:lpstr>
      <vt:lpstr>部門</vt:lpstr>
      <vt:lpstr>學歷</vt:lpstr>
      <vt:lpstr>薪資對照表</vt:lpstr>
      <vt:lpstr>職級</vt:lpstr>
      <vt:lpstr>職等</vt:lpstr>
      <vt:lpstr>職稱</vt:lpstr>
    </vt:vector>
  </TitlesOfParts>
  <Company>TamShui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蘇孟緯</dc:creator>
  <cp:lastModifiedBy>蘇孟緯</cp:lastModifiedBy>
  <dcterms:created xsi:type="dcterms:W3CDTF">2002-10-03T23:01:31Z</dcterms:created>
  <dcterms:modified xsi:type="dcterms:W3CDTF">2021-07-19T12:44:44Z</dcterms:modified>
</cp:coreProperties>
</file>