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trlProps/ctrlProp2.xml" ContentType="application/vnd.ms-excel.controlproperties+xml"/>
  <Override PartName="/xl/comments1.xml" ContentType="application/vnd.openxmlformats-officedocument.spreadsheetml.comment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trlProps/ctrlProp3.xml" ContentType="application/vnd.ms-excel.controlproperties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trlProps/ctrlProp4.xml" ContentType="application/vnd.ms-excel.controlproperties+xml"/>
  <Override PartName="/xl/drawings/drawing10.xml" ContentType="application/vnd.openxmlformats-officedocument.drawing+xml"/>
  <Override PartName="/xl/ctrlProps/ctrlProp5.xml" ContentType="application/vnd.ms-excel.controlproperties+xml"/>
  <Override PartName="/xl/ctrlProps/ctrlProp6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/>
  <mc:AlternateContent xmlns:mc="http://schemas.openxmlformats.org/markup-compatibility/2006">
    <mc:Choice Requires="x15">
      <x15ac:absPath xmlns:x15ac="http://schemas.microsoft.com/office/spreadsheetml/2010/11/ac" url="D:\_110\中興大學\全方位\Final\函數的應用\Samples\"/>
    </mc:Choice>
  </mc:AlternateContent>
  <xr:revisionPtr revIDLastSave="0" documentId="13_ncr:1_{2D12F67A-A4E5-42E8-B17C-2830AD5B1D1E}" xr6:coauthVersionLast="47" xr6:coauthVersionMax="47" xr10:uidLastSave="{00000000-0000-0000-0000-000000000000}"/>
  <bookViews>
    <workbookView xWindow="-120" yWindow="-120" windowWidth="20640" windowHeight="11160" tabRatio="899" activeTab="17" xr2:uid="{00000000-000D-0000-FFFF-FFFF00000000}"/>
  </bookViews>
  <sheets>
    <sheet name="PV" sheetId="34" r:id="rId1"/>
    <sheet name="RATE" sheetId="36" r:id="rId2"/>
    <sheet name="NPER" sheetId="37" r:id="rId3"/>
    <sheet name="DDB" sheetId="40" r:id="rId4"/>
    <sheet name="PV-1" sheetId="14" r:id="rId5"/>
    <sheet name="PV-2" sheetId="26" r:id="rId6"/>
    <sheet name="PV-3" sheetId="25" r:id="rId7"/>
    <sheet name="PV-4" sheetId="27" r:id="rId8"/>
    <sheet name="FV" sheetId="13" r:id="rId9"/>
    <sheet name="_PMT" sheetId="21" r:id="rId10"/>
    <sheet name="RATE-1" sheetId="16" r:id="rId11"/>
    <sheet name="RATE-2" sheetId="29" r:id="rId12"/>
    <sheet name="RATE-3" sheetId="30" r:id="rId13"/>
    <sheet name="NPER-1" sheetId="17" r:id="rId14"/>
    <sheet name="NPER-2" sheetId="31" r:id="rId15"/>
    <sheet name="IRR" sheetId="19" r:id="rId16"/>
    <sheet name="NPV" sheetId="18" r:id="rId17"/>
    <sheet name="折舊" sheetId="32" r:id="rId18"/>
    <sheet name="VDB" sheetId="20" r:id="rId19"/>
    <sheet name="綜合所得稅計算" sheetId="3" r:id="rId20"/>
    <sheet name="貸款試算" sheetId="22" r:id="rId21"/>
    <sheet name="分期明細" sheetId="23" r:id="rId22"/>
  </sheets>
  <definedNames>
    <definedName name="wrn.1996._.報表." localSheetId="9" hidden="1">{"全年度資料",#N/A,FALSE,"季報表"}</definedName>
    <definedName name="wrn.1996._.報表." hidden="1">{"全年度資料",#N/A,FALSE,"季報表"}</definedName>
  </definedNames>
  <calcPr calcId="191029"/>
  <customWorkbookViews>
    <customWorkbookView name="下半年度 (函數範例)" guid="{21EAE14A-D556-11D1-8D3A-0080C82D0279}" includeHiddenRowCol="0" maximized="1" windowWidth="576" windowHeight="247" activeSheetId="1"/>
    <customWorkbookView name="上半年度 (函數範例)" guid="{21EAE14B-D556-11D1-8D3A-0080C82D0279}" includeHiddenRowCol="0" maximized="1" windowWidth="576" windowHeight="247" activeSheetId="1"/>
    <customWorkbookView name="全年度資料 (函數範例)" guid="{21EAE14C-D556-11D1-8D3A-0080C82D0279}" includeHiddenRowCol="0" maximized="1" windowWidth="576" windowHeight="247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2" i="27" l="1"/>
  <c r="B14" i="27" s="1"/>
  <c r="B21" i="40"/>
  <c r="F17" i="40"/>
  <c r="E17" i="40"/>
  <c r="D17" i="40"/>
  <c r="C17" i="40"/>
  <c r="B17" i="40"/>
  <c r="F16" i="40"/>
  <c r="E16" i="40"/>
  <c r="D16" i="40"/>
  <c r="C16" i="40"/>
  <c r="B16" i="40"/>
  <c r="F15" i="40"/>
  <c r="E15" i="40"/>
  <c r="D15" i="40"/>
  <c r="C15" i="40"/>
  <c r="B15" i="40"/>
  <c r="F14" i="40"/>
  <c r="E14" i="40"/>
  <c r="D14" i="40"/>
  <c r="C14" i="40"/>
  <c r="B14" i="40"/>
  <c r="F13" i="40"/>
  <c r="E13" i="40"/>
  <c r="D13" i="40"/>
  <c r="C13" i="40"/>
  <c r="B13" i="40"/>
  <c r="F12" i="40"/>
  <c r="E12" i="40"/>
  <c r="D12" i="40"/>
  <c r="C12" i="40"/>
  <c r="B12" i="40"/>
  <c r="F11" i="40"/>
  <c r="E11" i="40"/>
  <c r="D11" i="40"/>
  <c r="C11" i="40"/>
  <c r="B11" i="40"/>
  <c r="F10" i="40"/>
  <c r="E10" i="40"/>
  <c r="D10" i="40"/>
  <c r="C10" i="40"/>
  <c r="B10" i="40"/>
  <c r="F9" i="40"/>
  <c r="E9" i="40"/>
  <c r="D9" i="40"/>
  <c r="C9" i="40"/>
  <c r="B9" i="40"/>
  <c r="F8" i="40"/>
  <c r="E8" i="40"/>
  <c r="D8" i="40"/>
  <c r="C8" i="40"/>
  <c r="B8" i="40"/>
  <c r="B13" i="37"/>
  <c r="B5" i="37"/>
  <c r="B17" i="36"/>
  <c r="B10" i="36"/>
  <c r="B4" i="36"/>
  <c r="B2" i="34"/>
  <c r="B5" i="34" s="1"/>
  <c r="B8" i="18"/>
  <c r="B17" i="16"/>
  <c r="B4" i="16"/>
  <c r="E3" i="26"/>
  <c r="E8" i="18"/>
  <c r="B21" i="20"/>
  <c r="C8" i="20"/>
  <c r="C4" i="32"/>
  <c r="D4" i="32"/>
  <c r="E4" i="32"/>
  <c r="F4" i="32"/>
  <c r="C7" i="32"/>
  <c r="D7" i="32"/>
  <c r="E7" i="32"/>
  <c r="F7" i="32"/>
  <c r="B7" i="32"/>
  <c r="G7" i="32"/>
  <c r="C6" i="32"/>
  <c r="D6" i="32"/>
  <c r="E6" i="32"/>
  <c r="F6" i="32"/>
  <c r="G6" i="32" s="1"/>
  <c r="C5" i="32"/>
  <c r="D5" i="32"/>
  <c r="E5" i="32"/>
  <c r="F5" i="32"/>
  <c r="B5" i="32"/>
  <c r="B6" i="32"/>
  <c r="B4" i="32"/>
  <c r="C4" i="23"/>
  <c r="C9" i="23" s="1"/>
  <c r="F12" i="23" s="1"/>
  <c r="C5" i="23"/>
  <c r="C6" i="23" s="1"/>
  <c r="C8" i="23"/>
  <c r="D25" i="23"/>
  <c r="C25" i="23" s="1"/>
  <c r="E25" i="23"/>
  <c r="F25" i="23"/>
  <c r="D26" i="23"/>
  <c r="C26" i="23" s="1"/>
  <c r="E26" i="23"/>
  <c r="F26" i="23"/>
  <c r="D27" i="23"/>
  <c r="C27" i="23" s="1"/>
  <c r="E27" i="23"/>
  <c r="F27" i="23"/>
  <c r="D28" i="23"/>
  <c r="C28" i="23" s="1"/>
  <c r="E28" i="23"/>
  <c r="F28" i="23"/>
  <c r="D29" i="23"/>
  <c r="C29" i="23" s="1"/>
  <c r="E29" i="23"/>
  <c r="F29" i="23"/>
  <c r="D30" i="23"/>
  <c r="C30" i="23" s="1"/>
  <c r="E30" i="23"/>
  <c r="F30" i="23"/>
  <c r="D31" i="23"/>
  <c r="C31" i="23" s="1"/>
  <c r="E31" i="23"/>
  <c r="F31" i="23"/>
  <c r="D32" i="23"/>
  <c r="C32" i="23" s="1"/>
  <c r="E32" i="23"/>
  <c r="F32" i="23"/>
  <c r="D33" i="23"/>
  <c r="C33" i="23" s="1"/>
  <c r="E33" i="23"/>
  <c r="F33" i="23"/>
  <c r="D34" i="23"/>
  <c r="C34" i="23" s="1"/>
  <c r="E34" i="23"/>
  <c r="F34" i="23"/>
  <c r="D35" i="23"/>
  <c r="C35" i="23" s="1"/>
  <c r="E35" i="23"/>
  <c r="F35" i="23"/>
  <c r="D36" i="23"/>
  <c r="C36" i="23" s="1"/>
  <c r="E36" i="23"/>
  <c r="F36" i="23"/>
  <c r="D37" i="23"/>
  <c r="C37" i="23" s="1"/>
  <c r="E37" i="23"/>
  <c r="F37" i="23"/>
  <c r="D38" i="23"/>
  <c r="C38" i="23" s="1"/>
  <c r="E38" i="23"/>
  <c r="F38" i="23"/>
  <c r="D39" i="23"/>
  <c r="C39" i="23" s="1"/>
  <c r="E39" i="23"/>
  <c r="F39" i="23"/>
  <c r="D40" i="23"/>
  <c r="C40" i="23" s="1"/>
  <c r="E40" i="23"/>
  <c r="F40" i="23"/>
  <c r="D41" i="23"/>
  <c r="C41" i="23" s="1"/>
  <c r="E41" i="23"/>
  <c r="F41" i="23"/>
  <c r="D42" i="23"/>
  <c r="C42" i="23" s="1"/>
  <c r="E42" i="23"/>
  <c r="F42" i="23"/>
  <c r="D43" i="23"/>
  <c r="C43" i="23" s="1"/>
  <c r="E43" i="23"/>
  <c r="F43" i="23"/>
  <c r="D44" i="23"/>
  <c r="C44" i="23" s="1"/>
  <c r="E44" i="23"/>
  <c r="F44" i="23"/>
  <c r="D45" i="23"/>
  <c r="C45" i="23" s="1"/>
  <c r="E45" i="23"/>
  <c r="F45" i="23"/>
  <c r="D46" i="23"/>
  <c r="C46" i="23" s="1"/>
  <c r="E46" i="23"/>
  <c r="F46" i="23"/>
  <c r="D47" i="23"/>
  <c r="C47" i="23" s="1"/>
  <c r="E47" i="23"/>
  <c r="F47" i="23"/>
  <c r="D48" i="23"/>
  <c r="C48" i="23" s="1"/>
  <c r="E48" i="23"/>
  <c r="F48" i="23"/>
  <c r="D49" i="23"/>
  <c r="C49" i="23" s="1"/>
  <c r="E49" i="23"/>
  <c r="F49" i="23"/>
  <c r="D50" i="23"/>
  <c r="C50" i="23" s="1"/>
  <c r="E50" i="23"/>
  <c r="F50" i="23"/>
  <c r="D51" i="23"/>
  <c r="C51" i="23" s="1"/>
  <c r="E51" i="23"/>
  <c r="F51" i="23"/>
  <c r="D52" i="23"/>
  <c r="C52" i="23" s="1"/>
  <c r="E52" i="23"/>
  <c r="F52" i="23"/>
  <c r="D53" i="23"/>
  <c r="C53" i="23" s="1"/>
  <c r="E53" i="23"/>
  <c r="F53" i="23"/>
  <c r="D54" i="23"/>
  <c r="C54" i="23" s="1"/>
  <c r="E54" i="23"/>
  <c r="F54" i="23"/>
  <c r="D55" i="23"/>
  <c r="C55" i="23" s="1"/>
  <c r="E55" i="23"/>
  <c r="F55" i="23"/>
  <c r="D56" i="23"/>
  <c r="C56" i="23" s="1"/>
  <c r="E56" i="23"/>
  <c r="F56" i="23"/>
  <c r="D57" i="23"/>
  <c r="C57" i="23" s="1"/>
  <c r="E57" i="23"/>
  <c r="F57" i="23"/>
  <c r="D58" i="23"/>
  <c r="C58" i="23" s="1"/>
  <c r="E58" i="23"/>
  <c r="F58" i="23"/>
  <c r="D59" i="23"/>
  <c r="C59" i="23" s="1"/>
  <c r="E59" i="23"/>
  <c r="F59" i="23"/>
  <c r="D60" i="23"/>
  <c r="C60" i="23" s="1"/>
  <c r="E60" i="23"/>
  <c r="F60" i="23"/>
  <c r="H5" i="22"/>
  <c r="H6" i="22"/>
  <c r="F7" i="22" s="1"/>
  <c r="E7" i="22"/>
  <c r="B2" i="3"/>
  <c r="B3" i="3"/>
  <c r="B4" i="3"/>
  <c r="B8" i="20"/>
  <c r="D8" i="20"/>
  <c r="E8" i="20"/>
  <c r="F8" i="20"/>
  <c r="B9" i="20"/>
  <c r="C9" i="20"/>
  <c r="D9" i="20"/>
  <c r="E9" i="20"/>
  <c r="F9" i="20"/>
  <c r="B10" i="20"/>
  <c r="C10" i="20"/>
  <c r="D10" i="20"/>
  <c r="E10" i="20"/>
  <c r="F10" i="20"/>
  <c r="B11" i="20"/>
  <c r="C11" i="20"/>
  <c r="D11" i="20"/>
  <c r="E11" i="20"/>
  <c r="F11" i="20"/>
  <c r="B12" i="20"/>
  <c r="C12" i="20"/>
  <c r="D12" i="20"/>
  <c r="E12" i="20"/>
  <c r="F12" i="20"/>
  <c r="B13" i="20"/>
  <c r="C13" i="20"/>
  <c r="D13" i="20"/>
  <c r="E13" i="20"/>
  <c r="F13" i="20"/>
  <c r="B14" i="20"/>
  <c r="C14" i="20"/>
  <c r="D14" i="20"/>
  <c r="E14" i="20"/>
  <c r="F14" i="20"/>
  <c r="B15" i="20"/>
  <c r="C15" i="20"/>
  <c r="D15" i="20"/>
  <c r="E15" i="20"/>
  <c r="F15" i="20"/>
  <c r="B16" i="20"/>
  <c r="C16" i="20"/>
  <c r="D16" i="20"/>
  <c r="E16" i="20"/>
  <c r="F16" i="20"/>
  <c r="B17" i="20"/>
  <c r="C17" i="20"/>
  <c r="D17" i="20"/>
  <c r="E17" i="20"/>
  <c r="F17" i="20"/>
  <c r="C8" i="19"/>
  <c r="C9" i="19"/>
  <c r="F8" i="31"/>
  <c r="B5" i="17"/>
  <c r="B13" i="17"/>
  <c r="F7" i="30"/>
  <c r="E8" i="29"/>
  <c r="B10" i="16"/>
  <c r="B4" i="13"/>
  <c r="B13" i="13"/>
  <c r="B5" i="27"/>
  <c r="B7" i="27" s="1"/>
  <c r="C5" i="25"/>
  <c r="B2" i="14"/>
  <c r="B5" i="14" s="1"/>
  <c r="B4" i="21"/>
  <c r="B7" i="21"/>
  <c r="B8" i="21"/>
  <c r="B9" i="21" l="1"/>
  <c r="F13" i="23"/>
  <c r="F14" i="23"/>
  <c r="F15" i="23"/>
  <c r="F16" i="23"/>
  <c r="F17" i="23"/>
  <c r="F18" i="23"/>
  <c r="F19" i="23"/>
  <c r="F20" i="23"/>
  <c r="F21" i="23"/>
  <c r="F22" i="23"/>
  <c r="F23" i="23"/>
  <c r="F24" i="23"/>
  <c r="E12" i="23"/>
  <c r="F9" i="27"/>
  <c r="G5" i="32"/>
  <c r="G4" i="32"/>
  <c r="F8" i="22"/>
  <c r="F9" i="22"/>
  <c r="F10" i="22"/>
  <c r="F11" i="22"/>
  <c r="F12" i="22"/>
  <c r="F13" i="22"/>
  <c r="F14" i="22"/>
  <c r="F15" i="22"/>
  <c r="F16" i="22"/>
  <c r="F17" i="22"/>
  <c r="F18" i="22"/>
  <c r="F19" i="22"/>
  <c r="F20" i="22"/>
  <c r="F21" i="22"/>
  <c r="F22" i="22"/>
  <c r="F23" i="22"/>
  <c r="F24" i="22"/>
  <c r="F25" i="22"/>
  <c r="F26" i="22"/>
  <c r="F27" i="22"/>
  <c r="F28" i="22"/>
  <c r="F29" i="22"/>
  <c r="F30" i="22"/>
  <c r="F31" i="22"/>
  <c r="F32" i="22"/>
  <c r="F33" i="22"/>
  <c r="F34" i="22"/>
  <c r="F35" i="22"/>
  <c r="F36" i="22"/>
  <c r="F37" i="22"/>
  <c r="F38" i="22"/>
  <c r="F39" i="22"/>
  <c r="F40" i="22"/>
  <c r="F41" i="22"/>
  <c r="F42" i="22"/>
  <c r="F43" i="22"/>
  <c r="D8" i="22"/>
  <c r="C8" i="22" l="1"/>
  <c r="E8" i="22" s="1"/>
  <c r="D13" i="23"/>
  <c r="E13" i="23"/>
  <c r="C13" i="23"/>
  <c r="D14" i="23" l="1"/>
  <c r="C14" i="23" s="1"/>
  <c r="E14" i="23"/>
  <c r="D9" i="22"/>
  <c r="C9" i="22" s="1"/>
  <c r="E9" i="22" s="1"/>
  <c r="D10" i="22" l="1"/>
  <c r="C10" i="22" s="1"/>
  <c r="E10" i="22"/>
  <c r="D15" i="23"/>
  <c r="C15" i="23" s="1"/>
  <c r="E15" i="23"/>
  <c r="D16" i="23" l="1"/>
  <c r="C16" i="23" s="1"/>
  <c r="E16" i="23"/>
  <c r="D11" i="22"/>
  <c r="C11" i="22" s="1"/>
  <c r="E11" i="22" s="1"/>
  <c r="D12" i="22" l="1"/>
  <c r="C12" i="22" s="1"/>
  <c r="E12" i="22"/>
  <c r="D17" i="23"/>
  <c r="C17" i="23" s="1"/>
  <c r="E17" i="23"/>
  <c r="D18" i="23" l="1"/>
  <c r="C18" i="23" s="1"/>
  <c r="E18" i="23"/>
  <c r="D13" i="22"/>
  <c r="C13" i="22" s="1"/>
  <c r="E13" i="22" s="1"/>
  <c r="D14" i="22" l="1"/>
  <c r="C14" i="22" s="1"/>
  <c r="E14" i="22"/>
  <c r="D19" i="23"/>
  <c r="C19" i="23" s="1"/>
  <c r="E19" i="23" s="1"/>
  <c r="D20" i="23" l="1"/>
  <c r="C20" i="23" s="1"/>
  <c r="E20" i="23"/>
  <c r="D15" i="22"/>
  <c r="C15" i="22" s="1"/>
  <c r="E15" i="22" s="1"/>
  <c r="D16" i="22" l="1"/>
  <c r="C16" i="22" s="1"/>
  <c r="E16" i="22"/>
  <c r="D21" i="23"/>
  <c r="C21" i="23" s="1"/>
  <c r="E21" i="23"/>
  <c r="D22" i="23" l="1"/>
  <c r="C22" i="23" s="1"/>
  <c r="E22" i="23"/>
  <c r="D17" i="22"/>
  <c r="C17" i="22" s="1"/>
  <c r="E17" i="22" s="1"/>
  <c r="D18" i="22" l="1"/>
  <c r="C18" i="22" s="1"/>
  <c r="E18" i="22"/>
  <c r="D23" i="23"/>
  <c r="C23" i="23" s="1"/>
  <c r="E23" i="23"/>
  <c r="D24" i="23" l="1"/>
  <c r="C24" i="23" s="1"/>
  <c r="E24" i="23" s="1"/>
  <c r="D19" i="22"/>
  <c r="C19" i="22" s="1"/>
  <c r="E19" i="22" s="1"/>
  <c r="D20" i="22" l="1"/>
  <c r="C20" i="22" s="1"/>
  <c r="E20" i="22"/>
  <c r="D21" i="22" l="1"/>
  <c r="C21" i="22" s="1"/>
  <c r="E21" i="22" s="1"/>
  <c r="D22" i="22" l="1"/>
  <c r="C22" i="22" s="1"/>
  <c r="E22" i="22"/>
  <c r="D23" i="22" l="1"/>
  <c r="C23" i="22" s="1"/>
  <c r="E23" i="22" s="1"/>
  <c r="D24" i="22" l="1"/>
  <c r="C24" i="22" s="1"/>
  <c r="E24" i="22"/>
  <c r="D25" i="22" l="1"/>
  <c r="C25" i="22" s="1"/>
  <c r="E25" i="22" s="1"/>
  <c r="D26" i="22" l="1"/>
  <c r="C26" i="22" s="1"/>
  <c r="E26" i="22"/>
  <c r="D27" i="22" l="1"/>
  <c r="C27" i="22" s="1"/>
  <c r="E27" i="22" s="1"/>
  <c r="D28" i="22" l="1"/>
  <c r="C28" i="22" s="1"/>
  <c r="E28" i="22"/>
  <c r="D29" i="22" l="1"/>
  <c r="C29" i="22" s="1"/>
  <c r="E29" i="22" s="1"/>
  <c r="D30" i="22" l="1"/>
  <c r="C30" i="22" s="1"/>
  <c r="E30" i="22"/>
  <c r="D31" i="22" l="1"/>
  <c r="C31" i="22" s="1"/>
  <c r="E31" i="22" s="1"/>
  <c r="D32" i="22" l="1"/>
  <c r="C32" i="22" s="1"/>
  <c r="E32" i="22" s="1"/>
  <c r="D33" i="22" l="1"/>
  <c r="C33" i="22" s="1"/>
  <c r="E33" i="22" s="1"/>
  <c r="D34" i="22" l="1"/>
  <c r="C34" i="22" s="1"/>
  <c r="E34" i="22"/>
  <c r="D35" i="22" l="1"/>
  <c r="C35" i="22" s="1"/>
  <c r="E35" i="22" s="1"/>
  <c r="D36" i="22" l="1"/>
  <c r="C36" i="22" s="1"/>
  <c r="E36" i="22"/>
  <c r="D37" i="22" l="1"/>
  <c r="C37" i="22" s="1"/>
  <c r="E37" i="22" s="1"/>
  <c r="D38" i="22" l="1"/>
  <c r="C38" i="22" s="1"/>
  <c r="E38" i="22"/>
  <c r="D39" i="22" l="1"/>
  <c r="C39" i="22" s="1"/>
  <c r="E39" i="22" s="1"/>
  <c r="D40" i="22" l="1"/>
  <c r="C40" i="22" s="1"/>
  <c r="E40" i="22"/>
  <c r="D41" i="22" l="1"/>
  <c r="C41" i="22" s="1"/>
  <c r="E41" i="22" s="1"/>
  <c r="D42" i="22" l="1"/>
  <c r="C42" i="22" s="1"/>
  <c r="E42" i="22"/>
  <c r="D43" i="22" l="1"/>
  <c r="C43" i="22" s="1"/>
  <c r="E43" i="2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蘇孟緯</author>
  </authors>
  <commentList>
    <comment ref="B5" authorId="0" shapeId="0" xr:uid="{00000000-0006-0000-0600-000001000000}">
      <text>
        <r>
          <rPr>
            <b/>
            <sz val="9"/>
            <color indexed="81"/>
            <rFont val="細明體"/>
            <family val="3"/>
            <charset val="136"/>
          </rPr>
          <t>蘇孟緯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年金現值為未來各期年金現值的總和</t>
        </r>
      </text>
    </comment>
  </commentList>
</comments>
</file>

<file path=xl/sharedStrings.xml><?xml version="1.0" encoding="utf-8"?>
<sst xmlns="http://schemas.openxmlformats.org/spreadsheetml/2006/main" count="234" uniqueCount="155">
  <si>
    <t>綜合所得淨額 :</t>
  </si>
  <si>
    <t>累進稅率表</t>
  </si>
  <si>
    <t>稅率 :</t>
  </si>
  <si>
    <t>級別</t>
  </si>
  <si>
    <t>綜合所得淨額</t>
  </si>
  <si>
    <t>稅率</t>
  </si>
  <si>
    <t>累進差額</t>
  </si>
  <si>
    <t>累進差額 :</t>
  </si>
  <si>
    <t>應納稅額 :</t>
  </si>
  <si>
    <t>每期投資金額：</t>
    <phoneticPr fontId="6" type="noConversion"/>
  </si>
  <si>
    <t>固定年利率：</t>
    <phoneticPr fontId="6" type="noConversion"/>
  </si>
  <si>
    <t>投資期數：</t>
    <phoneticPr fontId="6" type="noConversion"/>
  </si>
  <si>
    <t>期滿所得：</t>
    <phoneticPr fontId="6" type="noConversion"/>
  </si>
  <si>
    <t>期初存入：</t>
    <phoneticPr fontId="6" type="noConversion"/>
  </si>
  <si>
    <t>每月存入：</t>
    <phoneticPr fontId="6" type="noConversion"/>
  </si>
  <si>
    <t>年利率：</t>
  </si>
  <si>
    <t>年利率：</t>
    <phoneticPr fontId="6" type="noConversion"/>
  </si>
  <si>
    <r>
      <t>儲蓄期</t>
    </r>
    <r>
      <rPr>
        <sz val="12"/>
        <rFont val="Times New Roman"/>
        <family val="1"/>
      </rPr>
      <t>(</t>
    </r>
    <r>
      <rPr>
        <sz val="12"/>
        <rFont val="新細明體"/>
        <family val="1"/>
        <charset val="136"/>
      </rPr>
      <t>年</t>
    </r>
    <r>
      <rPr>
        <sz val="12"/>
        <rFont val="Times New Roman"/>
        <family val="1"/>
      </rPr>
      <t>)</t>
    </r>
    <r>
      <rPr>
        <sz val="12"/>
        <rFont val="新細明體"/>
        <family val="1"/>
        <charset val="136"/>
      </rPr>
      <t>：</t>
    </r>
    <phoneticPr fontId="6" type="noConversion"/>
  </si>
  <si>
    <t>投資金額：</t>
    <phoneticPr fontId="6" type="noConversion"/>
  </si>
  <si>
    <t>目前銀行利率：</t>
    <phoneticPr fontId="6" type="noConversion"/>
  </si>
  <si>
    <t>每月領取：</t>
    <phoneticPr fontId="6" type="noConversion"/>
  </si>
  <si>
    <r>
      <t>期數</t>
    </r>
    <r>
      <rPr>
        <sz val="12"/>
        <rFont val="Times New Roman"/>
        <family val="1"/>
      </rPr>
      <t>(</t>
    </r>
    <r>
      <rPr>
        <sz val="12"/>
        <rFont val="新細明體"/>
        <family val="1"/>
        <charset val="136"/>
      </rPr>
      <t>年</t>
    </r>
    <r>
      <rPr>
        <sz val="12"/>
        <rFont val="Times New Roman"/>
        <family val="1"/>
      </rPr>
      <t>)</t>
    </r>
    <r>
      <rPr>
        <sz val="12"/>
        <rFont val="新細明體"/>
        <family val="1"/>
        <charset val="136"/>
      </rPr>
      <t>：</t>
    </r>
    <phoneticPr fontId="6" type="noConversion"/>
  </si>
  <si>
    <t>現值：</t>
    <phoneticPr fontId="6" type="noConversion"/>
  </si>
  <si>
    <r>
      <t>=FV(</t>
    </r>
    <r>
      <rPr>
        <b/>
        <sz val="12"/>
        <color indexed="56"/>
        <rFont val="Arial"/>
        <family val="2"/>
      </rPr>
      <t>B2</t>
    </r>
    <r>
      <rPr>
        <sz val="12"/>
        <rFont val="Arial"/>
        <family val="2"/>
      </rPr>
      <t>/12,</t>
    </r>
    <r>
      <rPr>
        <b/>
        <sz val="12"/>
        <color indexed="50"/>
        <rFont val="Arial"/>
        <family val="2"/>
      </rPr>
      <t>B3</t>
    </r>
    <r>
      <rPr>
        <sz val="12"/>
        <rFont val="Arial"/>
        <family val="2"/>
      </rPr>
      <t>,</t>
    </r>
    <r>
      <rPr>
        <b/>
        <sz val="12"/>
        <color indexed="20"/>
        <rFont val="Arial"/>
        <family val="2"/>
      </rPr>
      <t>-B1</t>
    </r>
    <r>
      <rPr>
        <sz val="12"/>
        <rFont val="Arial"/>
        <family val="2"/>
      </rPr>
      <t>)</t>
    </r>
    <phoneticPr fontId="6" type="noConversion"/>
  </si>
  <si>
    <r>
      <t>=FV(</t>
    </r>
    <r>
      <rPr>
        <b/>
        <sz val="12"/>
        <color indexed="56"/>
        <rFont val="Arial"/>
        <family val="2"/>
      </rPr>
      <t>B11</t>
    </r>
    <r>
      <rPr>
        <sz val="12"/>
        <rFont val="Arial"/>
        <family val="2"/>
      </rPr>
      <t>/12,</t>
    </r>
    <r>
      <rPr>
        <b/>
        <sz val="12"/>
        <color indexed="50"/>
        <rFont val="Arial"/>
        <family val="2"/>
      </rPr>
      <t>B12</t>
    </r>
    <r>
      <rPr>
        <sz val="12"/>
        <rFont val="Arial"/>
        <family val="2"/>
      </rPr>
      <t>*12,-</t>
    </r>
    <r>
      <rPr>
        <b/>
        <sz val="12"/>
        <color indexed="20"/>
        <rFont val="Arial"/>
        <family val="2"/>
      </rPr>
      <t>B10</t>
    </r>
    <r>
      <rPr>
        <sz val="12"/>
        <rFont val="Arial"/>
        <family val="2"/>
      </rPr>
      <t>,-</t>
    </r>
    <r>
      <rPr>
        <b/>
        <sz val="12"/>
        <color indexed="16"/>
        <rFont val="Arial"/>
        <family val="2"/>
      </rPr>
      <t>B9</t>
    </r>
    <r>
      <rPr>
        <sz val="12"/>
        <rFont val="Arial"/>
        <family val="2"/>
      </rPr>
      <t>)</t>
    </r>
    <phoneticPr fontId="6" type="noConversion"/>
  </si>
  <si>
    <r>
      <t>=PV(</t>
    </r>
    <r>
      <rPr>
        <b/>
        <sz val="12"/>
        <color indexed="56"/>
        <rFont val="Arial"/>
        <family val="2"/>
      </rPr>
      <t>B2</t>
    </r>
    <r>
      <rPr>
        <sz val="12"/>
        <rFont val="Arial"/>
        <family val="2"/>
      </rPr>
      <t>/12,</t>
    </r>
    <r>
      <rPr>
        <b/>
        <sz val="12"/>
        <color indexed="50"/>
        <rFont val="Arial"/>
        <family val="2"/>
      </rPr>
      <t>B4</t>
    </r>
    <r>
      <rPr>
        <sz val="12"/>
        <rFont val="Arial"/>
        <family val="2"/>
      </rPr>
      <t>*12,-</t>
    </r>
    <r>
      <rPr>
        <b/>
        <sz val="12"/>
        <color indexed="20"/>
        <rFont val="Arial"/>
        <family val="2"/>
      </rPr>
      <t>B3</t>
    </r>
    <r>
      <rPr>
        <sz val="12"/>
        <rFont val="Arial"/>
        <family val="2"/>
      </rPr>
      <t>)</t>
    </r>
    <phoneticPr fontId="6" type="noConversion"/>
  </si>
  <si>
    <t>購買價格：</t>
    <phoneticPr fontId="6" type="noConversion"/>
  </si>
  <si>
    <t>債券面值：</t>
    <phoneticPr fontId="6" type="noConversion"/>
  </si>
  <si>
    <r>
      <t>到期</t>
    </r>
    <r>
      <rPr>
        <sz val="12"/>
        <rFont val="Times New Roman"/>
        <family val="1"/>
      </rPr>
      <t>(</t>
    </r>
    <r>
      <rPr>
        <sz val="12"/>
        <rFont val="新細明體"/>
        <family val="1"/>
        <charset val="136"/>
      </rPr>
      <t>年</t>
    </r>
    <r>
      <rPr>
        <sz val="12"/>
        <rFont val="Times New Roman"/>
        <family val="1"/>
      </rPr>
      <t>)</t>
    </r>
    <r>
      <rPr>
        <sz val="12"/>
        <rFont val="新細明體"/>
        <family val="1"/>
        <charset val="136"/>
      </rPr>
      <t>：</t>
    </r>
    <phoneticPr fontId="6" type="noConversion"/>
  </si>
  <si>
    <t>投資報酬率：</t>
    <phoneticPr fontId="6" type="noConversion"/>
  </si>
  <si>
    <t>股票投資：</t>
    <phoneticPr fontId="6" type="noConversion"/>
  </si>
  <si>
    <r>
      <t>期限</t>
    </r>
    <r>
      <rPr>
        <sz val="12"/>
        <rFont val="Times New Roman"/>
        <family val="1"/>
      </rPr>
      <t>(</t>
    </r>
    <r>
      <rPr>
        <sz val="12"/>
        <rFont val="新細明體"/>
        <family val="1"/>
        <charset val="136"/>
      </rPr>
      <t>年</t>
    </r>
    <r>
      <rPr>
        <sz val="12"/>
        <rFont val="Times New Roman"/>
        <family val="1"/>
      </rPr>
      <t>)</t>
    </r>
    <r>
      <rPr>
        <sz val="12"/>
        <rFont val="新細明體"/>
        <family val="1"/>
        <charset val="136"/>
      </rPr>
      <t>：</t>
    </r>
    <phoneticPr fontId="6" type="noConversion"/>
  </si>
  <si>
    <t>期末賣出：</t>
    <phoneticPr fontId="6" type="noConversion"/>
  </si>
  <si>
    <t>利率：</t>
    <phoneticPr fontId="6" type="noConversion"/>
  </si>
  <si>
    <r>
      <t>=RATE(</t>
    </r>
    <r>
      <rPr>
        <b/>
        <sz val="12"/>
        <color indexed="56"/>
        <rFont val="Times New Roman"/>
        <family val="1"/>
      </rPr>
      <t>B3</t>
    </r>
    <r>
      <rPr>
        <sz val="12"/>
        <rFont val="Times New Roman"/>
        <family val="1"/>
      </rPr>
      <t>,,-</t>
    </r>
    <r>
      <rPr>
        <b/>
        <sz val="12"/>
        <color indexed="50"/>
        <rFont val="Times New Roman"/>
        <family val="1"/>
      </rPr>
      <t>B1</t>
    </r>
    <r>
      <rPr>
        <sz val="12"/>
        <rFont val="Times New Roman"/>
        <family val="1"/>
      </rPr>
      <t>,</t>
    </r>
    <r>
      <rPr>
        <b/>
        <sz val="12"/>
        <color indexed="20"/>
        <rFont val="Times New Roman"/>
        <family val="1"/>
      </rPr>
      <t>B2</t>
    </r>
    <r>
      <rPr>
        <sz val="12"/>
        <rFont val="Times New Roman"/>
        <family val="1"/>
      </rPr>
      <t>)</t>
    </r>
    <phoneticPr fontId="6" type="noConversion"/>
  </si>
  <si>
    <r>
      <t>=RATE(</t>
    </r>
    <r>
      <rPr>
        <b/>
        <sz val="12"/>
        <color indexed="56"/>
        <rFont val="Times New Roman"/>
        <family val="1"/>
      </rPr>
      <t>B8</t>
    </r>
    <r>
      <rPr>
        <sz val="12"/>
        <rFont val="Times New Roman"/>
        <family val="1"/>
      </rPr>
      <t>,,-</t>
    </r>
    <r>
      <rPr>
        <b/>
        <sz val="12"/>
        <color indexed="50"/>
        <rFont val="Times New Roman"/>
        <family val="1"/>
      </rPr>
      <t>B7</t>
    </r>
    <r>
      <rPr>
        <sz val="12"/>
        <rFont val="Times New Roman"/>
        <family val="1"/>
      </rPr>
      <t>,</t>
    </r>
    <r>
      <rPr>
        <b/>
        <sz val="12"/>
        <color indexed="20"/>
        <rFont val="Times New Roman"/>
        <family val="1"/>
      </rPr>
      <t>B9</t>
    </r>
    <r>
      <rPr>
        <sz val="12"/>
        <rFont val="Times New Roman"/>
        <family val="1"/>
      </rPr>
      <t>)</t>
    </r>
    <phoneticPr fontId="6" type="noConversion"/>
  </si>
  <si>
    <t>投資金額：</t>
    <phoneticPr fontId="6" type="noConversion"/>
  </si>
  <si>
    <t>每年獲利：</t>
    <phoneticPr fontId="6" type="noConversion"/>
  </si>
  <si>
    <t>獲利年限：</t>
    <phoneticPr fontId="6" type="noConversion"/>
  </si>
  <si>
    <t>期末殘值：</t>
    <phoneticPr fontId="6" type="noConversion"/>
  </si>
  <si>
    <r>
      <t>期末</t>
    </r>
    <r>
      <rPr>
        <sz val="12"/>
        <rFont val="Times New Roman"/>
        <family val="1"/>
      </rPr>
      <t>(</t>
    </r>
    <r>
      <rPr>
        <sz val="12"/>
        <rFont val="新細明體"/>
        <family val="1"/>
        <charset val="136"/>
      </rPr>
      <t>年</t>
    </r>
    <r>
      <rPr>
        <sz val="12"/>
        <rFont val="Times New Roman"/>
        <family val="1"/>
      </rPr>
      <t>)</t>
    </r>
    <r>
      <rPr>
        <sz val="12"/>
        <rFont val="新細明體"/>
        <family val="1"/>
        <charset val="136"/>
      </rPr>
      <t>本利：</t>
    </r>
    <phoneticPr fontId="6" type="noConversion"/>
  </si>
  <si>
    <t>期數：</t>
    <phoneticPr fontId="6" type="noConversion"/>
  </si>
  <si>
    <t>借款：</t>
    <phoneticPr fontId="6" type="noConversion"/>
  </si>
  <si>
    <t>每月償付本利：</t>
    <phoneticPr fontId="6" type="noConversion"/>
  </si>
  <si>
    <r>
      <t>=NPER(</t>
    </r>
    <r>
      <rPr>
        <b/>
        <sz val="12"/>
        <color indexed="56"/>
        <rFont val="Times New Roman"/>
        <family val="1"/>
      </rPr>
      <t>B3</t>
    </r>
    <r>
      <rPr>
        <sz val="12"/>
        <rFont val="Times New Roman"/>
        <family val="1"/>
      </rPr>
      <t>/12,-</t>
    </r>
    <r>
      <rPr>
        <b/>
        <sz val="12"/>
        <color indexed="50"/>
        <rFont val="Times New Roman"/>
        <family val="1"/>
      </rPr>
      <t>B2</t>
    </r>
    <r>
      <rPr>
        <sz val="12"/>
        <rFont val="Times New Roman"/>
        <family val="1"/>
      </rPr>
      <t>,-</t>
    </r>
    <r>
      <rPr>
        <b/>
        <sz val="12"/>
        <color indexed="20"/>
        <rFont val="Times New Roman"/>
        <family val="1"/>
      </rPr>
      <t>B1</t>
    </r>
    <r>
      <rPr>
        <sz val="12"/>
        <rFont val="Times New Roman"/>
        <family val="1"/>
      </rPr>
      <t>,</t>
    </r>
    <r>
      <rPr>
        <b/>
        <sz val="12"/>
        <color indexed="16"/>
        <rFont val="Times New Roman"/>
        <family val="1"/>
      </rPr>
      <t>B4</t>
    </r>
    <r>
      <rPr>
        <sz val="12"/>
        <rFont val="Times New Roman"/>
        <family val="1"/>
      </rPr>
      <t>,1)</t>
    </r>
    <phoneticPr fontId="6" type="noConversion"/>
  </si>
  <si>
    <r>
      <t>=NPER(</t>
    </r>
    <r>
      <rPr>
        <b/>
        <sz val="12"/>
        <color indexed="56"/>
        <rFont val="Times New Roman"/>
        <family val="1"/>
      </rPr>
      <t>B11</t>
    </r>
    <r>
      <rPr>
        <sz val="12"/>
        <rFont val="Times New Roman"/>
        <family val="1"/>
      </rPr>
      <t>/12,-</t>
    </r>
    <r>
      <rPr>
        <b/>
        <sz val="12"/>
        <color indexed="50"/>
        <rFont val="Times New Roman"/>
        <family val="1"/>
      </rPr>
      <t>B12</t>
    </r>
    <r>
      <rPr>
        <sz val="12"/>
        <rFont val="Times New Roman"/>
        <family val="1"/>
      </rPr>
      <t>,</t>
    </r>
    <r>
      <rPr>
        <b/>
        <sz val="12"/>
        <color indexed="20"/>
        <rFont val="Times New Roman"/>
        <family val="1"/>
      </rPr>
      <t>B10</t>
    </r>
    <r>
      <rPr>
        <sz val="12"/>
        <rFont val="Times New Roman"/>
        <family val="1"/>
      </rPr>
      <t>)</t>
    </r>
    <phoneticPr fontId="6" type="noConversion"/>
  </si>
  <si>
    <t>期初計劃：</t>
    <phoneticPr fontId="6" type="noConversion"/>
  </si>
  <si>
    <t>逐年回收：</t>
    <phoneticPr fontId="6" type="noConversion"/>
  </si>
  <si>
    <t>必要報酬率：</t>
    <phoneticPr fontId="6" type="noConversion"/>
  </si>
  <si>
    <t>淨現值：</t>
    <phoneticPr fontId="6" type="noConversion"/>
  </si>
  <si>
    <r>
      <t>=NPV(</t>
    </r>
    <r>
      <rPr>
        <b/>
        <sz val="12"/>
        <color indexed="56"/>
        <rFont val="Times New Roman"/>
        <family val="1"/>
      </rPr>
      <t>B7</t>
    </r>
    <r>
      <rPr>
        <sz val="12"/>
        <rFont val="Times New Roman"/>
        <family val="1"/>
      </rPr>
      <t>,</t>
    </r>
    <r>
      <rPr>
        <b/>
        <sz val="12"/>
        <color indexed="50"/>
        <rFont val="Times New Roman"/>
        <family val="1"/>
      </rPr>
      <t>B2:B6</t>
    </r>
    <r>
      <rPr>
        <sz val="12"/>
        <rFont val="Times New Roman"/>
        <family val="1"/>
      </rPr>
      <t>)-</t>
    </r>
    <r>
      <rPr>
        <b/>
        <sz val="12"/>
        <color indexed="20"/>
        <rFont val="Times New Roman"/>
        <family val="1"/>
      </rPr>
      <t>B1</t>
    </r>
    <phoneticPr fontId="6" type="noConversion"/>
  </si>
  <si>
    <r>
      <t>=NPV(</t>
    </r>
    <r>
      <rPr>
        <b/>
        <sz val="12"/>
        <color indexed="56"/>
        <rFont val="Times New Roman"/>
        <family val="1"/>
      </rPr>
      <t>E7</t>
    </r>
    <r>
      <rPr>
        <sz val="12"/>
        <rFont val="Times New Roman"/>
        <family val="1"/>
      </rPr>
      <t>,</t>
    </r>
    <r>
      <rPr>
        <b/>
        <sz val="12"/>
        <color indexed="50"/>
        <rFont val="Times New Roman"/>
        <family val="1"/>
      </rPr>
      <t>E2:E4</t>
    </r>
    <r>
      <rPr>
        <sz val="12"/>
        <rFont val="Times New Roman"/>
        <family val="1"/>
      </rPr>
      <t>)-</t>
    </r>
    <r>
      <rPr>
        <b/>
        <sz val="12"/>
        <color indexed="20"/>
        <rFont val="Times New Roman"/>
        <family val="1"/>
      </rPr>
      <t>E1</t>
    </r>
    <phoneticPr fontId="6" type="noConversion"/>
  </si>
  <si>
    <t>投資額：</t>
    <phoneticPr fontId="6" type="noConversion"/>
  </si>
  <si>
    <r>
      <t>第</t>
    </r>
    <r>
      <rPr>
        <sz val="12"/>
        <rFont val="Times New Roman"/>
        <family val="1"/>
      </rPr>
      <t xml:space="preserve"> 1 </t>
    </r>
    <r>
      <rPr>
        <sz val="12"/>
        <rFont val="新細明體"/>
        <family val="1"/>
        <charset val="136"/>
      </rPr>
      <t>年淨得：</t>
    </r>
    <phoneticPr fontId="6" type="noConversion"/>
  </si>
  <si>
    <r>
      <t>第</t>
    </r>
    <r>
      <rPr>
        <sz val="12"/>
        <rFont val="Times New Roman"/>
        <family val="1"/>
      </rPr>
      <t xml:space="preserve"> 2 </t>
    </r>
    <r>
      <rPr>
        <sz val="12"/>
        <rFont val="新細明體"/>
        <family val="1"/>
        <charset val="136"/>
      </rPr>
      <t>年淨得：</t>
    </r>
  </si>
  <si>
    <r>
      <t>第</t>
    </r>
    <r>
      <rPr>
        <sz val="12"/>
        <rFont val="Times New Roman"/>
        <family val="1"/>
      </rPr>
      <t xml:space="preserve"> 3 </t>
    </r>
    <r>
      <rPr>
        <sz val="12"/>
        <rFont val="新細明體"/>
        <family val="1"/>
        <charset val="136"/>
      </rPr>
      <t>年淨得：</t>
    </r>
  </si>
  <si>
    <r>
      <t>第</t>
    </r>
    <r>
      <rPr>
        <sz val="12"/>
        <rFont val="Times New Roman"/>
        <family val="1"/>
      </rPr>
      <t xml:space="preserve"> 4 </t>
    </r>
    <r>
      <rPr>
        <sz val="12"/>
        <rFont val="新細明體"/>
        <family val="1"/>
        <charset val="136"/>
      </rPr>
      <t>年淨得：</t>
    </r>
  </si>
  <si>
    <r>
      <t>第</t>
    </r>
    <r>
      <rPr>
        <sz val="12"/>
        <rFont val="Times New Roman"/>
        <family val="1"/>
      </rPr>
      <t xml:space="preserve"> 5 </t>
    </r>
    <r>
      <rPr>
        <sz val="12"/>
        <rFont val="新細明體"/>
        <family val="1"/>
        <charset val="136"/>
      </rPr>
      <t>年淨得：</t>
    </r>
  </si>
  <si>
    <t>四年的內部投資報酬率為：</t>
    <phoneticPr fontId="6" type="noConversion"/>
  </si>
  <si>
    <t>五年的內部投資報酬率為：</t>
    <phoneticPr fontId="6" type="noConversion"/>
  </si>
  <si>
    <r>
      <t>=IRR(</t>
    </r>
    <r>
      <rPr>
        <b/>
        <sz val="12"/>
        <color indexed="12"/>
        <rFont val="Times New Roman"/>
        <family val="1"/>
      </rPr>
      <t>B1:B5</t>
    </r>
    <r>
      <rPr>
        <sz val="12"/>
        <rFont val="Times New Roman"/>
        <family val="1"/>
      </rPr>
      <t>)</t>
    </r>
    <phoneticPr fontId="6" type="noConversion"/>
  </si>
  <si>
    <r>
      <t>=IRR(</t>
    </r>
    <r>
      <rPr>
        <b/>
        <sz val="12"/>
        <color indexed="50"/>
        <rFont val="Times New Roman"/>
        <family val="1"/>
      </rPr>
      <t>B1:B6</t>
    </r>
    <r>
      <rPr>
        <sz val="12"/>
        <rFont val="Times New Roman"/>
        <family val="1"/>
      </rPr>
      <t>)</t>
    </r>
    <phoneticPr fontId="6" type="noConversion"/>
  </si>
  <si>
    <t>設備的成本：</t>
    <phoneticPr fontId="6" type="noConversion"/>
  </si>
  <si>
    <t>使用年限：</t>
    <phoneticPr fontId="6" type="noConversion"/>
  </si>
  <si>
    <t>殘餘價值：</t>
    <phoneticPr fontId="6" type="noConversion"/>
  </si>
  <si>
    <t>折舊方式</t>
    <phoneticPr fontId="6" type="noConversion"/>
  </si>
  <si>
    <t>DDB</t>
    <phoneticPr fontId="6" type="noConversion"/>
  </si>
  <si>
    <t>SLN</t>
    <phoneticPr fontId="6" type="noConversion"/>
  </si>
  <si>
    <t>SYD</t>
    <phoneticPr fontId="6" type="noConversion"/>
  </si>
  <si>
    <r>
      <t>以</t>
    </r>
    <r>
      <rPr>
        <sz val="12"/>
        <rFont val="Times New Roman"/>
        <family val="1"/>
      </rPr>
      <t>VDB</t>
    </r>
    <r>
      <rPr>
        <sz val="12"/>
        <rFont val="新細明體"/>
        <family val="1"/>
        <charset val="136"/>
      </rPr>
      <t>計算第</t>
    </r>
    <phoneticPr fontId="6" type="noConversion"/>
  </si>
  <si>
    <t>年到</t>
    <phoneticPr fontId="6" type="noConversion"/>
  </si>
  <si>
    <t>到</t>
    <phoneticPr fontId="6" type="noConversion"/>
  </si>
  <si>
    <t>年的折舊費用</t>
    <phoneticPr fontId="6" type="noConversion"/>
  </si>
  <si>
    <t>等於</t>
    <phoneticPr fontId="6" type="noConversion"/>
  </si>
  <si>
    <r>
      <t>=VDB(</t>
    </r>
    <r>
      <rPr>
        <b/>
        <sz val="12"/>
        <color indexed="56"/>
        <rFont val="Times New Roman"/>
        <family val="1"/>
      </rPr>
      <t>B1</t>
    </r>
    <r>
      <rPr>
        <sz val="12"/>
        <rFont val="Times New Roman"/>
        <family val="1"/>
      </rPr>
      <t>,</t>
    </r>
    <r>
      <rPr>
        <b/>
        <sz val="12"/>
        <color indexed="50"/>
        <rFont val="Times New Roman"/>
        <family val="1"/>
      </rPr>
      <t>B3,</t>
    </r>
    <r>
      <rPr>
        <b/>
        <sz val="12"/>
        <color indexed="20"/>
        <rFont val="Times New Roman"/>
        <family val="1"/>
      </rPr>
      <t>B2</t>
    </r>
    <r>
      <rPr>
        <sz val="12"/>
        <rFont val="Times New Roman"/>
        <family val="1"/>
      </rPr>
      <t>,</t>
    </r>
    <r>
      <rPr>
        <b/>
        <sz val="12"/>
        <color indexed="10"/>
        <rFont val="Times New Roman"/>
        <family val="1"/>
      </rPr>
      <t>B15</t>
    </r>
    <r>
      <rPr>
        <sz val="12"/>
        <rFont val="Times New Roman"/>
        <family val="1"/>
      </rPr>
      <t>,</t>
    </r>
    <r>
      <rPr>
        <b/>
        <sz val="12"/>
        <color indexed="18"/>
        <rFont val="Times New Roman"/>
        <family val="1"/>
      </rPr>
      <t>D15)</t>
    </r>
    <phoneticPr fontId="6" type="noConversion"/>
  </si>
  <si>
    <t>年利率：</t>
    <phoneticPr fontId="6" type="noConversion"/>
  </si>
  <si>
    <t>貸款金額：</t>
    <phoneticPr fontId="6" type="noConversion"/>
  </si>
  <si>
    <r>
      <t>貸款期限</t>
    </r>
    <r>
      <rPr>
        <sz val="12"/>
        <rFont val="Times New Roman"/>
        <family val="1"/>
      </rPr>
      <t>(</t>
    </r>
    <r>
      <rPr>
        <sz val="12"/>
        <rFont val="新細明體"/>
        <family val="1"/>
        <charset val="136"/>
      </rPr>
      <t>年</t>
    </r>
    <r>
      <rPr>
        <sz val="12"/>
        <rFont val="Times New Roman"/>
        <family val="1"/>
      </rPr>
      <t>)</t>
    </r>
    <r>
      <rPr>
        <sz val="12"/>
        <rFont val="新細明體"/>
        <family val="1"/>
        <charset val="136"/>
      </rPr>
      <t>：</t>
    </r>
    <phoneticPr fontId="6" type="noConversion"/>
  </si>
  <si>
    <t>每月償付的本金與利息：</t>
    <phoneticPr fontId="6" type="noConversion"/>
  </si>
  <si>
    <r>
      <t>=PMT(</t>
    </r>
    <r>
      <rPr>
        <b/>
        <sz val="12"/>
        <color indexed="56"/>
        <rFont val="Arial"/>
        <family val="2"/>
      </rPr>
      <t>B1</t>
    </r>
    <r>
      <rPr>
        <sz val="12"/>
        <rFont val="Arial"/>
        <family val="2"/>
      </rPr>
      <t>/12,</t>
    </r>
    <r>
      <rPr>
        <b/>
        <sz val="12"/>
        <color indexed="50"/>
        <rFont val="Arial"/>
        <family val="2"/>
      </rPr>
      <t>B3</t>
    </r>
    <r>
      <rPr>
        <sz val="12"/>
        <rFont val="Arial"/>
        <family val="2"/>
      </rPr>
      <t>*12,-</t>
    </r>
    <r>
      <rPr>
        <b/>
        <sz val="12"/>
        <color indexed="20"/>
        <rFont val="Arial"/>
        <family val="2"/>
      </rPr>
      <t>B2</t>
    </r>
    <r>
      <rPr>
        <sz val="12"/>
        <rFont val="Arial"/>
        <family val="2"/>
      </rPr>
      <t>)</t>
    </r>
    <phoneticPr fontId="6" type="noConversion"/>
  </si>
  <si>
    <r>
      <t>第</t>
    </r>
    <r>
      <rPr>
        <sz val="12"/>
        <rFont val="Times New Roman"/>
        <family val="1"/>
      </rPr>
      <t xml:space="preserve"> n </t>
    </r>
    <r>
      <rPr>
        <sz val="12"/>
        <rFont val="新細明體"/>
        <family val="1"/>
        <charset val="136"/>
      </rPr>
      <t>期：</t>
    </r>
    <phoneticPr fontId="6" type="noConversion"/>
  </si>
  <si>
    <t>所支付的本金為：</t>
    <phoneticPr fontId="6" type="noConversion"/>
  </si>
  <si>
    <r>
      <t>=PPMT(</t>
    </r>
    <r>
      <rPr>
        <b/>
        <sz val="12"/>
        <color indexed="56"/>
        <rFont val="Arial"/>
        <family val="2"/>
      </rPr>
      <t>B1</t>
    </r>
    <r>
      <rPr>
        <sz val="12"/>
        <rFont val="Arial"/>
        <family val="2"/>
      </rPr>
      <t>/12,</t>
    </r>
    <r>
      <rPr>
        <b/>
        <sz val="12"/>
        <color indexed="10"/>
        <rFont val="Arial"/>
        <family val="2"/>
      </rPr>
      <t>B6</t>
    </r>
    <r>
      <rPr>
        <sz val="12"/>
        <rFont val="Arial"/>
        <family val="2"/>
      </rPr>
      <t>,</t>
    </r>
    <r>
      <rPr>
        <b/>
        <sz val="12"/>
        <color indexed="17"/>
        <rFont val="Arial"/>
        <family val="2"/>
      </rPr>
      <t>B3</t>
    </r>
    <r>
      <rPr>
        <sz val="12"/>
        <rFont val="Arial"/>
        <family val="2"/>
      </rPr>
      <t>*12,-</t>
    </r>
    <r>
      <rPr>
        <b/>
        <sz val="12"/>
        <color indexed="20"/>
        <rFont val="Arial"/>
        <family val="2"/>
      </rPr>
      <t>B2</t>
    </r>
    <r>
      <rPr>
        <sz val="12"/>
        <rFont val="Arial"/>
        <family val="2"/>
      </rPr>
      <t>)</t>
    </r>
    <phoneticPr fontId="6" type="noConversion"/>
  </si>
  <si>
    <t>所支付的利息為：</t>
    <phoneticPr fontId="6" type="noConversion"/>
  </si>
  <si>
    <r>
      <t>=IPMT(</t>
    </r>
    <r>
      <rPr>
        <b/>
        <sz val="12"/>
        <color indexed="56"/>
        <rFont val="Arial"/>
        <family val="2"/>
      </rPr>
      <t>B1</t>
    </r>
    <r>
      <rPr>
        <sz val="12"/>
        <rFont val="Arial"/>
        <family val="2"/>
      </rPr>
      <t>/12,</t>
    </r>
    <r>
      <rPr>
        <b/>
        <sz val="12"/>
        <color indexed="10"/>
        <rFont val="Arial"/>
        <family val="2"/>
      </rPr>
      <t>B6</t>
    </r>
    <r>
      <rPr>
        <sz val="12"/>
        <rFont val="Arial"/>
        <family val="2"/>
      </rPr>
      <t>,</t>
    </r>
    <r>
      <rPr>
        <b/>
        <sz val="12"/>
        <color indexed="17"/>
        <rFont val="Arial"/>
        <family val="2"/>
      </rPr>
      <t>B3</t>
    </r>
    <r>
      <rPr>
        <sz val="12"/>
        <rFont val="Arial"/>
        <family val="2"/>
      </rPr>
      <t>*12,-</t>
    </r>
    <r>
      <rPr>
        <b/>
        <sz val="12"/>
        <color indexed="20"/>
        <rFont val="Arial"/>
        <family val="2"/>
      </rPr>
      <t>B2</t>
    </r>
    <r>
      <rPr>
        <sz val="12"/>
        <rFont val="Arial"/>
        <family val="2"/>
      </rPr>
      <t>)</t>
    </r>
    <phoneticPr fontId="6" type="noConversion"/>
  </si>
  <si>
    <t>所支付的本金與利息合計：</t>
    <phoneticPr fontId="6" type="noConversion"/>
  </si>
  <si>
    <t>=B7+B8</t>
    <phoneticPr fontId="6" type="noConversion"/>
  </si>
  <si>
    <r>
      <t>=RATE(</t>
    </r>
    <r>
      <rPr>
        <b/>
        <sz val="12"/>
        <color indexed="56"/>
        <rFont val="Times New Roman"/>
        <family val="1"/>
      </rPr>
      <t>B15</t>
    </r>
    <r>
      <rPr>
        <sz val="12"/>
        <rFont val="Times New Roman"/>
        <family val="1"/>
      </rPr>
      <t>,</t>
    </r>
    <r>
      <rPr>
        <b/>
        <sz val="12"/>
        <color indexed="50"/>
        <rFont val="Times New Roman"/>
        <family val="1"/>
      </rPr>
      <t>B14</t>
    </r>
    <r>
      <rPr>
        <sz val="12"/>
        <rFont val="Times New Roman"/>
        <family val="1"/>
      </rPr>
      <t>,-</t>
    </r>
    <r>
      <rPr>
        <b/>
        <sz val="12"/>
        <color indexed="20"/>
        <rFont val="Times New Roman"/>
        <family val="1"/>
      </rPr>
      <t>B13</t>
    </r>
    <r>
      <rPr>
        <sz val="12"/>
        <rFont val="Times New Roman"/>
        <family val="1"/>
      </rPr>
      <t>,</t>
    </r>
    <r>
      <rPr>
        <b/>
        <sz val="12"/>
        <color indexed="16"/>
        <rFont val="Times New Roman"/>
        <family val="1"/>
      </rPr>
      <t>B16</t>
    </r>
    <r>
      <rPr>
        <sz val="12"/>
        <rFont val="Times New Roman"/>
        <family val="1"/>
      </rPr>
      <t>,1)</t>
    </r>
    <phoneticPr fontId="6" type="noConversion"/>
  </si>
  <si>
    <t>DB</t>
    <phoneticPr fontId="6" type="noConversion"/>
  </si>
  <si>
    <t>VDB</t>
    <phoneticPr fontId="6" type="noConversion"/>
  </si>
  <si>
    <t>貸款金額</t>
  </si>
  <si>
    <t>年利率</t>
  </si>
  <si>
    <t>期數</t>
  </si>
  <si>
    <t>攤還本金</t>
  </si>
  <si>
    <t>利息</t>
  </si>
  <si>
    <t>餘額</t>
  </si>
  <si>
    <t>應付金額</t>
  </si>
  <si>
    <t>月利率</t>
  </si>
  <si>
    <t>LANCER</t>
    <phoneticPr fontId="24" type="noConversion"/>
  </si>
  <si>
    <t>車種</t>
    <phoneticPr fontId="24" type="noConversion"/>
  </si>
  <si>
    <t>LANCER</t>
  </si>
  <si>
    <t>VIRAGE</t>
    <phoneticPr fontId="24" type="noConversion"/>
  </si>
  <si>
    <t>GALANT</t>
    <phoneticPr fontId="24" type="noConversion"/>
  </si>
  <si>
    <t>年期</t>
    <phoneticPr fontId="24" type="noConversion"/>
  </si>
  <si>
    <t>月數</t>
    <phoneticPr fontId="24" type="noConversion"/>
  </si>
  <si>
    <t>說明:</t>
    <phoneticPr fontId="6" type="noConversion"/>
  </si>
  <si>
    <t>向銀行貸款3年期金額$200,000元, 約定每月償付部份本金及利息, 而貸款利率以年利率 3.8%,單利計算</t>
    <phoneticPr fontId="6" type="noConversion"/>
  </si>
  <si>
    <t>選擇喜愛的車款,並以繳費能力試算每期付款明細</t>
    <phoneticPr fontId="6" type="noConversion"/>
  </si>
  <si>
    <t>年利率</t>
    <phoneticPr fontId="6" type="noConversion"/>
  </si>
  <si>
    <t>投資金額</t>
    <phoneticPr fontId="6" type="noConversion"/>
  </si>
  <si>
    <t>每年領回</t>
    <phoneticPr fontId="6" type="noConversion"/>
  </si>
  <si>
    <t>期數</t>
    <phoneticPr fontId="6" type="noConversion"/>
  </si>
  <si>
    <t>現值</t>
    <phoneticPr fontId="6" type="noConversion"/>
  </si>
  <si>
    <t>黃豆成本1,500,000，預計1年後售出可淨得2,000,000，年利率為4.2%</t>
    <phoneticPr fontId="6" type="noConversion"/>
  </si>
  <si>
    <t>期數(年)</t>
    <phoneticPr fontId="6" type="noConversion"/>
  </si>
  <si>
    <r>
      <t>利率</t>
    </r>
    <r>
      <rPr>
        <b/>
        <sz val="12"/>
        <rFont val="Times New Roman"/>
        <family val="1"/>
      </rPr>
      <t>(</t>
    </r>
    <r>
      <rPr>
        <b/>
        <sz val="12"/>
        <rFont val="新細明體"/>
        <family val="1"/>
        <charset val="136"/>
      </rPr>
      <t>年</t>
    </r>
    <r>
      <rPr>
        <b/>
        <sz val="12"/>
        <rFont val="Times New Roman"/>
        <family val="1"/>
      </rPr>
      <t>)</t>
    </r>
    <phoneticPr fontId="6" type="noConversion"/>
  </si>
  <si>
    <t>每期給付</t>
    <phoneticPr fontId="6" type="noConversion"/>
  </si>
  <si>
    <t>到期領回</t>
    <phoneticPr fontId="6" type="noConversion"/>
  </si>
  <si>
    <t>現值超過取得成本，值得投資</t>
    <phoneticPr fontId="6" type="noConversion"/>
  </si>
  <si>
    <t>用PV函數來比較貸款差異</t>
    <phoneticPr fontId="6" type="noConversion"/>
  </si>
  <si>
    <t>貸款方案一</t>
    <phoneticPr fontId="6" type="noConversion"/>
  </si>
  <si>
    <t>頭期款</t>
    <phoneticPr fontId="6" type="noConversion"/>
  </si>
  <si>
    <t>利率</t>
    <phoneticPr fontId="6" type="noConversion"/>
  </si>
  <si>
    <t>每期應繳</t>
    <phoneticPr fontId="6" type="noConversion"/>
  </si>
  <si>
    <t>總付款金額</t>
    <phoneticPr fontId="6" type="noConversion"/>
  </si>
  <si>
    <t>貸款方案二</t>
    <phoneticPr fontId="6" type="noConversion"/>
  </si>
  <si>
    <r>
      <rPr>
        <sz val="12"/>
        <color indexed="8"/>
        <rFont val="新細明體"/>
        <family val="1"/>
        <charset val="136"/>
      </rPr>
      <t xml:space="preserve">假設郵局推出一種儲蓄理財方案：年利率為 </t>
    </r>
    <r>
      <rPr>
        <sz val="12"/>
        <color indexed="8"/>
        <rFont val="Calibri"/>
        <family val="2"/>
      </rPr>
      <t xml:space="preserve">2.5%, 
</t>
    </r>
    <r>
      <rPr>
        <sz val="12"/>
        <color indexed="8"/>
        <rFont val="新細明體"/>
        <family val="1"/>
        <charset val="136"/>
      </rPr>
      <t/>
    </r>
    <phoneticPr fontId="6" type="noConversion"/>
  </si>
  <si>
    <t xml:space="preserve">只要您現在先繳 120,000 元, 就可在未來的 10 年內, </t>
    <phoneticPr fontId="6" type="noConversion"/>
  </si>
  <si>
    <t>每年領回 13,500 元…</t>
    <phoneticPr fontId="6" type="noConversion"/>
  </si>
  <si>
    <t>評估此項方案是否值得投資？</t>
    <phoneticPr fontId="6" type="noConversion"/>
  </si>
  <si>
    <t>年金現值</t>
    <phoneticPr fontId="6" type="noConversion"/>
  </si>
  <si>
    <r>
      <rPr>
        <sz val="12"/>
        <color indexed="8"/>
        <rFont val="新細明體"/>
        <family val="1"/>
        <charset val="136"/>
      </rPr>
      <t>假設古堡銀行推出全新的百萬儲蓄計劃</t>
    </r>
    <r>
      <rPr>
        <sz val="12"/>
        <color indexed="8"/>
        <rFont val="Calibri"/>
        <family val="2"/>
      </rPr>
      <t>,</t>
    </r>
    <phoneticPr fontId="6" type="noConversion"/>
  </si>
  <si>
    <t xml:space="preserve"> 強調每月只要儲蓄 7,500 元, 10 年後保證領回 100 萬元, </t>
    <phoneticPr fontId="6" type="noConversion"/>
  </si>
  <si>
    <t>那到底這個百萬儲蓄計劃的年利率是多少呢？</t>
  </si>
  <si>
    <t>每月存款</t>
    <phoneticPr fontId="6" type="noConversion"/>
  </si>
  <si>
    <t>滿期領回</t>
    <phoneticPr fontId="6" type="noConversion"/>
  </si>
  <si>
    <r>
      <rPr>
        <sz val="12"/>
        <color indexed="8"/>
        <rFont val="新細明體"/>
        <family val="1"/>
        <charset val="136"/>
      </rPr>
      <t>假設古堡銀行提出個人小額信用貸款方案</t>
    </r>
    <r>
      <rPr>
        <sz val="12"/>
        <color indexed="8"/>
        <rFont val="Calibri"/>
        <family val="2"/>
      </rPr>
      <t xml:space="preserve">, </t>
    </r>
    <r>
      <rPr>
        <sz val="12"/>
        <color indexed="8"/>
        <rFont val="新細明體"/>
        <family val="1"/>
        <charset val="136"/>
      </rPr>
      <t/>
    </r>
    <phoneticPr fontId="6" type="noConversion"/>
  </si>
  <si>
    <t>借款 30 萬, 每月只要還款 16000, 2 年即可還清,</t>
    <phoneticPr fontId="6" type="noConversion"/>
  </si>
  <si>
    <t>比較與信用卡的利率,是否划算…</t>
    <phoneticPr fontId="6" type="noConversion"/>
  </si>
  <si>
    <t>貸款金額</t>
    <phoneticPr fontId="6" type="noConversion"/>
  </si>
  <si>
    <t>期數-年</t>
    <phoneticPr fontId="6" type="noConversion"/>
  </si>
  <si>
    <t>每月還款</t>
    <phoneticPr fontId="6" type="noConversion"/>
  </si>
  <si>
    <r>
      <rPr>
        <sz val="12"/>
        <color indexed="8"/>
        <rFont val="新細明體"/>
        <family val="1"/>
        <charset val="136"/>
      </rPr>
      <t xml:space="preserve">小風想買一間需自備款 </t>
    </r>
    <r>
      <rPr>
        <sz val="12"/>
        <color indexed="8"/>
        <rFont val="Calibri"/>
        <family val="2"/>
      </rPr>
      <t xml:space="preserve">60 </t>
    </r>
    <r>
      <rPr>
        <sz val="12"/>
        <color indexed="8"/>
        <rFont val="新細明體"/>
        <family val="1"/>
        <charset val="136"/>
      </rPr>
      <t>萬元的小套房</t>
    </r>
    <r>
      <rPr>
        <sz val="12"/>
        <color indexed="8"/>
        <rFont val="Calibri"/>
        <family val="2"/>
      </rPr>
      <t xml:space="preserve">, </t>
    </r>
    <phoneticPr fontId="6" type="noConversion"/>
  </si>
  <si>
    <t xml:space="preserve">目前小風每個月可以存 17,000 元, 而定存年利率為 2.05%, </t>
    <phoneticPr fontId="6" type="noConversion"/>
  </si>
  <si>
    <t>小風需要存多久才能存夠小套房的頭期款呢？</t>
  </si>
  <si>
    <t>目標金額</t>
    <phoneticPr fontId="6" type="noConversion"/>
  </si>
  <si>
    <t xml:space="preserve">年利率為 </t>
    <phoneticPr fontId="6" type="noConversion"/>
  </si>
  <si>
    <t>投資成本</t>
    <phoneticPr fontId="6" type="noConversion"/>
  </si>
  <si>
    <t>剩餘價值</t>
    <phoneticPr fontId="6" type="noConversion"/>
  </si>
  <si>
    <t>使用年限</t>
    <phoneticPr fontId="6" type="noConversion"/>
  </si>
  <si>
    <t>第幾年</t>
    <phoneticPr fontId="6" type="noConversion"/>
  </si>
  <si>
    <t>直線法</t>
    <phoneticPr fontId="6" type="noConversion"/>
  </si>
  <si>
    <t>定率遞減法</t>
    <phoneticPr fontId="6" type="noConversion"/>
  </si>
  <si>
    <t>倍率遞減法</t>
    <phoneticPr fontId="6" type="noConversion"/>
  </si>
  <si>
    <t>年數合計法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</si>
</sst>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6">
    <numFmt numFmtId="6" formatCode="&quot;$&quot;#,##0;[Red]\-&quot;$&quot;#,##0"/>
    <numFmt numFmtId="8" formatCode="&quot;$&quot;#,##0.00;[Red]\-&quot;$&quot;#,##0.00"/>
    <numFmt numFmtId="44" formatCode="_-&quot;$&quot;* #,##0.00_-;\-&quot;$&quot;* #,##0.00_-;_-&quot;$&quot;* &quot;-&quot;??_-;_-@_-"/>
    <numFmt numFmtId="43" formatCode="_-* #,##0.00_-;\-* #,##0.00_-;_-* &quot;-&quot;??_-;_-@_-"/>
    <numFmt numFmtId="176" formatCode="&quot;$&quot;#,##0_);\(&quot;$&quot;#,##0\)"/>
    <numFmt numFmtId="177" formatCode="&quot;$&quot;#,##0_);[Red]\(&quot;$&quot;#,##0\)"/>
    <numFmt numFmtId="178" formatCode="0.0%"/>
    <numFmt numFmtId="179" formatCode="0.000%"/>
    <numFmt numFmtId="180" formatCode="_-* #,##0_-;\-* #,##0_-;_-* &quot;-&quot;??_-;_-@_-"/>
    <numFmt numFmtId="181" formatCode="&quot;$&quot;#,##0"/>
    <numFmt numFmtId="182" formatCode="&quot;$&quot;#,##0.0;[Red]\-&quot;$&quot;#,##0.0"/>
    <numFmt numFmtId="183" formatCode="&quot;第&quot;\ 0\ &quot;年的折舊費用&quot;"/>
    <numFmt numFmtId="184" formatCode="_(* #,##0_);_(* \(#,##0\);_(* &quot;-&quot;??_);_(@_)"/>
    <numFmt numFmtId="185" formatCode="_-&quot;$&quot;* #,##0_-;\-&quot;$&quot;* #,##0_-;_-&quot;$&quot;* &quot;-&quot;??_-;_-@_-"/>
    <numFmt numFmtId="186" formatCode="General&quot;年&quot;"/>
    <numFmt numFmtId="187" formatCode="&quot;$&quot;#,##0.00"/>
  </numFmts>
  <fonts count="39">
    <font>
      <sz val="12"/>
      <name val="新細明體"/>
      <family val="1"/>
      <charset val="136"/>
    </font>
    <font>
      <b/>
      <sz val="12"/>
      <name val="新細明體"/>
      <family val="1"/>
      <charset val="136"/>
    </font>
    <font>
      <sz val="12"/>
      <name val="新細明體"/>
      <family val="1"/>
      <charset val="136"/>
    </font>
    <font>
      <sz val="12"/>
      <name val="Times New Roman"/>
      <family val="1"/>
    </font>
    <font>
      <sz val="12"/>
      <name val="Arial"/>
      <family val="2"/>
    </font>
    <font>
      <sz val="10"/>
      <name val="MS Sans Serif"/>
      <family val="2"/>
    </font>
    <font>
      <sz val="9"/>
      <name val="新細明體"/>
      <family val="1"/>
      <charset val="136"/>
    </font>
    <font>
      <b/>
      <sz val="12"/>
      <color indexed="50"/>
      <name val="Times New Roman"/>
      <family val="1"/>
    </font>
    <font>
      <b/>
      <sz val="12"/>
      <color indexed="16"/>
      <name val="Times New Roman"/>
      <family val="1"/>
    </font>
    <font>
      <b/>
      <sz val="12"/>
      <color indexed="56"/>
      <name val="Times New Roman"/>
      <family val="1"/>
    </font>
    <font>
      <b/>
      <sz val="12"/>
      <color indexed="20"/>
      <name val="Times New Roman"/>
      <family val="1"/>
    </font>
    <font>
      <b/>
      <sz val="12"/>
      <color indexed="56"/>
      <name val="Arial"/>
      <family val="2"/>
    </font>
    <font>
      <b/>
      <sz val="12"/>
      <color indexed="50"/>
      <name val="Arial"/>
      <family val="2"/>
    </font>
    <font>
      <b/>
      <sz val="12"/>
      <color indexed="20"/>
      <name val="Arial"/>
      <family val="2"/>
    </font>
    <font>
      <b/>
      <sz val="12"/>
      <color indexed="16"/>
      <name val="Arial"/>
      <family val="2"/>
    </font>
    <font>
      <b/>
      <sz val="12"/>
      <color indexed="10"/>
      <name val="Arial"/>
      <family val="2"/>
    </font>
    <font>
      <b/>
      <sz val="12"/>
      <color indexed="17"/>
      <name val="Arial"/>
      <family val="2"/>
    </font>
    <font>
      <b/>
      <sz val="12"/>
      <color indexed="12"/>
      <name val="Times New Roman"/>
      <family val="1"/>
    </font>
    <font>
      <b/>
      <sz val="12"/>
      <color indexed="10"/>
      <name val="Times New Roman"/>
      <family val="1"/>
    </font>
    <font>
      <b/>
      <sz val="12"/>
      <color indexed="18"/>
      <name val="Times New Roman"/>
      <family val="1"/>
    </font>
    <font>
      <sz val="12"/>
      <color indexed="9"/>
      <name val="新細明體"/>
      <family val="1"/>
      <charset val="136"/>
    </font>
    <font>
      <sz val="11"/>
      <name val="新細明體"/>
      <family val="1"/>
      <charset val="136"/>
    </font>
    <font>
      <sz val="12"/>
      <color indexed="10"/>
      <name val="新細明體"/>
      <family val="1"/>
      <charset val="136"/>
    </font>
    <font>
      <sz val="12"/>
      <name val="細明體"/>
      <family val="3"/>
      <charset val="136"/>
    </font>
    <font>
      <sz val="9"/>
      <name val="細明體"/>
      <family val="3"/>
      <charset val="136"/>
    </font>
    <font>
      <b/>
      <sz val="12"/>
      <name val="細明體"/>
      <family val="3"/>
      <charset val="136"/>
    </font>
    <font>
      <b/>
      <sz val="12"/>
      <name val="Arial"/>
      <family val="2"/>
    </font>
    <font>
      <sz val="12"/>
      <color indexed="9"/>
      <name val="Times New Roman"/>
      <family val="1"/>
    </font>
    <font>
      <sz val="12"/>
      <color indexed="9"/>
      <name val="Arial"/>
      <family val="2"/>
    </font>
    <font>
      <b/>
      <sz val="12"/>
      <color indexed="9"/>
      <name val="細明體"/>
      <family val="3"/>
      <charset val="136"/>
    </font>
    <font>
      <sz val="12"/>
      <color indexed="8"/>
      <name val="新細明體"/>
      <family val="1"/>
      <charset val="136"/>
    </font>
    <font>
      <sz val="12"/>
      <color indexed="8"/>
      <name val="Calibri"/>
      <family val="2"/>
    </font>
    <font>
      <b/>
      <sz val="12"/>
      <name val="Times New Roman"/>
      <family val="1"/>
    </font>
    <font>
      <sz val="14"/>
      <name val="新細明體"/>
      <family val="1"/>
      <charset val="136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細明體"/>
      <family val="3"/>
      <charset val="136"/>
    </font>
    <font>
      <sz val="9"/>
      <color indexed="81"/>
      <name val="細明體"/>
      <family val="3"/>
      <charset val="136"/>
    </font>
    <font>
      <sz val="12"/>
      <color rgb="FF00000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50"/>
      </left>
      <right style="medium">
        <color indexed="50"/>
      </right>
      <top style="medium">
        <color indexed="50"/>
      </top>
      <bottom style="medium">
        <color indexed="50"/>
      </bottom>
      <diagonal/>
    </border>
    <border>
      <left style="medium">
        <color indexed="50"/>
      </left>
      <right style="medium">
        <color indexed="50"/>
      </right>
      <top/>
      <bottom style="medium">
        <color indexed="50"/>
      </bottom>
      <diagonal/>
    </border>
    <border>
      <left style="medium">
        <color indexed="20"/>
      </left>
      <right style="medium">
        <color indexed="20"/>
      </right>
      <top style="medium">
        <color indexed="20"/>
      </top>
      <bottom style="medium">
        <color indexed="20"/>
      </bottom>
      <diagonal/>
    </border>
    <border>
      <left style="medium">
        <color indexed="20"/>
      </left>
      <right style="medium">
        <color indexed="20"/>
      </right>
      <top/>
      <bottom style="medium">
        <color indexed="20"/>
      </bottom>
      <diagonal/>
    </border>
    <border>
      <left style="medium">
        <color indexed="56"/>
      </left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medium">
        <color indexed="56"/>
      </left>
      <right style="medium">
        <color indexed="56"/>
      </right>
      <top style="medium">
        <color indexed="56"/>
      </top>
      <bottom/>
      <diagonal/>
    </border>
    <border>
      <left style="medium">
        <color indexed="16"/>
      </left>
      <right style="medium">
        <color indexed="16"/>
      </right>
      <top style="medium">
        <color indexed="16"/>
      </top>
      <bottom/>
      <diagonal/>
    </border>
    <border>
      <left style="medium">
        <color indexed="20"/>
      </left>
      <right style="medium">
        <color indexed="20"/>
      </right>
      <top style="medium">
        <color indexed="20"/>
      </top>
      <bottom/>
      <diagonal/>
    </border>
    <border>
      <left style="medium">
        <color indexed="56"/>
      </left>
      <right style="medium">
        <color indexed="56"/>
      </right>
      <top/>
      <bottom style="medium">
        <color indexed="56"/>
      </bottom>
      <diagonal/>
    </border>
    <border>
      <left style="medium">
        <color indexed="56"/>
      </left>
      <right style="medium">
        <color indexed="56"/>
      </right>
      <top/>
      <bottom/>
      <diagonal/>
    </border>
    <border>
      <left style="medium">
        <color indexed="16"/>
      </left>
      <right style="medium">
        <color indexed="16"/>
      </right>
      <top style="medium">
        <color indexed="16"/>
      </top>
      <bottom style="medium">
        <color indexed="16"/>
      </bottom>
      <diagonal/>
    </border>
    <border>
      <left style="medium">
        <color indexed="50"/>
      </left>
      <right style="medium">
        <color indexed="50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16"/>
      </left>
      <right style="medium">
        <color indexed="16"/>
      </right>
      <top style="medium">
        <color indexed="56"/>
      </top>
      <bottom style="medium">
        <color indexed="16"/>
      </bottom>
      <diagonal/>
    </border>
    <border>
      <left style="medium">
        <color indexed="50"/>
      </left>
      <right style="medium">
        <color indexed="50"/>
      </right>
      <top style="medium">
        <color indexed="20"/>
      </top>
      <bottom/>
      <diagonal/>
    </border>
    <border>
      <left style="medium">
        <color indexed="12"/>
      </left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 style="medium">
        <color indexed="12"/>
      </right>
      <top/>
      <bottom/>
      <diagonal/>
    </border>
    <border>
      <left style="medium">
        <color indexed="12"/>
      </left>
      <right style="medium">
        <color indexed="12"/>
      </right>
      <top/>
      <bottom style="medium">
        <color indexed="12"/>
      </bottom>
      <diagonal/>
    </border>
    <border>
      <left style="medium">
        <color indexed="50"/>
      </left>
      <right style="medium">
        <color indexed="50"/>
      </right>
      <top style="medium">
        <color indexed="12"/>
      </top>
      <bottom style="medium">
        <color indexed="50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/>
      <diagonal/>
    </border>
    <border>
      <left style="medium">
        <color indexed="62"/>
      </left>
      <right style="medium">
        <color indexed="62"/>
      </right>
      <top style="medium">
        <color indexed="62"/>
      </top>
      <bottom style="medium">
        <color indexed="6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10"/>
      </left>
      <right/>
      <top style="medium">
        <color indexed="64"/>
      </top>
      <bottom/>
      <diagonal/>
    </border>
    <border>
      <left style="thin">
        <color indexed="10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10"/>
      </top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 style="thin">
        <color indexed="10"/>
      </left>
      <right style="medium">
        <color indexed="64"/>
      </right>
      <top style="thin">
        <color indexed="10"/>
      </top>
      <bottom/>
      <diagonal/>
    </border>
    <border>
      <left style="medium">
        <color indexed="64"/>
      </left>
      <right/>
      <top style="thin">
        <color indexed="10"/>
      </top>
      <bottom style="medium">
        <color indexed="64"/>
      </bottom>
      <diagonal/>
    </border>
    <border>
      <left style="thin">
        <color indexed="10"/>
      </left>
      <right/>
      <top style="thin">
        <color indexed="10"/>
      </top>
      <bottom style="medium">
        <color indexed="64"/>
      </bottom>
      <diagonal/>
    </border>
    <border>
      <left style="thin">
        <color indexed="10"/>
      </left>
      <right style="medium">
        <color indexed="64"/>
      </right>
      <top style="thin">
        <color indexed="10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10"/>
      </left>
      <right/>
      <top style="thick">
        <color indexed="10"/>
      </top>
      <bottom/>
      <diagonal/>
    </border>
    <border>
      <left style="thin">
        <color indexed="10"/>
      </left>
      <right/>
      <top style="thick">
        <color indexed="10"/>
      </top>
      <bottom/>
      <diagonal/>
    </border>
    <border>
      <left style="thin">
        <color indexed="10"/>
      </left>
      <right style="thick">
        <color indexed="10"/>
      </right>
      <top style="thick">
        <color indexed="10"/>
      </top>
      <bottom/>
      <diagonal/>
    </border>
    <border>
      <left style="thick">
        <color indexed="10"/>
      </left>
      <right/>
      <top style="thin">
        <color indexed="10"/>
      </top>
      <bottom/>
      <diagonal/>
    </border>
    <border>
      <left style="thin">
        <color indexed="10"/>
      </left>
      <right style="thick">
        <color indexed="10"/>
      </right>
      <top style="thin">
        <color indexed="10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10"/>
      </left>
      <right/>
      <top style="medium">
        <color indexed="64"/>
      </top>
      <bottom style="medium">
        <color indexed="64"/>
      </bottom>
      <diagonal/>
    </border>
    <border>
      <left style="thin">
        <color indexed="1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10"/>
      </left>
      <right/>
      <top style="thin">
        <color indexed="10"/>
      </top>
      <bottom style="thick">
        <color indexed="10"/>
      </bottom>
      <diagonal/>
    </border>
    <border>
      <left style="medium">
        <color indexed="50"/>
      </left>
      <right style="medium">
        <color indexed="50"/>
      </right>
      <top style="medium">
        <color indexed="20"/>
      </top>
      <bottom style="medium">
        <color indexed="50"/>
      </bottom>
      <diagonal/>
    </border>
  </borders>
  <cellStyleXfs count="7">
    <xf numFmtId="0" fontId="0" fillId="0" borderId="0"/>
    <xf numFmtId="0" fontId="2" fillId="0" borderId="0">
      <alignment vertical="center"/>
    </xf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/>
    <xf numFmtId="177" fontId="5" fillId="0" borderId="0" applyFont="0" applyFill="0" applyBorder="0" applyAlignment="0" applyProtection="0"/>
  </cellStyleXfs>
  <cellXfs count="131">
    <xf numFmtId="0" fontId="0" fillId="0" borderId="0" xfId="0"/>
    <xf numFmtId="0" fontId="0" fillId="0" borderId="0" xfId="0" applyAlignment="1">
      <alignment horizontal="right"/>
    </xf>
    <xf numFmtId="10" fontId="0" fillId="0" borderId="0" xfId="0" applyNumberFormat="1"/>
    <xf numFmtId="8" fontId="0" fillId="0" borderId="0" xfId="0" applyNumberFormat="1"/>
    <xf numFmtId="9" fontId="0" fillId="0" borderId="0" xfId="0" applyNumberFormat="1"/>
    <xf numFmtId="9" fontId="0" fillId="0" borderId="0" xfId="3" applyFont="1"/>
    <xf numFmtId="180" fontId="0" fillId="0" borderId="0" xfId="2" applyNumberFormat="1" applyFont="1"/>
    <xf numFmtId="0" fontId="0" fillId="0" borderId="0" xfId="0" applyAlignment="1">
      <alignment horizontal="left"/>
    </xf>
    <xf numFmtId="0" fontId="3" fillId="0" borderId="0" xfId="0" quotePrefix="1" applyFont="1"/>
    <xf numFmtId="0" fontId="0" fillId="2" borderId="1" xfId="0" applyFill="1" applyBorder="1"/>
    <xf numFmtId="6" fontId="0" fillId="0" borderId="0" xfId="0" applyNumberFormat="1"/>
    <xf numFmtId="181" fontId="0" fillId="0" borderId="0" xfId="0" applyNumberForma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0" fontId="0" fillId="0" borderId="6" xfId="0" applyNumberFormat="1" applyBorder="1"/>
    <xf numFmtId="10" fontId="0" fillId="0" borderId="7" xfId="0" applyNumberFormat="1" applyBorder="1"/>
    <xf numFmtId="181" fontId="0" fillId="0" borderId="8" xfId="0" applyNumberFormat="1" applyBorder="1"/>
    <xf numFmtId="181" fontId="0" fillId="0" borderId="9" xfId="0" applyNumberFormat="1" applyBorder="1"/>
    <xf numFmtId="0" fontId="4" fillId="0" borderId="0" xfId="0" quotePrefix="1" applyFont="1"/>
    <xf numFmtId="10" fontId="0" fillId="0" borderId="0" xfId="0" applyNumberFormat="1" applyBorder="1"/>
    <xf numFmtId="0" fontId="0" fillId="0" borderId="0" xfId="0" applyBorder="1"/>
    <xf numFmtId="181" fontId="0" fillId="0" borderId="0" xfId="0" applyNumberFormat="1" applyBorder="1"/>
    <xf numFmtId="179" fontId="0" fillId="0" borderId="0" xfId="0" applyNumberFormat="1"/>
    <xf numFmtId="0" fontId="0" fillId="0" borderId="6" xfId="0" applyBorder="1"/>
    <xf numFmtId="0" fontId="0" fillId="0" borderId="10" xfId="0" applyBorder="1"/>
    <xf numFmtId="0" fontId="0" fillId="0" borderId="11" xfId="0" applyBorder="1"/>
    <xf numFmtId="0" fontId="0" fillId="0" borderId="9" xfId="0" applyBorder="1"/>
    <xf numFmtId="0" fontId="0" fillId="0" borderId="12" xfId="0" applyBorder="1"/>
    <xf numFmtId="0" fontId="0" fillId="0" borderId="13" xfId="0" applyBorder="1"/>
    <xf numFmtId="6" fontId="0" fillId="2" borderId="14" xfId="0" applyNumberFormat="1" applyFill="1" applyBorder="1"/>
    <xf numFmtId="179" fontId="0" fillId="2" borderId="14" xfId="0" applyNumberFormat="1" applyFill="1" applyBorder="1"/>
    <xf numFmtId="0" fontId="0" fillId="0" borderId="15" xfId="0" applyBorder="1"/>
    <xf numFmtId="0" fontId="0" fillId="2" borderId="14" xfId="0" applyFill="1" applyBorder="1"/>
    <xf numFmtId="9" fontId="0" fillId="0" borderId="6" xfId="0" applyNumberFormat="1" applyBorder="1"/>
    <xf numFmtId="9" fontId="0" fillId="0" borderId="10" xfId="0" applyNumberFormat="1" applyBorder="1"/>
    <xf numFmtId="9" fontId="0" fillId="0" borderId="7" xfId="0" applyNumberFormat="1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179" fontId="1" fillId="2" borderId="1" xfId="0" applyNumberFormat="1" applyFont="1" applyFill="1" applyBorder="1"/>
    <xf numFmtId="183" fontId="0" fillId="3" borderId="1" xfId="0" applyNumberFormat="1" applyFill="1" applyBorder="1" applyAlignment="1">
      <alignment horizontal="left"/>
    </xf>
    <xf numFmtId="8" fontId="0" fillId="3" borderId="1" xfId="0" applyNumberFormat="1" applyFill="1" applyBorder="1"/>
    <xf numFmtId="0" fontId="3" fillId="2" borderId="1" xfId="0" applyFont="1" applyFill="1" applyBorder="1" applyAlignment="1">
      <alignment horizontal="right"/>
    </xf>
    <xf numFmtId="182" fontId="0" fillId="2" borderId="14" xfId="0" applyNumberFormat="1" applyFill="1" applyBorder="1"/>
    <xf numFmtId="178" fontId="3" fillId="0" borderId="10" xfId="0" applyNumberFormat="1" applyFont="1" applyBorder="1"/>
    <xf numFmtId="1" fontId="0" fillId="2" borderId="14" xfId="2" applyNumberFormat="1" applyFont="1" applyFill="1" applyBorder="1"/>
    <xf numFmtId="0" fontId="0" fillId="0" borderId="21" xfId="0" applyBorder="1"/>
    <xf numFmtId="0" fontId="0" fillId="0" borderId="22" xfId="0" applyBorder="1" applyAlignment="1">
      <alignment horizontal="right"/>
    </xf>
    <xf numFmtId="182" fontId="0" fillId="2" borderId="23" xfId="0" applyNumberFormat="1" applyFill="1" applyBorder="1"/>
    <xf numFmtId="0" fontId="20" fillId="0" borderId="0" xfId="0" applyNumberFormat="1" applyFont="1" applyBorder="1"/>
    <xf numFmtId="0" fontId="2" fillId="0" borderId="0" xfId="0" applyFont="1" applyFill="1" applyBorder="1"/>
    <xf numFmtId="0" fontId="0" fillId="4" borderId="1" xfId="0" applyFill="1" applyBorder="1"/>
    <xf numFmtId="43" fontId="0" fillId="0" borderId="1" xfId="2" applyFont="1" applyFill="1" applyBorder="1"/>
    <xf numFmtId="0" fontId="0" fillId="0" borderId="1" xfId="0" applyFill="1" applyBorder="1"/>
    <xf numFmtId="183" fontId="21" fillId="3" borderId="1" xfId="0" applyNumberFormat="1" applyFont="1" applyFill="1" applyBorder="1" applyAlignment="1">
      <alignment horizontal="left"/>
    </xf>
    <xf numFmtId="0" fontId="23" fillId="0" borderId="0" xfId="0" applyFont="1"/>
    <xf numFmtId="0" fontId="25" fillId="0" borderId="0" xfId="0" applyFont="1"/>
    <xf numFmtId="0" fontId="25" fillId="0" borderId="0" xfId="0" applyFont="1" applyAlignment="1">
      <alignment horizontal="center"/>
    </xf>
    <xf numFmtId="10" fontId="26" fillId="0" borderId="0" xfId="3" applyNumberFormat="1" applyFont="1" applyAlignment="1">
      <alignment horizontal="center"/>
    </xf>
    <xf numFmtId="0" fontId="27" fillId="0" borderId="0" xfId="0" applyFont="1"/>
    <xf numFmtId="177" fontId="26" fillId="0" borderId="0" xfId="0" applyNumberFormat="1" applyFont="1"/>
    <xf numFmtId="0" fontId="25" fillId="0" borderId="24" xfId="0" applyFont="1" applyBorder="1" applyAlignment="1">
      <alignment horizontal="center"/>
    </xf>
    <xf numFmtId="0" fontId="25" fillId="0" borderId="25" xfId="0" applyFont="1" applyBorder="1" applyAlignment="1">
      <alignment horizontal="center"/>
    </xf>
    <xf numFmtId="0" fontId="25" fillId="0" borderId="26" xfId="0" applyFont="1" applyBorder="1" applyAlignment="1">
      <alignment horizontal="center"/>
    </xf>
    <xf numFmtId="0" fontId="0" fillId="0" borderId="27" xfId="0" applyBorder="1" applyAlignment="1">
      <alignment horizontal="center"/>
    </xf>
    <xf numFmtId="176" fontId="4" fillId="5" borderId="28" xfId="0" applyNumberFormat="1" applyFont="1" applyFill="1" applyBorder="1"/>
    <xf numFmtId="176" fontId="28" fillId="5" borderId="29" xfId="0" applyNumberFormat="1" applyFont="1" applyFill="1" applyBorder="1"/>
    <xf numFmtId="9" fontId="26" fillId="0" borderId="0" xfId="3" applyFont="1" applyAlignment="1">
      <alignment horizontal="center"/>
    </xf>
    <xf numFmtId="0" fontId="23" fillId="0" borderId="27" xfId="0" applyFont="1" applyBorder="1" applyAlignment="1">
      <alignment horizontal="center"/>
    </xf>
    <xf numFmtId="176" fontId="4" fillId="5" borderId="29" xfId="0" applyNumberFormat="1" applyFont="1" applyFill="1" applyBorder="1"/>
    <xf numFmtId="0" fontId="23" fillId="0" borderId="30" xfId="0" applyFont="1" applyBorder="1" applyAlignment="1">
      <alignment horizontal="center"/>
    </xf>
    <xf numFmtId="176" fontId="4" fillId="5" borderId="31" xfId="0" applyNumberFormat="1" applyFont="1" applyFill="1" applyBorder="1"/>
    <xf numFmtId="176" fontId="4" fillId="5" borderId="32" xfId="0" applyNumberFormat="1" applyFont="1" applyFill="1" applyBorder="1"/>
    <xf numFmtId="0" fontId="29" fillId="6" borderId="33" xfId="0" applyFont="1" applyFill="1" applyBorder="1" applyAlignment="1">
      <alignment horizontal="left"/>
    </xf>
    <xf numFmtId="0" fontId="0" fillId="0" borderId="34" xfId="0" applyBorder="1" applyAlignment="1">
      <alignment horizontal="center"/>
    </xf>
    <xf numFmtId="0" fontId="29" fillId="6" borderId="35" xfId="0" applyFont="1" applyFill="1" applyBorder="1" applyAlignment="1">
      <alignment horizontal="left"/>
    </xf>
    <xf numFmtId="184" fontId="0" fillId="0" borderId="36" xfId="2" applyNumberFormat="1" applyFont="1" applyBorder="1"/>
    <xf numFmtId="10" fontId="0" fillId="7" borderId="36" xfId="0" applyNumberFormat="1" applyFill="1" applyBorder="1"/>
    <xf numFmtId="10" fontId="0" fillId="0" borderId="36" xfId="3" applyNumberFormat="1" applyFont="1" applyBorder="1"/>
    <xf numFmtId="0" fontId="0" fillId="7" borderId="36" xfId="0" applyFill="1" applyBorder="1"/>
    <xf numFmtId="0" fontId="0" fillId="0" borderId="36" xfId="0" applyBorder="1"/>
    <xf numFmtId="0" fontId="29" fillId="6" borderId="37" xfId="0" applyFont="1" applyFill="1" applyBorder="1" applyAlignment="1">
      <alignment horizontal="left"/>
    </xf>
    <xf numFmtId="6" fontId="0" fillId="0" borderId="38" xfId="0" applyNumberFormat="1" applyBorder="1"/>
    <xf numFmtId="0" fontId="3" fillId="0" borderId="0" xfId="0" applyFont="1"/>
    <xf numFmtId="0" fontId="25" fillId="0" borderId="39" xfId="0" applyFont="1" applyBorder="1" applyAlignment="1">
      <alignment horizontal="center"/>
    </xf>
    <xf numFmtId="0" fontId="25" fillId="0" borderId="40" xfId="0" applyFont="1" applyBorder="1" applyAlignment="1">
      <alignment horizontal="center"/>
    </xf>
    <xf numFmtId="0" fontId="25" fillId="0" borderId="41" xfId="0" applyFont="1" applyBorder="1" applyAlignment="1">
      <alignment horizontal="center"/>
    </xf>
    <xf numFmtId="0" fontId="0" fillId="0" borderId="42" xfId="0" applyBorder="1" applyAlignment="1">
      <alignment horizontal="center"/>
    </xf>
    <xf numFmtId="0" fontId="23" fillId="5" borderId="28" xfId="0" applyFont="1" applyFill="1" applyBorder="1"/>
    <xf numFmtId="177" fontId="23" fillId="5" borderId="28" xfId="0" applyNumberFormat="1" applyFont="1" applyFill="1" applyBorder="1"/>
    <xf numFmtId="6" fontId="23" fillId="5" borderId="43" xfId="0" applyNumberFormat="1" applyFont="1" applyFill="1" applyBorder="1"/>
    <xf numFmtId="0" fontId="23" fillId="0" borderId="42" xfId="0" applyFont="1" applyBorder="1" applyAlignment="1">
      <alignment horizontal="center"/>
    </xf>
    <xf numFmtId="6" fontId="23" fillId="8" borderId="44" xfId="0" applyNumberFormat="1" applyFont="1" applyFill="1" applyBorder="1"/>
    <xf numFmtId="6" fontId="23" fillId="8" borderId="45" xfId="0" applyNumberFormat="1" applyFont="1" applyFill="1" applyBorder="1"/>
    <xf numFmtId="6" fontId="23" fillId="8" borderId="46" xfId="0" applyNumberFormat="1" applyFont="1" applyFill="1" applyBorder="1"/>
    <xf numFmtId="0" fontId="0" fillId="8" borderId="42" xfId="0" applyFill="1" applyBorder="1" applyAlignment="1">
      <alignment horizontal="center"/>
    </xf>
    <xf numFmtId="0" fontId="23" fillId="8" borderId="42" xfId="0" applyFont="1" applyFill="1" applyBorder="1" applyAlignment="1">
      <alignment horizontal="center"/>
    </xf>
    <xf numFmtId="0" fontId="23" fillId="8" borderId="47" xfId="0" applyFont="1" applyFill="1" applyBorder="1" applyAlignment="1">
      <alignment horizontal="center"/>
    </xf>
    <xf numFmtId="0" fontId="0" fillId="0" borderId="1" xfId="0" applyBorder="1"/>
    <xf numFmtId="0" fontId="38" fillId="0" borderId="0" xfId="0" applyFont="1" applyAlignment="1">
      <alignment vertical="top" wrapText="1" readingOrder="1"/>
    </xf>
    <xf numFmtId="3" fontId="0" fillId="0" borderId="0" xfId="0" applyNumberFormat="1"/>
    <xf numFmtId="0" fontId="1" fillId="0" borderId="0" xfId="0" quotePrefix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/>
    <xf numFmtId="0" fontId="0" fillId="0" borderId="0" xfId="1" applyFont="1">
      <alignment vertical="center"/>
    </xf>
    <xf numFmtId="0" fontId="0" fillId="2" borderId="0" xfId="1" applyFont="1" applyFill="1">
      <alignment vertical="center"/>
    </xf>
    <xf numFmtId="178" fontId="0" fillId="0" borderId="0" xfId="4" applyNumberFormat="1" applyFont="1">
      <alignment vertical="center"/>
    </xf>
    <xf numFmtId="6" fontId="0" fillId="9" borderId="0" xfId="1" applyNumberFormat="1" applyFont="1" applyFill="1">
      <alignment vertical="center"/>
    </xf>
    <xf numFmtId="6" fontId="0" fillId="0" borderId="0" xfId="1" applyNumberFormat="1" applyFont="1">
      <alignment vertical="center"/>
    </xf>
    <xf numFmtId="0" fontId="22" fillId="0" borderId="0" xfId="1" applyFont="1">
      <alignment vertical="center"/>
    </xf>
    <xf numFmtId="180" fontId="0" fillId="0" borderId="1" xfId="2" applyNumberFormat="1" applyFont="1" applyBorder="1"/>
    <xf numFmtId="10" fontId="0" fillId="0" borderId="1" xfId="0" applyNumberFormat="1" applyBorder="1"/>
    <xf numFmtId="3" fontId="0" fillId="0" borderId="1" xfId="0" applyNumberFormat="1" applyBorder="1"/>
    <xf numFmtId="186" fontId="0" fillId="0" borderId="1" xfId="0" applyNumberFormat="1" applyBorder="1"/>
    <xf numFmtId="8" fontId="0" fillId="0" borderId="1" xfId="0" applyNumberFormat="1" applyBorder="1"/>
    <xf numFmtId="0" fontId="38" fillId="0" borderId="0" xfId="0" applyFont="1" applyAlignment="1">
      <alignment horizontal="left" readingOrder="1"/>
    </xf>
    <xf numFmtId="185" fontId="0" fillId="0" borderId="0" xfId="5" applyNumberFormat="1" applyFont="1"/>
    <xf numFmtId="0" fontId="0" fillId="10" borderId="0" xfId="0" applyFill="1"/>
    <xf numFmtId="0" fontId="0" fillId="10" borderId="1" xfId="0" applyFill="1" applyBorder="1"/>
    <xf numFmtId="0" fontId="0" fillId="11" borderId="1" xfId="0" applyFill="1" applyBorder="1"/>
    <xf numFmtId="8" fontId="0" fillId="12" borderId="1" xfId="0" applyNumberFormat="1" applyFill="1" applyBorder="1"/>
    <xf numFmtId="6" fontId="0" fillId="0" borderId="0" xfId="1" applyNumberFormat="1" applyFont="1" applyFill="1">
      <alignment vertical="center"/>
    </xf>
    <xf numFmtId="187" fontId="0" fillId="0" borderId="0" xfId="0" applyNumberFormat="1"/>
    <xf numFmtId="0" fontId="20" fillId="0" borderId="0" xfId="0" applyFont="1"/>
    <xf numFmtId="0" fontId="0" fillId="0" borderId="48" xfId="0" applyBorder="1"/>
    <xf numFmtId="0" fontId="2" fillId="0" borderId="0" xfId="0" applyFont="1"/>
    <xf numFmtId="0" fontId="33" fillId="0" borderId="0" xfId="1" applyFont="1" applyAlignment="1">
      <alignment horizontal="center" vertical="center"/>
    </xf>
  </cellXfs>
  <cellStyles count="7">
    <cellStyle name="一般" xfId="0" builtinId="0"/>
    <cellStyle name="一般 2" xfId="1" xr:uid="{00000000-0005-0000-0000-000001000000}"/>
    <cellStyle name="千分位" xfId="2" builtinId="3"/>
    <cellStyle name="百分比" xfId="3" builtinId="5"/>
    <cellStyle name="百分比 2" xfId="4" xr:uid="{00000000-0005-0000-0000-000004000000}"/>
    <cellStyle name="貨幣" xfId="5" builtinId="4"/>
    <cellStyle name="貨幣[0]_全球業績報表" xfId="6" xr:uid="{00000000-0005-0000-0000-000006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ctrlProps/ctrlProp1.xml><?xml version="1.0" encoding="utf-8"?>
<formControlPr xmlns="http://schemas.microsoft.com/office/spreadsheetml/2009/9/main" objectType="Spin" dx="15" fmlaLink="$C$2" max="900" min="200" page="10" val="438"/>
</file>

<file path=xl/ctrlProps/ctrlProp2.xml><?xml version="1.0" encoding="utf-8"?>
<formControlPr xmlns="http://schemas.microsoft.com/office/spreadsheetml/2009/9/main" objectType="Spin" dx="15" fmlaLink="$C$2" max="900" min="200" page="10" val="203"/>
</file>

<file path=xl/ctrlProps/ctrlProp3.xml><?xml version="1.0" encoding="utf-8"?>
<formControlPr xmlns="http://schemas.microsoft.com/office/spreadsheetml/2009/9/main" objectType="Spin" dx="15" fmlaLink="$B$6" max="240" min="1" page="10" val="11"/>
</file>

<file path=xl/ctrlProps/ctrlProp4.xml><?xml version="1.0" encoding="utf-8"?>
<formControlPr xmlns="http://schemas.microsoft.com/office/spreadsheetml/2009/9/main" objectType="Spin" dx="15" fmlaLink="$I$5" max="900" min="1" page="10" val="298"/>
</file>

<file path=xl/ctrlProps/ctrlProp5.xml><?xml version="1.0" encoding="utf-8"?>
<formControlPr xmlns="http://schemas.microsoft.com/office/spreadsheetml/2009/9/main" objectType="Spin" dx="15" fmlaLink="$C$7" max="4" min="1" page="10"/>
</file>

<file path=xl/ctrlProps/ctrlProp6.xml><?xml version="1.0" encoding="utf-8"?>
<formControlPr xmlns="http://schemas.microsoft.com/office/spreadsheetml/2009/9/main" objectType="Spin" dx="15" fmlaLink="$Q$10" max="500" min="100" page="10" val="279"/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5</xdr:row>
      <xdr:rowOff>47625</xdr:rowOff>
    </xdr:from>
    <xdr:ext cx="1752600" cy="247650"/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2409825" y="1133475"/>
          <a:ext cx="175260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7432" rIns="0" bIns="0" anchor="t" upright="1">
          <a:spAutoFit/>
        </a:bodyPr>
        <a:lstStyle/>
        <a:p>
          <a:pPr algn="l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新細明體"/>
              <a:ea typeface="新細明體"/>
            </a:rPr>
            <a:t>傳回某項投資的年金現值</a:t>
          </a: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9525</xdr:colOff>
          <xdr:row>1</xdr:row>
          <xdr:rowOff>9525</xdr:rowOff>
        </xdr:from>
        <xdr:to>
          <xdr:col>2</xdr:col>
          <xdr:colOff>200025</xdr:colOff>
          <xdr:row>2</xdr:row>
          <xdr:rowOff>0</xdr:rowOff>
        </xdr:to>
        <xdr:sp macro="" textlink="">
          <xdr:nvSpPr>
            <xdr:cNvPr id="22529" name="Spinner 1" hidden="1">
              <a:extLst>
                <a:ext uri="{63B3BB69-23CF-44E3-9099-C40C66FF867C}">
                  <a14:compatExt spid="_x0000_s22529"/>
                </a:ext>
                <a:ext uri="{FF2B5EF4-FFF2-40B4-BE49-F238E27FC236}">
                  <a16:creationId xmlns:a16="http://schemas.microsoft.com/office/drawing/2014/main" id="{00000000-0008-0000-0000-000001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10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19050</xdr:colOff>
          <xdr:row>6</xdr:row>
          <xdr:rowOff>9525</xdr:rowOff>
        </xdr:from>
        <xdr:to>
          <xdr:col>3</xdr:col>
          <xdr:colOff>190500</xdr:colOff>
          <xdr:row>7</xdr:row>
          <xdr:rowOff>0</xdr:rowOff>
        </xdr:to>
        <xdr:sp macro="" textlink="">
          <xdr:nvSpPr>
            <xdr:cNvPr id="10241" name="Spinner 1" hidden="1">
              <a:extLst>
                <a:ext uri="{63B3BB69-23CF-44E3-9099-C40C66FF867C}">
                  <a14:compatExt spid="_x0000_s10241"/>
                </a:ext>
                <a:ext uri="{FF2B5EF4-FFF2-40B4-BE49-F238E27FC236}">
                  <a16:creationId xmlns:a16="http://schemas.microsoft.com/office/drawing/2014/main" id="{00000000-0008-0000-1500-000001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9525</xdr:colOff>
          <xdr:row>4</xdr:row>
          <xdr:rowOff>0</xdr:rowOff>
        </xdr:from>
        <xdr:to>
          <xdr:col>3</xdr:col>
          <xdr:colOff>180975</xdr:colOff>
          <xdr:row>5</xdr:row>
          <xdr:rowOff>28575</xdr:rowOff>
        </xdr:to>
        <xdr:sp macro="" textlink="">
          <xdr:nvSpPr>
            <xdr:cNvPr id="10242" name="Spinner 2" hidden="1">
              <a:extLst>
                <a:ext uri="{63B3BB69-23CF-44E3-9099-C40C66FF867C}">
                  <a14:compatExt spid="_x0000_s10242"/>
                </a:ext>
                <a:ext uri="{FF2B5EF4-FFF2-40B4-BE49-F238E27FC236}">
                  <a16:creationId xmlns:a16="http://schemas.microsoft.com/office/drawing/2014/main" id="{00000000-0008-0000-1500-000002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28575</xdr:colOff>
      <xdr:row>4</xdr:row>
      <xdr:rowOff>9525</xdr:rowOff>
    </xdr:from>
    <xdr:ext cx="1447800" cy="247650"/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>
          <a:spLocks noChangeArrowheads="1"/>
        </xdr:cNvSpPr>
      </xdr:nvSpPr>
      <xdr:spPr bwMode="auto">
        <a:xfrm>
          <a:off x="2333625" y="876300"/>
          <a:ext cx="144780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7432" rIns="0" bIns="0" anchor="t" upright="1">
          <a:spAutoFit/>
        </a:bodyPr>
        <a:lstStyle/>
        <a:p>
          <a:pPr algn="l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新細明體"/>
              <a:ea typeface="新細明體"/>
            </a:rPr>
            <a:t>傳回年金每期的利率 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66675</xdr:colOff>
      <xdr:row>4</xdr:row>
      <xdr:rowOff>161925</xdr:rowOff>
    </xdr:from>
    <xdr:ext cx="3819525" cy="247650"/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>
          <a:spLocks noChangeArrowheads="1"/>
        </xdr:cNvSpPr>
      </xdr:nvSpPr>
      <xdr:spPr bwMode="auto">
        <a:xfrm>
          <a:off x="3314700" y="1000125"/>
          <a:ext cx="381952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7432" rIns="0" bIns="0" anchor="t" upright="1">
          <a:spAutoFit/>
        </a:bodyPr>
        <a:lstStyle/>
        <a:p>
          <a:pPr algn="l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新細明體"/>
              <a:ea typeface="新細明體"/>
            </a:rPr>
            <a:t>DB 傳回以固定餘額遞減法計算之一定期間內資產的折舊</a:t>
          </a:r>
        </a:p>
      </xdr:txBody>
    </xdr:sp>
    <xdr:clientData/>
  </xdr:oneCellAnchor>
  <xdr:oneCellAnchor>
    <xdr:from>
      <xdr:col>2</xdr:col>
      <xdr:colOff>581025</xdr:colOff>
      <xdr:row>3</xdr:row>
      <xdr:rowOff>66675</xdr:rowOff>
    </xdr:from>
    <xdr:ext cx="4680320" cy="227755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>
          <a:spLocks noChangeArrowheads="1"/>
        </xdr:cNvSpPr>
      </xdr:nvSpPr>
      <xdr:spPr bwMode="auto">
        <a:xfrm>
          <a:off x="2847975" y="695325"/>
          <a:ext cx="4680320" cy="22775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7432" rIns="0" bIns="0" anchor="t" upright="1">
          <a:spAutoFit/>
        </a:bodyPr>
        <a:lstStyle/>
        <a:p>
          <a:pPr algn="l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新細明體"/>
              <a:ea typeface="新細明體"/>
            </a:rPr>
            <a:t>SLN 傳回某項固定資產使用「直線折舊法」計算出來的每期折舊金額 </a:t>
          </a:r>
        </a:p>
      </xdr:txBody>
    </xdr:sp>
    <xdr:clientData/>
  </xdr:oneCellAnchor>
  <xdr:oneCellAnchor>
    <xdr:from>
      <xdr:col>2</xdr:col>
      <xdr:colOff>47625</xdr:colOff>
      <xdr:row>0</xdr:row>
      <xdr:rowOff>142875</xdr:rowOff>
    </xdr:from>
    <xdr:ext cx="3957365" cy="427809"/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 txBox="1">
          <a:spLocks noChangeArrowheads="1"/>
        </xdr:cNvSpPr>
      </xdr:nvSpPr>
      <xdr:spPr bwMode="auto">
        <a:xfrm>
          <a:off x="2314575" y="142875"/>
          <a:ext cx="3957365" cy="427809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7432" rIns="0" bIns="0" anchor="t" upright="1">
          <a:spAutoFit/>
        </a:bodyPr>
        <a:lstStyle/>
        <a:p>
          <a:pPr algn="l" rtl="0">
            <a:lnSpc>
              <a:spcPts val="1400"/>
            </a:lnSpc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新細明體"/>
              <a:ea typeface="新細明體"/>
            </a:rPr>
            <a:t>VDB 傳回某項固定資產某個時段間的折舊數總額，</a:t>
          </a:r>
        </a:p>
        <a:p>
          <a:pPr algn="l" rtl="0">
            <a:lnSpc>
              <a:spcPts val="1400"/>
            </a:lnSpc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新細明體"/>
              <a:ea typeface="新細明體"/>
            </a:rPr>
            <a:t>         折舊係按倍率遞減法或其他您所指定的遞減速率計算 </a:t>
          </a: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5</xdr:row>
      <xdr:rowOff>47625</xdr:rowOff>
    </xdr:from>
    <xdr:ext cx="1711238" cy="227755"/>
    <xdr:sp macro="" textlink="">
      <xdr:nvSpPr>
        <xdr:cNvPr id="4097" name="Text Box 1">
          <a:extLst>
            <a:ext uri="{FF2B5EF4-FFF2-40B4-BE49-F238E27FC236}">
              <a16:creationId xmlns:a16="http://schemas.microsoft.com/office/drawing/2014/main" id="{00000000-0008-0000-0400-000001100000}"/>
            </a:ext>
          </a:extLst>
        </xdr:cNvPr>
        <xdr:cNvSpPr txBox="1">
          <a:spLocks noChangeArrowheads="1"/>
        </xdr:cNvSpPr>
      </xdr:nvSpPr>
      <xdr:spPr bwMode="auto">
        <a:xfrm>
          <a:off x="2409825" y="1123950"/>
          <a:ext cx="1711238" cy="227755"/>
        </a:xfrm>
        <a:prstGeom prst="rect">
          <a:avLst/>
        </a:prstGeom>
        <a:solidFill>
          <a:srgbClr val="FFFF00"/>
        </a:solidFill>
        <a:ln w="9525">
          <a:noFill/>
          <a:miter lim="800000"/>
          <a:headEnd/>
          <a:tailEnd/>
        </a:ln>
      </xdr:spPr>
      <xdr:txBody>
        <a:bodyPr wrap="none" lIns="18288" tIns="27432" rIns="0" bIns="0" anchor="t" upright="1">
          <a:spAutoFit/>
        </a:bodyPr>
        <a:lstStyle/>
        <a:p>
          <a:pPr algn="l" rtl="0">
            <a:defRPr sz="1000"/>
          </a:pPr>
          <a:r>
            <a:rPr lang="zh-TW" altLang="en-US" sz="1200" b="0" i="0" strike="noStrike">
              <a:solidFill>
                <a:srgbClr val="000000"/>
              </a:solidFill>
              <a:latin typeface="新細明體"/>
              <a:ea typeface="新細明體"/>
            </a:rPr>
            <a:t>傳回某項投資的年金現值</a:t>
          </a: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9525</xdr:colOff>
          <xdr:row>1</xdr:row>
          <xdr:rowOff>9525</xdr:rowOff>
        </xdr:from>
        <xdr:to>
          <xdr:col>2</xdr:col>
          <xdr:colOff>200025</xdr:colOff>
          <xdr:row>2</xdr:row>
          <xdr:rowOff>0</xdr:rowOff>
        </xdr:to>
        <xdr:sp macro="" textlink="">
          <xdr:nvSpPr>
            <xdr:cNvPr id="4098" name="Spinner 2" hidden="1">
              <a:extLst>
                <a:ext uri="{63B3BB69-23CF-44E3-9099-C40C66FF867C}">
                  <a14:compatExt spid="_x0000_s4098"/>
                </a:ext>
                <a:ext uri="{FF2B5EF4-FFF2-40B4-BE49-F238E27FC236}">
                  <a16:creationId xmlns:a16="http://schemas.microsoft.com/office/drawing/2014/main" id="{00000000-0008-0000-0400-00000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28575</xdr:colOff>
      <xdr:row>4</xdr:row>
      <xdr:rowOff>28575</xdr:rowOff>
    </xdr:from>
    <xdr:ext cx="3865674" cy="227755"/>
    <xdr:sp macro="" textlink="">
      <xdr:nvSpPr>
        <xdr:cNvPr id="5121" name="Text Box 1">
          <a:extLst>
            <a:ext uri="{FF2B5EF4-FFF2-40B4-BE49-F238E27FC236}">
              <a16:creationId xmlns:a16="http://schemas.microsoft.com/office/drawing/2014/main" id="{00000000-0008-0000-0800-000001140000}"/>
            </a:ext>
          </a:extLst>
        </xdr:cNvPr>
        <xdr:cNvSpPr txBox="1">
          <a:spLocks noChangeArrowheads="1"/>
        </xdr:cNvSpPr>
      </xdr:nvSpPr>
      <xdr:spPr bwMode="auto">
        <a:xfrm>
          <a:off x="2600325" y="895350"/>
          <a:ext cx="3865674" cy="227755"/>
        </a:xfrm>
        <a:prstGeom prst="rect">
          <a:avLst/>
        </a:prstGeom>
        <a:solidFill>
          <a:srgbClr val="FFFF00"/>
        </a:solidFill>
        <a:ln w="9525">
          <a:noFill/>
          <a:miter lim="800000"/>
          <a:headEnd/>
          <a:tailEnd/>
        </a:ln>
      </xdr:spPr>
      <xdr:txBody>
        <a:bodyPr wrap="none" lIns="18288" tIns="27432" rIns="0" bIns="0" anchor="t" upright="1">
          <a:spAutoFit/>
        </a:bodyPr>
        <a:lstStyle/>
        <a:p>
          <a:pPr algn="l" rtl="0">
            <a:defRPr sz="1000"/>
          </a:pPr>
          <a:r>
            <a:rPr lang="zh-TW" altLang="en-US" sz="1200" b="0" i="0" strike="noStrike">
              <a:solidFill>
                <a:srgbClr val="000000"/>
              </a:solidFill>
              <a:latin typeface="新細明體"/>
              <a:ea typeface="新細明體"/>
            </a:rPr>
            <a:t>根據週期、固定支出、以及固定利率，傳回投資的未來值</a:t>
          </a: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19050</xdr:colOff>
          <xdr:row>5</xdr:row>
          <xdr:rowOff>9525</xdr:rowOff>
        </xdr:from>
        <xdr:to>
          <xdr:col>2</xdr:col>
          <xdr:colOff>219075</xdr:colOff>
          <xdr:row>5</xdr:row>
          <xdr:rowOff>200025</xdr:rowOff>
        </xdr:to>
        <xdr:sp macro="" textlink="">
          <xdr:nvSpPr>
            <xdr:cNvPr id="3073" name="Spinner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9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28575</xdr:colOff>
      <xdr:row>4</xdr:row>
      <xdr:rowOff>9525</xdr:rowOff>
    </xdr:from>
    <xdr:ext cx="1443408" cy="227755"/>
    <xdr:sp macro="" textlink="">
      <xdr:nvSpPr>
        <xdr:cNvPr id="6145" name="Text Box 1">
          <a:extLst>
            <a:ext uri="{FF2B5EF4-FFF2-40B4-BE49-F238E27FC236}">
              <a16:creationId xmlns:a16="http://schemas.microsoft.com/office/drawing/2014/main" id="{00000000-0008-0000-0A00-000001180000}"/>
            </a:ext>
          </a:extLst>
        </xdr:cNvPr>
        <xdr:cNvSpPr txBox="1">
          <a:spLocks noChangeArrowheads="1"/>
        </xdr:cNvSpPr>
      </xdr:nvSpPr>
      <xdr:spPr bwMode="auto">
        <a:xfrm>
          <a:off x="2333625" y="876300"/>
          <a:ext cx="1443408" cy="227755"/>
        </a:xfrm>
        <a:prstGeom prst="rect">
          <a:avLst/>
        </a:prstGeom>
        <a:solidFill>
          <a:srgbClr val="FFFF00"/>
        </a:solidFill>
        <a:ln w="9525">
          <a:noFill/>
          <a:miter lim="800000"/>
          <a:headEnd/>
          <a:tailEnd/>
        </a:ln>
      </xdr:spPr>
      <xdr:txBody>
        <a:bodyPr wrap="none" lIns="18288" tIns="27432" rIns="0" bIns="0" anchor="t" upright="1">
          <a:spAutoFit/>
        </a:bodyPr>
        <a:lstStyle/>
        <a:p>
          <a:pPr algn="l" rtl="0">
            <a:defRPr sz="1000"/>
          </a:pPr>
          <a:r>
            <a:rPr lang="zh-TW" altLang="en-US" sz="1200" b="0" i="0" strike="noStrike">
              <a:solidFill>
                <a:srgbClr val="000000"/>
              </a:solidFill>
              <a:latin typeface="新細明體"/>
              <a:ea typeface="新細明體"/>
            </a:rPr>
            <a:t>傳回年金每期的利率 </a:t>
          </a:r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66675</xdr:colOff>
      <xdr:row>4</xdr:row>
      <xdr:rowOff>161925</xdr:rowOff>
    </xdr:from>
    <xdr:ext cx="3798669" cy="227755"/>
    <xdr:sp macro="" textlink="">
      <xdr:nvSpPr>
        <xdr:cNvPr id="7169" name="Text Box 1">
          <a:extLst>
            <a:ext uri="{FF2B5EF4-FFF2-40B4-BE49-F238E27FC236}">
              <a16:creationId xmlns:a16="http://schemas.microsoft.com/office/drawing/2014/main" id="{00000000-0008-0000-1200-0000011C0000}"/>
            </a:ext>
          </a:extLst>
        </xdr:cNvPr>
        <xdr:cNvSpPr txBox="1">
          <a:spLocks noChangeArrowheads="1"/>
        </xdr:cNvSpPr>
      </xdr:nvSpPr>
      <xdr:spPr bwMode="auto">
        <a:xfrm>
          <a:off x="3314700" y="1000125"/>
          <a:ext cx="3798669" cy="227755"/>
        </a:xfrm>
        <a:prstGeom prst="rect">
          <a:avLst/>
        </a:prstGeom>
        <a:solidFill>
          <a:srgbClr val="FFFF00"/>
        </a:solidFill>
        <a:ln w="9525">
          <a:noFill/>
          <a:miter lim="800000"/>
          <a:headEnd/>
          <a:tailEnd/>
        </a:ln>
      </xdr:spPr>
      <xdr:txBody>
        <a:bodyPr wrap="none" lIns="18288" tIns="27432" rIns="0" bIns="0" anchor="t" upright="1">
          <a:spAutoFit/>
        </a:bodyPr>
        <a:lstStyle/>
        <a:p>
          <a:pPr algn="l" rtl="0">
            <a:defRPr sz="1000"/>
          </a:pPr>
          <a:r>
            <a:rPr lang="en-US" altLang="zh-TW" sz="1200" b="0" i="0" strike="noStrike">
              <a:solidFill>
                <a:srgbClr val="000000"/>
              </a:solidFill>
              <a:latin typeface="新細明體"/>
              <a:ea typeface="新細明體"/>
            </a:rPr>
            <a:t>DB </a:t>
          </a:r>
          <a:r>
            <a:rPr lang="zh-TW" altLang="en-US" sz="1200" b="0" i="0" strike="noStrike">
              <a:solidFill>
                <a:srgbClr val="000000"/>
              </a:solidFill>
              <a:latin typeface="新細明體"/>
              <a:ea typeface="新細明體"/>
            </a:rPr>
            <a:t>傳回以固定餘額遞減法計算之一定期間內資產的折舊</a:t>
          </a:r>
        </a:p>
      </xdr:txBody>
    </xdr:sp>
    <xdr:clientData/>
  </xdr:oneCellAnchor>
  <xdr:oneCellAnchor>
    <xdr:from>
      <xdr:col>2</xdr:col>
      <xdr:colOff>581025</xdr:colOff>
      <xdr:row>3</xdr:row>
      <xdr:rowOff>66675</xdr:rowOff>
    </xdr:from>
    <xdr:ext cx="4680320" cy="227755"/>
    <xdr:sp macro="" textlink="">
      <xdr:nvSpPr>
        <xdr:cNvPr id="7170" name="Text Box 2">
          <a:extLst>
            <a:ext uri="{FF2B5EF4-FFF2-40B4-BE49-F238E27FC236}">
              <a16:creationId xmlns:a16="http://schemas.microsoft.com/office/drawing/2014/main" id="{00000000-0008-0000-1200-0000021C0000}"/>
            </a:ext>
          </a:extLst>
        </xdr:cNvPr>
        <xdr:cNvSpPr txBox="1">
          <a:spLocks noChangeArrowheads="1"/>
        </xdr:cNvSpPr>
      </xdr:nvSpPr>
      <xdr:spPr bwMode="auto">
        <a:xfrm>
          <a:off x="2847975" y="695325"/>
          <a:ext cx="4680320" cy="227755"/>
        </a:xfrm>
        <a:prstGeom prst="rect">
          <a:avLst/>
        </a:prstGeom>
        <a:solidFill>
          <a:srgbClr val="FFFF00"/>
        </a:solidFill>
        <a:ln w="9525">
          <a:noFill/>
          <a:miter lim="800000"/>
          <a:headEnd/>
          <a:tailEnd/>
        </a:ln>
      </xdr:spPr>
      <xdr:txBody>
        <a:bodyPr wrap="none" lIns="18288" tIns="27432" rIns="0" bIns="0" anchor="t" upright="1">
          <a:spAutoFit/>
        </a:bodyPr>
        <a:lstStyle/>
        <a:p>
          <a:pPr algn="l" rtl="0">
            <a:defRPr sz="1000"/>
          </a:pPr>
          <a:r>
            <a:rPr lang="en-US" altLang="zh-TW" sz="1200" b="0" i="0" strike="noStrike">
              <a:solidFill>
                <a:srgbClr val="000000"/>
              </a:solidFill>
              <a:latin typeface="新細明體"/>
              <a:ea typeface="新細明體"/>
            </a:rPr>
            <a:t>SLN </a:t>
          </a:r>
          <a:r>
            <a:rPr lang="zh-TW" altLang="en-US" sz="1200" b="0" i="0" strike="noStrike">
              <a:solidFill>
                <a:srgbClr val="000000"/>
              </a:solidFill>
              <a:latin typeface="新細明體"/>
              <a:ea typeface="新細明體"/>
            </a:rPr>
            <a:t>傳回某項固定資產使用「直線折舊法」計算出來的每期折舊金額 </a:t>
          </a:r>
        </a:p>
      </xdr:txBody>
    </xdr:sp>
    <xdr:clientData/>
  </xdr:oneCellAnchor>
  <xdr:oneCellAnchor>
    <xdr:from>
      <xdr:col>2</xdr:col>
      <xdr:colOff>47625</xdr:colOff>
      <xdr:row>0</xdr:row>
      <xdr:rowOff>142875</xdr:rowOff>
    </xdr:from>
    <xdr:ext cx="3957365" cy="427809"/>
    <xdr:sp macro="" textlink="">
      <xdr:nvSpPr>
        <xdr:cNvPr id="7171" name="Text Box 3">
          <a:extLst>
            <a:ext uri="{FF2B5EF4-FFF2-40B4-BE49-F238E27FC236}">
              <a16:creationId xmlns:a16="http://schemas.microsoft.com/office/drawing/2014/main" id="{00000000-0008-0000-1200-0000031C0000}"/>
            </a:ext>
          </a:extLst>
        </xdr:cNvPr>
        <xdr:cNvSpPr txBox="1">
          <a:spLocks noChangeArrowheads="1"/>
        </xdr:cNvSpPr>
      </xdr:nvSpPr>
      <xdr:spPr bwMode="auto">
        <a:xfrm>
          <a:off x="2314575" y="142875"/>
          <a:ext cx="3957365" cy="427809"/>
        </a:xfrm>
        <a:prstGeom prst="rect">
          <a:avLst/>
        </a:prstGeom>
        <a:solidFill>
          <a:srgbClr val="FFFF00"/>
        </a:solidFill>
        <a:ln w="9525">
          <a:noFill/>
          <a:miter lim="800000"/>
          <a:headEnd/>
          <a:tailEnd/>
        </a:ln>
      </xdr:spPr>
      <xdr:txBody>
        <a:bodyPr wrap="none" lIns="18288" tIns="27432" rIns="0" bIns="0" anchor="t" upright="1">
          <a:spAutoFit/>
        </a:bodyPr>
        <a:lstStyle/>
        <a:p>
          <a:pPr algn="l" rtl="0">
            <a:defRPr sz="1000"/>
          </a:pPr>
          <a:r>
            <a:rPr lang="en-US" altLang="zh-TW" sz="1200" b="0" i="0" strike="noStrike">
              <a:solidFill>
                <a:srgbClr val="000000"/>
              </a:solidFill>
              <a:latin typeface="新細明體"/>
              <a:ea typeface="新細明體"/>
            </a:rPr>
            <a:t>VDB </a:t>
          </a:r>
          <a:r>
            <a:rPr lang="zh-TW" altLang="en-US" sz="1200" b="0" i="0" strike="noStrike">
              <a:solidFill>
                <a:srgbClr val="000000"/>
              </a:solidFill>
              <a:latin typeface="新細明體"/>
              <a:ea typeface="新細明體"/>
            </a:rPr>
            <a:t>傳回某項固定資產某個時段間的折舊數總額，</a:t>
          </a:r>
        </a:p>
        <a:p>
          <a:pPr algn="l" rtl="0">
            <a:defRPr sz="1000"/>
          </a:pPr>
          <a:r>
            <a:rPr lang="zh-TW" altLang="en-US" sz="1200" b="0" i="0" strike="noStrike">
              <a:solidFill>
                <a:srgbClr val="000000"/>
              </a:solidFill>
              <a:latin typeface="新細明體"/>
              <a:ea typeface="新細明體"/>
            </a:rPr>
            <a:t>         折舊係按倍率遞減法或其他您所指定的遞減速率計算 </a:t>
          </a:r>
        </a:p>
      </xdr:txBody>
    </xdr:sp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9525</xdr:colOff>
          <xdr:row>3</xdr:row>
          <xdr:rowOff>190500</xdr:rowOff>
        </xdr:from>
        <xdr:to>
          <xdr:col>8</xdr:col>
          <xdr:colOff>161925</xdr:colOff>
          <xdr:row>5</xdr:row>
          <xdr:rowOff>0</xdr:rowOff>
        </xdr:to>
        <xdr:sp macro="" textlink="">
          <xdr:nvSpPr>
            <xdr:cNvPr id="9217" name="Spinner 1" hidden="1">
              <a:extLst>
                <a:ext uri="{63B3BB69-23CF-44E3-9099-C40C66FF867C}">
                  <a14:compatExt spid="_x0000_s9217"/>
                </a:ext>
                <a:ext uri="{FF2B5EF4-FFF2-40B4-BE49-F238E27FC236}">
                  <a16:creationId xmlns:a16="http://schemas.microsoft.com/office/drawing/2014/main" id="{00000000-0008-0000-1400-00000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3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4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5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10.xml"/><Relationship Id="rId4" Type="http://schemas.openxmlformats.org/officeDocument/2006/relationships/ctrlProp" Target="../ctrlProps/ctrlProp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2060"/>
  </sheetPr>
  <dimension ref="A1:D11"/>
  <sheetViews>
    <sheetView workbookViewId="0">
      <selection activeCell="B9" sqref="B9"/>
    </sheetView>
  </sheetViews>
  <sheetFormatPr defaultRowHeight="16.5"/>
  <cols>
    <col min="1" max="1" width="16.125" bestFit="1" customWidth="1"/>
    <col min="2" max="2" width="11.875" customWidth="1"/>
    <col min="3" max="3" width="3.625" customWidth="1"/>
    <col min="4" max="4" width="21.875" bestFit="1" customWidth="1"/>
  </cols>
  <sheetData>
    <row r="1" spans="1:4" ht="17.25" thickBot="1">
      <c r="A1" t="s">
        <v>18</v>
      </c>
      <c r="B1" s="11">
        <v>300000</v>
      </c>
      <c r="C1" s="11"/>
    </row>
    <row r="2" spans="1:4" ht="17.25" thickBot="1">
      <c r="A2" t="s">
        <v>19</v>
      </c>
      <c r="B2" s="17">
        <f>C2/10000</f>
        <v>4.3799999999999999E-2</v>
      </c>
      <c r="C2" s="127">
        <v>438</v>
      </c>
    </row>
    <row r="3" spans="1:4" ht="17.25" thickBot="1">
      <c r="A3" t="s">
        <v>20</v>
      </c>
      <c r="B3" s="14">
        <v>5000</v>
      </c>
    </row>
    <row r="4" spans="1:4" ht="17.25" thickBot="1">
      <c r="A4" t="s">
        <v>21</v>
      </c>
      <c r="B4" s="128">
        <v>10</v>
      </c>
    </row>
    <row r="5" spans="1:4">
      <c r="A5" t="s">
        <v>22</v>
      </c>
      <c r="B5" s="31">
        <f>PV(B2/12,B4*12,-B3)</f>
        <v>485149.89389256417</v>
      </c>
      <c r="C5" s="10"/>
      <c r="D5" s="20" t="s">
        <v>25</v>
      </c>
    </row>
    <row r="9" spans="1:4">
      <c r="D9" s="3"/>
    </row>
    <row r="10" spans="1:4">
      <c r="D10" s="3"/>
    </row>
    <row r="11" spans="1:4">
      <c r="D11" s="3"/>
    </row>
  </sheetData>
  <phoneticPr fontId="6" type="noConversion"/>
  <pageMargins left="0.75" right="0.75" top="1" bottom="1" header="0.5" footer="0.5"/>
  <headerFooter alignWithMargins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2529" r:id="rId3" name="Spinner 1">
              <controlPr defaultSize="0" autoPict="0">
                <anchor moveWithCells="1" sizeWithCells="1">
                  <from>
                    <xdr:col>2</xdr:col>
                    <xdr:colOff>9525</xdr:colOff>
                    <xdr:row>1</xdr:row>
                    <xdr:rowOff>9525</xdr:rowOff>
                  </from>
                  <to>
                    <xdr:col>2</xdr:col>
                    <xdr:colOff>200025</xdr:colOff>
                    <xdr:row>2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002060"/>
  </sheetPr>
  <dimension ref="A1:D9"/>
  <sheetViews>
    <sheetView workbookViewId="0">
      <selection activeCell="F18" sqref="F18"/>
    </sheetView>
  </sheetViews>
  <sheetFormatPr defaultRowHeight="16.5"/>
  <cols>
    <col min="1" max="1" width="25" bestFit="1" customWidth="1"/>
    <col min="2" max="2" width="12.125" customWidth="1"/>
    <col min="3" max="3" width="4.125" customWidth="1"/>
    <col min="4" max="4" width="27.875" bestFit="1" customWidth="1"/>
  </cols>
  <sheetData>
    <row r="1" spans="1:4" ht="17.25" thickBot="1">
      <c r="A1" t="s">
        <v>75</v>
      </c>
      <c r="B1" s="16">
        <v>0.1028</v>
      </c>
      <c r="C1" s="21"/>
    </row>
    <row r="2" spans="1:4" ht="17.25" thickBot="1">
      <c r="A2" t="s">
        <v>76</v>
      </c>
      <c r="B2" s="15">
        <v>2500000</v>
      </c>
      <c r="C2" s="22"/>
    </row>
    <row r="3" spans="1:4" ht="17.25" thickBot="1">
      <c r="A3" t="s">
        <v>77</v>
      </c>
      <c r="B3" s="38">
        <v>20</v>
      </c>
      <c r="C3" s="22"/>
    </row>
    <row r="4" spans="1:4" ht="17.25" thickBot="1">
      <c r="A4" t="s">
        <v>78</v>
      </c>
      <c r="B4" s="52">
        <f>PMT(B1/12,B3*12,-B2)</f>
        <v>24591.143773797528</v>
      </c>
      <c r="C4" s="3"/>
      <c r="D4" s="20" t="s">
        <v>79</v>
      </c>
    </row>
    <row r="5" spans="1:4" ht="17.25" thickBot="1"/>
    <row r="6" spans="1:4" ht="17.25" thickBot="1">
      <c r="A6" t="s">
        <v>80</v>
      </c>
      <c r="B6" s="50">
        <v>11</v>
      </c>
      <c r="C6" s="22"/>
    </row>
    <row r="7" spans="1:4" ht="17.25" thickBot="1">
      <c r="A7" t="s">
        <v>81</v>
      </c>
      <c r="B7" s="52">
        <f>PPMT(B1/12,B6,B3*12,-B2)</f>
        <v>3457.1506496921265</v>
      </c>
      <c r="C7" s="3"/>
      <c r="D7" s="20" t="s">
        <v>82</v>
      </c>
    </row>
    <row r="8" spans="1:4" ht="17.25" thickBot="1">
      <c r="A8" t="s">
        <v>83</v>
      </c>
      <c r="B8" s="52">
        <f>IPMT(B1/12,B6,B3*12,-B2)</f>
        <v>21133.993124105404</v>
      </c>
      <c r="C8" s="3"/>
      <c r="D8" s="20" t="s">
        <v>84</v>
      </c>
    </row>
    <row r="9" spans="1:4">
      <c r="A9" t="s">
        <v>85</v>
      </c>
      <c r="B9" s="47">
        <f>B7+B8</f>
        <v>24591.143773797528</v>
      </c>
      <c r="C9" s="3"/>
      <c r="D9" s="20" t="s">
        <v>86</v>
      </c>
    </row>
  </sheetData>
  <phoneticPr fontId="6" type="noConversion"/>
  <pageMargins left="0.75" right="0.75" top="1" bottom="1" header="0.5" footer="0.5"/>
  <headerFooter alignWithMargins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3" name="Spinner 1">
              <controlPr defaultSize="0" autoPict="0">
                <anchor moveWithCells="1" sizeWithCells="1">
                  <from>
                    <xdr:col>2</xdr:col>
                    <xdr:colOff>19050</xdr:colOff>
                    <xdr:row>5</xdr:row>
                    <xdr:rowOff>9525</xdr:rowOff>
                  </from>
                  <to>
                    <xdr:col>2</xdr:col>
                    <xdr:colOff>219075</xdr:colOff>
                    <xdr:row>5</xdr:row>
                    <xdr:rowOff>200025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17"/>
  <sheetViews>
    <sheetView workbookViewId="0">
      <selection activeCell="B17" sqref="B17"/>
    </sheetView>
  </sheetViews>
  <sheetFormatPr defaultRowHeight="16.5"/>
  <cols>
    <col min="1" max="1" width="13.25" customWidth="1"/>
    <col min="2" max="2" width="11.75" customWidth="1"/>
    <col min="3" max="3" width="5.25" customWidth="1"/>
    <col min="4" max="4" width="31.75" bestFit="1" customWidth="1"/>
  </cols>
  <sheetData>
    <row r="1" spans="1:4" ht="17.25" thickBot="1">
      <c r="A1" t="s">
        <v>26</v>
      </c>
      <c r="B1" s="12">
        <v>3000000</v>
      </c>
    </row>
    <row r="2" spans="1:4" ht="17.25" thickBot="1">
      <c r="A2" t="s">
        <v>27</v>
      </c>
      <c r="B2" s="28">
        <v>16000000</v>
      </c>
    </row>
    <row r="3" spans="1:4" ht="17.25" thickBot="1">
      <c r="A3" t="s">
        <v>28</v>
      </c>
      <c r="B3" s="25">
        <v>10</v>
      </c>
    </row>
    <row r="4" spans="1:4">
      <c r="A4" t="s">
        <v>29</v>
      </c>
      <c r="B4" s="32">
        <f>RATE(B3,,-B1,B2)</f>
        <v>0.18222427548378442</v>
      </c>
      <c r="D4" s="8" t="s">
        <v>34</v>
      </c>
    </row>
    <row r="6" spans="1:4" ht="17.25" thickBot="1"/>
    <row r="7" spans="1:4" ht="17.25" thickBot="1">
      <c r="A7" t="s">
        <v>30</v>
      </c>
      <c r="B7" s="12">
        <v>50000</v>
      </c>
    </row>
    <row r="8" spans="1:4" ht="17.25" thickBot="1">
      <c r="A8" t="s">
        <v>31</v>
      </c>
      <c r="B8" s="27">
        <v>4</v>
      </c>
    </row>
    <row r="9" spans="1:4" ht="17.25" thickBot="1">
      <c r="A9" t="s">
        <v>32</v>
      </c>
      <c r="B9" s="14">
        <v>100000</v>
      </c>
    </row>
    <row r="10" spans="1:4">
      <c r="A10" t="s">
        <v>33</v>
      </c>
      <c r="B10" s="32">
        <f>RATE(B8,,-B7,B9)</f>
        <v>0.18920711500272092</v>
      </c>
      <c r="D10" s="8" t="s">
        <v>35</v>
      </c>
    </row>
    <row r="12" spans="1:4" ht="17.25" thickBot="1"/>
    <row r="13" spans="1:4" ht="17.25" thickBot="1">
      <c r="A13" t="s">
        <v>36</v>
      </c>
      <c r="B13" s="14">
        <v>1500000</v>
      </c>
    </row>
    <row r="14" spans="1:4" ht="17.25" thickBot="1">
      <c r="A14" t="s">
        <v>37</v>
      </c>
      <c r="B14" s="13">
        <v>200000</v>
      </c>
    </row>
    <row r="15" spans="1:4" ht="17.25" thickBot="1">
      <c r="A15" t="s">
        <v>38</v>
      </c>
      <c r="B15" s="26">
        <v>12</v>
      </c>
    </row>
    <row r="16" spans="1:4" ht="17.25" thickBot="1">
      <c r="A16" t="s">
        <v>39</v>
      </c>
      <c r="B16" s="33">
        <v>400000</v>
      </c>
    </row>
    <row r="17" spans="1:4">
      <c r="A17" t="s">
        <v>29</v>
      </c>
      <c r="B17" s="32">
        <f>RATE(B15,B14,-B13,B16,1)</f>
        <v>0.11845300192552707</v>
      </c>
      <c r="D17" s="8" t="s">
        <v>87</v>
      </c>
    </row>
  </sheetData>
  <phoneticPr fontId="6" type="noConversion"/>
  <pageMargins left="0.75" right="0.75" top="1" bottom="1" header="0.5" footer="0.5"/>
  <headerFooter alignWithMargins="0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8"/>
  <sheetViews>
    <sheetView workbookViewId="0">
      <selection activeCell="E8" sqref="E8"/>
    </sheetView>
  </sheetViews>
  <sheetFormatPr defaultRowHeight="16.5"/>
  <cols>
    <col min="5" max="5" width="13.625" bestFit="1" customWidth="1"/>
  </cols>
  <sheetData>
    <row r="1" spans="1:5">
      <c r="A1" s="119" t="s">
        <v>131</v>
      </c>
    </row>
    <row r="2" spans="1:5">
      <c r="A2" t="s">
        <v>132</v>
      </c>
    </row>
    <row r="3" spans="1:5">
      <c r="A3" t="s">
        <v>133</v>
      </c>
    </row>
    <row r="5" spans="1:5">
      <c r="D5" t="s">
        <v>134</v>
      </c>
      <c r="E5">
        <v>7500</v>
      </c>
    </row>
    <row r="6" spans="1:5">
      <c r="D6" t="s">
        <v>114</v>
      </c>
      <c r="E6">
        <v>10</v>
      </c>
    </row>
    <row r="7" spans="1:5">
      <c r="D7" t="s">
        <v>135</v>
      </c>
      <c r="E7" s="6">
        <v>1000000</v>
      </c>
    </row>
    <row r="8" spans="1:5">
      <c r="D8" t="s">
        <v>108</v>
      </c>
      <c r="E8" s="2">
        <f>RATE(E6,-E5*12,,E7)</f>
        <v>2.319657440916106E-2</v>
      </c>
    </row>
  </sheetData>
  <phoneticPr fontId="6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F7"/>
  <sheetViews>
    <sheetView workbookViewId="0">
      <selection activeCell="F7" sqref="F7"/>
    </sheetView>
  </sheetViews>
  <sheetFormatPr defaultRowHeight="16.5"/>
  <cols>
    <col min="6" max="6" width="11.875" bestFit="1" customWidth="1"/>
  </cols>
  <sheetData>
    <row r="1" spans="1:6">
      <c r="A1" s="119" t="s">
        <v>136</v>
      </c>
    </row>
    <row r="2" spans="1:6">
      <c r="A2" t="s">
        <v>137</v>
      </c>
    </row>
    <row r="3" spans="1:6">
      <c r="A3" t="s">
        <v>138</v>
      </c>
    </row>
    <row r="4" spans="1:6">
      <c r="E4" t="s">
        <v>139</v>
      </c>
      <c r="F4" s="6">
        <v>300000</v>
      </c>
    </row>
    <row r="5" spans="1:6">
      <c r="E5" t="s">
        <v>140</v>
      </c>
      <c r="F5">
        <v>2</v>
      </c>
    </row>
    <row r="6" spans="1:6">
      <c r="E6" t="s">
        <v>141</v>
      </c>
      <c r="F6" s="6">
        <v>16000</v>
      </c>
    </row>
    <row r="7" spans="1:6">
      <c r="E7" t="s">
        <v>108</v>
      </c>
      <c r="F7" s="2">
        <f>RATE(F5,F6*12,-F4)</f>
        <v>0.18162636914152067</v>
      </c>
    </row>
  </sheetData>
  <phoneticPr fontId="6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13"/>
  <sheetViews>
    <sheetView workbookViewId="0">
      <selection activeCell="B5" sqref="B5"/>
    </sheetView>
  </sheetViews>
  <sheetFormatPr defaultRowHeight="16.5"/>
  <cols>
    <col min="1" max="1" width="14.375" customWidth="1"/>
    <col min="2" max="2" width="10" customWidth="1"/>
    <col min="3" max="3" width="4.625" customWidth="1"/>
  </cols>
  <sheetData>
    <row r="1" spans="1:4" ht="17.25" thickBot="1">
      <c r="A1" t="s">
        <v>13</v>
      </c>
      <c r="B1" s="14">
        <v>100000</v>
      </c>
    </row>
    <row r="2" spans="1:4" ht="17.25" thickBot="1">
      <c r="A2" t="s">
        <v>14</v>
      </c>
      <c r="B2" s="30">
        <v>10000</v>
      </c>
    </row>
    <row r="3" spans="1:4" ht="17.25" thickBot="1">
      <c r="A3" t="s">
        <v>16</v>
      </c>
      <c r="B3" s="37">
        <v>5.6000000000000001E-2</v>
      </c>
    </row>
    <row r="4" spans="1:4" ht="17.25" thickBot="1">
      <c r="A4" t="s">
        <v>40</v>
      </c>
      <c r="B4" s="29">
        <v>800000</v>
      </c>
    </row>
    <row r="5" spans="1:4">
      <c r="A5" t="s">
        <v>41</v>
      </c>
      <c r="B5" s="34">
        <f>NPER(B3/12,-B2,-B1,B4,1)</f>
        <v>58.115319019102628</v>
      </c>
      <c r="D5" s="8" t="s">
        <v>44</v>
      </c>
    </row>
    <row r="9" spans="1:4" ht="17.25" thickBot="1"/>
    <row r="10" spans="1:4" ht="17.25" thickBot="1">
      <c r="A10" t="s">
        <v>42</v>
      </c>
      <c r="B10" s="14">
        <v>500000</v>
      </c>
    </row>
    <row r="11" spans="1:4" ht="17.25" thickBot="1">
      <c r="A11" t="s">
        <v>15</v>
      </c>
      <c r="B11" s="48">
        <v>9.5000000000000001E-2</v>
      </c>
    </row>
    <row r="12" spans="1:4" ht="17.25" thickBot="1">
      <c r="A12" t="s">
        <v>43</v>
      </c>
      <c r="B12" s="13">
        <v>15000</v>
      </c>
    </row>
    <row r="13" spans="1:4">
      <c r="A13" t="s">
        <v>41</v>
      </c>
      <c r="B13" s="34">
        <f>NPER(B11/12,-B12,B10)</f>
        <v>38.852885414487005</v>
      </c>
      <c r="D13" s="8" t="s">
        <v>45</v>
      </c>
    </row>
  </sheetData>
  <phoneticPr fontId="6" type="noConversion"/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F8"/>
  <sheetViews>
    <sheetView workbookViewId="0">
      <selection activeCell="F5" sqref="F5"/>
    </sheetView>
  </sheetViews>
  <sheetFormatPr defaultRowHeight="16.5"/>
  <cols>
    <col min="6" max="6" width="11.875" bestFit="1" customWidth="1"/>
  </cols>
  <sheetData>
    <row r="1" spans="1:6">
      <c r="A1" s="119" t="s">
        <v>142</v>
      </c>
    </row>
    <row r="2" spans="1:6">
      <c r="A2" t="s">
        <v>143</v>
      </c>
    </row>
    <row r="3" spans="1:6">
      <c r="A3" t="s">
        <v>144</v>
      </c>
    </row>
    <row r="5" spans="1:6">
      <c r="E5" t="s">
        <v>145</v>
      </c>
      <c r="F5" s="6">
        <v>600000</v>
      </c>
    </row>
    <row r="6" spans="1:6">
      <c r="E6" t="s">
        <v>134</v>
      </c>
      <c r="F6" s="104">
        <v>17000</v>
      </c>
    </row>
    <row r="7" spans="1:6">
      <c r="E7" t="s">
        <v>146</v>
      </c>
      <c r="F7" s="2">
        <v>2.0500000000000001E-2</v>
      </c>
    </row>
    <row r="8" spans="1:6">
      <c r="E8" t="s">
        <v>111</v>
      </c>
      <c r="F8">
        <f>ROUNDUP(NPER(F7/12,-F6,,F5),0)</f>
        <v>35</v>
      </c>
    </row>
  </sheetData>
  <phoneticPr fontId="6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9"/>
  <sheetViews>
    <sheetView workbookViewId="0">
      <selection activeCell="B5" sqref="B5"/>
    </sheetView>
  </sheetViews>
  <sheetFormatPr defaultRowHeight="16.5"/>
  <cols>
    <col min="1" max="1" width="13.375" customWidth="1"/>
    <col min="2" max="2" width="12.625" customWidth="1"/>
    <col min="3" max="3" width="10.25" customWidth="1"/>
    <col min="4" max="4" width="4.25" customWidth="1"/>
    <col min="5" max="5" width="12.125" bestFit="1" customWidth="1"/>
  </cols>
  <sheetData>
    <row r="1" spans="1:5">
      <c r="A1" t="s">
        <v>52</v>
      </c>
      <c r="B1" s="39">
        <v>-1250000</v>
      </c>
    </row>
    <row r="2" spans="1:5">
      <c r="A2" t="s">
        <v>53</v>
      </c>
      <c r="B2" s="40">
        <v>200000</v>
      </c>
    </row>
    <row r="3" spans="1:5">
      <c r="A3" t="s">
        <v>54</v>
      </c>
      <c r="B3" s="40">
        <v>240000</v>
      </c>
    </row>
    <row r="4" spans="1:5">
      <c r="A4" t="s">
        <v>55</v>
      </c>
      <c r="B4" s="40">
        <v>320000</v>
      </c>
    </row>
    <row r="5" spans="1:5" ht="17.25" thickBot="1">
      <c r="A5" t="s">
        <v>56</v>
      </c>
      <c r="B5" s="41">
        <v>400000</v>
      </c>
    </row>
    <row r="6" spans="1:5" ht="17.25" thickBot="1">
      <c r="A6" t="s">
        <v>57</v>
      </c>
      <c r="B6" s="42">
        <v>500000</v>
      </c>
    </row>
    <row r="8" spans="1:5">
      <c r="A8" t="s">
        <v>58</v>
      </c>
      <c r="C8" s="43">
        <f>IRR(B1:B5)</f>
        <v>-2.6250898075300011E-2</v>
      </c>
      <c r="D8" s="24"/>
      <c r="E8" s="8" t="s">
        <v>60</v>
      </c>
    </row>
    <row r="9" spans="1:5">
      <c r="A9" t="s">
        <v>59</v>
      </c>
      <c r="C9" s="43">
        <f>IRR(B1:B6)</f>
        <v>8.7592519554932302E-2</v>
      </c>
      <c r="D9" s="24"/>
      <c r="E9" s="8" t="s">
        <v>61</v>
      </c>
    </row>
  </sheetData>
  <phoneticPr fontId="6" type="noConversion"/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E9"/>
  <sheetViews>
    <sheetView workbookViewId="0">
      <selection activeCell="B6" sqref="B6"/>
    </sheetView>
  </sheetViews>
  <sheetFormatPr defaultRowHeight="16.5"/>
  <cols>
    <col min="1" max="1" width="12" customWidth="1"/>
    <col min="2" max="2" width="20.625" customWidth="1"/>
    <col min="3" max="3" width="6" customWidth="1"/>
    <col min="4" max="4" width="13" customWidth="1"/>
    <col min="5" max="5" width="11.75" customWidth="1"/>
  </cols>
  <sheetData>
    <row r="1" spans="1:5" ht="17.25" thickBot="1">
      <c r="A1" t="s">
        <v>46</v>
      </c>
      <c r="B1" s="14">
        <v>1500000</v>
      </c>
      <c r="D1" t="s">
        <v>46</v>
      </c>
      <c r="E1" s="14">
        <v>1000000</v>
      </c>
    </row>
    <row r="2" spans="1:5">
      <c r="A2" t="s">
        <v>47</v>
      </c>
      <c r="B2" s="30">
        <v>550000</v>
      </c>
      <c r="D2" t="s">
        <v>47</v>
      </c>
      <c r="E2" s="38">
        <v>600000</v>
      </c>
    </row>
    <row r="3" spans="1:5">
      <c r="B3" s="30">
        <v>600000</v>
      </c>
      <c r="E3" s="30">
        <v>700000</v>
      </c>
    </row>
    <row r="4" spans="1:5" ht="17.25" thickBot="1">
      <c r="B4" s="30">
        <v>500000</v>
      </c>
      <c r="E4" s="13">
        <v>400000</v>
      </c>
    </row>
    <row r="5" spans="1:5">
      <c r="B5" s="30">
        <v>200000</v>
      </c>
    </row>
    <row r="6" spans="1:5" ht="17.25" thickBot="1">
      <c r="B6" s="13">
        <v>100000</v>
      </c>
    </row>
    <row r="7" spans="1:5" ht="17.25" thickBot="1">
      <c r="A7" t="s">
        <v>48</v>
      </c>
      <c r="B7" s="36">
        <v>0.15</v>
      </c>
      <c r="D7" t="s">
        <v>48</v>
      </c>
      <c r="E7" s="35">
        <v>0.12</v>
      </c>
    </row>
    <row r="8" spans="1:5">
      <c r="A8" t="s">
        <v>49</v>
      </c>
      <c r="B8" s="49">
        <f>NPV(B7,B2:B6)-B1</f>
        <v>-75226.491192280781</v>
      </c>
      <c r="D8" t="s">
        <v>49</v>
      </c>
      <c r="E8" s="49">
        <f>NPV(E7,E2:E4)-E1</f>
        <v>378462.0991253641</v>
      </c>
    </row>
    <row r="9" spans="1:5">
      <c r="B9" s="8" t="s">
        <v>50</v>
      </c>
      <c r="E9" s="8" t="s">
        <v>51</v>
      </c>
    </row>
  </sheetData>
  <phoneticPr fontId="6" type="noConversion"/>
  <pageMargins left="0.75" right="0.75" top="1" bottom="1" header="0.5" footer="0.5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G7"/>
  <sheetViews>
    <sheetView tabSelected="1" workbookViewId="0">
      <selection activeCell="B7" sqref="B7"/>
    </sheetView>
  </sheetViews>
  <sheetFormatPr defaultRowHeight="16.5"/>
  <cols>
    <col min="1" max="1" width="10.625" customWidth="1"/>
    <col min="2" max="6" width="12.375" customWidth="1"/>
    <col min="7" max="7" width="13.625" customWidth="1"/>
  </cols>
  <sheetData>
    <row r="1" spans="1:7">
      <c r="A1" s="121" t="s">
        <v>147</v>
      </c>
      <c r="B1" s="6">
        <v>600000</v>
      </c>
      <c r="C1" s="121" t="s">
        <v>148</v>
      </c>
      <c r="D1" s="120">
        <v>4500</v>
      </c>
      <c r="E1" s="121" t="s">
        <v>149</v>
      </c>
      <c r="F1">
        <v>5</v>
      </c>
    </row>
    <row r="3" spans="1:7">
      <c r="A3" s="123" t="s">
        <v>150</v>
      </c>
      <c r="B3" s="123">
        <v>1</v>
      </c>
      <c r="C3" s="123">
        <v>2</v>
      </c>
      <c r="D3" s="123">
        <v>3</v>
      </c>
      <c r="E3" s="123">
        <v>4</v>
      </c>
      <c r="F3" s="123">
        <v>5</v>
      </c>
    </row>
    <row r="4" spans="1:7" ht="22.5" customHeight="1">
      <c r="A4" s="122" t="s">
        <v>151</v>
      </c>
      <c r="B4" s="118">
        <f>SLN($B$1,$D$1,$F$1)</f>
        <v>119100</v>
      </c>
      <c r="C4" s="118">
        <f>SLN($B$1,$D$1,$F$1)</f>
        <v>119100</v>
      </c>
      <c r="D4" s="118">
        <f>SLN($B$1,$D$1,$F$1)</f>
        <v>119100</v>
      </c>
      <c r="E4" s="118">
        <f>SLN($B$1,$D$1,$F$1)</f>
        <v>119100</v>
      </c>
      <c r="F4" s="118">
        <f>SLN($B$1,$D$1,$F$1)</f>
        <v>119100</v>
      </c>
      <c r="G4" s="124">
        <f>SUM(B4:F4)</f>
        <v>595500</v>
      </c>
    </row>
    <row r="5" spans="1:7" ht="22.5" customHeight="1">
      <c r="A5" s="122" t="s">
        <v>152</v>
      </c>
      <c r="B5" s="118">
        <f>DB($B$1,$D$1,$F$1,B3)</f>
        <v>374400</v>
      </c>
      <c r="C5" s="118">
        <f>DB($B$1,$D$1,$F$1,C3)</f>
        <v>140774.39999999999</v>
      </c>
      <c r="D5" s="118">
        <f>DB($B$1,$D$1,$F$1,D3)</f>
        <v>52931.174400000004</v>
      </c>
      <c r="E5" s="118">
        <f>DB($B$1,$D$1,$F$1,E3)</f>
        <v>19902.1215744</v>
      </c>
      <c r="F5" s="118">
        <f>DB($B$1,$D$1,$F$1,F3)</f>
        <v>7483.1977119744015</v>
      </c>
      <c r="G5" s="124">
        <f>SUM(B5:F5)</f>
        <v>595490.89368637442</v>
      </c>
    </row>
    <row r="6" spans="1:7" ht="22.5" customHeight="1">
      <c r="A6" s="122" t="s">
        <v>153</v>
      </c>
      <c r="B6" s="118">
        <f>DDB($B$1,$D$1,$F$1,B3,3.15)</f>
        <v>378000</v>
      </c>
      <c r="C6" s="118">
        <f>DDB($B$1,$D$1,$F$1,C3,3.15)</f>
        <v>139860</v>
      </c>
      <c r="D6" s="118">
        <f>DDB($B$1,$D$1,$F$1,D3,3.15)</f>
        <v>51748.2</v>
      </c>
      <c r="E6" s="118">
        <f>DDB($B$1,$D$1,$F$1,E3,3.15)</f>
        <v>19146.833999999999</v>
      </c>
      <c r="F6" s="118">
        <f>DDB($B$1,$D$1,$F$1,F3,3.15)</f>
        <v>6744.9659999999985</v>
      </c>
      <c r="G6" s="124">
        <f>SUM(B6:F6)</f>
        <v>595500</v>
      </c>
    </row>
    <row r="7" spans="1:7" ht="22.5" customHeight="1">
      <c r="A7" s="122" t="s">
        <v>154</v>
      </c>
      <c r="B7" s="118">
        <f>SYD($B$1,$D$1,$F$1,B3)</f>
        <v>198500</v>
      </c>
      <c r="C7" s="118">
        <f>SYD($B$1,$D$1,$F$1,C3)</f>
        <v>158800</v>
      </c>
      <c r="D7" s="118">
        <f>SYD($B$1,$D$1,$F$1,D3)</f>
        <v>119100</v>
      </c>
      <c r="E7" s="118">
        <f>SYD($B$1,$D$1,$F$1,E3)</f>
        <v>79400</v>
      </c>
      <c r="F7" s="118">
        <f>SYD($B$1,$D$1,$F$1,F3)</f>
        <v>39700</v>
      </c>
      <c r="G7" s="124">
        <f>SUM(B7:F7)</f>
        <v>595500</v>
      </c>
    </row>
  </sheetData>
  <phoneticPr fontId="6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F21"/>
  <sheetViews>
    <sheetView workbookViewId="0">
      <selection activeCell="B8" sqref="B8:B9"/>
    </sheetView>
  </sheetViews>
  <sheetFormatPr defaultRowHeight="16.5"/>
  <cols>
    <col min="1" max="1" width="16.875" customWidth="1"/>
    <col min="2" max="3" width="12.875" customWidth="1"/>
    <col min="4" max="4" width="11.625" bestFit="1" customWidth="1"/>
    <col min="5" max="6" width="11.625" hidden="1" customWidth="1"/>
  </cols>
  <sheetData>
    <row r="1" spans="1:6">
      <c r="A1" s="55" t="s">
        <v>62</v>
      </c>
      <c r="B1" s="56">
        <v>1500000</v>
      </c>
    </row>
    <row r="2" spans="1:6">
      <c r="A2" s="55" t="s">
        <v>63</v>
      </c>
      <c r="B2" s="57">
        <v>10</v>
      </c>
    </row>
    <row r="3" spans="1:6">
      <c r="A3" s="55" t="s">
        <v>64</v>
      </c>
      <c r="B3" s="57">
        <v>80000</v>
      </c>
    </row>
    <row r="4" spans="1:6">
      <c r="A4" s="54"/>
      <c r="B4" s="54"/>
    </row>
    <row r="5" spans="1:6">
      <c r="A5" s="54"/>
      <c r="B5" s="54"/>
    </row>
    <row r="6" spans="1:6">
      <c r="A6" s="54"/>
      <c r="B6" s="54"/>
    </row>
    <row r="7" spans="1:6">
      <c r="A7" s="9" t="s">
        <v>65</v>
      </c>
      <c r="B7" s="46" t="s">
        <v>88</v>
      </c>
      <c r="C7" s="46" t="s">
        <v>89</v>
      </c>
      <c r="D7" s="46" t="s">
        <v>67</v>
      </c>
      <c r="E7" s="46" t="s">
        <v>66</v>
      </c>
      <c r="F7" s="46" t="s">
        <v>68</v>
      </c>
    </row>
    <row r="8" spans="1:6">
      <c r="A8" s="44">
        <v>1</v>
      </c>
      <c r="B8" s="45">
        <f t="shared" ref="B8:B17" si="0">DB($B$1,$B$3,$B$2,A8)</f>
        <v>381000</v>
      </c>
      <c r="C8" s="45">
        <f>VDB($B$1,$B$3,$B$2,0,A8)</f>
        <v>300000</v>
      </c>
      <c r="D8" s="45">
        <f t="shared" ref="D8:D17" si="1">SLN($B$1,$B$3,$B$2)</f>
        <v>142000</v>
      </c>
      <c r="E8" s="45">
        <f t="shared" ref="E8:E17" si="2">DDB($B$1,$B$3,$B$2,A8)</f>
        <v>300000</v>
      </c>
      <c r="F8" s="45">
        <f t="shared" ref="F8:F17" si="3">SYD($B$1,$B$3,$B$2,A8)</f>
        <v>258181.81818181818</v>
      </c>
    </row>
    <row r="9" spans="1:6">
      <c r="A9" s="44">
        <v>2</v>
      </c>
      <c r="B9" s="45">
        <f t="shared" si="0"/>
        <v>284226</v>
      </c>
      <c r="C9" s="45">
        <f t="shared" ref="C9:C17" si="4">VDB($B$1,$B$3,$B$2,0,A9)</f>
        <v>540000</v>
      </c>
      <c r="D9" s="45">
        <f t="shared" si="1"/>
        <v>142000</v>
      </c>
      <c r="E9" s="45">
        <f t="shared" si="2"/>
        <v>240000</v>
      </c>
      <c r="F9" s="45">
        <f t="shared" si="3"/>
        <v>232363.63636363635</v>
      </c>
    </row>
    <row r="10" spans="1:6">
      <c r="A10" s="44">
        <v>3</v>
      </c>
      <c r="B10" s="45">
        <f t="shared" si="0"/>
        <v>212032.59599999999</v>
      </c>
      <c r="C10" s="45">
        <f t="shared" si="4"/>
        <v>732000</v>
      </c>
      <c r="D10" s="45">
        <f t="shared" si="1"/>
        <v>142000</v>
      </c>
      <c r="E10" s="45">
        <f t="shared" si="2"/>
        <v>192000.00000000006</v>
      </c>
      <c r="F10" s="45">
        <f t="shared" si="3"/>
        <v>206545.45454545456</v>
      </c>
    </row>
    <row r="11" spans="1:6">
      <c r="A11" s="44">
        <v>4</v>
      </c>
      <c r="B11" s="45">
        <f t="shared" si="0"/>
        <v>158176.316616</v>
      </c>
      <c r="C11" s="45">
        <f t="shared" si="4"/>
        <v>885600</v>
      </c>
      <c r="D11" s="45">
        <f t="shared" si="1"/>
        <v>142000</v>
      </c>
      <c r="E11" s="45">
        <f t="shared" si="2"/>
        <v>153600.00000000006</v>
      </c>
      <c r="F11" s="45">
        <f t="shared" si="3"/>
        <v>180727.27272727274</v>
      </c>
    </row>
    <row r="12" spans="1:6">
      <c r="A12" s="44">
        <v>5</v>
      </c>
      <c r="B12" s="45">
        <f t="shared" si="0"/>
        <v>117999.53219553598</v>
      </c>
      <c r="C12" s="45">
        <f t="shared" si="4"/>
        <v>1008480</v>
      </c>
      <c r="D12" s="45">
        <f t="shared" si="1"/>
        <v>142000</v>
      </c>
      <c r="E12" s="45">
        <f t="shared" si="2"/>
        <v>122880.00000000006</v>
      </c>
      <c r="F12" s="45">
        <f t="shared" si="3"/>
        <v>154909.09090909091</v>
      </c>
    </row>
    <row r="13" spans="1:6">
      <c r="A13" s="44">
        <v>6</v>
      </c>
      <c r="B13" s="45">
        <f t="shared" si="0"/>
        <v>88027.651017869852</v>
      </c>
      <c r="C13" s="45">
        <f t="shared" si="4"/>
        <v>1106784</v>
      </c>
      <c r="D13" s="45">
        <f t="shared" si="1"/>
        <v>142000</v>
      </c>
      <c r="E13" s="45">
        <f t="shared" si="2"/>
        <v>98304.000000000058</v>
      </c>
      <c r="F13" s="45">
        <f t="shared" si="3"/>
        <v>129090.90909090909</v>
      </c>
    </row>
    <row r="14" spans="1:6">
      <c r="A14" s="44">
        <v>7</v>
      </c>
      <c r="B14" s="45">
        <f t="shared" si="0"/>
        <v>65668.627659330916</v>
      </c>
      <c r="C14" s="45">
        <f t="shared" si="4"/>
        <v>1185427.2</v>
      </c>
      <c r="D14" s="45">
        <f t="shared" si="1"/>
        <v>142000</v>
      </c>
      <c r="E14" s="45">
        <f t="shared" si="2"/>
        <v>78643.200000000055</v>
      </c>
      <c r="F14" s="45">
        <f t="shared" si="3"/>
        <v>103272.72727272728</v>
      </c>
    </row>
    <row r="15" spans="1:6">
      <c r="A15" s="44">
        <v>8</v>
      </c>
      <c r="B15" s="45">
        <f t="shared" si="0"/>
        <v>48988.796233860856</v>
      </c>
      <c r="C15" s="45">
        <f t="shared" si="4"/>
        <v>1263618.1333333333</v>
      </c>
      <c r="D15" s="45">
        <f t="shared" si="1"/>
        <v>142000</v>
      </c>
      <c r="E15" s="45">
        <f t="shared" si="2"/>
        <v>62914.560000000049</v>
      </c>
      <c r="F15" s="45">
        <f t="shared" si="3"/>
        <v>77454.545454545456</v>
      </c>
    </row>
    <row r="16" spans="1:6">
      <c r="A16" s="44">
        <v>9</v>
      </c>
      <c r="B16" s="45">
        <f t="shared" si="0"/>
        <v>36545.641990460201</v>
      </c>
      <c r="C16" s="45">
        <f t="shared" si="4"/>
        <v>1341809.0666666667</v>
      </c>
      <c r="D16" s="45">
        <f t="shared" si="1"/>
        <v>142000</v>
      </c>
      <c r="E16" s="45">
        <f t="shared" si="2"/>
        <v>50331.648000000045</v>
      </c>
      <c r="F16" s="45">
        <f t="shared" si="3"/>
        <v>51636.36363636364</v>
      </c>
    </row>
    <row r="17" spans="1:6">
      <c r="A17" s="58">
        <v>10</v>
      </c>
      <c r="B17" s="45">
        <f t="shared" si="0"/>
        <v>27263.048924883311</v>
      </c>
      <c r="C17" s="45">
        <f t="shared" si="4"/>
        <v>1420000</v>
      </c>
      <c r="D17" s="45">
        <f t="shared" si="1"/>
        <v>142000</v>
      </c>
      <c r="E17" s="45">
        <f t="shared" si="2"/>
        <v>40265.31840000004</v>
      </c>
      <c r="F17" s="45">
        <f t="shared" si="3"/>
        <v>25818.18181818182</v>
      </c>
    </row>
    <row r="18" spans="1:6" ht="17.25" thickBot="1">
      <c r="F18" s="7"/>
    </row>
    <row r="19" spans="1:6" ht="17.25" thickBot="1">
      <c r="A19" s="1" t="s">
        <v>69</v>
      </c>
      <c r="B19" s="50">
        <v>1</v>
      </c>
      <c r="C19" s="7" t="s">
        <v>70</v>
      </c>
    </row>
    <row r="20" spans="1:6" ht="17.25" thickBot="1">
      <c r="A20" s="1" t="s">
        <v>71</v>
      </c>
      <c r="B20" s="51">
        <v>2</v>
      </c>
      <c r="C20" t="s">
        <v>72</v>
      </c>
    </row>
    <row r="21" spans="1:6">
      <c r="A21" s="1" t="s">
        <v>73</v>
      </c>
      <c r="B21" s="10">
        <f>VDB(B1,B3,B2,B19,B20)</f>
        <v>240000</v>
      </c>
      <c r="C21" s="8" t="s">
        <v>74</v>
      </c>
    </row>
  </sheetData>
  <phoneticPr fontId="6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7"/>
  <sheetViews>
    <sheetView topLeftCell="A7" workbookViewId="0">
      <selection activeCell="B9" sqref="B9"/>
    </sheetView>
  </sheetViews>
  <sheetFormatPr defaultRowHeight="16.5"/>
  <cols>
    <col min="1" max="1" width="13.25" customWidth="1"/>
    <col min="2" max="2" width="11.75" customWidth="1"/>
    <col min="3" max="3" width="5.25" customWidth="1"/>
    <col min="4" max="4" width="31.75" bestFit="1" customWidth="1"/>
  </cols>
  <sheetData>
    <row r="1" spans="1:4" ht="17.25" thickBot="1">
      <c r="A1" t="s">
        <v>26</v>
      </c>
      <c r="B1" s="12">
        <v>3000000</v>
      </c>
    </row>
    <row r="2" spans="1:4" ht="17.25" thickBot="1">
      <c r="A2" t="s">
        <v>27</v>
      </c>
      <c r="B2" s="28">
        <v>16000000</v>
      </c>
    </row>
    <row r="3" spans="1:4" ht="17.25" thickBot="1">
      <c r="A3" t="s">
        <v>28</v>
      </c>
      <c r="B3" s="25">
        <v>10</v>
      </c>
    </row>
    <row r="4" spans="1:4">
      <c r="A4" t="s">
        <v>29</v>
      </c>
      <c r="B4" s="32">
        <f>RATE(B3,,-B1,B2)</f>
        <v>0.18222427548378442</v>
      </c>
      <c r="D4" s="8" t="s">
        <v>34</v>
      </c>
    </row>
    <row r="6" spans="1:4" ht="17.25" thickBot="1"/>
    <row r="7" spans="1:4" ht="17.25" thickBot="1">
      <c r="A7" t="s">
        <v>30</v>
      </c>
      <c r="B7" s="12">
        <v>50000</v>
      </c>
    </row>
    <row r="8" spans="1:4" ht="17.25" thickBot="1">
      <c r="A8" t="s">
        <v>31</v>
      </c>
      <c r="B8" s="27">
        <v>4</v>
      </c>
    </row>
    <row r="9" spans="1:4" ht="17.25" thickBot="1">
      <c r="A9" t="s">
        <v>32</v>
      </c>
      <c r="B9" s="14">
        <v>100000</v>
      </c>
    </row>
    <row r="10" spans="1:4">
      <c r="A10" t="s">
        <v>33</v>
      </c>
      <c r="B10" s="32">
        <f>RATE(B8,,-B7,B9)</f>
        <v>0.18920711500272092</v>
      </c>
      <c r="D10" s="8" t="s">
        <v>35</v>
      </c>
    </row>
    <row r="12" spans="1:4" ht="17.25" thickBot="1"/>
    <row r="13" spans="1:4" ht="17.25" thickBot="1">
      <c r="A13" t="s">
        <v>18</v>
      </c>
      <c r="B13" s="14">
        <v>1500000</v>
      </c>
    </row>
    <row r="14" spans="1:4" ht="17.25" thickBot="1">
      <c r="A14" t="s">
        <v>37</v>
      </c>
      <c r="B14" s="13">
        <v>200000</v>
      </c>
    </row>
    <row r="15" spans="1:4" ht="17.25" thickBot="1">
      <c r="A15" t="s">
        <v>38</v>
      </c>
      <c r="B15" s="26">
        <v>12</v>
      </c>
    </row>
    <row r="16" spans="1:4" ht="17.25" thickBot="1">
      <c r="A16" t="s">
        <v>39</v>
      </c>
      <c r="B16" s="33">
        <v>400000</v>
      </c>
    </row>
    <row r="17" spans="1:4">
      <c r="A17" t="s">
        <v>29</v>
      </c>
      <c r="B17" s="32">
        <f>RATE(B15,B14,-B13,B16,1)</f>
        <v>0.11845300192552707</v>
      </c>
      <c r="D17" s="8" t="s">
        <v>87</v>
      </c>
    </row>
  </sheetData>
  <phoneticPr fontId="6" type="noConversion"/>
  <pageMargins left="0.75" right="0.75" top="1" bottom="1" header="0.5" footer="0.5"/>
  <headerFooter alignWithMargins="0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G7"/>
  <sheetViews>
    <sheetView workbookViewId="0">
      <selection activeCell="B2" sqref="B2:B4"/>
    </sheetView>
  </sheetViews>
  <sheetFormatPr defaultRowHeight="16.5"/>
  <cols>
    <col min="1" max="1" width="15" bestFit="1" customWidth="1"/>
    <col min="2" max="2" width="12.375" customWidth="1"/>
    <col min="3" max="3" width="13.375" bestFit="1" customWidth="1"/>
    <col min="4" max="4" width="4.875" customWidth="1"/>
    <col min="5" max="5" width="14" customWidth="1"/>
    <col min="6" max="6" width="5.125" customWidth="1"/>
  </cols>
  <sheetData>
    <row r="1" spans="1:7">
      <c r="A1" t="s">
        <v>0</v>
      </c>
      <c r="B1" s="6">
        <v>534782</v>
      </c>
      <c r="D1" t="s">
        <v>1</v>
      </c>
    </row>
    <row r="2" spans="1:7">
      <c r="A2" t="s">
        <v>2</v>
      </c>
      <c r="B2" s="5">
        <f>VLOOKUP(B1,E3:G7,2)</f>
        <v>0.13</v>
      </c>
      <c r="D2" t="s">
        <v>3</v>
      </c>
      <c r="E2" t="s">
        <v>4</v>
      </c>
      <c r="F2" t="s">
        <v>5</v>
      </c>
      <c r="G2" t="s">
        <v>6</v>
      </c>
    </row>
    <row r="3" spans="1:7">
      <c r="A3" t="s">
        <v>7</v>
      </c>
      <c r="B3" s="6">
        <f>VLOOKUP(B1,E3:G7,3)</f>
        <v>23100</v>
      </c>
      <c r="D3">
        <v>1</v>
      </c>
      <c r="E3">
        <v>0</v>
      </c>
      <c r="F3" s="4">
        <v>0.06</v>
      </c>
      <c r="G3">
        <v>0</v>
      </c>
    </row>
    <row r="4" spans="1:7">
      <c r="A4" t="s">
        <v>8</v>
      </c>
      <c r="B4" s="6">
        <f>B1*B2-B3</f>
        <v>46421.66</v>
      </c>
      <c r="D4">
        <v>2</v>
      </c>
      <c r="E4">
        <v>330000</v>
      </c>
      <c r="F4" s="4">
        <v>0.13</v>
      </c>
      <c r="G4">
        <v>23100</v>
      </c>
    </row>
    <row r="5" spans="1:7">
      <c r="D5">
        <v>3</v>
      </c>
      <c r="E5">
        <v>890000</v>
      </c>
      <c r="F5" s="4">
        <v>0.21</v>
      </c>
      <c r="G5">
        <v>94300</v>
      </c>
    </row>
    <row r="6" spans="1:7">
      <c r="D6">
        <v>4</v>
      </c>
      <c r="E6">
        <v>1780000</v>
      </c>
      <c r="F6" s="4">
        <v>0.3</v>
      </c>
      <c r="G6">
        <v>254500</v>
      </c>
    </row>
    <row r="7" spans="1:7">
      <c r="D7">
        <v>5</v>
      </c>
      <c r="E7">
        <v>3340000</v>
      </c>
      <c r="F7" s="4">
        <v>0.4</v>
      </c>
      <c r="G7">
        <v>588500</v>
      </c>
    </row>
  </sheetData>
  <phoneticPr fontId="6" type="noConversion"/>
  <pageMargins left="0.75" right="0.75" top="1" bottom="1" header="0.5" footer="0.5"/>
  <headerFooter alignWithMargins="0">
    <oddHeader>&amp;A</oddHeader>
    <oddFooter>第 &amp;P 頁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C000"/>
  </sheetPr>
  <dimension ref="A1:I43"/>
  <sheetViews>
    <sheetView workbookViewId="0">
      <selection activeCell="F8" sqref="F8"/>
    </sheetView>
  </sheetViews>
  <sheetFormatPr defaultRowHeight="16.5"/>
  <cols>
    <col min="1" max="1" width="11.75" customWidth="1"/>
    <col min="5" max="5" width="11.75" customWidth="1"/>
    <col min="8" max="8" width="10.75" customWidth="1"/>
  </cols>
  <sheetData>
    <row r="1" spans="1:9">
      <c r="A1" s="60" t="s">
        <v>105</v>
      </c>
      <c r="B1" s="59"/>
    </row>
    <row r="2" spans="1:9">
      <c r="A2" s="59" t="s">
        <v>106</v>
      </c>
      <c r="B2" s="59"/>
    </row>
    <row r="3" spans="1:9">
      <c r="A3" s="59"/>
      <c r="B3" s="59"/>
    </row>
    <row r="5" spans="1:9" ht="17.25" thickBot="1">
      <c r="A5" s="60" t="s">
        <v>90</v>
      </c>
      <c r="B5" s="61"/>
      <c r="C5" s="61"/>
      <c r="D5" s="61"/>
      <c r="E5" s="61"/>
      <c r="F5" s="61"/>
      <c r="G5" s="61" t="s">
        <v>91</v>
      </c>
      <c r="H5" s="62">
        <f>I5/10000</f>
        <v>2.98E-2</v>
      </c>
      <c r="I5" s="63">
        <v>298</v>
      </c>
    </row>
    <row r="6" spans="1:9">
      <c r="A6" s="64">
        <v>200000</v>
      </c>
      <c r="B6" s="65" t="s">
        <v>92</v>
      </c>
      <c r="C6" s="66" t="s">
        <v>93</v>
      </c>
      <c r="D6" s="66" t="s">
        <v>94</v>
      </c>
      <c r="E6" s="66" t="s">
        <v>95</v>
      </c>
      <c r="F6" s="67" t="s">
        <v>96</v>
      </c>
      <c r="G6" s="61" t="s">
        <v>97</v>
      </c>
      <c r="H6" s="62">
        <f>$H$5/12</f>
        <v>2.4833333333333335E-3</v>
      </c>
    </row>
    <row r="7" spans="1:9">
      <c r="A7" s="64"/>
      <c r="B7" s="68">
        <v>0</v>
      </c>
      <c r="C7" s="69"/>
      <c r="D7" s="69"/>
      <c r="E7" s="69">
        <f>$A$6</f>
        <v>200000</v>
      </c>
      <c r="F7" s="70">
        <f>PMT(H6,36,-A6,0)</f>
        <v>5814.4792744342803</v>
      </c>
      <c r="G7" s="61"/>
      <c r="H7" s="71"/>
    </row>
    <row r="8" spans="1:9">
      <c r="A8" s="59"/>
      <c r="B8" s="72">
        <v>1</v>
      </c>
      <c r="C8" s="69">
        <f>F8-D8</f>
        <v>5317.8126077676134</v>
      </c>
      <c r="D8" s="69">
        <f>E7*$H$6</f>
        <v>496.66666666666669</v>
      </c>
      <c r="E8" s="69">
        <f>E7-C8</f>
        <v>194682.18739223239</v>
      </c>
      <c r="F8" s="73">
        <f>$F$7</f>
        <v>5814.4792744342803</v>
      </c>
      <c r="G8" s="59"/>
      <c r="H8" s="59"/>
    </row>
    <row r="9" spans="1:9">
      <c r="B9" s="68">
        <v>2</v>
      </c>
      <c r="C9" s="69">
        <f t="shared" ref="C9:C42" si="0">F9-D9</f>
        <v>5331.0185090769028</v>
      </c>
      <c r="D9" s="69">
        <f t="shared" ref="D9:D43" si="1">E8*$H$6</f>
        <v>483.46076535737711</v>
      </c>
      <c r="E9" s="69">
        <f t="shared" ref="E9:E42" si="2">E8-C9</f>
        <v>189351.16888315548</v>
      </c>
      <c r="F9" s="73">
        <f t="shared" ref="F9:F43" si="3">$F$7</f>
        <v>5814.4792744342803</v>
      </c>
    </row>
    <row r="10" spans="1:9">
      <c r="B10" s="72">
        <v>3</v>
      </c>
      <c r="C10" s="69">
        <f t="shared" si="0"/>
        <v>5344.2572050411109</v>
      </c>
      <c r="D10" s="69">
        <f t="shared" si="1"/>
        <v>470.22206939316948</v>
      </c>
      <c r="E10" s="69">
        <f t="shared" si="2"/>
        <v>184006.91167811438</v>
      </c>
      <c r="F10" s="73">
        <f t="shared" si="3"/>
        <v>5814.4792744342803</v>
      </c>
    </row>
    <row r="11" spans="1:9">
      <c r="B11" s="68">
        <v>4</v>
      </c>
      <c r="C11" s="69">
        <f t="shared" si="0"/>
        <v>5357.5287771002959</v>
      </c>
      <c r="D11" s="69">
        <f t="shared" si="1"/>
        <v>456.95049733398406</v>
      </c>
      <c r="E11" s="69">
        <f t="shared" si="2"/>
        <v>178649.38290101409</v>
      </c>
      <c r="F11" s="73">
        <f t="shared" si="3"/>
        <v>5814.4792744342803</v>
      </c>
    </row>
    <row r="12" spans="1:9">
      <c r="B12" s="72">
        <v>5</v>
      </c>
      <c r="C12" s="69">
        <f t="shared" si="0"/>
        <v>5370.8333068967622</v>
      </c>
      <c r="D12" s="69">
        <f t="shared" si="1"/>
        <v>443.64596753751835</v>
      </c>
      <c r="E12" s="69">
        <f t="shared" si="2"/>
        <v>173278.54959411733</v>
      </c>
      <c r="F12" s="73">
        <f t="shared" si="3"/>
        <v>5814.4792744342803</v>
      </c>
    </row>
    <row r="13" spans="1:9">
      <c r="B13" s="68">
        <v>6</v>
      </c>
      <c r="C13" s="69">
        <f t="shared" si="0"/>
        <v>5384.1708762755552</v>
      </c>
      <c r="D13" s="69">
        <f t="shared" si="1"/>
        <v>430.30839815872474</v>
      </c>
      <c r="E13" s="69">
        <f t="shared" si="2"/>
        <v>167894.37871784178</v>
      </c>
      <c r="F13" s="73">
        <f t="shared" si="3"/>
        <v>5814.4792744342803</v>
      </c>
    </row>
    <row r="14" spans="1:9">
      <c r="B14" s="72">
        <v>7</v>
      </c>
      <c r="C14" s="69">
        <f t="shared" si="0"/>
        <v>5397.5415672849731</v>
      </c>
      <c r="D14" s="69">
        <f t="shared" si="1"/>
        <v>416.93770714930713</v>
      </c>
      <c r="E14" s="69">
        <f t="shared" si="2"/>
        <v>162496.83715055682</v>
      </c>
      <c r="F14" s="73">
        <f t="shared" si="3"/>
        <v>5814.4792744342803</v>
      </c>
    </row>
    <row r="15" spans="1:9">
      <c r="B15" s="68">
        <v>8</v>
      </c>
      <c r="C15" s="69">
        <f t="shared" si="0"/>
        <v>5410.9454621770637</v>
      </c>
      <c r="D15" s="69">
        <f t="shared" si="1"/>
        <v>403.53381225721614</v>
      </c>
      <c r="E15" s="69">
        <f t="shared" si="2"/>
        <v>157085.89168837975</v>
      </c>
      <c r="F15" s="73">
        <f t="shared" si="3"/>
        <v>5814.4792744342803</v>
      </c>
    </row>
    <row r="16" spans="1:9">
      <c r="B16" s="72">
        <v>9</v>
      </c>
      <c r="C16" s="69">
        <f t="shared" si="0"/>
        <v>5424.3826434081375</v>
      </c>
      <c r="D16" s="69">
        <f t="shared" si="1"/>
        <v>390.09663102614309</v>
      </c>
      <c r="E16" s="69">
        <f t="shared" si="2"/>
        <v>151661.50904497161</v>
      </c>
      <c r="F16" s="73">
        <f t="shared" si="3"/>
        <v>5814.4792744342803</v>
      </c>
    </row>
    <row r="17" spans="2:6">
      <c r="B17" s="68">
        <v>10</v>
      </c>
      <c r="C17" s="69">
        <f t="shared" si="0"/>
        <v>5437.8531936392674</v>
      </c>
      <c r="D17" s="69">
        <f t="shared" si="1"/>
        <v>376.62608079501285</v>
      </c>
      <c r="E17" s="69">
        <f t="shared" si="2"/>
        <v>146223.65585133235</v>
      </c>
      <c r="F17" s="73">
        <f t="shared" si="3"/>
        <v>5814.4792744342803</v>
      </c>
    </row>
    <row r="18" spans="2:6">
      <c r="B18" s="72">
        <v>11</v>
      </c>
      <c r="C18" s="69">
        <f t="shared" si="0"/>
        <v>5451.3571957368049</v>
      </c>
      <c r="D18" s="69">
        <f t="shared" si="1"/>
        <v>363.12207869747539</v>
      </c>
      <c r="E18" s="69">
        <f t="shared" si="2"/>
        <v>140772.29865559554</v>
      </c>
      <c r="F18" s="73">
        <f t="shared" si="3"/>
        <v>5814.4792744342803</v>
      </c>
    </row>
    <row r="19" spans="2:6">
      <c r="B19" s="68">
        <v>12</v>
      </c>
      <c r="C19" s="69">
        <f t="shared" si="0"/>
        <v>5464.8947327728847</v>
      </c>
      <c r="D19" s="69">
        <f t="shared" si="1"/>
        <v>349.58454166139563</v>
      </c>
      <c r="E19" s="69">
        <f t="shared" si="2"/>
        <v>135307.40392282265</v>
      </c>
      <c r="F19" s="73">
        <f t="shared" si="3"/>
        <v>5814.4792744342803</v>
      </c>
    </row>
    <row r="20" spans="2:6">
      <c r="B20" s="72">
        <v>13</v>
      </c>
      <c r="C20" s="69">
        <f t="shared" si="0"/>
        <v>5478.4658880259376</v>
      </c>
      <c r="D20" s="69">
        <f t="shared" si="1"/>
        <v>336.01338640834291</v>
      </c>
      <c r="E20" s="69">
        <f t="shared" si="2"/>
        <v>129828.93803479671</v>
      </c>
      <c r="F20" s="73">
        <f t="shared" si="3"/>
        <v>5814.4792744342803</v>
      </c>
    </row>
    <row r="21" spans="2:6">
      <c r="B21" s="68">
        <v>14</v>
      </c>
      <c r="C21" s="69">
        <f t="shared" si="0"/>
        <v>5492.0707449812016</v>
      </c>
      <c r="D21" s="69">
        <f t="shared" si="1"/>
        <v>322.40852945307853</v>
      </c>
      <c r="E21" s="69">
        <f t="shared" si="2"/>
        <v>124336.86728981551</v>
      </c>
      <c r="F21" s="73">
        <f t="shared" si="3"/>
        <v>5814.4792744342803</v>
      </c>
    </row>
    <row r="22" spans="2:6">
      <c r="B22" s="72">
        <v>15</v>
      </c>
      <c r="C22" s="69">
        <f t="shared" si="0"/>
        <v>5505.7093873312388</v>
      </c>
      <c r="D22" s="69">
        <f t="shared" si="1"/>
        <v>308.76988710304187</v>
      </c>
      <c r="E22" s="69">
        <f t="shared" si="2"/>
        <v>118831.15790248426</v>
      </c>
      <c r="F22" s="73">
        <f t="shared" si="3"/>
        <v>5814.4792744342803</v>
      </c>
    </row>
    <row r="23" spans="2:6">
      <c r="B23" s="68">
        <v>16</v>
      </c>
      <c r="C23" s="69">
        <f t="shared" si="0"/>
        <v>5519.3818989764441</v>
      </c>
      <c r="D23" s="69">
        <f t="shared" si="1"/>
        <v>295.09737545783594</v>
      </c>
      <c r="E23" s="69">
        <f t="shared" si="2"/>
        <v>113311.77600350782</v>
      </c>
      <c r="F23" s="73">
        <f t="shared" si="3"/>
        <v>5814.4792744342803</v>
      </c>
    </row>
    <row r="24" spans="2:6">
      <c r="B24" s="72">
        <v>17</v>
      </c>
      <c r="C24" s="69">
        <f t="shared" si="0"/>
        <v>5533.0883640255688</v>
      </c>
      <c r="D24" s="69">
        <f t="shared" si="1"/>
        <v>281.39091040871114</v>
      </c>
      <c r="E24" s="69">
        <f t="shared" si="2"/>
        <v>107778.68763948226</v>
      </c>
      <c r="F24" s="73">
        <f t="shared" si="3"/>
        <v>5814.4792744342803</v>
      </c>
    </row>
    <row r="25" spans="2:6">
      <c r="B25" s="72">
        <v>18</v>
      </c>
      <c r="C25" s="69">
        <f t="shared" si="0"/>
        <v>5546.8288667962324</v>
      </c>
      <c r="D25" s="69">
        <f t="shared" si="1"/>
        <v>267.65040763804762</v>
      </c>
      <c r="E25" s="69">
        <f t="shared" si="2"/>
        <v>102231.85877268603</v>
      </c>
      <c r="F25" s="73">
        <f t="shared" si="3"/>
        <v>5814.4792744342803</v>
      </c>
    </row>
    <row r="26" spans="2:6">
      <c r="B26" s="68">
        <v>19</v>
      </c>
      <c r="C26" s="69">
        <f t="shared" si="0"/>
        <v>5560.6034918154437</v>
      </c>
      <c r="D26" s="69">
        <f t="shared" si="1"/>
        <v>253.87578261883698</v>
      </c>
      <c r="E26" s="69">
        <f t="shared" si="2"/>
        <v>96671.25528087058</v>
      </c>
      <c r="F26" s="73">
        <f t="shared" si="3"/>
        <v>5814.4792744342803</v>
      </c>
    </row>
    <row r="27" spans="2:6">
      <c r="B27" s="72">
        <v>20</v>
      </c>
      <c r="C27" s="69">
        <f t="shared" si="0"/>
        <v>5574.4123238201182</v>
      </c>
      <c r="D27" s="69">
        <f t="shared" si="1"/>
        <v>240.06695061416195</v>
      </c>
      <c r="E27" s="69">
        <f t="shared" si="2"/>
        <v>91096.842957050467</v>
      </c>
      <c r="F27" s="73">
        <f t="shared" si="3"/>
        <v>5814.4792744342803</v>
      </c>
    </row>
    <row r="28" spans="2:6">
      <c r="B28" s="68">
        <v>21</v>
      </c>
      <c r="C28" s="69">
        <f t="shared" si="0"/>
        <v>5588.255447757605</v>
      </c>
      <c r="D28" s="69">
        <f t="shared" si="1"/>
        <v>226.22382667667534</v>
      </c>
      <c r="E28" s="69">
        <f t="shared" si="2"/>
        <v>85508.587509292862</v>
      </c>
      <c r="F28" s="73">
        <f t="shared" si="3"/>
        <v>5814.4792744342803</v>
      </c>
    </row>
    <row r="29" spans="2:6">
      <c r="B29" s="72">
        <v>22</v>
      </c>
      <c r="C29" s="69">
        <f t="shared" si="0"/>
        <v>5602.1329487862031</v>
      </c>
      <c r="D29" s="69">
        <f t="shared" si="1"/>
        <v>212.34632564807728</v>
      </c>
      <c r="E29" s="69">
        <f t="shared" si="2"/>
        <v>79906.454560506652</v>
      </c>
      <c r="F29" s="73">
        <f t="shared" si="3"/>
        <v>5814.4792744342803</v>
      </c>
    </row>
    <row r="30" spans="2:6">
      <c r="B30" s="68">
        <v>23</v>
      </c>
      <c r="C30" s="69">
        <f t="shared" si="0"/>
        <v>5616.0449122756891</v>
      </c>
      <c r="D30" s="69">
        <f t="shared" si="1"/>
        <v>198.43436215859154</v>
      </c>
      <c r="E30" s="69">
        <f t="shared" si="2"/>
        <v>74290.409648230969</v>
      </c>
      <c r="F30" s="73">
        <f t="shared" si="3"/>
        <v>5814.4792744342803</v>
      </c>
    </row>
    <row r="31" spans="2:6">
      <c r="B31" s="72">
        <v>24</v>
      </c>
      <c r="C31" s="69">
        <f t="shared" si="0"/>
        <v>5629.99142380784</v>
      </c>
      <c r="D31" s="69">
        <f t="shared" si="1"/>
        <v>184.48785062644026</v>
      </c>
      <c r="E31" s="69">
        <f t="shared" si="2"/>
        <v>68660.418224423134</v>
      </c>
      <c r="F31" s="73">
        <f t="shared" si="3"/>
        <v>5814.4792744342803</v>
      </c>
    </row>
    <row r="32" spans="2:6">
      <c r="B32" s="68">
        <v>25</v>
      </c>
      <c r="C32" s="69">
        <f t="shared" si="0"/>
        <v>5643.9725691769627</v>
      </c>
      <c r="D32" s="69">
        <f t="shared" si="1"/>
        <v>170.50670525731746</v>
      </c>
      <c r="E32" s="69">
        <f t="shared" si="2"/>
        <v>63016.445655246171</v>
      </c>
      <c r="F32" s="73">
        <f t="shared" si="3"/>
        <v>5814.4792744342803</v>
      </c>
    </row>
    <row r="33" spans="2:6">
      <c r="B33" s="72">
        <v>26</v>
      </c>
      <c r="C33" s="69">
        <f t="shared" si="0"/>
        <v>5657.9884343904187</v>
      </c>
      <c r="D33" s="69">
        <f t="shared" si="1"/>
        <v>156.49084004386134</v>
      </c>
      <c r="E33" s="69">
        <f t="shared" si="2"/>
        <v>57358.457220855751</v>
      </c>
      <c r="F33" s="73">
        <f t="shared" si="3"/>
        <v>5814.4792744342803</v>
      </c>
    </row>
    <row r="34" spans="2:6">
      <c r="B34" s="68">
        <v>27</v>
      </c>
      <c r="C34" s="69">
        <f t="shared" si="0"/>
        <v>5672.0391056691551</v>
      </c>
      <c r="D34" s="69">
        <f t="shared" si="1"/>
        <v>142.44016876512512</v>
      </c>
      <c r="E34" s="69">
        <f t="shared" si="2"/>
        <v>51686.418115186592</v>
      </c>
      <c r="F34" s="73">
        <f t="shared" si="3"/>
        <v>5814.4792744342803</v>
      </c>
    </row>
    <row r="35" spans="2:6">
      <c r="B35" s="72">
        <v>28</v>
      </c>
      <c r="C35" s="69">
        <f t="shared" si="0"/>
        <v>5686.1246694482334</v>
      </c>
      <c r="D35" s="69">
        <f t="shared" si="1"/>
        <v>128.35460498604672</v>
      </c>
      <c r="E35" s="69">
        <f t="shared" si="2"/>
        <v>46000.29344573836</v>
      </c>
      <c r="F35" s="73">
        <f t="shared" si="3"/>
        <v>5814.4792744342803</v>
      </c>
    </row>
    <row r="36" spans="2:6">
      <c r="B36" s="68">
        <v>29</v>
      </c>
      <c r="C36" s="69">
        <f t="shared" si="0"/>
        <v>5700.2452123773637</v>
      </c>
      <c r="D36" s="69">
        <f t="shared" si="1"/>
        <v>114.23406205691694</v>
      </c>
      <c r="E36" s="69">
        <f t="shared" si="2"/>
        <v>40300.048233360998</v>
      </c>
      <c r="F36" s="73">
        <f t="shared" si="3"/>
        <v>5814.4792744342803</v>
      </c>
    </row>
    <row r="37" spans="2:6">
      <c r="B37" s="72">
        <v>30</v>
      </c>
      <c r="C37" s="69">
        <f t="shared" si="0"/>
        <v>5714.4008213214338</v>
      </c>
      <c r="D37" s="69">
        <f t="shared" si="1"/>
        <v>100.07845311284649</v>
      </c>
      <c r="E37" s="69">
        <f t="shared" si="2"/>
        <v>34585.647412039565</v>
      </c>
      <c r="F37" s="73">
        <f t="shared" si="3"/>
        <v>5814.4792744342803</v>
      </c>
    </row>
    <row r="38" spans="2:6">
      <c r="B38" s="68">
        <v>31</v>
      </c>
      <c r="C38" s="69">
        <f t="shared" si="0"/>
        <v>5728.5915833610488</v>
      </c>
      <c r="D38" s="69">
        <f t="shared" si="1"/>
        <v>85.887691073231593</v>
      </c>
      <c r="E38" s="69">
        <f t="shared" si="2"/>
        <v>28857.055828678516</v>
      </c>
      <c r="F38" s="73">
        <f t="shared" si="3"/>
        <v>5814.4792744342803</v>
      </c>
    </row>
    <row r="39" spans="2:6">
      <c r="B39" s="72">
        <v>32</v>
      </c>
      <c r="C39" s="69">
        <f t="shared" si="0"/>
        <v>5742.8175857930619</v>
      </c>
      <c r="D39" s="69">
        <f t="shared" si="1"/>
        <v>71.661688641218319</v>
      </c>
      <c r="E39" s="69">
        <f t="shared" si="2"/>
        <v>23114.238242885454</v>
      </c>
      <c r="F39" s="73">
        <f t="shared" si="3"/>
        <v>5814.4792744342803</v>
      </c>
    </row>
    <row r="40" spans="2:6">
      <c r="B40" s="68">
        <v>33</v>
      </c>
      <c r="C40" s="69">
        <f t="shared" si="0"/>
        <v>5757.078916131115</v>
      </c>
      <c r="D40" s="69">
        <f t="shared" si="1"/>
        <v>57.400358303165547</v>
      </c>
      <c r="E40" s="69">
        <f t="shared" si="2"/>
        <v>17357.159326754339</v>
      </c>
      <c r="F40" s="73">
        <f t="shared" si="3"/>
        <v>5814.4792744342803</v>
      </c>
    </row>
    <row r="41" spans="2:6">
      <c r="B41" s="72">
        <v>34</v>
      </c>
      <c r="C41" s="69">
        <f t="shared" si="0"/>
        <v>5771.3756621061739</v>
      </c>
      <c r="D41" s="69">
        <f t="shared" si="1"/>
        <v>43.103612328106614</v>
      </c>
      <c r="E41" s="69">
        <f t="shared" si="2"/>
        <v>11585.783664648166</v>
      </c>
      <c r="F41" s="73">
        <f t="shared" si="3"/>
        <v>5814.4792744342803</v>
      </c>
    </row>
    <row r="42" spans="2:6">
      <c r="B42" s="68">
        <v>35</v>
      </c>
      <c r="C42" s="69">
        <f t="shared" si="0"/>
        <v>5785.7079116670711</v>
      </c>
      <c r="D42" s="69">
        <f t="shared" si="1"/>
        <v>28.771362767209617</v>
      </c>
      <c r="E42" s="69">
        <f t="shared" si="2"/>
        <v>5800.0757529810953</v>
      </c>
      <c r="F42" s="73">
        <f t="shared" si="3"/>
        <v>5814.4792744342803</v>
      </c>
    </row>
    <row r="43" spans="2:6" ht="17.25" thickBot="1">
      <c r="B43" s="74">
        <v>36</v>
      </c>
      <c r="C43" s="75">
        <f>F43-D43</f>
        <v>5800.0757529810444</v>
      </c>
      <c r="D43" s="75">
        <f t="shared" si="1"/>
        <v>14.403521453236388</v>
      </c>
      <c r="E43" s="75">
        <f>E42-C43</f>
        <v>5.0931703299283981E-11</v>
      </c>
      <c r="F43" s="76">
        <f t="shared" si="3"/>
        <v>5814.4792744342803</v>
      </c>
    </row>
  </sheetData>
  <phoneticPr fontId="6" type="noConversion"/>
  <pageMargins left="0.7" right="0.7" top="0.75" bottom="0.75" header="0.3" footer="0.3"/>
  <pageSetup paperSize="9" orientation="portrait" horizontalDpi="4294967293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9217" r:id="rId4" name="Spinner 1">
              <controlPr defaultSize="0" autoFill="0" autoPict="0">
                <anchor moveWithCells="1" sizeWithCells="1">
                  <from>
                    <xdr:col>8</xdr:col>
                    <xdr:colOff>9525</xdr:colOff>
                    <xdr:row>3</xdr:row>
                    <xdr:rowOff>190500</xdr:rowOff>
                  </from>
                  <to>
                    <xdr:col>8</xdr:col>
                    <xdr:colOff>161925</xdr:colOff>
                    <xdr:row>5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FFC000"/>
  </sheetPr>
  <dimension ref="A1:Q61"/>
  <sheetViews>
    <sheetView workbookViewId="0">
      <selection activeCell="A2" sqref="A2"/>
    </sheetView>
  </sheetViews>
  <sheetFormatPr defaultRowHeight="16.5"/>
  <cols>
    <col min="1" max="1" width="14.125" customWidth="1"/>
    <col min="2" max="2" width="11.375" bestFit="1" customWidth="1"/>
    <col min="3" max="3" width="15.75" customWidth="1"/>
    <col min="4" max="4" width="13.25" customWidth="1"/>
    <col min="5" max="5" width="15.75" customWidth="1"/>
    <col min="6" max="6" width="14.25" customWidth="1"/>
    <col min="8" max="8" width="9.875" customWidth="1"/>
    <col min="9" max="9" width="11.375" bestFit="1" customWidth="1"/>
    <col min="11" max="11" width="10.75" customWidth="1"/>
    <col min="12" max="12" width="13.375" customWidth="1"/>
    <col min="16" max="17" width="9" hidden="1" customWidth="1"/>
  </cols>
  <sheetData>
    <row r="1" spans="1:17">
      <c r="A1" s="60" t="s">
        <v>105</v>
      </c>
      <c r="B1" s="59"/>
      <c r="P1" t="s">
        <v>98</v>
      </c>
      <c r="Q1">
        <v>400000</v>
      </c>
    </row>
    <row r="2" spans="1:17" ht="17.25" thickBot="1">
      <c r="A2" s="59" t="s">
        <v>107</v>
      </c>
      <c r="B2" s="59"/>
    </row>
    <row r="3" spans="1:17">
      <c r="B3" s="77" t="s">
        <v>99</v>
      </c>
      <c r="C3" s="78" t="s">
        <v>100</v>
      </c>
      <c r="P3" t="s">
        <v>101</v>
      </c>
      <c r="Q3">
        <v>500000</v>
      </c>
    </row>
    <row r="4" spans="1:17">
      <c r="B4" s="79" t="s">
        <v>90</v>
      </c>
      <c r="C4" s="80">
        <f>VLOOKUP(C3,P1:Q4,2,0)</f>
        <v>400000</v>
      </c>
      <c r="P4" t="s">
        <v>102</v>
      </c>
      <c r="Q4">
        <v>600000</v>
      </c>
    </row>
    <row r="5" spans="1:17">
      <c r="B5" s="79" t="s">
        <v>91</v>
      </c>
      <c r="C5" s="81">
        <f>Q10/10000</f>
        <v>2.7900000000000001E-2</v>
      </c>
    </row>
    <row r="6" spans="1:17">
      <c r="B6" s="79" t="s">
        <v>97</v>
      </c>
      <c r="C6" s="82">
        <f>C5/12</f>
        <v>2.3250000000000002E-3</v>
      </c>
    </row>
    <row r="7" spans="1:17">
      <c r="B7" s="79" t="s">
        <v>103</v>
      </c>
      <c r="C7" s="83">
        <v>1</v>
      </c>
    </row>
    <row r="8" spans="1:17">
      <c r="B8" s="79" t="s">
        <v>104</v>
      </c>
      <c r="C8" s="84">
        <f>C7*12</f>
        <v>12</v>
      </c>
    </row>
    <row r="9" spans="1:17" ht="17.25" thickBot="1">
      <c r="B9" s="85" t="s">
        <v>96</v>
      </c>
      <c r="C9" s="86">
        <f>PMT(C6,C8,-C4,0,0)</f>
        <v>33839.228047458171</v>
      </c>
    </row>
    <row r="10" spans="1:17" ht="17.25" thickBot="1">
      <c r="A10" s="60"/>
      <c r="B10" s="61"/>
      <c r="C10" s="61"/>
      <c r="D10" s="61"/>
      <c r="E10" s="61"/>
      <c r="F10" s="61"/>
      <c r="G10" s="61"/>
      <c r="H10" s="62"/>
      <c r="Q10" s="87">
        <v>279</v>
      </c>
    </row>
    <row r="11" spans="1:17" ht="17.25" thickTop="1">
      <c r="A11" s="64"/>
      <c r="B11" s="88" t="s">
        <v>92</v>
      </c>
      <c r="C11" s="89" t="s">
        <v>93</v>
      </c>
      <c r="D11" s="89" t="s">
        <v>94</v>
      </c>
      <c r="E11" s="89" t="s">
        <v>95</v>
      </c>
      <c r="F11" s="90" t="s">
        <v>96</v>
      </c>
      <c r="G11" s="61"/>
      <c r="H11" s="62"/>
    </row>
    <row r="12" spans="1:17" ht="17.25" thickBot="1">
      <c r="A12" s="64"/>
      <c r="B12" s="91">
        <v>0</v>
      </c>
      <c r="C12" s="92"/>
      <c r="D12" s="92"/>
      <c r="E12" s="93">
        <f>C4</f>
        <v>400000</v>
      </c>
      <c r="F12" s="94">
        <f>C9</f>
        <v>33839.228047458171</v>
      </c>
      <c r="G12" s="61"/>
      <c r="H12" s="71"/>
    </row>
    <row r="13" spans="1:17" ht="17.25" thickBot="1">
      <c r="A13" s="59"/>
      <c r="B13" s="95">
        <v>1</v>
      </c>
      <c r="C13" s="96">
        <f t="shared" ref="C13:C24" si="0">F13-D13</f>
        <v>32909.228047458171</v>
      </c>
      <c r="D13" s="97">
        <f t="shared" ref="D13:D24" si="1">E12*$C$6</f>
        <v>930.00000000000011</v>
      </c>
      <c r="E13" s="97">
        <f t="shared" ref="E13:E24" si="2">E12-C13</f>
        <v>367090.77195254184</v>
      </c>
      <c r="F13" s="98">
        <f t="shared" ref="F13:F24" si="3">$F$12</f>
        <v>33839.228047458171</v>
      </c>
      <c r="G13" s="59"/>
    </row>
    <row r="14" spans="1:17" ht="17.25" thickBot="1">
      <c r="B14" s="91">
        <v>2</v>
      </c>
      <c r="C14" s="96">
        <f t="shared" si="0"/>
        <v>32985.742002668514</v>
      </c>
      <c r="D14" s="97">
        <f t="shared" si="1"/>
        <v>853.4860447896599</v>
      </c>
      <c r="E14" s="97">
        <f t="shared" si="2"/>
        <v>334105.02994987334</v>
      </c>
      <c r="F14" s="98">
        <f t="shared" si="3"/>
        <v>33839.228047458171</v>
      </c>
    </row>
    <row r="15" spans="1:17" ht="17.25" thickBot="1">
      <c r="B15" s="95">
        <v>3</v>
      </c>
      <c r="C15" s="96">
        <f t="shared" si="0"/>
        <v>33062.433852824717</v>
      </c>
      <c r="D15" s="97">
        <f t="shared" si="1"/>
        <v>776.79419463345562</v>
      </c>
      <c r="E15" s="97">
        <f t="shared" si="2"/>
        <v>301042.5960970486</v>
      </c>
      <c r="F15" s="98">
        <f t="shared" si="3"/>
        <v>33839.228047458171</v>
      </c>
    </row>
    <row r="16" spans="1:17" ht="17.25" thickBot="1">
      <c r="B16" s="91">
        <v>4</v>
      </c>
      <c r="C16" s="96">
        <f t="shared" si="0"/>
        <v>33139.304011532535</v>
      </c>
      <c r="D16" s="97">
        <f t="shared" si="1"/>
        <v>699.92403592563812</v>
      </c>
      <c r="E16" s="97">
        <f t="shared" si="2"/>
        <v>267903.29208551609</v>
      </c>
      <c r="F16" s="98">
        <f t="shared" si="3"/>
        <v>33839.228047458171</v>
      </c>
    </row>
    <row r="17" spans="2:6" ht="17.25" thickBot="1">
      <c r="B17" s="95">
        <v>5</v>
      </c>
      <c r="C17" s="96">
        <f t="shared" si="0"/>
        <v>33216.352893359348</v>
      </c>
      <c r="D17" s="97">
        <f t="shared" si="1"/>
        <v>622.87515409882496</v>
      </c>
      <c r="E17" s="97">
        <f t="shared" si="2"/>
        <v>234686.93919215674</v>
      </c>
      <c r="F17" s="98">
        <f t="shared" si="3"/>
        <v>33839.228047458171</v>
      </c>
    </row>
    <row r="18" spans="2:6" ht="17.25" thickBot="1">
      <c r="B18" s="91">
        <v>6</v>
      </c>
      <c r="C18" s="96">
        <f t="shared" si="0"/>
        <v>33293.580913836406</v>
      </c>
      <c r="D18" s="97">
        <f t="shared" si="1"/>
        <v>545.64713362176451</v>
      </c>
      <c r="E18" s="97">
        <f t="shared" si="2"/>
        <v>201393.35827832035</v>
      </c>
      <c r="F18" s="98">
        <f t="shared" si="3"/>
        <v>33839.228047458171</v>
      </c>
    </row>
    <row r="19" spans="2:6" ht="17.25" thickBot="1">
      <c r="B19" s="95">
        <v>7</v>
      </c>
      <c r="C19" s="96">
        <f t="shared" si="0"/>
        <v>33370.988489461073</v>
      </c>
      <c r="D19" s="97">
        <f t="shared" si="1"/>
        <v>468.23955799709483</v>
      </c>
      <c r="E19" s="97">
        <f t="shared" si="2"/>
        <v>168022.36978885927</v>
      </c>
      <c r="F19" s="98">
        <f t="shared" si="3"/>
        <v>33839.228047458171</v>
      </c>
    </row>
    <row r="20" spans="2:6" ht="17.25" thickBot="1">
      <c r="B20" s="91">
        <v>8</v>
      </c>
      <c r="C20" s="96">
        <f t="shared" si="0"/>
        <v>33448.576037699073</v>
      </c>
      <c r="D20" s="97">
        <f t="shared" si="1"/>
        <v>390.65200975909784</v>
      </c>
      <c r="E20" s="97">
        <f t="shared" si="2"/>
        <v>134573.79375116021</v>
      </c>
      <c r="F20" s="98">
        <f t="shared" si="3"/>
        <v>33839.228047458171</v>
      </c>
    </row>
    <row r="21" spans="2:6" ht="17.25" thickBot="1">
      <c r="B21" s="95">
        <v>9</v>
      </c>
      <c r="C21" s="96">
        <f t="shared" si="0"/>
        <v>33526.343976986725</v>
      </c>
      <c r="D21" s="97">
        <f t="shared" si="1"/>
        <v>312.8840704714475</v>
      </c>
      <c r="E21" s="97">
        <f t="shared" si="2"/>
        <v>101047.44977417348</v>
      </c>
      <c r="F21" s="98">
        <f t="shared" si="3"/>
        <v>33839.228047458171</v>
      </c>
    </row>
    <row r="22" spans="2:6" ht="17.25" thickBot="1">
      <c r="B22" s="91">
        <v>10</v>
      </c>
      <c r="C22" s="96">
        <f t="shared" si="0"/>
        <v>33604.29272673322</v>
      </c>
      <c r="D22" s="97">
        <f t="shared" si="1"/>
        <v>234.93532072495336</v>
      </c>
      <c r="E22" s="97">
        <f t="shared" si="2"/>
        <v>67443.157047440269</v>
      </c>
      <c r="F22" s="98">
        <f t="shared" si="3"/>
        <v>33839.228047458171</v>
      </c>
    </row>
    <row r="23" spans="2:6" ht="17.25" thickBot="1">
      <c r="B23" s="95">
        <v>11</v>
      </c>
      <c r="C23" s="96">
        <f t="shared" si="0"/>
        <v>33682.422707322876</v>
      </c>
      <c r="D23" s="97">
        <f t="shared" si="1"/>
        <v>156.80534013529865</v>
      </c>
      <c r="E23" s="97">
        <f t="shared" si="2"/>
        <v>33760.734340117393</v>
      </c>
      <c r="F23" s="98">
        <f t="shared" si="3"/>
        <v>33839.228047458171</v>
      </c>
    </row>
    <row r="24" spans="2:6" ht="17.25" thickBot="1">
      <c r="B24" s="99">
        <v>12</v>
      </c>
      <c r="C24" s="96">
        <f t="shared" si="0"/>
        <v>33760.7343401174</v>
      </c>
      <c r="D24" s="97">
        <f t="shared" si="1"/>
        <v>78.493707340772943</v>
      </c>
      <c r="E24" s="97">
        <f t="shared" si="2"/>
        <v>0</v>
      </c>
      <c r="F24" s="98">
        <f t="shared" si="3"/>
        <v>33839.228047458171</v>
      </c>
    </row>
    <row r="25" spans="2:6" ht="17.25" thickBot="1">
      <c r="B25" s="95">
        <v>13</v>
      </c>
      <c r="C25" s="96" t="str">
        <f>IF(D25="","",F25-D25)</f>
        <v/>
      </c>
      <c r="D25" s="97" t="str">
        <f>IF($C$7&gt;1,E24*$C$6,"")</f>
        <v/>
      </c>
      <c r="E25" s="97" t="str">
        <f>IF($C$7&gt;1,E24-C25,"")</f>
        <v/>
      </c>
      <c r="F25" s="98" t="str">
        <f>IF($C$7&gt;1,$F$12,"")</f>
        <v/>
      </c>
    </row>
    <row r="26" spans="2:6" ht="17.25" thickBot="1">
      <c r="B26" s="91">
        <v>14</v>
      </c>
      <c r="C26" s="96" t="str">
        <f t="shared" ref="C26:C36" si="4">IF(D26="","",F26-D26)</f>
        <v/>
      </c>
      <c r="D26" s="97" t="str">
        <f t="shared" ref="D26:D36" si="5">IF($C$7&gt;1,E25*$C$6,"")</f>
        <v/>
      </c>
      <c r="E26" s="97" t="str">
        <f t="shared" ref="E26:E36" si="6">IF($C$7&gt;1,E25-C26,"")</f>
        <v/>
      </c>
      <c r="F26" s="98" t="str">
        <f>F25</f>
        <v/>
      </c>
    </row>
    <row r="27" spans="2:6" ht="17.25" thickBot="1">
      <c r="B27" s="95">
        <v>15</v>
      </c>
      <c r="C27" s="96" t="str">
        <f t="shared" si="4"/>
        <v/>
      </c>
      <c r="D27" s="97" t="str">
        <f t="shared" si="5"/>
        <v/>
      </c>
      <c r="E27" s="97" t="str">
        <f t="shared" si="6"/>
        <v/>
      </c>
      <c r="F27" s="98" t="str">
        <f t="shared" ref="F27:F36" si="7">F26</f>
        <v/>
      </c>
    </row>
    <row r="28" spans="2:6" ht="17.25" thickBot="1">
      <c r="B28" s="91">
        <v>16</v>
      </c>
      <c r="C28" s="96" t="str">
        <f t="shared" si="4"/>
        <v/>
      </c>
      <c r="D28" s="97" t="str">
        <f t="shared" si="5"/>
        <v/>
      </c>
      <c r="E28" s="97" t="str">
        <f t="shared" si="6"/>
        <v/>
      </c>
      <c r="F28" s="98" t="str">
        <f t="shared" si="7"/>
        <v/>
      </c>
    </row>
    <row r="29" spans="2:6" ht="17.25" thickBot="1">
      <c r="B29" s="95">
        <v>17</v>
      </c>
      <c r="C29" s="96" t="str">
        <f t="shared" si="4"/>
        <v/>
      </c>
      <c r="D29" s="97" t="str">
        <f t="shared" si="5"/>
        <v/>
      </c>
      <c r="E29" s="97" t="str">
        <f t="shared" si="6"/>
        <v/>
      </c>
      <c r="F29" s="98" t="str">
        <f t="shared" si="7"/>
        <v/>
      </c>
    </row>
    <row r="30" spans="2:6" ht="17.25" thickBot="1">
      <c r="B30" s="95">
        <v>18</v>
      </c>
      <c r="C30" s="96" t="str">
        <f t="shared" si="4"/>
        <v/>
      </c>
      <c r="D30" s="97" t="str">
        <f t="shared" si="5"/>
        <v/>
      </c>
      <c r="E30" s="97" t="str">
        <f t="shared" si="6"/>
        <v/>
      </c>
      <c r="F30" s="98" t="str">
        <f t="shared" si="7"/>
        <v/>
      </c>
    </row>
    <row r="31" spans="2:6" ht="17.25" thickBot="1">
      <c r="B31" s="91">
        <v>19</v>
      </c>
      <c r="C31" s="96" t="str">
        <f t="shared" si="4"/>
        <v/>
      </c>
      <c r="D31" s="97" t="str">
        <f t="shared" si="5"/>
        <v/>
      </c>
      <c r="E31" s="97" t="str">
        <f t="shared" si="6"/>
        <v/>
      </c>
      <c r="F31" s="98" t="str">
        <f t="shared" si="7"/>
        <v/>
      </c>
    </row>
    <row r="32" spans="2:6" ht="17.25" thickBot="1">
      <c r="B32" s="95">
        <v>20</v>
      </c>
      <c r="C32" s="96" t="str">
        <f t="shared" si="4"/>
        <v/>
      </c>
      <c r="D32" s="97" t="str">
        <f t="shared" si="5"/>
        <v/>
      </c>
      <c r="E32" s="97" t="str">
        <f t="shared" si="6"/>
        <v/>
      </c>
      <c r="F32" s="98" t="str">
        <f t="shared" si="7"/>
        <v/>
      </c>
    </row>
    <row r="33" spans="2:6" ht="17.25" thickBot="1">
      <c r="B33" s="91">
        <v>21</v>
      </c>
      <c r="C33" s="96" t="str">
        <f t="shared" si="4"/>
        <v/>
      </c>
      <c r="D33" s="97" t="str">
        <f t="shared" si="5"/>
        <v/>
      </c>
      <c r="E33" s="97" t="str">
        <f t="shared" si="6"/>
        <v/>
      </c>
      <c r="F33" s="98" t="str">
        <f t="shared" si="7"/>
        <v/>
      </c>
    </row>
    <row r="34" spans="2:6" ht="17.25" thickBot="1">
      <c r="B34" s="95">
        <v>22</v>
      </c>
      <c r="C34" s="96" t="str">
        <f t="shared" si="4"/>
        <v/>
      </c>
      <c r="D34" s="97" t="str">
        <f t="shared" si="5"/>
        <v/>
      </c>
      <c r="E34" s="97" t="str">
        <f t="shared" si="6"/>
        <v/>
      </c>
      <c r="F34" s="98" t="str">
        <f t="shared" si="7"/>
        <v/>
      </c>
    </row>
    <row r="35" spans="2:6" ht="17.25" thickBot="1">
      <c r="B35" s="91">
        <v>23</v>
      </c>
      <c r="C35" s="96" t="str">
        <f t="shared" si="4"/>
        <v/>
      </c>
      <c r="D35" s="97" t="str">
        <f t="shared" si="5"/>
        <v/>
      </c>
      <c r="E35" s="97" t="str">
        <f t="shared" si="6"/>
        <v/>
      </c>
      <c r="F35" s="98" t="str">
        <f t="shared" si="7"/>
        <v/>
      </c>
    </row>
    <row r="36" spans="2:6" ht="17.25" thickBot="1">
      <c r="B36" s="100">
        <v>24</v>
      </c>
      <c r="C36" s="96" t="str">
        <f t="shared" si="4"/>
        <v/>
      </c>
      <c r="D36" s="97" t="str">
        <f t="shared" si="5"/>
        <v/>
      </c>
      <c r="E36" s="97" t="str">
        <f t="shared" si="6"/>
        <v/>
      </c>
      <c r="F36" s="98" t="str">
        <f t="shared" si="7"/>
        <v/>
      </c>
    </row>
    <row r="37" spans="2:6" ht="17.25" thickBot="1">
      <c r="B37" s="91">
        <v>25</v>
      </c>
      <c r="C37" s="96" t="str">
        <f>IF(D37="","",F37-D37)</f>
        <v/>
      </c>
      <c r="D37" s="97" t="str">
        <f>IF($C$7&gt;2,E36*$C$6,"")</f>
        <v/>
      </c>
      <c r="E37" s="97" t="str">
        <f>IF($C$7&gt;2,E36-C37,"")</f>
        <v/>
      </c>
      <c r="F37" s="98" t="str">
        <f>IF(C7&gt;2,$F$12,"")</f>
        <v/>
      </c>
    </row>
    <row r="38" spans="2:6" ht="17.25" thickBot="1">
      <c r="B38" s="95">
        <v>26</v>
      </c>
      <c r="C38" s="96" t="str">
        <f t="shared" ref="C38:C60" si="8">IF(D38="","",F38-D38)</f>
        <v/>
      </c>
      <c r="D38" s="97" t="str">
        <f t="shared" ref="D38:D48" si="9">IF($C$7&gt;2,E37*$C$6,"")</f>
        <v/>
      </c>
      <c r="E38" s="97" t="str">
        <f t="shared" ref="E38:E48" si="10">IF($C$7&gt;2,E37-C38,"")</f>
        <v/>
      </c>
      <c r="F38" s="98" t="str">
        <f>F37</f>
        <v/>
      </c>
    </row>
    <row r="39" spans="2:6" ht="17.25" thickBot="1">
      <c r="B39" s="91">
        <v>27</v>
      </c>
      <c r="C39" s="96" t="str">
        <f t="shared" si="8"/>
        <v/>
      </c>
      <c r="D39" s="97" t="str">
        <f t="shared" si="9"/>
        <v/>
      </c>
      <c r="E39" s="97" t="str">
        <f t="shared" si="10"/>
        <v/>
      </c>
      <c r="F39" s="98" t="str">
        <f t="shared" ref="F39:F48" si="11">F38</f>
        <v/>
      </c>
    </row>
    <row r="40" spans="2:6" ht="17.25" thickBot="1">
      <c r="B40" s="95">
        <v>28</v>
      </c>
      <c r="C40" s="96" t="str">
        <f t="shared" si="8"/>
        <v/>
      </c>
      <c r="D40" s="97" t="str">
        <f t="shared" si="9"/>
        <v/>
      </c>
      <c r="E40" s="97" t="str">
        <f t="shared" si="10"/>
        <v/>
      </c>
      <c r="F40" s="98" t="str">
        <f t="shared" si="11"/>
        <v/>
      </c>
    </row>
    <row r="41" spans="2:6" ht="17.25" thickBot="1">
      <c r="B41" s="91">
        <v>29</v>
      </c>
      <c r="C41" s="96" t="str">
        <f t="shared" si="8"/>
        <v/>
      </c>
      <c r="D41" s="97" t="str">
        <f t="shared" si="9"/>
        <v/>
      </c>
      <c r="E41" s="97" t="str">
        <f t="shared" si="10"/>
        <v/>
      </c>
      <c r="F41" s="98" t="str">
        <f t="shared" si="11"/>
        <v/>
      </c>
    </row>
    <row r="42" spans="2:6" ht="17.25" thickBot="1">
      <c r="B42" s="95">
        <v>30</v>
      </c>
      <c r="C42" s="96" t="str">
        <f t="shared" si="8"/>
        <v/>
      </c>
      <c r="D42" s="97" t="str">
        <f t="shared" si="9"/>
        <v/>
      </c>
      <c r="E42" s="97" t="str">
        <f t="shared" si="10"/>
        <v/>
      </c>
      <c r="F42" s="98" t="str">
        <f t="shared" si="11"/>
        <v/>
      </c>
    </row>
    <row r="43" spans="2:6" ht="17.25" thickBot="1">
      <c r="B43" s="91">
        <v>31</v>
      </c>
      <c r="C43" s="96" t="str">
        <f t="shared" si="8"/>
        <v/>
      </c>
      <c r="D43" s="97" t="str">
        <f t="shared" si="9"/>
        <v/>
      </c>
      <c r="E43" s="97" t="str">
        <f t="shared" si="10"/>
        <v/>
      </c>
      <c r="F43" s="98" t="str">
        <f t="shared" si="11"/>
        <v/>
      </c>
    </row>
    <row r="44" spans="2:6" ht="17.25" thickBot="1">
      <c r="B44" s="95">
        <v>32</v>
      </c>
      <c r="C44" s="96" t="str">
        <f t="shared" si="8"/>
        <v/>
      </c>
      <c r="D44" s="97" t="str">
        <f t="shared" si="9"/>
        <v/>
      </c>
      <c r="E44" s="97" t="str">
        <f t="shared" si="10"/>
        <v/>
      </c>
      <c r="F44" s="98" t="str">
        <f t="shared" si="11"/>
        <v/>
      </c>
    </row>
    <row r="45" spans="2:6" ht="17.25" thickBot="1">
      <c r="B45" s="91">
        <v>33</v>
      </c>
      <c r="C45" s="96" t="str">
        <f t="shared" si="8"/>
        <v/>
      </c>
      <c r="D45" s="97" t="str">
        <f t="shared" si="9"/>
        <v/>
      </c>
      <c r="E45" s="97" t="str">
        <f t="shared" si="10"/>
        <v/>
      </c>
      <c r="F45" s="98" t="str">
        <f t="shared" si="11"/>
        <v/>
      </c>
    </row>
    <row r="46" spans="2:6" ht="17.25" thickBot="1">
      <c r="B46" s="95">
        <v>34</v>
      </c>
      <c r="C46" s="96" t="str">
        <f t="shared" si="8"/>
        <v/>
      </c>
      <c r="D46" s="97" t="str">
        <f t="shared" si="9"/>
        <v/>
      </c>
      <c r="E46" s="97" t="str">
        <f t="shared" si="10"/>
        <v/>
      </c>
      <c r="F46" s="98" t="str">
        <f t="shared" si="11"/>
        <v/>
      </c>
    </row>
    <row r="47" spans="2:6" ht="17.25" thickBot="1">
      <c r="B47" s="91">
        <v>35</v>
      </c>
      <c r="C47" s="96" t="str">
        <f t="shared" si="8"/>
        <v/>
      </c>
      <c r="D47" s="97" t="str">
        <f t="shared" si="9"/>
        <v/>
      </c>
      <c r="E47" s="97" t="str">
        <f t="shared" si="10"/>
        <v/>
      </c>
      <c r="F47" s="98" t="str">
        <f t="shared" si="11"/>
        <v/>
      </c>
    </row>
    <row r="48" spans="2:6" ht="17.25" thickBot="1">
      <c r="B48" s="101">
        <v>36</v>
      </c>
      <c r="C48" s="96" t="str">
        <f t="shared" si="8"/>
        <v/>
      </c>
      <c r="D48" s="97" t="str">
        <f t="shared" si="9"/>
        <v/>
      </c>
      <c r="E48" s="97" t="str">
        <f t="shared" si="10"/>
        <v/>
      </c>
      <c r="F48" s="98" t="str">
        <f t="shared" si="11"/>
        <v/>
      </c>
    </row>
    <row r="49" spans="2:6" ht="18" thickTop="1" thickBot="1">
      <c r="B49" s="91">
        <v>37</v>
      </c>
      <c r="C49" s="96" t="str">
        <f t="shared" si="8"/>
        <v/>
      </c>
      <c r="D49" s="97" t="str">
        <f>IF($C$7&gt;3,E48*$C$6,"")</f>
        <v/>
      </c>
      <c r="E49" s="97" t="str">
        <f>IF($C$7&gt;3,E48-C49,"")</f>
        <v/>
      </c>
      <c r="F49" s="98" t="str">
        <f>IF(C7&gt;3,$F$12,"")</f>
        <v/>
      </c>
    </row>
    <row r="50" spans="2:6" ht="17.25" thickBot="1">
      <c r="B50" s="91">
        <v>38</v>
      </c>
      <c r="C50" s="96" t="str">
        <f t="shared" si="8"/>
        <v/>
      </c>
      <c r="D50" s="97" t="str">
        <f t="shared" ref="D50:D60" si="12">IF($C$7&gt;3,E49*$C$6,"")</f>
        <v/>
      </c>
      <c r="E50" s="97" t="str">
        <f t="shared" ref="E50:E60" si="13">IF($C$7&gt;3,E49-C50,"")</f>
        <v/>
      </c>
      <c r="F50" s="98" t="str">
        <f>F49</f>
        <v/>
      </c>
    </row>
    <row r="51" spans="2:6" ht="17.25" thickBot="1">
      <c r="B51" s="91">
        <v>39</v>
      </c>
      <c r="C51" s="96" t="str">
        <f t="shared" si="8"/>
        <v/>
      </c>
      <c r="D51" s="97" t="str">
        <f t="shared" si="12"/>
        <v/>
      </c>
      <c r="E51" s="97" t="str">
        <f t="shared" si="13"/>
        <v/>
      </c>
      <c r="F51" s="98" t="str">
        <f t="shared" ref="F51:F58" si="14">F50</f>
        <v/>
      </c>
    </row>
    <row r="52" spans="2:6" ht="17.25" thickBot="1">
      <c r="B52" s="91">
        <v>40</v>
      </c>
      <c r="C52" s="96" t="str">
        <f t="shared" si="8"/>
        <v/>
      </c>
      <c r="D52" s="97" t="str">
        <f t="shared" si="12"/>
        <v/>
      </c>
      <c r="E52" s="97" t="str">
        <f t="shared" si="13"/>
        <v/>
      </c>
      <c r="F52" s="98" t="str">
        <f t="shared" si="14"/>
        <v/>
      </c>
    </row>
    <row r="53" spans="2:6" ht="17.25" thickBot="1">
      <c r="B53" s="91">
        <v>41</v>
      </c>
      <c r="C53" s="96" t="str">
        <f t="shared" si="8"/>
        <v/>
      </c>
      <c r="D53" s="97" t="str">
        <f t="shared" si="12"/>
        <v/>
      </c>
      <c r="E53" s="97" t="str">
        <f t="shared" si="13"/>
        <v/>
      </c>
      <c r="F53" s="98" t="str">
        <f t="shared" si="14"/>
        <v/>
      </c>
    </row>
    <row r="54" spans="2:6" ht="17.25" thickBot="1">
      <c r="B54" s="91">
        <v>42</v>
      </c>
      <c r="C54" s="96" t="str">
        <f t="shared" si="8"/>
        <v/>
      </c>
      <c r="D54" s="97" t="str">
        <f t="shared" si="12"/>
        <v/>
      </c>
      <c r="E54" s="97" t="str">
        <f t="shared" si="13"/>
        <v/>
      </c>
      <c r="F54" s="98" t="str">
        <f t="shared" si="14"/>
        <v/>
      </c>
    </row>
    <row r="55" spans="2:6" ht="17.25" thickBot="1">
      <c r="B55" s="91">
        <v>43</v>
      </c>
      <c r="C55" s="96" t="str">
        <f t="shared" si="8"/>
        <v/>
      </c>
      <c r="D55" s="97" t="str">
        <f t="shared" si="12"/>
        <v/>
      </c>
      <c r="E55" s="97" t="str">
        <f t="shared" si="13"/>
        <v/>
      </c>
      <c r="F55" s="98" t="str">
        <f t="shared" si="14"/>
        <v/>
      </c>
    </row>
    <row r="56" spans="2:6" ht="17.25" thickBot="1">
      <c r="B56" s="91">
        <v>44</v>
      </c>
      <c r="C56" s="96" t="str">
        <f t="shared" si="8"/>
        <v/>
      </c>
      <c r="D56" s="97" t="str">
        <f t="shared" si="12"/>
        <v/>
      </c>
      <c r="E56" s="97" t="str">
        <f t="shared" si="13"/>
        <v/>
      </c>
      <c r="F56" s="98" t="str">
        <f t="shared" si="14"/>
        <v/>
      </c>
    </row>
    <row r="57" spans="2:6" ht="17.25" thickBot="1">
      <c r="B57" s="91">
        <v>45</v>
      </c>
      <c r="C57" s="96" t="str">
        <f t="shared" si="8"/>
        <v/>
      </c>
      <c r="D57" s="97" t="str">
        <f t="shared" si="12"/>
        <v/>
      </c>
      <c r="E57" s="97" t="str">
        <f t="shared" si="13"/>
        <v/>
      </c>
      <c r="F57" s="98" t="str">
        <f t="shared" si="14"/>
        <v/>
      </c>
    </row>
    <row r="58" spans="2:6" ht="17.25" thickBot="1">
      <c r="B58" s="91">
        <v>46</v>
      </c>
      <c r="C58" s="96" t="str">
        <f t="shared" si="8"/>
        <v/>
      </c>
      <c r="D58" s="97" t="str">
        <f t="shared" si="12"/>
        <v/>
      </c>
      <c r="E58" s="97" t="str">
        <f t="shared" si="13"/>
        <v/>
      </c>
      <c r="F58" s="98" t="str">
        <f t="shared" si="14"/>
        <v/>
      </c>
    </row>
    <row r="59" spans="2:6" ht="17.25" thickBot="1">
      <c r="B59" s="91">
        <v>47</v>
      </c>
      <c r="C59" s="96" t="str">
        <f t="shared" si="8"/>
        <v/>
      </c>
      <c r="D59" s="97" t="str">
        <f t="shared" si="12"/>
        <v/>
      </c>
      <c r="E59" s="97" t="str">
        <f t="shared" si="13"/>
        <v/>
      </c>
      <c r="F59" s="98" t="str">
        <f>F58</f>
        <v/>
      </c>
    </row>
    <row r="60" spans="2:6" ht="17.25" thickBot="1">
      <c r="B60" s="101">
        <v>48</v>
      </c>
      <c r="C60" s="96" t="str">
        <f t="shared" si="8"/>
        <v/>
      </c>
      <c r="D60" s="97" t="str">
        <f t="shared" si="12"/>
        <v/>
      </c>
      <c r="E60" s="97" t="str">
        <f t="shared" si="13"/>
        <v/>
      </c>
      <c r="F60" s="98" t="str">
        <f>F59</f>
        <v/>
      </c>
    </row>
    <row r="61" spans="2:6" ht="17.25" thickTop="1"/>
  </sheetData>
  <phoneticPr fontId="6" type="noConversion"/>
  <dataValidations count="1">
    <dataValidation type="list" allowBlank="1" showInputMessage="1" showErrorMessage="1" sqref="C3" xr:uid="{00000000-0002-0000-1500-000000000000}">
      <formula1>$P$1:$P$4</formula1>
    </dataValidation>
  </dataValidation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41" r:id="rId3" name="Spinner 1">
              <controlPr defaultSize="0" autoPict="0">
                <anchor moveWithCells="1" sizeWithCells="1">
                  <from>
                    <xdr:col>3</xdr:col>
                    <xdr:colOff>19050</xdr:colOff>
                    <xdr:row>6</xdr:row>
                    <xdr:rowOff>9525</xdr:rowOff>
                  </from>
                  <to>
                    <xdr:col>3</xdr:col>
                    <xdr:colOff>190500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2" r:id="rId4" name="Spinner 2">
              <controlPr defaultSize="0" autoPict="0">
                <anchor moveWithCells="1" sizeWithCells="1">
                  <from>
                    <xdr:col>3</xdr:col>
                    <xdr:colOff>9525</xdr:colOff>
                    <xdr:row>4</xdr:row>
                    <xdr:rowOff>0</xdr:rowOff>
                  </from>
                  <to>
                    <xdr:col>3</xdr:col>
                    <xdr:colOff>180975</xdr:colOff>
                    <xdr:row>5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3"/>
  <sheetViews>
    <sheetView workbookViewId="0">
      <selection activeCell="B9" sqref="B9"/>
    </sheetView>
  </sheetViews>
  <sheetFormatPr defaultRowHeight="16.5"/>
  <cols>
    <col min="1" max="1" width="14.375" customWidth="1"/>
    <col min="2" max="2" width="10" customWidth="1"/>
    <col min="3" max="3" width="4.625" customWidth="1"/>
  </cols>
  <sheetData>
    <row r="1" spans="1:4" ht="17.25" thickBot="1">
      <c r="A1" t="s">
        <v>13</v>
      </c>
      <c r="B1" s="14">
        <v>100000</v>
      </c>
    </row>
    <row r="2" spans="1:4" ht="17.25" thickBot="1">
      <c r="A2" t="s">
        <v>14</v>
      </c>
      <c r="B2" s="30">
        <v>10000</v>
      </c>
    </row>
    <row r="3" spans="1:4" ht="17.25" thickBot="1">
      <c r="A3" t="s">
        <v>16</v>
      </c>
      <c r="B3" s="37">
        <v>5.6000000000000001E-2</v>
      </c>
    </row>
    <row r="4" spans="1:4" ht="17.25" thickBot="1">
      <c r="A4" t="s">
        <v>40</v>
      </c>
      <c r="B4" s="29">
        <v>800000</v>
      </c>
    </row>
    <row r="5" spans="1:4">
      <c r="A5" t="s">
        <v>41</v>
      </c>
      <c r="B5" s="34">
        <f>NPER(B3/12,-B2,-B1,B4,1)</f>
        <v>58.115319019102628</v>
      </c>
      <c r="D5" s="8" t="s">
        <v>44</v>
      </c>
    </row>
    <row r="9" spans="1:4" ht="17.25" thickBot="1"/>
    <row r="10" spans="1:4" ht="17.25" thickBot="1">
      <c r="A10" t="s">
        <v>42</v>
      </c>
      <c r="B10" s="14">
        <v>500000</v>
      </c>
    </row>
    <row r="11" spans="1:4" ht="17.25" thickBot="1">
      <c r="A11" t="s">
        <v>15</v>
      </c>
      <c r="B11" s="48">
        <v>9.5000000000000001E-2</v>
      </c>
    </row>
    <row r="12" spans="1:4" ht="17.25" thickBot="1">
      <c r="A12" t="s">
        <v>43</v>
      </c>
      <c r="B12" s="13">
        <v>15000</v>
      </c>
    </row>
    <row r="13" spans="1:4">
      <c r="A13" t="s">
        <v>41</v>
      </c>
      <c r="B13" s="34">
        <f>NPER(B11/12,-B12,B10)</f>
        <v>38.852885414487005</v>
      </c>
      <c r="D13" s="8" t="s">
        <v>45</v>
      </c>
    </row>
  </sheetData>
  <phoneticPr fontId="6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1"/>
  <sheetViews>
    <sheetView workbookViewId="0">
      <selection activeCell="B9" sqref="B9"/>
    </sheetView>
  </sheetViews>
  <sheetFormatPr defaultRowHeight="16.5"/>
  <cols>
    <col min="1" max="1" width="16.875" customWidth="1"/>
    <col min="2" max="3" width="12.875" customWidth="1"/>
    <col min="4" max="4" width="11.625" bestFit="1" customWidth="1"/>
    <col min="5" max="6" width="11.625" hidden="1" customWidth="1"/>
  </cols>
  <sheetData>
    <row r="1" spans="1:6">
      <c r="A1" s="55" t="s">
        <v>62</v>
      </c>
      <c r="B1" s="56">
        <v>1500000</v>
      </c>
    </row>
    <row r="2" spans="1:6">
      <c r="A2" s="55" t="s">
        <v>63</v>
      </c>
      <c r="B2" s="102">
        <v>10</v>
      </c>
    </row>
    <row r="3" spans="1:6">
      <c r="A3" s="55" t="s">
        <v>64</v>
      </c>
      <c r="B3" s="102">
        <v>80000</v>
      </c>
    </row>
    <row r="4" spans="1:6">
      <c r="A4" s="129"/>
      <c r="B4" s="129"/>
    </row>
    <row r="5" spans="1:6">
      <c r="A5" s="129"/>
      <c r="B5" s="129"/>
    </row>
    <row r="6" spans="1:6">
      <c r="A6" s="129"/>
      <c r="B6" s="129"/>
    </row>
    <row r="7" spans="1:6">
      <c r="A7" s="9" t="s">
        <v>65</v>
      </c>
      <c r="B7" s="46" t="s">
        <v>88</v>
      </c>
      <c r="C7" s="46" t="s">
        <v>89</v>
      </c>
      <c r="D7" s="46" t="s">
        <v>67</v>
      </c>
      <c r="E7" s="46" t="s">
        <v>66</v>
      </c>
      <c r="F7" s="46" t="s">
        <v>68</v>
      </c>
    </row>
    <row r="8" spans="1:6">
      <c r="A8" s="44">
        <v>1</v>
      </c>
      <c r="B8" s="45">
        <f t="shared" ref="B8:B17" si="0">DB($B$1,$B$3,$B$2,A8)</f>
        <v>381000</v>
      </c>
      <c r="C8" s="45">
        <f>VDB($B$1,$B$3,$B$2,0,A8)</f>
        <v>300000</v>
      </c>
      <c r="D8" s="45">
        <f t="shared" ref="D8:D17" si="1">SLN($B$1,$B$3,$B$2)</f>
        <v>142000</v>
      </c>
      <c r="E8" s="45">
        <f t="shared" ref="E8:E17" si="2">DDB($B$1,$B$3,$B$2,A8)</f>
        <v>300000</v>
      </c>
      <c r="F8" s="45">
        <f t="shared" ref="F8:F17" si="3">SYD($B$1,$B$3,$B$2,A8)</f>
        <v>258181.81818181818</v>
      </c>
    </row>
    <row r="9" spans="1:6">
      <c r="A9" s="44">
        <v>2</v>
      </c>
      <c r="B9" s="45">
        <f t="shared" si="0"/>
        <v>284226</v>
      </c>
      <c r="C9" s="45">
        <f t="shared" ref="C9:C17" si="4">VDB($B$1,$B$3,$B$2,0,A9)</f>
        <v>540000</v>
      </c>
      <c r="D9" s="45">
        <f t="shared" si="1"/>
        <v>142000</v>
      </c>
      <c r="E9" s="45">
        <f t="shared" si="2"/>
        <v>240000</v>
      </c>
      <c r="F9" s="45">
        <f t="shared" si="3"/>
        <v>232363.63636363635</v>
      </c>
    </row>
    <row r="10" spans="1:6">
      <c r="A10" s="44">
        <v>3</v>
      </c>
      <c r="B10" s="45">
        <f t="shared" si="0"/>
        <v>212032.59599999999</v>
      </c>
      <c r="C10" s="45">
        <f t="shared" si="4"/>
        <v>732000</v>
      </c>
      <c r="D10" s="45">
        <f t="shared" si="1"/>
        <v>142000</v>
      </c>
      <c r="E10" s="45">
        <f t="shared" si="2"/>
        <v>192000.00000000006</v>
      </c>
      <c r="F10" s="45">
        <f t="shared" si="3"/>
        <v>206545.45454545456</v>
      </c>
    </row>
    <row r="11" spans="1:6">
      <c r="A11" s="44">
        <v>4</v>
      </c>
      <c r="B11" s="45">
        <f t="shared" si="0"/>
        <v>158176.316616</v>
      </c>
      <c r="C11" s="45">
        <f t="shared" si="4"/>
        <v>885600</v>
      </c>
      <c r="D11" s="45">
        <f t="shared" si="1"/>
        <v>142000</v>
      </c>
      <c r="E11" s="45">
        <f t="shared" si="2"/>
        <v>153600.00000000006</v>
      </c>
      <c r="F11" s="45">
        <f t="shared" si="3"/>
        <v>180727.27272727274</v>
      </c>
    </row>
    <row r="12" spans="1:6">
      <c r="A12" s="44">
        <v>5</v>
      </c>
      <c r="B12" s="45">
        <f t="shared" si="0"/>
        <v>117999.53219553598</v>
      </c>
      <c r="C12" s="45">
        <f t="shared" si="4"/>
        <v>1008480</v>
      </c>
      <c r="D12" s="45">
        <f t="shared" si="1"/>
        <v>142000</v>
      </c>
      <c r="E12" s="45">
        <f t="shared" si="2"/>
        <v>122880.00000000006</v>
      </c>
      <c r="F12" s="45">
        <f t="shared" si="3"/>
        <v>154909.09090909091</v>
      </c>
    </row>
    <row r="13" spans="1:6">
      <c r="A13" s="44">
        <v>6</v>
      </c>
      <c r="B13" s="45">
        <f t="shared" si="0"/>
        <v>88027.651017869852</v>
      </c>
      <c r="C13" s="45">
        <f t="shared" si="4"/>
        <v>1106784</v>
      </c>
      <c r="D13" s="45">
        <f t="shared" si="1"/>
        <v>142000</v>
      </c>
      <c r="E13" s="45">
        <f t="shared" si="2"/>
        <v>98304.000000000058</v>
      </c>
      <c r="F13" s="45">
        <f t="shared" si="3"/>
        <v>129090.90909090909</v>
      </c>
    </row>
    <row r="14" spans="1:6">
      <c r="A14" s="44">
        <v>7</v>
      </c>
      <c r="B14" s="45">
        <f t="shared" si="0"/>
        <v>65668.627659330916</v>
      </c>
      <c r="C14" s="45">
        <f t="shared" si="4"/>
        <v>1185427.2</v>
      </c>
      <c r="D14" s="45">
        <f t="shared" si="1"/>
        <v>142000</v>
      </c>
      <c r="E14" s="45">
        <f t="shared" si="2"/>
        <v>78643.200000000055</v>
      </c>
      <c r="F14" s="45">
        <f t="shared" si="3"/>
        <v>103272.72727272728</v>
      </c>
    </row>
    <row r="15" spans="1:6">
      <c r="A15" s="44">
        <v>8</v>
      </c>
      <c r="B15" s="45">
        <f t="shared" si="0"/>
        <v>48988.796233860856</v>
      </c>
      <c r="C15" s="45">
        <f t="shared" si="4"/>
        <v>1263618.1333333333</v>
      </c>
      <c r="D15" s="45">
        <f t="shared" si="1"/>
        <v>142000</v>
      </c>
      <c r="E15" s="45">
        <f t="shared" si="2"/>
        <v>62914.560000000049</v>
      </c>
      <c r="F15" s="45">
        <f t="shared" si="3"/>
        <v>77454.545454545456</v>
      </c>
    </row>
    <row r="16" spans="1:6">
      <c r="A16" s="44">
        <v>9</v>
      </c>
      <c r="B16" s="45">
        <f t="shared" si="0"/>
        <v>36545.641990460201</v>
      </c>
      <c r="C16" s="45">
        <f t="shared" si="4"/>
        <v>1341809.0666666667</v>
      </c>
      <c r="D16" s="45">
        <f t="shared" si="1"/>
        <v>142000</v>
      </c>
      <c r="E16" s="45">
        <f t="shared" si="2"/>
        <v>50331.648000000045</v>
      </c>
      <c r="F16" s="45">
        <f t="shared" si="3"/>
        <v>51636.36363636364</v>
      </c>
    </row>
    <row r="17" spans="1:6">
      <c r="A17" s="58">
        <v>10</v>
      </c>
      <c r="B17" s="45">
        <f t="shared" si="0"/>
        <v>27263.048924883311</v>
      </c>
      <c r="C17" s="45">
        <f t="shared" si="4"/>
        <v>1420000</v>
      </c>
      <c r="D17" s="45">
        <f t="shared" si="1"/>
        <v>142000</v>
      </c>
      <c r="E17" s="45">
        <f t="shared" si="2"/>
        <v>40265.31840000004</v>
      </c>
      <c r="F17" s="45">
        <f t="shared" si="3"/>
        <v>25818.18181818182</v>
      </c>
    </row>
    <row r="18" spans="1:6" ht="17.25" thickBot="1">
      <c r="F18" s="7"/>
    </row>
    <row r="19" spans="1:6" ht="17.25" thickBot="1">
      <c r="A19" s="1" t="s">
        <v>69</v>
      </c>
      <c r="B19" s="50">
        <v>3</v>
      </c>
      <c r="C19" s="7" t="s">
        <v>70</v>
      </c>
    </row>
    <row r="20" spans="1:6" ht="17.25" thickBot="1">
      <c r="A20" s="1" t="s">
        <v>71</v>
      </c>
      <c r="B20" s="51">
        <v>5</v>
      </c>
      <c r="C20" t="s">
        <v>72</v>
      </c>
    </row>
    <row r="21" spans="1:6">
      <c r="A21" s="1" t="s">
        <v>73</v>
      </c>
      <c r="B21" s="10">
        <f>VDB(B1,B3,B2,B19,B20)</f>
        <v>276480</v>
      </c>
      <c r="C21" s="8" t="s">
        <v>74</v>
      </c>
    </row>
  </sheetData>
  <phoneticPr fontId="6" type="noConversion"/>
  <pageMargins left="0.75" right="0.75" top="1" bottom="1" header="0.5" footer="0.5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1"/>
  <sheetViews>
    <sheetView workbookViewId="0">
      <selection activeCell="B3" sqref="B3"/>
    </sheetView>
  </sheetViews>
  <sheetFormatPr defaultRowHeight="16.5"/>
  <cols>
    <col min="1" max="1" width="16.125" bestFit="1" customWidth="1"/>
    <col min="2" max="2" width="11.875" customWidth="1"/>
    <col min="3" max="3" width="3.625" customWidth="1"/>
    <col min="4" max="4" width="21.875" bestFit="1" customWidth="1"/>
  </cols>
  <sheetData>
    <row r="1" spans="1:4" ht="17.25" thickBot="1">
      <c r="A1" t="s">
        <v>18</v>
      </c>
      <c r="B1" s="11">
        <v>300000</v>
      </c>
      <c r="C1" s="11"/>
    </row>
    <row r="2" spans="1:4" ht="17.25" thickBot="1">
      <c r="A2" t="s">
        <v>19</v>
      </c>
      <c r="B2" s="17">
        <f>C2/10000</f>
        <v>2.0299999999999999E-2</v>
      </c>
      <c r="C2" s="53">
        <v>203</v>
      </c>
    </row>
    <row r="3" spans="1:4" ht="17.25" thickBot="1">
      <c r="A3" t="s">
        <v>20</v>
      </c>
      <c r="B3" s="14">
        <v>5000</v>
      </c>
      <c r="C3" s="22"/>
    </row>
    <row r="4" spans="1:4">
      <c r="A4" t="s">
        <v>21</v>
      </c>
      <c r="B4" s="38">
        <v>10</v>
      </c>
      <c r="C4" s="22"/>
    </row>
    <row r="5" spans="1:4">
      <c r="A5" t="s">
        <v>22</v>
      </c>
      <c r="B5" s="31">
        <f>PV(B2/12,B4*12,-B3)</f>
        <v>542606.1459899086</v>
      </c>
      <c r="C5" s="10"/>
      <c r="D5" s="20" t="s">
        <v>25</v>
      </c>
    </row>
    <row r="9" spans="1:4">
      <c r="D9" s="3"/>
    </row>
    <row r="10" spans="1:4">
      <c r="D10" s="3"/>
    </row>
    <row r="11" spans="1:4">
      <c r="D11" s="3"/>
    </row>
  </sheetData>
  <phoneticPr fontId="6" type="noConversion"/>
  <pageMargins left="0.75" right="0.75" top="1" bottom="1" header="0.5" footer="0.5"/>
  <headerFooter alignWithMargins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8" r:id="rId3" name="Spinner 2">
              <controlPr defaultSize="0" autoPict="0">
                <anchor moveWithCells="1" sizeWithCells="1">
                  <from>
                    <xdr:col>2</xdr:col>
                    <xdr:colOff>9525</xdr:colOff>
                    <xdr:row>1</xdr:row>
                    <xdr:rowOff>9525</xdr:rowOff>
                  </from>
                  <to>
                    <xdr:col>2</xdr:col>
                    <xdr:colOff>200025</xdr:colOff>
                    <xdr:row>2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5"/>
  <sheetViews>
    <sheetView workbookViewId="0">
      <selection activeCell="E3" sqref="E3"/>
    </sheetView>
  </sheetViews>
  <sheetFormatPr defaultRowHeight="16.5"/>
  <cols>
    <col min="1" max="1" width="10.5" bestFit="1" customWidth="1"/>
    <col min="3" max="3" width="10.5" bestFit="1" customWidth="1"/>
    <col min="4" max="4" width="11.375" customWidth="1"/>
    <col min="5" max="5" width="13.375" customWidth="1"/>
  </cols>
  <sheetData>
    <row r="1" spans="1:5">
      <c r="A1" t="s">
        <v>113</v>
      </c>
    </row>
    <row r="2" spans="1:5">
      <c r="A2" s="105" t="s">
        <v>114</v>
      </c>
      <c r="B2" s="106" t="s">
        <v>115</v>
      </c>
      <c r="C2" s="107" t="s">
        <v>116</v>
      </c>
      <c r="D2" s="106" t="s">
        <v>117</v>
      </c>
      <c r="E2" s="106" t="s">
        <v>112</v>
      </c>
    </row>
    <row r="3" spans="1:5">
      <c r="A3">
        <v>1</v>
      </c>
      <c r="B3" s="2">
        <v>4.2000000000000003E-2</v>
      </c>
      <c r="C3" s="104">
        <v>0</v>
      </c>
      <c r="D3" s="10">
        <v>2000000</v>
      </c>
      <c r="E3" s="10">
        <f>-PV(B3,A3,0,D3,0)</f>
        <v>1919385.7965451055</v>
      </c>
    </row>
    <row r="5" spans="1:5">
      <c r="A5" t="s">
        <v>118</v>
      </c>
    </row>
  </sheetData>
  <phoneticPr fontId="6" type="noConversion"/>
  <pageMargins left="0.75" right="0.75" top="1" bottom="1" header="0.5" footer="0.5"/>
  <pageSetup paperSize="9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C000"/>
  </sheetPr>
  <dimension ref="A1:C5"/>
  <sheetViews>
    <sheetView workbookViewId="0">
      <selection activeCell="C5" sqref="C5"/>
    </sheetView>
  </sheetViews>
  <sheetFormatPr defaultRowHeight="16.5"/>
  <cols>
    <col min="1" max="1" width="51.375" bestFit="1" customWidth="1"/>
    <col min="3" max="3" width="12.375" bestFit="1" customWidth="1"/>
  </cols>
  <sheetData>
    <row r="1" spans="1:3" ht="17.25" customHeight="1">
      <c r="A1" s="103" t="s">
        <v>126</v>
      </c>
      <c r="B1" s="102" t="s">
        <v>109</v>
      </c>
      <c r="C1" s="114">
        <v>120000</v>
      </c>
    </row>
    <row r="2" spans="1:3" ht="17.25" customHeight="1">
      <c r="A2" t="s">
        <v>127</v>
      </c>
      <c r="B2" s="102" t="s">
        <v>108</v>
      </c>
      <c r="C2" s="115">
        <v>2.5000000000000001E-2</v>
      </c>
    </row>
    <row r="3" spans="1:3" ht="17.25" customHeight="1">
      <c r="A3" t="s">
        <v>128</v>
      </c>
      <c r="B3" s="102" t="s">
        <v>110</v>
      </c>
      <c r="C3" s="116">
        <v>13500</v>
      </c>
    </row>
    <row r="4" spans="1:3" ht="17.25" customHeight="1">
      <c r="A4" t="s">
        <v>129</v>
      </c>
      <c r="B4" s="102" t="s">
        <v>111</v>
      </c>
      <c r="C4" s="117">
        <v>10</v>
      </c>
    </row>
    <row r="5" spans="1:3" ht="17.25" customHeight="1">
      <c r="B5" s="102" t="s">
        <v>130</v>
      </c>
      <c r="C5" s="118">
        <f>PV(C2,C4,-C3)</f>
        <v>118152.86306810738</v>
      </c>
    </row>
  </sheetData>
  <phoneticPr fontId="6" type="noConversion"/>
  <pageMargins left="0.7" right="0.7" top="0.75" bottom="0.75" header="0.3" footer="0.3"/>
  <pageSetup paperSize="9" orientation="portrait" horizontalDpi="4294967293" verticalDpi="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8"/>
  <sheetViews>
    <sheetView workbookViewId="0">
      <selection activeCell="B12" sqref="B12"/>
    </sheetView>
  </sheetViews>
  <sheetFormatPr defaultRowHeight="16.5"/>
  <cols>
    <col min="1" max="2" width="11.625" style="108" bestFit="1" customWidth="1"/>
    <col min="3" max="16384" width="9" style="108"/>
  </cols>
  <sheetData>
    <row r="1" spans="1:6" ht="19.5">
      <c r="A1" s="130" t="s">
        <v>119</v>
      </c>
      <c r="B1" s="130"/>
      <c r="C1" s="130"/>
      <c r="D1" s="130"/>
      <c r="E1" s="130"/>
      <c r="F1" s="130"/>
    </row>
    <row r="2" spans="1:6">
      <c r="A2" s="109" t="s">
        <v>120</v>
      </c>
      <c r="B2" s="109"/>
      <c r="C2" s="109"/>
      <c r="D2" s="109"/>
      <c r="E2" s="109"/>
    </row>
    <row r="3" spans="1:6">
      <c r="A3" s="108" t="s">
        <v>121</v>
      </c>
      <c r="B3" s="108">
        <v>120000</v>
      </c>
    </row>
    <row r="4" spans="1:6">
      <c r="A4" s="108" t="s">
        <v>111</v>
      </c>
      <c r="B4" s="108">
        <v>24</v>
      </c>
    </row>
    <row r="5" spans="1:6">
      <c r="A5" s="108" t="s">
        <v>122</v>
      </c>
      <c r="B5" s="110">
        <f>6%/12</f>
        <v>5.0000000000000001E-3</v>
      </c>
    </row>
    <row r="6" spans="1:6">
      <c r="A6" s="108" t="s">
        <v>123</v>
      </c>
      <c r="B6" s="108">
        <v>-20000</v>
      </c>
    </row>
    <row r="7" spans="1:6">
      <c r="A7" s="108" t="s">
        <v>124</v>
      </c>
      <c r="B7" s="111">
        <f>PV(B5,B4,B6)+B3</f>
        <v>571257.3244353144</v>
      </c>
    </row>
    <row r="8" spans="1:6">
      <c r="B8" s="125"/>
    </row>
    <row r="9" spans="1:6">
      <c r="A9" s="109" t="s">
        <v>125</v>
      </c>
      <c r="B9" s="109"/>
      <c r="C9" s="109"/>
      <c r="D9" s="109"/>
      <c r="E9" s="109"/>
      <c r="F9" s="112">
        <f>B14-B7</f>
        <v>4430.1894864488859</v>
      </c>
    </row>
    <row r="10" spans="1:6">
      <c r="A10" s="108" t="s">
        <v>121</v>
      </c>
      <c r="B10" s="108">
        <v>120000</v>
      </c>
    </row>
    <row r="11" spans="1:6">
      <c r="A11" s="108" t="s">
        <v>111</v>
      </c>
      <c r="B11" s="108">
        <v>48</v>
      </c>
    </row>
    <row r="12" spans="1:6">
      <c r="A12" s="108" t="s">
        <v>122</v>
      </c>
      <c r="B12" s="110">
        <f>12%/12</f>
        <v>0.01</v>
      </c>
    </row>
    <row r="13" spans="1:6">
      <c r="A13" s="108" t="s">
        <v>123</v>
      </c>
      <c r="B13" s="108">
        <v>-12000</v>
      </c>
    </row>
    <row r="14" spans="1:6">
      <c r="A14" s="108" t="s">
        <v>124</v>
      </c>
      <c r="B14" s="111">
        <f>PV(B12,B11,B13)+B10</f>
        <v>575687.51392176328</v>
      </c>
    </row>
    <row r="18" spans="7:7">
      <c r="G18" s="113"/>
    </row>
  </sheetData>
  <mergeCells count="1">
    <mergeCell ref="A1:F1"/>
  </mergeCells>
  <phoneticPr fontId="6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2060"/>
  </sheetPr>
  <dimension ref="A1:J13"/>
  <sheetViews>
    <sheetView workbookViewId="0">
      <selection activeCell="B4" sqref="B4"/>
    </sheetView>
  </sheetViews>
  <sheetFormatPr defaultRowHeight="16.5"/>
  <cols>
    <col min="1" max="1" width="16.125" bestFit="1" customWidth="1"/>
    <col min="2" max="2" width="13.375" bestFit="1" customWidth="1"/>
    <col min="3" max="3" width="4.25" customWidth="1"/>
    <col min="4" max="4" width="28.75" bestFit="1" customWidth="1"/>
    <col min="5" max="5" width="9.5" bestFit="1" customWidth="1"/>
    <col min="10" max="10" width="11.625" bestFit="1" customWidth="1"/>
  </cols>
  <sheetData>
    <row r="1" spans="1:10" ht="17.25" thickBot="1">
      <c r="A1" t="s">
        <v>9</v>
      </c>
      <c r="B1" s="19">
        <v>20000</v>
      </c>
      <c r="C1" s="23"/>
    </row>
    <row r="2" spans="1:10" ht="17.25" thickBot="1">
      <c r="A2" t="s">
        <v>10</v>
      </c>
      <c r="B2" s="17">
        <v>5.6500000000000002E-2</v>
      </c>
      <c r="C2" s="21"/>
    </row>
    <row r="3" spans="1:10" ht="17.25" thickBot="1">
      <c r="A3" t="s">
        <v>11</v>
      </c>
      <c r="B3" s="12">
        <v>120</v>
      </c>
      <c r="C3" s="22"/>
    </row>
    <row r="4" spans="1:10">
      <c r="A4" t="s">
        <v>12</v>
      </c>
      <c r="B4" s="31">
        <f>FV(B2/12,B3,-B1)</f>
        <v>3216069.6629372416</v>
      </c>
      <c r="C4" s="10"/>
      <c r="D4" s="20" t="s">
        <v>23</v>
      </c>
    </row>
    <row r="8" spans="1:10" ht="17.25" thickBot="1">
      <c r="J8" s="3"/>
    </row>
    <row r="9" spans="1:10" ht="17.25" thickBot="1">
      <c r="A9" t="s">
        <v>13</v>
      </c>
      <c r="B9" s="18">
        <v>200000</v>
      </c>
      <c r="C9" s="23"/>
    </row>
    <row r="10" spans="1:10" ht="17.25" thickBot="1">
      <c r="A10" t="s">
        <v>14</v>
      </c>
      <c r="B10" s="19">
        <v>5000</v>
      </c>
      <c r="C10" s="23"/>
      <c r="E10" s="126"/>
    </row>
    <row r="11" spans="1:10" ht="17.25" thickBot="1">
      <c r="A11" t="s">
        <v>16</v>
      </c>
      <c r="B11" s="17">
        <v>5.0799999999999998E-2</v>
      </c>
      <c r="C11" s="21"/>
    </row>
    <row r="12" spans="1:10" ht="17.25" thickBot="1">
      <c r="A12" t="s">
        <v>17</v>
      </c>
      <c r="B12" s="12">
        <v>5</v>
      </c>
      <c r="C12" s="22"/>
    </row>
    <row r="13" spans="1:10">
      <c r="A13" t="s">
        <v>12</v>
      </c>
      <c r="B13" s="31">
        <f>FV(B11/12,B12*12,-B10,-B9)</f>
        <v>598421.56635444961</v>
      </c>
      <c r="C13" s="3"/>
      <c r="D13" s="20" t="s">
        <v>24</v>
      </c>
    </row>
  </sheetData>
  <phoneticPr fontId="6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22</vt:i4>
      </vt:variant>
    </vt:vector>
  </HeadingPairs>
  <TitlesOfParts>
    <vt:vector size="22" baseType="lpstr">
      <vt:lpstr>PV</vt:lpstr>
      <vt:lpstr>RATE</vt:lpstr>
      <vt:lpstr>NPER</vt:lpstr>
      <vt:lpstr>DDB</vt:lpstr>
      <vt:lpstr>PV-1</vt:lpstr>
      <vt:lpstr>PV-2</vt:lpstr>
      <vt:lpstr>PV-3</vt:lpstr>
      <vt:lpstr>PV-4</vt:lpstr>
      <vt:lpstr>FV</vt:lpstr>
      <vt:lpstr>_PMT</vt:lpstr>
      <vt:lpstr>RATE-1</vt:lpstr>
      <vt:lpstr>RATE-2</vt:lpstr>
      <vt:lpstr>RATE-3</vt:lpstr>
      <vt:lpstr>NPER-1</vt:lpstr>
      <vt:lpstr>NPER-2</vt:lpstr>
      <vt:lpstr>IRR</vt:lpstr>
      <vt:lpstr>NPV</vt:lpstr>
      <vt:lpstr>折舊</vt:lpstr>
      <vt:lpstr>VDB</vt:lpstr>
      <vt:lpstr>綜合所得稅計算</vt:lpstr>
      <vt:lpstr>貸款試算</vt:lpstr>
      <vt:lpstr>分期明細</vt:lpstr>
    </vt:vector>
  </TitlesOfParts>
  <Company>惟婷工作站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王惲惟</dc:creator>
  <cp:lastModifiedBy>蘇孟緯</cp:lastModifiedBy>
  <dcterms:created xsi:type="dcterms:W3CDTF">1997-03-02T15:25:46Z</dcterms:created>
  <dcterms:modified xsi:type="dcterms:W3CDTF">2021-07-16T08:44:22Z</dcterms:modified>
</cp:coreProperties>
</file>